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Legal Max\"/>
    </mc:Choice>
  </mc:AlternateContent>
  <bookViews>
    <workbookView xWindow="1875" yWindow="3495" windowWidth="11520" windowHeight="5715" tabRatio="900"/>
  </bookViews>
  <sheets>
    <sheet name="2019 Legal Max" sheetId="3" r:id="rId1"/>
    <sheet name="Transportation" sheetId="18" r:id="rId2"/>
    <sheet name="LOB Transfers" sheetId="19" r:id="rId3"/>
    <sheet name="Military Provision" sheetId="14" r:id="rId4"/>
    <sheet name="Audit Values" sheetId="10" r:id="rId5"/>
    <sheet name="Audit HD AR - School Level" sheetId="17" r:id="rId6"/>
    <sheet name="Exceptions" sheetId="6" r:id="rId7"/>
    <sheet name="Weighting Factors" sheetId="9" r:id="rId8"/>
    <sheet name="Preliminary SO66" sheetId="11" r:id="rId9"/>
    <sheet name="PreliminaryHD AR - School Level" sheetId="15" r:id="rId10"/>
  </sheets>
  <definedNames>
    <definedName name="_xlnm._FilterDatabase" localSheetId="0" hidden="1">'2019 Legal Max'!$A$4:$CZ$290</definedName>
    <definedName name="_xlnm._FilterDatabase" localSheetId="5" hidden="1">'Audit HD AR - School Level'!$A$4:$U$1309</definedName>
    <definedName name="_xlnm._FilterDatabase" localSheetId="4" hidden="1">'Audit Values'!$A$3:$CG$289</definedName>
    <definedName name="_xlnm._FilterDatabase" localSheetId="2" hidden="1">'LOB Transfers'!$A$3:$K$289</definedName>
    <definedName name="_xlnm._FilterDatabase" localSheetId="3" hidden="1">'Military Provision'!$A$5:$J$291</definedName>
    <definedName name="_xlnm._FilterDatabase" localSheetId="8" hidden="1">'Preliminary SO66'!$A$3:$BE$289</definedName>
    <definedName name="_xlnm._FilterDatabase" localSheetId="9" hidden="1">'PreliminaryHD AR - School Level'!$A$4:$M$1313</definedName>
    <definedName name="_xlnm._FilterDatabase" localSheetId="1" hidden="1">Transportation!$A$4:$H$290</definedName>
    <definedName name="_xlnm._FilterDatabase" localSheetId="7" hidden="1">'Weighting Factors'!$A$4:$K$290</definedName>
    <definedName name="_xlnm.Database">'2019 Legal Max'!$BI$273:$BN$285</definedName>
    <definedName name="_xlnm.Print_Area" localSheetId="0">'2019 Legal Max'!$A$1:$BS$293</definedName>
    <definedName name="_xlnm.Print_Titles" localSheetId="0">'2019 Legal Max'!$A:$A,'2019 Legal Max'!$1:$4</definedName>
    <definedName name="_xlnm.Print_Titles" localSheetId="2">'LOB Transfers'!$1:$3</definedName>
  </definedNames>
  <calcPr calcId="162913" fullPrecision="0"/>
</workbook>
</file>

<file path=xl/calcChain.xml><?xml version="1.0" encoding="utf-8"?>
<calcChain xmlns="http://schemas.openxmlformats.org/spreadsheetml/2006/main">
  <c r="L1304" i="17" l="1"/>
  <c r="M1304" i="17"/>
  <c r="S1304" i="17"/>
  <c r="L1305" i="17"/>
  <c r="M1305" i="17"/>
  <c r="S1305" i="17"/>
  <c r="L1306" i="17"/>
  <c r="M1306" i="17"/>
  <c r="S1306" i="17"/>
  <c r="L1307" i="17"/>
  <c r="M1307" i="17"/>
  <c r="S1307" i="17"/>
  <c r="L1308" i="17"/>
  <c r="M1308" i="17"/>
  <c r="S1308" i="17"/>
  <c r="L1309" i="17"/>
  <c r="M1309" i="17"/>
  <c r="S1309" i="17"/>
  <c r="B1304" i="17"/>
  <c r="B1305" i="17"/>
  <c r="B1306" i="17"/>
  <c r="B1307" i="17"/>
  <c r="B1308" i="17"/>
  <c r="B1309" i="17"/>
  <c r="AZ289" i="10"/>
  <c r="BE289" i="10"/>
  <c r="BF289" i="10"/>
  <c r="BH289" i="10"/>
  <c r="BI289" i="10"/>
  <c r="BJ289" i="10"/>
  <c r="BK289" i="10"/>
  <c r="BL289" i="10"/>
  <c r="BM289" i="10"/>
  <c r="BN289" i="10"/>
  <c r="BO289" i="10"/>
  <c r="BP289" i="10"/>
  <c r="BS289" i="10"/>
  <c r="BT289" i="10" s="1"/>
  <c r="BU289" i="10"/>
  <c r="N1308" i="17" l="1"/>
  <c r="P1308" i="17" s="1"/>
  <c r="N1307" i="17"/>
  <c r="O1307" i="17" s="1"/>
  <c r="N1304" i="17"/>
  <c r="O1304" i="17" s="1"/>
  <c r="N1305" i="17"/>
  <c r="P1305" i="17" s="1"/>
  <c r="N1306" i="17"/>
  <c r="O1306" i="17" s="1"/>
  <c r="N1309" i="17"/>
  <c r="P1309" i="17" s="1"/>
  <c r="M1247" i="17"/>
  <c r="M1248" i="17"/>
  <c r="M1249" i="17"/>
  <c r="M1250" i="17"/>
  <c r="M1251" i="17"/>
  <c r="M1252" i="17"/>
  <c r="M1253" i="17"/>
  <c r="M1254" i="17"/>
  <c r="M1255" i="17"/>
  <c r="M1256" i="17"/>
  <c r="M1257" i="17"/>
  <c r="M1246" i="17"/>
  <c r="O1308" i="17" l="1"/>
  <c r="Q1308" i="17" s="1"/>
  <c r="P1307" i="17"/>
  <c r="Q1307" i="17" s="1"/>
  <c r="P1304" i="17"/>
  <c r="Q1304" i="17" s="1"/>
  <c r="O1309" i="17"/>
  <c r="Q1309" i="17" s="1"/>
  <c r="O1305" i="17"/>
  <c r="Q1305" i="17" s="1"/>
  <c r="P1306" i="17"/>
  <c r="Q1306" i="17" s="1"/>
  <c r="L1277" i="17"/>
  <c r="M1277" i="17"/>
  <c r="S1277" i="17"/>
  <c r="L1278" i="17"/>
  <c r="M1278" i="17"/>
  <c r="S1278" i="17"/>
  <c r="L1279" i="17"/>
  <c r="M1279" i="17"/>
  <c r="S1279" i="17"/>
  <c r="L1280" i="17"/>
  <c r="M1280" i="17"/>
  <c r="S1280" i="17"/>
  <c r="L1281" i="17"/>
  <c r="M1281" i="17"/>
  <c r="S1281" i="17"/>
  <c r="L1282" i="17"/>
  <c r="M1282" i="17"/>
  <c r="S1282" i="17"/>
  <c r="L1283" i="17"/>
  <c r="M1283" i="17"/>
  <c r="S1283" i="17"/>
  <c r="L1284" i="17"/>
  <c r="M1284" i="17"/>
  <c r="S1284" i="17"/>
  <c r="L1285" i="17"/>
  <c r="M1285" i="17"/>
  <c r="S1285" i="17"/>
  <c r="L1286" i="17"/>
  <c r="M1286" i="17"/>
  <c r="S1286" i="17"/>
  <c r="L1287" i="17"/>
  <c r="M1287" i="17"/>
  <c r="S1287" i="17"/>
  <c r="L1288" i="17"/>
  <c r="M1288" i="17"/>
  <c r="S1288" i="17"/>
  <c r="L1289" i="17"/>
  <c r="M1289" i="17"/>
  <c r="S1289" i="17"/>
  <c r="L1290" i="17"/>
  <c r="M1290" i="17"/>
  <c r="S1290" i="17"/>
  <c r="L1291" i="17"/>
  <c r="M1291" i="17"/>
  <c r="S1291" i="17"/>
  <c r="L1292" i="17"/>
  <c r="M1292" i="17"/>
  <c r="S1292" i="17"/>
  <c r="L1293" i="17"/>
  <c r="M1293" i="17"/>
  <c r="S1293" i="17"/>
  <c r="L1294" i="17"/>
  <c r="M1294" i="17"/>
  <c r="S1294" i="17"/>
  <c r="L1295" i="17"/>
  <c r="M1295" i="17"/>
  <c r="S1295" i="17"/>
  <c r="L1296" i="17"/>
  <c r="M1296" i="17"/>
  <c r="S1296" i="17"/>
  <c r="L1297" i="17"/>
  <c r="M1297" i="17"/>
  <c r="S1297" i="17"/>
  <c r="L1298" i="17"/>
  <c r="M1298" i="17"/>
  <c r="S1298" i="17"/>
  <c r="L1299" i="17"/>
  <c r="M1299" i="17"/>
  <c r="S1299" i="17"/>
  <c r="L1300" i="17"/>
  <c r="M1300" i="17"/>
  <c r="S1300" i="17"/>
  <c r="L1301" i="17"/>
  <c r="M1301" i="17"/>
  <c r="S1301" i="17"/>
  <c r="L1302" i="17"/>
  <c r="M1302" i="17"/>
  <c r="S1302" i="17"/>
  <c r="L1303" i="17"/>
  <c r="M1303" i="17"/>
  <c r="S1303" i="17"/>
  <c r="B1277" i="17"/>
  <c r="B1278" i="17"/>
  <c r="B1279" i="17"/>
  <c r="B1280" i="17"/>
  <c r="B1281" i="17"/>
  <c r="B1282" i="17"/>
  <c r="B1283" i="17"/>
  <c r="B1284" i="17"/>
  <c r="B1285" i="17"/>
  <c r="B1286" i="17"/>
  <c r="B1287" i="17"/>
  <c r="B1288" i="17"/>
  <c r="B1289" i="17"/>
  <c r="B1290" i="17"/>
  <c r="B1291" i="17"/>
  <c r="B1292" i="17"/>
  <c r="B1293" i="17"/>
  <c r="B1294" i="17"/>
  <c r="B1295" i="17"/>
  <c r="B1296" i="17"/>
  <c r="B1297" i="17"/>
  <c r="B1298" i="17"/>
  <c r="B1299" i="17"/>
  <c r="B1300" i="17"/>
  <c r="B1301" i="17"/>
  <c r="B1302" i="17"/>
  <c r="B1303" i="17"/>
  <c r="AZ288" i="10"/>
  <c r="BE288" i="10"/>
  <c r="BF288" i="10"/>
  <c r="BH288" i="10"/>
  <c r="BI288" i="10"/>
  <c r="BJ288" i="10"/>
  <c r="BK288" i="10"/>
  <c r="BL288" i="10"/>
  <c r="BM288" i="10"/>
  <c r="BN288" i="10"/>
  <c r="BO288" i="10"/>
  <c r="BP288" i="10"/>
  <c r="BS288" i="10"/>
  <c r="BT288" i="10" s="1"/>
  <c r="BU288" i="10"/>
  <c r="N1280" i="17" l="1"/>
  <c r="O1280" i="17" s="1"/>
  <c r="N1297" i="17"/>
  <c r="P1297" i="17" s="1"/>
  <c r="N1281" i="17"/>
  <c r="P1281" i="17" s="1"/>
  <c r="N1282" i="17"/>
  <c r="P1282" i="17" s="1"/>
  <c r="N1303" i="17"/>
  <c r="O1303" i="17" s="1"/>
  <c r="N1295" i="17"/>
  <c r="O1295" i="17" s="1"/>
  <c r="N1287" i="17"/>
  <c r="P1287" i="17" s="1"/>
  <c r="N1300" i="17"/>
  <c r="O1300" i="17" s="1"/>
  <c r="N1278" i="17"/>
  <c r="P1278" i="17" s="1"/>
  <c r="N1293" i="17"/>
  <c r="P1293" i="17" s="1"/>
  <c r="N1285" i="17"/>
  <c r="O1285" i="17" s="1"/>
  <c r="N1284" i="17"/>
  <c r="P1284" i="17" s="1"/>
  <c r="N1283" i="17"/>
  <c r="O1283" i="17" s="1"/>
  <c r="N1296" i="17"/>
  <c r="O1296" i="17" s="1"/>
  <c r="N1288" i="17"/>
  <c r="P1288" i="17" s="1"/>
  <c r="N1291" i="17"/>
  <c r="O1291" i="17" s="1"/>
  <c r="N1302" i="17"/>
  <c r="O1302" i="17" s="1"/>
  <c r="N1299" i="17"/>
  <c r="O1299" i="17" s="1"/>
  <c r="N1292" i="17"/>
  <c r="P1292" i="17" s="1"/>
  <c r="N1289" i="17"/>
  <c r="P1289" i="17" s="1"/>
  <c r="N1277" i="17"/>
  <c r="O1277" i="17" s="1"/>
  <c r="N1298" i="17"/>
  <c r="O1298" i="17" s="1"/>
  <c r="N1290" i="17"/>
  <c r="O1290" i="17" s="1"/>
  <c r="N1279" i="17"/>
  <c r="O1279" i="17" s="1"/>
  <c r="N1301" i="17"/>
  <c r="O1301" i="17" s="1"/>
  <c r="N1294" i="17"/>
  <c r="O1294" i="17" s="1"/>
  <c r="N1286" i="17"/>
  <c r="P1286" i="17" s="1"/>
  <c r="BJ285" i="10"/>
  <c r="BK285" i="10"/>
  <c r="BL285" i="10"/>
  <c r="BM285" i="10"/>
  <c r="BN285" i="10"/>
  <c r="BJ286" i="10"/>
  <c r="BK286" i="10"/>
  <c r="BL286" i="10"/>
  <c r="BM286" i="10"/>
  <c r="BN286" i="10"/>
  <c r="BJ287" i="10"/>
  <c r="BK287" i="10"/>
  <c r="BL287" i="10"/>
  <c r="BM287" i="10"/>
  <c r="BN287" i="10"/>
  <c r="BI285" i="10"/>
  <c r="BI286" i="10"/>
  <c r="BI287" i="10"/>
  <c r="BH287" i="10"/>
  <c r="BH285" i="10"/>
  <c r="BH286" i="10"/>
  <c r="BF285" i="10"/>
  <c r="BF286" i="10"/>
  <c r="BF287" i="10"/>
  <c r="P1280" i="17" l="1"/>
  <c r="Q1280" i="17" s="1"/>
  <c r="O1281" i="17"/>
  <c r="Q1281" i="17" s="1"/>
  <c r="O1297" i="17"/>
  <c r="Q1297" i="17" s="1"/>
  <c r="O1278" i="17"/>
  <c r="O1287" i="17"/>
  <c r="Q1287" i="17" s="1"/>
  <c r="P1295" i="17"/>
  <c r="Q1295" i="17" s="1"/>
  <c r="O1282" i="17"/>
  <c r="Q1282" i="17" s="1"/>
  <c r="O1288" i="17"/>
  <c r="Q1288" i="17" s="1"/>
  <c r="P1300" i="17"/>
  <c r="Q1300" i="17" s="1"/>
  <c r="O1293" i="17"/>
  <c r="Q1293" i="17" s="1"/>
  <c r="P1279" i="17"/>
  <c r="Q1279" i="17" s="1"/>
  <c r="P1303" i="17"/>
  <c r="Q1303" i="17" s="1"/>
  <c r="O1286" i="17"/>
  <c r="Q1286" i="17" s="1"/>
  <c r="P1285" i="17"/>
  <c r="Q1285" i="17" s="1"/>
  <c r="P1291" i="17"/>
  <c r="Q1291" i="17" s="1"/>
  <c r="O1289" i="17"/>
  <c r="Q1289" i="17" s="1"/>
  <c r="O1284" i="17"/>
  <c r="Q1284" i="17" s="1"/>
  <c r="P1302" i="17"/>
  <c r="Q1302" i="17" s="1"/>
  <c r="P1283" i="17"/>
  <c r="Q1283" i="17" s="1"/>
  <c r="P1296" i="17"/>
  <c r="Q1296" i="17" s="1"/>
  <c r="P1277" i="17"/>
  <c r="Q1277" i="17" s="1"/>
  <c r="P1294" i="17"/>
  <c r="Q1294" i="17" s="1"/>
  <c r="O1292" i="17"/>
  <c r="Q1292" i="17" s="1"/>
  <c r="P1299" i="17"/>
  <c r="Q1299" i="17" s="1"/>
  <c r="P1298" i="17"/>
  <c r="Q1298" i="17" s="1"/>
  <c r="P1301" i="17"/>
  <c r="Q1301" i="17" s="1"/>
  <c r="P1290" i="17"/>
  <c r="Q1290" i="17" s="1"/>
  <c r="Q1278" i="17"/>
  <c r="M1276" i="17"/>
  <c r="M1275" i="17"/>
  <c r="M1274" i="17"/>
  <c r="M1273" i="17"/>
  <c r="M1272" i="17"/>
  <c r="M1271" i="17"/>
  <c r="M1270" i="17"/>
  <c r="M1269" i="17"/>
  <c r="M1268" i="17"/>
  <c r="M1267" i="17"/>
  <c r="M1266" i="17"/>
  <c r="M1265" i="17"/>
  <c r="M1264" i="17"/>
  <c r="M1263" i="17"/>
  <c r="M1262" i="17"/>
  <c r="M1261" i="17"/>
  <c r="M1260" i="17"/>
  <c r="L1246" i="17"/>
  <c r="S1246" i="17"/>
  <c r="L1247" i="17"/>
  <c r="S1247" i="17"/>
  <c r="L1248" i="17"/>
  <c r="S1248" i="17"/>
  <c r="L1249" i="17"/>
  <c r="S1249" i="17"/>
  <c r="L1250" i="17"/>
  <c r="S1250" i="17"/>
  <c r="L1251" i="17"/>
  <c r="S1251" i="17"/>
  <c r="L1252" i="17"/>
  <c r="S1252" i="17"/>
  <c r="L1253" i="17"/>
  <c r="S1253" i="17"/>
  <c r="L1254" i="17"/>
  <c r="S1254" i="17"/>
  <c r="L1255" i="17"/>
  <c r="S1255" i="17"/>
  <c r="L1256" i="17"/>
  <c r="S1256" i="17"/>
  <c r="L1257" i="17"/>
  <c r="S1257" i="17"/>
  <c r="L1258" i="17"/>
  <c r="M1258" i="17"/>
  <c r="S1258" i="17"/>
  <c r="L1259" i="17"/>
  <c r="M1259" i="17"/>
  <c r="S1259" i="17"/>
  <c r="L1260" i="17"/>
  <c r="S1260" i="17"/>
  <c r="L1261" i="17"/>
  <c r="S1261" i="17"/>
  <c r="L1262" i="17"/>
  <c r="S1262" i="17"/>
  <c r="L1263" i="17"/>
  <c r="S1263" i="17"/>
  <c r="L1264" i="17"/>
  <c r="S1264" i="17"/>
  <c r="L1265" i="17"/>
  <c r="S1265" i="17"/>
  <c r="L1266" i="17"/>
  <c r="S1266" i="17"/>
  <c r="L1267" i="17"/>
  <c r="S1267" i="17"/>
  <c r="L1268" i="17"/>
  <c r="S1268" i="17"/>
  <c r="L1269" i="17"/>
  <c r="S1269" i="17"/>
  <c r="L1270" i="17"/>
  <c r="S1270" i="17"/>
  <c r="L1271" i="17"/>
  <c r="S1271" i="17"/>
  <c r="L1272" i="17"/>
  <c r="S1272" i="17"/>
  <c r="L1273" i="17"/>
  <c r="S1273" i="17"/>
  <c r="L1274" i="17"/>
  <c r="S1274" i="17"/>
  <c r="L1275" i="17"/>
  <c r="S1275" i="17"/>
  <c r="L1276" i="17"/>
  <c r="S1276" i="17"/>
  <c r="B1246" i="17"/>
  <c r="B1247" i="17"/>
  <c r="B1248" i="17"/>
  <c r="B1249" i="17"/>
  <c r="B1250" i="17"/>
  <c r="B1251" i="17"/>
  <c r="B1252" i="17"/>
  <c r="B1253" i="17"/>
  <c r="B1254" i="17"/>
  <c r="B1255" i="17"/>
  <c r="B1256" i="17"/>
  <c r="B1257" i="17"/>
  <c r="B1258" i="17"/>
  <c r="B1259" i="17"/>
  <c r="B1260" i="17"/>
  <c r="B1261" i="17"/>
  <c r="B1262" i="17"/>
  <c r="B1263" i="17"/>
  <c r="B1264" i="17"/>
  <c r="B1265" i="17"/>
  <c r="B1266" i="17"/>
  <c r="B1267" i="17"/>
  <c r="B1268" i="17"/>
  <c r="B1269" i="17"/>
  <c r="B1270" i="17"/>
  <c r="B1271" i="17"/>
  <c r="B1272" i="17"/>
  <c r="B1273" i="17"/>
  <c r="B1274" i="17"/>
  <c r="B1275" i="17"/>
  <c r="B1276" i="17"/>
  <c r="AZ285" i="10"/>
  <c r="BE285" i="10"/>
  <c r="BO285" i="10"/>
  <c r="BP285" i="10"/>
  <c r="BS285" i="10"/>
  <c r="BT285" i="10" s="1"/>
  <c r="BU285" i="10"/>
  <c r="AZ286" i="10"/>
  <c r="BE286" i="10"/>
  <c r="BO286" i="10"/>
  <c r="BP286" i="10"/>
  <c r="BS286" i="10"/>
  <c r="BT286" i="10" s="1"/>
  <c r="BU286" i="10"/>
  <c r="AZ287" i="10"/>
  <c r="BE287" i="10"/>
  <c r="BO287" i="10"/>
  <c r="BP287" i="10"/>
  <c r="BS287" i="10"/>
  <c r="BT287" i="10" s="1"/>
  <c r="BU287" i="10"/>
  <c r="N1249" i="17" l="1"/>
  <c r="O1249" i="17" s="1"/>
  <c r="N1257" i="17"/>
  <c r="O1257" i="17" s="1"/>
  <c r="N1267" i="17"/>
  <c r="P1267" i="17" s="1"/>
  <c r="N1275" i="17"/>
  <c r="P1275" i="17" s="1"/>
  <c r="N1261" i="17"/>
  <c r="O1261" i="17" s="1"/>
  <c r="N1259" i="17"/>
  <c r="O1259" i="17" s="1"/>
  <c r="N1251" i="17"/>
  <c r="O1251" i="17" s="1"/>
  <c r="N1250" i="17"/>
  <c r="P1250" i="17" s="1"/>
  <c r="N1246" i="17"/>
  <c r="O1246" i="17" s="1"/>
  <c r="N1270" i="17"/>
  <c r="O1270" i="17" s="1"/>
  <c r="N1247" i="17"/>
  <c r="P1247" i="17" s="1"/>
  <c r="N1272" i="17"/>
  <c r="O1272" i="17" s="1"/>
  <c r="N1256" i="17"/>
  <c r="O1256" i="17" s="1"/>
  <c r="N1253" i="17"/>
  <c r="P1253" i="17" s="1"/>
  <c r="N1254" i="17"/>
  <c r="P1254" i="17" s="1"/>
  <c r="N1276" i="17"/>
  <c r="O1276" i="17" s="1"/>
  <c r="N1273" i="17"/>
  <c r="O1273" i="17" s="1"/>
  <c r="N1268" i="17"/>
  <c r="O1268" i="17" s="1"/>
  <c r="N1265" i="17"/>
  <c r="O1265" i="17" s="1"/>
  <c r="N1260" i="17"/>
  <c r="O1260" i="17" s="1"/>
  <c r="N1255" i="17"/>
  <c r="P1255" i="17" s="1"/>
  <c r="N1252" i="17"/>
  <c r="P1252" i="17" s="1"/>
  <c r="N1264" i="17"/>
  <c r="P1264" i="17" s="1"/>
  <c r="N1274" i="17"/>
  <c r="P1274" i="17" s="1"/>
  <c r="N1269" i="17"/>
  <c r="P1269" i="17" s="1"/>
  <c r="N1262" i="17"/>
  <c r="O1262" i="17" s="1"/>
  <c r="N1248" i="17"/>
  <c r="O1248" i="17" s="1"/>
  <c r="N1271" i="17"/>
  <c r="P1271" i="17" s="1"/>
  <c r="N1266" i="17"/>
  <c r="O1266" i="17" s="1"/>
  <c r="N1263" i="17"/>
  <c r="O1263" i="17" s="1"/>
  <c r="N1258" i="17"/>
  <c r="P1258" i="17" s="1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P1257" i="17" l="1"/>
  <c r="Q1257" i="17" s="1"/>
  <c r="P1249" i="17"/>
  <c r="Q1249" i="17" s="1"/>
  <c r="O1275" i="17"/>
  <c r="Q1275" i="17" s="1"/>
  <c r="O1267" i="17"/>
  <c r="Q1267" i="17" s="1"/>
  <c r="P1251" i="17"/>
  <c r="Q1251" i="17" s="1"/>
  <c r="O1250" i="17"/>
  <c r="Q1250" i="17" s="1"/>
  <c r="P1261" i="17"/>
  <c r="Q1261" i="17" s="1"/>
  <c r="P1259" i="17"/>
  <c r="O1253" i="17"/>
  <c r="Q1253" i="17" s="1"/>
  <c r="O1271" i="17"/>
  <c r="Q1271" i="17" s="1"/>
  <c r="P1268" i="17"/>
  <c r="Q1268" i="17" s="1"/>
  <c r="O1247" i="17"/>
  <c r="Q1247" i="17" s="1"/>
  <c r="P1270" i="17"/>
  <c r="Q1270" i="17" s="1"/>
  <c r="O1254" i="17"/>
  <c r="Q1254" i="17" s="1"/>
  <c r="P1246" i="17"/>
  <c r="Q1246" i="17" s="1"/>
  <c r="O1269" i="17"/>
  <c r="Q1269" i="17" s="1"/>
  <c r="P1273" i="17"/>
  <c r="Q1273" i="17" s="1"/>
  <c r="O1252" i="17"/>
  <c r="Q1252" i="17" s="1"/>
  <c r="O1264" i="17"/>
  <c r="Q1264" i="17" s="1"/>
  <c r="O1258" i="17"/>
  <c r="Q1258" i="17" s="1"/>
  <c r="O1274" i="17"/>
  <c r="Q1274" i="17" s="1"/>
  <c r="P1272" i="17"/>
  <c r="Q1272" i="17" s="1"/>
  <c r="P1256" i="17"/>
  <c r="Q1256" i="17" s="1"/>
  <c r="Q1259" i="17"/>
  <c r="O1255" i="17"/>
  <c r="Q1255" i="17" s="1"/>
  <c r="P1263" i="17"/>
  <c r="Q1263" i="17" s="1"/>
  <c r="P1266" i="17"/>
  <c r="Q1266" i="17" s="1"/>
  <c r="P1276" i="17"/>
  <c r="Q1276" i="17" s="1"/>
  <c r="P1260" i="17"/>
  <c r="Q1260" i="17" s="1"/>
  <c r="P1262" i="17"/>
  <c r="Q1262" i="17" s="1"/>
  <c r="P1265" i="17"/>
  <c r="Q1265" i="17" s="1"/>
  <c r="P1248" i="17"/>
  <c r="Q1248" i="17" s="1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5" i="18"/>
  <c r="L992" i="17" l="1"/>
  <c r="M992" i="17"/>
  <c r="S992" i="17"/>
  <c r="L993" i="17"/>
  <c r="M993" i="17"/>
  <c r="S993" i="17"/>
  <c r="L994" i="17"/>
  <c r="M994" i="17"/>
  <c r="S994" i="17"/>
  <c r="L995" i="17"/>
  <c r="M995" i="17"/>
  <c r="S995" i="17"/>
  <c r="L996" i="17"/>
  <c r="M996" i="17"/>
  <c r="S996" i="17"/>
  <c r="L997" i="17"/>
  <c r="M997" i="17"/>
  <c r="S997" i="17"/>
  <c r="L998" i="17"/>
  <c r="M998" i="17"/>
  <c r="S998" i="17"/>
  <c r="L999" i="17"/>
  <c r="M999" i="17"/>
  <c r="S999" i="17"/>
  <c r="L1000" i="17"/>
  <c r="M1000" i="17"/>
  <c r="S1000" i="17"/>
  <c r="L1001" i="17"/>
  <c r="M1001" i="17"/>
  <c r="S1001" i="17"/>
  <c r="L1002" i="17"/>
  <c r="M1002" i="17"/>
  <c r="S1002" i="17"/>
  <c r="L1003" i="17"/>
  <c r="M1003" i="17"/>
  <c r="S1003" i="17"/>
  <c r="L1004" i="17"/>
  <c r="M1004" i="17"/>
  <c r="S1004" i="17"/>
  <c r="L1005" i="17"/>
  <c r="M1005" i="17"/>
  <c r="S1005" i="17"/>
  <c r="L1006" i="17"/>
  <c r="M1006" i="17"/>
  <c r="S1006" i="17"/>
  <c r="L1007" i="17"/>
  <c r="M1007" i="17"/>
  <c r="S1007" i="17"/>
  <c r="L1008" i="17"/>
  <c r="M1008" i="17"/>
  <c r="S1008" i="17"/>
  <c r="L1009" i="17"/>
  <c r="M1009" i="17"/>
  <c r="S1009" i="17"/>
  <c r="L1010" i="17"/>
  <c r="M1010" i="17"/>
  <c r="S1010" i="17"/>
  <c r="L1011" i="17"/>
  <c r="M1011" i="17"/>
  <c r="S1011" i="17"/>
  <c r="L1012" i="17"/>
  <c r="M1012" i="17"/>
  <c r="S1012" i="17"/>
  <c r="L1013" i="17"/>
  <c r="M1013" i="17"/>
  <c r="S1013" i="17"/>
  <c r="L1014" i="17"/>
  <c r="M1014" i="17"/>
  <c r="S1014" i="17"/>
  <c r="L1015" i="17"/>
  <c r="M1015" i="17"/>
  <c r="S1015" i="17"/>
  <c r="L1016" i="17"/>
  <c r="M1016" i="17"/>
  <c r="S1016" i="17"/>
  <c r="L1017" i="17"/>
  <c r="M1017" i="17"/>
  <c r="S1017" i="17"/>
  <c r="L1018" i="17"/>
  <c r="M1018" i="17"/>
  <c r="S1018" i="17"/>
  <c r="L1019" i="17"/>
  <c r="M1019" i="17"/>
  <c r="S1019" i="17"/>
  <c r="L1020" i="17"/>
  <c r="M1020" i="17"/>
  <c r="S1020" i="17"/>
  <c r="L1021" i="17"/>
  <c r="M1021" i="17"/>
  <c r="S1021" i="17"/>
  <c r="L1022" i="17"/>
  <c r="M1022" i="17"/>
  <c r="S1022" i="17"/>
  <c r="L1023" i="17"/>
  <c r="M1023" i="17"/>
  <c r="S1023" i="17"/>
  <c r="L1024" i="17"/>
  <c r="M1024" i="17"/>
  <c r="S1024" i="17"/>
  <c r="L1025" i="17"/>
  <c r="M1025" i="17"/>
  <c r="S1025" i="17"/>
  <c r="L1026" i="17"/>
  <c r="M1026" i="17"/>
  <c r="S1026" i="17"/>
  <c r="L1027" i="17"/>
  <c r="M1027" i="17"/>
  <c r="S1027" i="17"/>
  <c r="L1028" i="17"/>
  <c r="M1028" i="17"/>
  <c r="S1028" i="17"/>
  <c r="L1029" i="17"/>
  <c r="M1029" i="17"/>
  <c r="S1029" i="17"/>
  <c r="L1030" i="17"/>
  <c r="M1030" i="17"/>
  <c r="S1030" i="17"/>
  <c r="L1031" i="17"/>
  <c r="M1031" i="17"/>
  <c r="S1031" i="17"/>
  <c r="L1032" i="17"/>
  <c r="M1032" i="17"/>
  <c r="S1032" i="17"/>
  <c r="L1033" i="17"/>
  <c r="M1033" i="17"/>
  <c r="S1033" i="17"/>
  <c r="L1034" i="17"/>
  <c r="M1034" i="17"/>
  <c r="S1034" i="17"/>
  <c r="L1035" i="17"/>
  <c r="M1035" i="17"/>
  <c r="S1035" i="17"/>
  <c r="L1036" i="17"/>
  <c r="M1036" i="17"/>
  <c r="S1036" i="17"/>
  <c r="L1037" i="17"/>
  <c r="M1037" i="17"/>
  <c r="S1037" i="17"/>
  <c r="L1038" i="17"/>
  <c r="M1038" i="17"/>
  <c r="S1038" i="17"/>
  <c r="L1039" i="17"/>
  <c r="M1039" i="17"/>
  <c r="S1039" i="17"/>
  <c r="L1040" i="17"/>
  <c r="M1040" i="17"/>
  <c r="S1040" i="17"/>
  <c r="L1041" i="17"/>
  <c r="M1041" i="17"/>
  <c r="S1041" i="17"/>
  <c r="L1042" i="17"/>
  <c r="M1042" i="17"/>
  <c r="S1042" i="17"/>
  <c r="L1043" i="17"/>
  <c r="M1043" i="17"/>
  <c r="S1043" i="17"/>
  <c r="L1044" i="17"/>
  <c r="M1044" i="17"/>
  <c r="S1044" i="17"/>
  <c r="L1045" i="17"/>
  <c r="M1045" i="17"/>
  <c r="S1045" i="17"/>
  <c r="L1046" i="17"/>
  <c r="M1046" i="17"/>
  <c r="S1046" i="17"/>
  <c r="L1047" i="17"/>
  <c r="M1047" i="17"/>
  <c r="S1047" i="17"/>
  <c r="L1048" i="17"/>
  <c r="M1048" i="17"/>
  <c r="S1048" i="17"/>
  <c r="L1049" i="17"/>
  <c r="M1049" i="17"/>
  <c r="S1049" i="17"/>
  <c r="L1050" i="17"/>
  <c r="M1050" i="17"/>
  <c r="S1050" i="17"/>
  <c r="L1051" i="17"/>
  <c r="M1051" i="17"/>
  <c r="S1051" i="17"/>
  <c r="L1052" i="17"/>
  <c r="M1052" i="17"/>
  <c r="S1052" i="17"/>
  <c r="L1053" i="17"/>
  <c r="M1053" i="17"/>
  <c r="S1053" i="17"/>
  <c r="L1054" i="17"/>
  <c r="M1054" i="17"/>
  <c r="S1054" i="17"/>
  <c r="L1055" i="17"/>
  <c r="M1055" i="17"/>
  <c r="S1055" i="17"/>
  <c r="L1056" i="17"/>
  <c r="M1056" i="17"/>
  <c r="S1056" i="17"/>
  <c r="L1057" i="17"/>
  <c r="M1057" i="17"/>
  <c r="S1057" i="17"/>
  <c r="L1058" i="17"/>
  <c r="M1058" i="17"/>
  <c r="S1058" i="17"/>
  <c r="L1059" i="17"/>
  <c r="M1059" i="17"/>
  <c r="S1059" i="17"/>
  <c r="L1060" i="17"/>
  <c r="M1060" i="17"/>
  <c r="S1060" i="17"/>
  <c r="L1061" i="17"/>
  <c r="M1061" i="17"/>
  <c r="S1061" i="17"/>
  <c r="L1062" i="17"/>
  <c r="M1062" i="17"/>
  <c r="S1062" i="17"/>
  <c r="L1063" i="17"/>
  <c r="M1063" i="17"/>
  <c r="S1063" i="17"/>
  <c r="L1064" i="17"/>
  <c r="M1064" i="17"/>
  <c r="S1064" i="17"/>
  <c r="L1065" i="17"/>
  <c r="M1065" i="17"/>
  <c r="S1065" i="17"/>
  <c r="L1066" i="17"/>
  <c r="M1066" i="17"/>
  <c r="S1066" i="17"/>
  <c r="L1067" i="17"/>
  <c r="M1067" i="17"/>
  <c r="S1067" i="17"/>
  <c r="L1068" i="17"/>
  <c r="M1068" i="17"/>
  <c r="S1068" i="17"/>
  <c r="L1069" i="17"/>
  <c r="M1069" i="17"/>
  <c r="S1069" i="17"/>
  <c r="L1070" i="17"/>
  <c r="M1070" i="17"/>
  <c r="S1070" i="17"/>
  <c r="L1071" i="17"/>
  <c r="M1071" i="17"/>
  <c r="S1071" i="17"/>
  <c r="L1072" i="17"/>
  <c r="M1072" i="17"/>
  <c r="S1072" i="17"/>
  <c r="L1073" i="17"/>
  <c r="M1073" i="17"/>
  <c r="S1073" i="17"/>
  <c r="L1074" i="17"/>
  <c r="M1074" i="17"/>
  <c r="S1074" i="17"/>
  <c r="L1075" i="17"/>
  <c r="M1075" i="17"/>
  <c r="S1075" i="17"/>
  <c r="L1076" i="17"/>
  <c r="M1076" i="17"/>
  <c r="S1076" i="17"/>
  <c r="L1077" i="17"/>
  <c r="M1077" i="17"/>
  <c r="S1077" i="17"/>
  <c r="L1078" i="17"/>
  <c r="M1078" i="17"/>
  <c r="S1078" i="17"/>
  <c r="L1079" i="17"/>
  <c r="M1079" i="17"/>
  <c r="S1079" i="17"/>
  <c r="L1080" i="17"/>
  <c r="M1080" i="17"/>
  <c r="S1080" i="17"/>
  <c r="L1081" i="17"/>
  <c r="M1081" i="17"/>
  <c r="S1081" i="17"/>
  <c r="L1082" i="17"/>
  <c r="M1082" i="17"/>
  <c r="S1082" i="17"/>
  <c r="L1083" i="17"/>
  <c r="M1083" i="17"/>
  <c r="S1083" i="17"/>
  <c r="L1084" i="17"/>
  <c r="M1084" i="17"/>
  <c r="S1084" i="17"/>
  <c r="L1085" i="17"/>
  <c r="M1085" i="17"/>
  <c r="S1085" i="17"/>
  <c r="L1086" i="17"/>
  <c r="M1086" i="17"/>
  <c r="S1086" i="17"/>
  <c r="L1087" i="17"/>
  <c r="M1087" i="17"/>
  <c r="S1087" i="17"/>
  <c r="L1088" i="17"/>
  <c r="M1088" i="17"/>
  <c r="S1088" i="17"/>
  <c r="L1089" i="17"/>
  <c r="M1089" i="17"/>
  <c r="S1089" i="17"/>
  <c r="L1090" i="17"/>
  <c r="M1090" i="17"/>
  <c r="S1090" i="17"/>
  <c r="L1091" i="17"/>
  <c r="M1091" i="17"/>
  <c r="S1091" i="17"/>
  <c r="L1092" i="17"/>
  <c r="S1092" i="17"/>
  <c r="L1093" i="17"/>
  <c r="S1093" i="17"/>
  <c r="L1094" i="17"/>
  <c r="S1094" i="17"/>
  <c r="L1095" i="17"/>
  <c r="S1095" i="17"/>
  <c r="L1096" i="17"/>
  <c r="S1096" i="17"/>
  <c r="L1097" i="17"/>
  <c r="S1097" i="17"/>
  <c r="L1098" i="17"/>
  <c r="S1098" i="17"/>
  <c r="L1099" i="17"/>
  <c r="S1099" i="17"/>
  <c r="L1100" i="17"/>
  <c r="S1100" i="17"/>
  <c r="L1101" i="17"/>
  <c r="S1101" i="17"/>
  <c r="L1102" i="17"/>
  <c r="S1102" i="17"/>
  <c r="L1103" i="17"/>
  <c r="S1103" i="17"/>
  <c r="L1104" i="17"/>
  <c r="M1104" i="17"/>
  <c r="S1104" i="17"/>
  <c r="L1105" i="17"/>
  <c r="M1105" i="17"/>
  <c r="S1105" i="17"/>
  <c r="L1106" i="17"/>
  <c r="M1106" i="17"/>
  <c r="S1106" i="17"/>
  <c r="L1107" i="17"/>
  <c r="M1107" i="17"/>
  <c r="S1107" i="17"/>
  <c r="L1108" i="17"/>
  <c r="M1108" i="17"/>
  <c r="S1108" i="17"/>
  <c r="L1109" i="17"/>
  <c r="M1109" i="17"/>
  <c r="S1109" i="17"/>
  <c r="L1110" i="17"/>
  <c r="M1110" i="17"/>
  <c r="S1110" i="17"/>
  <c r="L1111" i="17"/>
  <c r="M1111" i="17"/>
  <c r="S1111" i="17"/>
  <c r="L1112" i="17"/>
  <c r="M1112" i="17"/>
  <c r="S1112" i="17"/>
  <c r="L1113" i="17"/>
  <c r="M1113" i="17"/>
  <c r="S1113" i="17"/>
  <c r="L1114" i="17"/>
  <c r="M1114" i="17"/>
  <c r="S1114" i="17"/>
  <c r="L1115" i="17"/>
  <c r="M1115" i="17"/>
  <c r="S1115" i="17"/>
  <c r="L1116" i="17"/>
  <c r="M1116" i="17"/>
  <c r="S1116" i="17"/>
  <c r="L1117" i="17"/>
  <c r="M1117" i="17"/>
  <c r="S1117" i="17"/>
  <c r="L1118" i="17"/>
  <c r="M1118" i="17"/>
  <c r="S1118" i="17"/>
  <c r="L1119" i="17"/>
  <c r="M1119" i="17"/>
  <c r="S1119" i="17"/>
  <c r="L1120" i="17"/>
  <c r="M1120" i="17"/>
  <c r="S1120" i="17"/>
  <c r="L1121" i="17"/>
  <c r="M1121" i="17"/>
  <c r="S1121" i="17"/>
  <c r="L1122" i="17"/>
  <c r="M1122" i="17"/>
  <c r="S1122" i="17"/>
  <c r="L1123" i="17"/>
  <c r="M1123" i="17"/>
  <c r="S1123" i="17"/>
  <c r="L1124" i="17"/>
  <c r="M1124" i="17"/>
  <c r="S1124" i="17"/>
  <c r="L1125" i="17"/>
  <c r="M1125" i="17"/>
  <c r="S1125" i="17"/>
  <c r="L1126" i="17"/>
  <c r="M1126" i="17"/>
  <c r="S1126" i="17"/>
  <c r="L1127" i="17"/>
  <c r="M1127" i="17"/>
  <c r="S1127" i="17"/>
  <c r="L1128" i="17"/>
  <c r="M1128" i="17"/>
  <c r="S1128" i="17"/>
  <c r="L1129" i="17"/>
  <c r="M1129" i="17"/>
  <c r="S1129" i="17"/>
  <c r="L1130" i="17"/>
  <c r="M1130" i="17"/>
  <c r="S1130" i="17"/>
  <c r="L1131" i="17"/>
  <c r="M1131" i="17"/>
  <c r="S1131" i="17"/>
  <c r="L1132" i="17"/>
  <c r="M1132" i="17"/>
  <c r="S1132" i="17"/>
  <c r="L1133" i="17"/>
  <c r="M1133" i="17"/>
  <c r="S1133" i="17"/>
  <c r="L1134" i="17"/>
  <c r="M1134" i="17"/>
  <c r="S1134" i="17"/>
  <c r="L1135" i="17"/>
  <c r="M1135" i="17"/>
  <c r="S1135" i="17"/>
  <c r="L1136" i="17"/>
  <c r="M1136" i="17"/>
  <c r="S1136" i="17"/>
  <c r="L1137" i="17"/>
  <c r="M1137" i="17"/>
  <c r="S1137" i="17"/>
  <c r="L1138" i="17"/>
  <c r="M1138" i="17"/>
  <c r="S1138" i="17"/>
  <c r="L1139" i="17"/>
  <c r="M1139" i="17"/>
  <c r="S1139" i="17"/>
  <c r="L1140" i="17"/>
  <c r="M1140" i="17"/>
  <c r="S1140" i="17"/>
  <c r="L1141" i="17"/>
  <c r="M1141" i="17"/>
  <c r="S1141" i="17"/>
  <c r="L1142" i="17"/>
  <c r="M1142" i="17"/>
  <c r="S1142" i="17"/>
  <c r="L1143" i="17"/>
  <c r="M1143" i="17"/>
  <c r="S1143" i="17"/>
  <c r="L1144" i="17"/>
  <c r="M1144" i="17"/>
  <c r="S1144" i="17"/>
  <c r="L1145" i="17"/>
  <c r="M1145" i="17"/>
  <c r="S1145" i="17"/>
  <c r="L1146" i="17"/>
  <c r="M1146" i="17"/>
  <c r="S1146" i="17"/>
  <c r="L1147" i="17"/>
  <c r="M1147" i="17"/>
  <c r="S1147" i="17"/>
  <c r="L1148" i="17"/>
  <c r="M1148" i="17"/>
  <c r="S1148" i="17"/>
  <c r="L1149" i="17"/>
  <c r="M1149" i="17"/>
  <c r="S1149" i="17"/>
  <c r="L1150" i="17"/>
  <c r="M1150" i="17"/>
  <c r="S1150" i="17"/>
  <c r="L1151" i="17"/>
  <c r="M1151" i="17"/>
  <c r="S1151" i="17"/>
  <c r="L1152" i="17"/>
  <c r="M1152" i="17"/>
  <c r="S1152" i="17"/>
  <c r="L1153" i="17"/>
  <c r="M1153" i="17"/>
  <c r="S1153" i="17"/>
  <c r="L1154" i="17"/>
  <c r="M1154" i="17"/>
  <c r="S1154" i="17"/>
  <c r="L1155" i="17"/>
  <c r="M1155" i="17"/>
  <c r="S1155" i="17"/>
  <c r="L1156" i="17"/>
  <c r="M1156" i="17"/>
  <c r="S1156" i="17"/>
  <c r="L1157" i="17"/>
  <c r="M1157" i="17"/>
  <c r="S1157" i="17"/>
  <c r="L1158" i="17"/>
  <c r="M1158" i="17"/>
  <c r="S1158" i="17"/>
  <c r="L1159" i="17"/>
  <c r="M1159" i="17"/>
  <c r="S1159" i="17"/>
  <c r="L1160" i="17"/>
  <c r="M1160" i="17"/>
  <c r="S1160" i="17"/>
  <c r="L1161" i="17"/>
  <c r="M1161" i="17"/>
  <c r="S1161" i="17"/>
  <c r="L1162" i="17"/>
  <c r="M1162" i="17"/>
  <c r="S1162" i="17"/>
  <c r="L1163" i="17"/>
  <c r="M1163" i="17"/>
  <c r="S1163" i="17"/>
  <c r="L1164" i="17"/>
  <c r="M1164" i="17"/>
  <c r="S1164" i="17"/>
  <c r="L1165" i="17"/>
  <c r="M1165" i="17"/>
  <c r="S1165" i="17"/>
  <c r="L1166" i="17"/>
  <c r="M1166" i="17"/>
  <c r="S1166" i="17"/>
  <c r="L1167" i="17"/>
  <c r="M1167" i="17"/>
  <c r="S1167" i="17"/>
  <c r="L1168" i="17"/>
  <c r="M1168" i="17"/>
  <c r="S1168" i="17"/>
  <c r="L1169" i="17"/>
  <c r="M1169" i="17"/>
  <c r="S1169" i="17"/>
  <c r="L1170" i="17"/>
  <c r="M1170" i="17"/>
  <c r="S1170" i="17"/>
  <c r="L1171" i="17"/>
  <c r="M1171" i="17"/>
  <c r="S1171" i="17"/>
  <c r="L1172" i="17"/>
  <c r="M1172" i="17"/>
  <c r="S1172" i="17"/>
  <c r="L1173" i="17"/>
  <c r="M1173" i="17"/>
  <c r="S1173" i="17"/>
  <c r="L1174" i="17"/>
  <c r="M1174" i="17"/>
  <c r="S1174" i="17"/>
  <c r="L1175" i="17"/>
  <c r="M1175" i="17"/>
  <c r="S1175" i="17"/>
  <c r="L1176" i="17"/>
  <c r="M1176" i="17"/>
  <c r="S1176" i="17"/>
  <c r="L1177" i="17"/>
  <c r="M1177" i="17"/>
  <c r="S1177" i="17"/>
  <c r="L1178" i="17"/>
  <c r="M1178" i="17"/>
  <c r="S1178" i="17"/>
  <c r="L1179" i="17"/>
  <c r="M1179" i="17"/>
  <c r="S1179" i="17"/>
  <c r="L1180" i="17"/>
  <c r="M1180" i="17"/>
  <c r="S1180" i="17"/>
  <c r="L1181" i="17"/>
  <c r="M1181" i="17"/>
  <c r="S1181" i="17"/>
  <c r="L1182" i="17"/>
  <c r="M1182" i="17"/>
  <c r="S1182" i="17"/>
  <c r="L1183" i="17"/>
  <c r="M1183" i="17"/>
  <c r="S1183" i="17"/>
  <c r="L1184" i="17"/>
  <c r="M1184" i="17"/>
  <c r="S1184" i="17"/>
  <c r="L1185" i="17"/>
  <c r="M1185" i="17"/>
  <c r="S1185" i="17"/>
  <c r="L1186" i="17"/>
  <c r="M1186" i="17"/>
  <c r="S1186" i="17"/>
  <c r="L1187" i="17"/>
  <c r="M1187" i="17"/>
  <c r="S1187" i="17"/>
  <c r="L1188" i="17"/>
  <c r="M1188" i="17"/>
  <c r="S1188" i="17"/>
  <c r="L1189" i="17"/>
  <c r="M1189" i="17"/>
  <c r="S1189" i="17"/>
  <c r="L1190" i="17"/>
  <c r="M1190" i="17"/>
  <c r="S1190" i="17"/>
  <c r="L1191" i="17"/>
  <c r="M1191" i="17"/>
  <c r="S1191" i="17"/>
  <c r="L1192" i="17"/>
  <c r="M1192" i="17"/>
  <c r="S1192" i="17"/>
  <c r="L1193" i="17"/>
  <c r="M1193" i="17"/>
  <c r="S1193" i="17"/>
  <c r="L1194" i="17"/>
  <c r="M1194" i="17"/>
  <c r="S1194" i="17"/>
  <c r="L1195" i="17"/>
  <c r="M1195" i="17"/>
  <c r="S1195" i="17"/>
  <c r="L1196" i="17"/>
  <c r="M1196" i="17"/>
  <c r="S1196" i="17"/>
  <c r="L1197" i="17"/>
  <c r="M1197" i="17"/>
  <c r="S1197" i="17"/>
  <c r="L1198" i="17"/>
  <c r="M1198" i="17"/>
  <c r="S1198" i="17"/>
  <c r="L1199" i="17"/>
  <c r="M1199" i="17"/>
  <c r="S1199" i="17"/>
  <c r="L1200" i="17"/>
  <c r="M1200" i="17"/>
  <c r="S1200" i="17"/>
  <c r="L1201" i="17"/>
  <c r="M1201" i="17"/>
  <c r="S1201" i="17"/>
  <c r="L1202" i="17"/>
  <c r="M1202" i="17"/>
  <c r="S1202" i="17"/>
  <c r="L1203" i="17"/>
  <c r="M1203" i="17"/>
  <c r="S1203" i="17"/>
  <c r="L1204" i="17"/>
  <c r="M1204" i="17"/>
  <c r="S1204" i="17"/>
  <c r="L1205" i="17"/>
  <c r="M1205" i="17"/>
  <c r="S1205" i="17"/>
  <c r="L1206" i="17"/>
  <c r="M1206" i="17"/>
  <c r="S1206" i="17"/>
  <c r="L1207" i="17"/>
  <c r="M1207" i="17"/>
  <c r="S1207" i="17"/>
  <c r="L1208" i="17"/>
  <c r="M1208" i="17"/>
  <c r="S1208" i="17"/>
  <c r="L1209" i="17"/>
  <c r="M1209" i="17"/>
  <c r="S1209" i="17"/>
  <c r="L1210" i="17"/>
  <c r="M1210" i="17"/>
  <c r="S1210" i="17"/>
  <c r="L1211" i="17"/>
  <c r="M1211" i="17"/>
  <c r="S1211" i="17"/>
  <c r="L1212" i="17"/>
  <c r="M1212" i="17"/>
  <c r="S1212" i="17"/>
  <c r="L1213" i="17"/>
  <c r="M1213" i="17"/>
  <c r="S1213" i="17"/>
  <c r="L1214" i="17"/>
  <c r="M1214" i="17"/>
  <c r="S1214" i="17"/>
  <c r="L1215" i="17"/>
  <c r="M1215" i="17"/>
  <c r="S1215" i="17"/>
  <c r="L1216" i="17"/>
  <c r="M1216" i="17"/>
  <c r="S1216" i="17"/>
  <c r="L1217" i="17"/>
  <c r="M1217" i="17"/>
  <c r="S1217" i="17"/>
  <c r="L1218" i="17"/>
  <c r="M1218" i="17"/>
  <c r="S1218" i="17"/>
  <c r="L1219" i="17"/>
  <c r="M1219" i="17"/>
  <c r="S1219" i="17"/>
  <c r="L1220" i="17"/>
  <c r="M1220" i="17"/>
  <c r="S1220" i="17"/>
  <c r="L1221" i="17"/>
  <c r="M1221" i="17"/>
  <c r="S1221" i="17"/>
  <c r="L1222" i="17"/>
  <c r="M1222" i="17"/>
  <c r="S1222" i="17"/>
  <c r="L1223" i="17"/>
  <c r="M1223" i="17"/>
  <c r="S1223" i="17"/>
  <c r="L1224" i="17"/>
  <c r="M1224" i="17"/>
  <c r="S1224" i="17"/>
  <c r="L1225" i="17"/>
  <c r="M1225" i="17"/>
  <c r="S1225" i="17"/>
  <c r="L1226" i="17"/>
  <c r="M1226" i="17"/>
  <c r="S1226" i="17"/>
  <c r="L1227" i="17"/>
  <c r="M1227" i="17"/>
  <c r="S1227" i="17"/>
  <c r="L1228" i="17"/>
  <c r="M1228" i="17"/>
  <c r="S1228" i="17"/>
  <c r="L1229" i="17"/>
  <c r="M1229" i="17"/>
  <c r="S1229" i="17"/>
  <c r="L1230" i="17"/>
  <c r="M1230" i="17"/>
  <c r="S1230" i="17"/>
  <c r="L1231" i="17"/>
  <c r="M1231" i="17"/>
  <c r="S1231" i="17"/>
  <c r="L1232" i="17"/>
  <c r="M1232" i="17"/>
  <c r="S1232" i="17"/>
  <c r="L1233" i="17"/>
  <c r="M1233" i="17"/>
  <c r="S1233" i="17"/>
  <c r="L1234" i="17"/>
  <c r="M1234" i="17"/>
  <c r="S1234" i="17"/>
  <c r="L1235" i="17"/>
  <c r="M1235" i="17"/>
  <c r="S1235" i="17"/>
  <c r="L1236" i="17"/>
  <c r="M1236" i="17"/>
  <c r="S1236" i="17"/>
  <c r="L1237" i="17"/>
  <c r="M1237" i="17"/>
  <c r="S1237" i="17"/>
  <c r="L1238" i="17"/>
  <c r="M1238" i="17"/>
  <c r="S1238" i="17"/>
  <c r="L1239" i="17"/>
  <c r="M1239" i="17"/>
  <c r="S1239" i="17"/>
  <c r="L1240" i="17"/>
  <c r="M1240" i="17"/>
  <c r="S1240" i="17"/>
  <c r="L1241" i="17"/>
  <c r="M1241" i="17"/>
  <c r="S1241" i="17"/>
  <c r="L1242" i="17"/>
  <c r="M1242" i="17"/>
  <c r="S1242" i="17"/>
  <c r="L1243" i="17"/>
  <c r="M1243" i="17"/>
  <c r="S1243" i="17"/>
  <c r="L1244" i="17"/>
  <c r="M1244" i="17"/>
  <c r="S1244" i="17"/>
  <c r="L1245" i="17"/>
  <c r="M1245" i="17"/>
  <c r="S1245" i="17"/>
  <c r="N995" i="17" l="1"/>
  <c r="O995" i="17" s="1"/>
  <c r="N1027" i="17"/>
  <c r="O1027" i="17" s="1"/>
  <c r="N1011" i="17"/>
  <c r="P1011" i="17" s="1"/>
  <c r="N1235" i="17"/>
  <c r="O1235" i="17" s="1"/>
  <c r="N1038" i="17"/>
  <c r="P1038" i="17" s="1"/>
  <c r="N1028" i="17"/>
  <c r="O1028" i="17" s="1"/>
  <c r="N1020" i="17"/>
  <c r="O1020" i="17" s="1"/>
  <c r="N1012" i="17"/>
  <c r="P1012" i="17" s="1"/>
  <c r="N1004" i="17"/>
  <c r="P1004" i="17" s="1"/>
  <c r="N996" i="17"/>
  <c r="O996" i="17" s="1"/>
  <c r="N1241" i="17"/>
  <c r="P1241" i="17" s="1"/>
  <c r="N1051" i="17"/>
  <c r="O1051" i="17" s="1"/>
  <c r="N1152" i="17"/>
  <c r="P1152" i="17" s="1"/>
  <c r="N1037" i="17"/>
  <c r="O1037" i="17" s="1"/>
  <c r="N1118" i="17"/>
  <c r="O1118" i="17" s="1"/>
  <c r="N1112" i="17"/>
  <c r="O1112" i="17" s="1"/>
  <c r="N1097" i="17"/>
  <c r="O1097" i="17" s="1"/>
  <c r="N1107" i="17"/>
  <c r="O1107" i="17" s="1"/>
  <c r="N1158" i="17"/>
  <c r="P1158" i="17" s="1"/>
  <c r="N1190" i="17"/>
  <c r="P1190" i="17" s="1"/>
  <c r="N1164" i="17"/>
  <c r="O1164" i="17" s="1"/>
  <c r="N1082" i="17"/>
  <c r="O1082" i="17" s="1"/>
  <c r="N1242" i="17"/>
  <c r="O1242" i="17" s="1"/>
  <c r="N1007" i="17"/>
  <c r="O1007" i="17" s="1"/>
  <c r="N1230" i="17"/>
  <c r="P1230" i="17" s="1"/>
  <c r="N1214" i="17"/>
  <c r="O1214" i="17" s="1"/>
  <c r="N1177" i="17"/>
  <c r="O1177" i="17" s="1"/>
  <c r="N1034" i="17"/>
  <c r="O1034" i="17" s="1"/>
  <c r="N1173" i="17"/>
  <c r="O1173" i="17" s="1"/>
  <c r="N1209" i="17"/>
  <c r="P1209" i="17" s="1"/>
  <c r="N1141" i="17"/>
  <c r="O1141" i="17" s="1"/>
  <c r="N1111" i="17"/>
  <c r="O1111" i="17" s="1"/>
  <c r="N1096" i="17"/>
  <c r="O1096" i="17" s="1"/>
  <c r="N1052" i="17"/>
  <c r="O1052" i="17" s="1"/>
  <c r="N1041" i="17"/>
  <c r="O1041" i="17" s="1"/>
  <c r="N1160" i="17"/>
  <c r="O1160" i="17" s="1"/>
  <c r="N1138" i="17"/>
  <c r="O1138" i="17" s="1"/>
  <c r="N1239" i="17"/>
  <c r="O1239" i="17" s="1"/>
  <c r="N1232" i="17"/>
  <c r="O1232" i="17" s="1"/>
  <c r="N1192" i="17"/>
  <c r="P1192" i="17" s="1"/>
  <c r="N1183" i="17"/>
  <c r="O1183" i="17" s="1"/>
  <c r="N1147" i="17"/>
  <c r="O1147" i="17" s="1"/>
  <c r="N1116" i="17"/>
  <c r="O1116" i="17" s="1"/>
  <c r="N1110" i="17"/>
  <c r="O1110" i="17" s="1"/>
  <c r="N1103" i="17"/>
  <c r="O1103" i="17" s="1"/>
  <c r="N1213" i="17"/>
  <c r="O1213" i="17" s="1"/>
  <c r="N1205" i="17"/>
  <c r="P1205" i="17" s="1"/>
  <c r="N1178" i="17"/>
  <c r="O1178" i="17" s="1"/>
  <c r="N1231" i="17"/>
  <c r="O1231" i="17" s="1"/>
  <c r="N1191" i="17"/>
  <c r="P1191" i="17" s="1"/>
  <c r="N1063" i="17"/>
  <c r="P1063" i="17" s="1"/>
  <c r="N1055" i="17"/>
  <c r="P1055" i="17" s="1"/>
  <c r="N1202" i="17"/>
  <c r="O1202" i="17" s="1"/>
  <c r="N1135" i="17"/>
  <c r="O1135" i="17" s="1"/>
  <c r="N1091" i="17"/>
  <c r="O1091" i="17" s="1"/>
  <c r="N1083" i="17"/>
  <c r="O1083" i="17" s="1"/>
  <c r="N1078" i="17"/>
  <c r="P1078" i="17" s="1"/>
  <c r="N1062" i="17"/>
  <c r="P1062" i="17" s="1"/>
  <c r="N1054" i="17"/>
  <c r="P1054" i="17" s="1"/>
  <c r="N1046" i="17"/>
  <c r="P1046" i="17" s="1"/>
  <c r="N1029" i="17"/>
  <c r="P1029" i="17" s="1"/>
  <c r="N1220" i="17"/>
  <c r="P1220" i="17" s="1"/>
  <c r="N1180" i="17"/>
  <c r="P1180" i="17" s="1"/>
  <c r="N1171" i="17"/>
  <c r="O1171" i="17" s="1"/>
  <c r="N1031" i="17"/>
  <c r="O1031" i="17" s="1"/>
  <c r="N1023" i="17"/>
  <c r="O1023" i="17" s="1"/>
  <c r="N1015" i="17"/>
  <c r="O1015" i="17" s="1"/>
  <c r="N1165" i="17"/>
  <c r="P1165" i="17" s="1"/>
  <c r="N1149" i="17"/>
  <c r="O1149" i="17" s="1"/>
  <c r="N1090" i="17"/>
  <c r="O1090" i="17" s="1"/>
  <c r="N1080" i="17"/>
  <c r="O1080" i="17" s="1"/>
  <c r="N1069" i="17"/>
  <c r="P1069" i="17" s="1"/>
  <c r="N1064" i="17"/>
  <c r="O1064" i="17" s="1"/>
  <c r="N1056" i="17"/>
  <c r="O1056" i="17" s="1"/>
  <c r="N1017" i="17"/>
  <c r="O1017" i="17" s="1"/>
  <c r="N993" i="17"/>
  <c r="P993" i="17" s="1"/>
  <c r="N1233" i="17"/>
  <c r="P1233" i="17" s="1"/>
  <c r="N1217" i="17"/>
  <c r="O1217" i="17" s="1"/>
  <c r="N1074" i="17"/>
  <c r="O1074" i="17" s="1"/>
  <c r="N1066" i="17"/>
  <c r="O1066" i="17" s="1"/>
  <c r="N1058" i="17"/>
  <c r="O1058" i="17" s="1"/>
  <c r="N1006" i="17"/>
  <c r="O1006" i="17" s="1"/>
  <c r="N998" i="17"/>
  <c r="O998" i="17" s="1"/>
  <c r="N1227" i="17"/>
  <c r="O1227" i="17" s="1"/>
  <c r="N1219" i="17"/>
  <c r="O1219" i="17" s="1"/>
  <c r="N1175" i="17"/>
  <c r="O1175" i="17" s="1"/>
  <c r="N1148" i="17"/>
  <c r="O1148" i="17" s="1"/>
  <c r="N1143" i="17"/>
  <c r="O1143" i="17" s="1"/>
  <c r="N1136" i="17"/>
  <c r="P1136" i="17" s="1"/>
  <c r="N1109" i="17"/>
  <c r="P1109" i="17" s="1"/>
  <c r="N1024" i="17"/>
  <c r="O1024" i="17" s="1"/>
  <c r="N1000" i="17"/>
  <c r="O1000" i="17" s="1"/>
  <c r="N1245" i="17"/>
  <c r="O1245" i="17" s="1"/>
  <c r="N1236" i="17"/>
  <c r="P1236" i="17" s="1"/>
  <c r="N1197" i="17"/>
  <c r="P1197" i="17" s="1"/>
  <c r="N1169" i="17"/>
  <c r="O1169" i="17" s="1"/>
  <c r="N1115" i="17"/>
  <c r="P1115" i="17" s="1"/>
  <c r="N1108" i="17"/>
  <c r="O1108" i="17" s="1"/>
  <c r="N1101" i="17"/>
  <c r="P1101" i="17" s="1"/>
  <c r="N1243" i="17"/>
  <c r="P1243" i="17" s="1"/>
  <c r="N1223" i="17"/>
  <c r="P1223" i="17" s="1"/>
  <c r="N1195" i="17"/>
  <c r="P1195" i="17" s="1"/>
  <c r="N1179" i="17"/>
  <c r="O1179" i="17" s="1"/>
  <c r="N1170" i="17"/>
  <c r="P1170" i="17" s="1"/>
  <c r="N1163" i="17"/>
  <c r="P1163" i="17" s="1"/>
  <c r="N1150" i="17"/>
  <c r="O1150" i="17" s="1"/>
  <c r="N1131" i="17"/>
  <c r="P1131" i="17" s="1"/>
  <c r="N1125" i="17"/>
  <c r="P1125" i="17" s="1"/>
  <c r="N1104" i="17"/>
  <c r="O1104" i="17" s="1"/>
  <c r="N1043" i="17"/>
  <c r="P1043" i="17" s="1"/>
  <c r="N1039" i="17"/>
  <c r="N1032" i="17"/>
  <c r="P1032" i="17" s="1"/>
  <c r="N1030" i="17"/>
  <c r="N1215" i="17"/>
  <c r="O1215" i="17" s="1"/>
  <c r="N1156" i="17"/>
  <c r="O1156" i="17" s="1"/>
  <c r="N1140" i="17"/>
  <c r="O1140" i="17" s="1"/>
  <c r="N1133" i="17"/>
  <c r="O1133" i="17" s="1"/>
  <c r="N1126" i="17"/>
  <c r="P1126" i="17" s="1"/>
  <c r="N1121" i="17"/>
  <c r="O1121" i="17" s="1"/>
  <c r="N1048" i="17"/>
  <c r="O1048" i="17" s="1"/>
  <c r="N1225" i="17"/>
  <c r="P1225" i="17" s="1"/>
  <c r="N1212" i="17"/>
  <c r="O1212" i="17" s="1"/>
  <c r="N1199" i="17"/>
  <c r="O1199" i="17" s="1"/>
  <c r="N1174" i="17"/>
  <c r="P1174" i="17" s="1"/>
  <c r="N1167" i="17"/>
  <c r="O1167" i="17" s="1"/>
  <c r="N1154" i="17"/>
  <c r="P1154" i="17" s="1"/>
  <c r="N1113" i="17"/>
  <c r="P1113" i="17" s="1"/>
  <c r="N1099" i="17"/>
  <c r="O1099" i="17" s="1"/>
  <c r="N1094" i="17"/>
  <c r="P1094" i="17" s="1"/>
  <c r="N1088" i="17"/>
  <c r="P1088" i="17" s="1"/>
  <c r="N1079" i="17"/>
  <c r="P1079" i="17" s="1"/>
  <c r="N1050" i="17"/>
  <c r="O1050" i="17" s="1"/>
  <c r="N1042" i="17"/>
  <c r="O1042" i="17" s="1"/>
  <c r="N1040" i="17"/>
  <c r="N1033" i="17"/>
  <c r="O1033" i="17" s="1"/>
  <c r="N1014" i="17"/>
  <c r="O1014" i="17" s="1"/>
  <c r="N1071" i="17"/>
  <c r="O1071" i="17" s="1"/>
  <c r="N1047" i="17"/>
  <c r="P1047" i="17" s="1"/>
  <c r="N1238" i="17"/>
  <c r="O1238" i="17" s="1"/>
  <c r="N1234" i="17"/>
  <c r="P1234" i="17" s="1"/>
  <c r="N1224" i="17"/>
  <c r="O1224" i="17" s="1"/>
  <c r="N1206" i="17"/>
  <c r="P1206" i="17" s="1"/>
  <c r="N1198" i="17"/>
  <c r="P1198" i="17" s="1"/>
  <c r="N1188" i="17"/>
  <c r="O1188" i="17" s="1"/>
  <c r="N1184" i="17"/>
  <c r="O1184" i="17" s="1"/>
  <c r="N1176" i="17"/>
  <c r="P1176" i="17" s="1"/>
  <c r="N1161" i="17"/>
  <c r="O1161" i="17" s="1"/>
  <c r="N1151" i="17"/>
  <c r="P1151" i="17" s="1"/>
  <c r="N1146" i="17"/>
  <c r="O1146" i="17" s="1"/>
  <c r="N1139" i="17"/>
  <c r="P1139" i="17" s="1"/>
  <c r="N1134" i="17"/>
  <c r="P1134" i="17" s="1"/>
  <c r="N1128" i="17"/>
  <c r="P1128" i="17" s="1"/>
  <c r="N1114" i="17"/>
  <c r="O1114" i="17" s="1"/>
  <c r="N1098" i="17"/>
  <c r="P1098" i="17" s="1"/>
  <c r="N1093" i="17"/>
  <c r="O1093" i="17" s="1"/>
  <c r="N1087" i="17"/>
  <c r="P1087" i="17" s="1"/>
  <c r="N1081" i="17"/>
  <c r="P1081" i="17" s="1"/>
  <c r="N1044" i="17"/>
  <c r="P1044" i="17" s="1"/>
  <c r="N1016" i="17"/>
  <c r="O1016" i="17" s="1"/>
  <c r="N1221" i="17"/>
  <c r="O1221" i="17" s="1"/>
  <c r="N1203" i="17"/>
  <c r="O1203" i="17" s="1"/>
  <c r="N1159" i="17"/>
  <c r="P1159" i="17" s="1"/>
  <c r="N1129" i="17"/>
  <c r="O1129" i="17" s="1"/>
  <c r="N1123" i="17"/>
  <c r="O1123" i="17" s="1"/>
  <c r="N1075" i="17"/>
  <c r="P1075" i="17" s="1"/>
  <c r="N1070" i="17"/>
  <c r="O1070" i="17" s="1"/>
  <c r="N1059" i="17"/>
  <c r="O1059" i="17" s="1"/>
  <c r="N1013" i="17"/>
  <c r="P1013" i="17" s="1"/>
  <c r="N992" i="17"/>
  <c r="O992" i="17" s="1"/>
  <c r="N1145" i="17"/>
  <c r="O1145" i="17" s="1"/>
  <c r="N1021" i="17"/>
  <c r="P1021" i="17" s="1"/>
  <c r="N1010" i="17"/>
  <c r="O1010" i="17" s="1"/>
  <c r="N1003" i="17"/>
  <c r="O1003" i="17" s="1"/>
  <c r="N994" i="17"/>
  <c r="O994" i="17" s="1"/>
  <c r="N1186" i="17"/>
  <c r="N1244" i="17"/>
  <c r="O1244" i="17" s="1"/>
  <c r="N1228" i="17"/>
  <c r="P1228" i="17" s="1"/>
  <c r="N1211" i="17"/>
  <c r="P1211" i="17" s="1"/>
  <c r="N1207" i="17"/>
  <c r="O1207" i="17" s="1"/>
  <c r="N1201" i="17"/>
  <c r="N1194" i="17"/>
  <c r="O1194" i="17" s="1"/>
  <c r="N1182" i="17"/>
  <c r="N1166" i="17"/>
  <c r="P1166" i="17" s="1"/>
  <c r="N1155" i="17"/>
  <c r="O1155" i="17" s="1"/>
  <c r="N1127" i="17"/>
  <c r="P1127" i="17" s="1"/>
  <c r="N1120" i="17"/>
  <c r="O1120" i="17" s="1"/>
  <c r="N1086" i="17"/>
  <c r="O1086" i="17" s="1"/>
  <c r="N1084" i="17"/>
  <c r="P1084" i="17" s="1"/>
  <c r="N1073" i="17"/>
  <c r="O1073" i="17" s="1"/>
  <c r="N1060" i="17"/>
  <c r="O1060" i="17" s="1"/>
  <c r="N1053" i="17"/>
  <c r="O1053" i="17" s="1"/>
  <c r="N1035" i="17"/>
  <c r="O1035" i="17" s="1"/>
  <c r="N1005" i="17"/>
  <c r="P1005" i="17" s="1"/>
  <c r="N1130" i="17"/>
  <c r="O1130" i="17" s="1"/>
  <c r="N1100" i="17"/>
  <c r="O1100" i="17" s="1"/>
  <c r="N1095" i="17"/>
  <c r="O1095" i="17" s="1"/>
  <c r="N1077" i="17"/>
  <c r="P1077" i="17" s="1"/>
  <c r="N1057" i="17"/>
  <c r="O1057" i="17" s="1"/>
  <c r="N1025" i="17"/>
  <c r="O1025" i="17" s="1"/>
  <c r="N1018" i="17"/>
  <c r="P1018" i="17" s="1"/>
  <c r="N1009" i="17"/>
  <c r="P1009" i="17" s="1"/>
  <c r="N1218" i="17"/>
  <c r="N1196" i="17"/>
  <c r="O1196" i="17" s="1"/>
  <c r="N1189" i="17"/>
  <c r="P1189" i="17" s="1"/>
  <c r="N1187" i="17"/>
  <c r="O1187" i="17" s="1"/>
  <c r="N1185" i="17"/>
  <c r="N1168" i="17"/>
  <c r="P1168" i="17" s="1"/>
  <c r="N1157" i="17"/>
  <c r="O1157" i="17" s="1"/>
  <c r="N1144" i="17"/>
  <c r="N1132" i="17"/>
  <c r="O1132" i="17" s="1"/>
  <c r="N1122" i="17"/>
  <c r="P1122" i="17" s="1"/>
  <c r="N1181" i="17"/>
  <c r="N1106" i="17"/>
  <c r="O1106" i="17" s="1"/>
  <c r="N1102" i="17"/>
  <c r="P1102" i="17" s="1"/>
  <c r="N1068" i="17"/>
  <c r="O1068" i="17" s="1"/>
  <c r="N1022" i="17"/>
  <c r="O1022" i="17" s="1"/>
  <c r="N1002" i="17"/>
  <c r="O1002" i="17" s="1"/>
  <c r="N1222" i="17"/>
  <c r="O1222" i="17" s="1"/>
  <c r="N1216" i="17"/>
  <c r="N1210" i="17"/>
  <c r="N1208" i="17"/>
  <c r="P1208" i="17" s="1"/>
  <c r="N1204" i="17"/>
  <c r="N1200" i="17"/>
  <c r="N1193" i="17"/>
  <c r="O1193" i="17" s="1"/>
  <c r="N1153" i="17"/>
  <c r="N1119" i="17"/>
  <c r="O1119" i="17" s="1"/>
  <c r="N1092" i="17"/>
  <c r="O1092" i="17" s="1"/>
  <c r="N1072" i="17"/>
  <c r="O1072" i="17" s="1"/>
  <c r="N1065" i="17"/>
  <c r="O1065" i="17" s="1"/>
  <c r="N1061" i="17"/>
  <c r="O1061" i="17" s="1"/>
  <c r="N1045" i="17"/>
  <c r="O1045" i="17" s="1"/>
  <c r="N1008" i="17"/>
  <c r="P1008" i="17" s="1"/>
  <c r="N999" i="17"/>
  <c r="P999" i="17" s="1"/>
  <c r="N997" i="17"/>
  <c r="N1240" i="17"/>
  <c r="P1240" i="17" s="1"/>
  <c r="N1237" i="17"/>
  <c r="O1237" i="17" s="1"/>
  <c r="N1229" i="17"/>
  <c r="P1229" i="17" s="1"/>
  <c r="N1172" i="17"/>
  <c r="O1172" i="17" s="1"/>
  <c r="N1162" i="17"/>
  <c r="P1162" i="17" s="1"/>
  <c r="N1142" i="17"/>
  <c r="P1142" i="17" s="1"/>
  <c r="N1124" i="17"/>
  <c r="O1124" i="17" s="1"/>
  <c r="N1117" i="17"/>
  <c r="O1117" i="17" s="1"/>
  <c r="N1105" i="17"/>
  <c r="P1105" i="17" s="1"/>
  <c r="N1089" i="17"/>
  <c r="N1085" i="17"/>
  <c r="O1085" i="17" s="1"/>
  <c r="N1067" i="17"/>
  <c r="O1067" i="17" s="1"/>
  <c r="N1049" i="17"/>
  <c r="O1049" i="17" s="1"/>
  <c r="N1036" i="17"/>
  <c r="O1036" i="17" s="1"/>
  <c r="N1019" i="17"/>
  <c r="O1019" i="17" s="1"/>
  <c r="N1001" i="17"/>
  <c r="P1001" i="17" s="1"/>
  <c r="N1226" i="17"/>
  <c r="N1026" i="17"/>
  <c r="N1137" i="17"/>
  <c r="N1076" i="17"/>
  <c r="B992" i="17"/>
  <c r="B993" i="17"/>
  <c r="B994" i="17"/>
  <c r="B995" i="17"/>
  <c r="B996" i="17"/>
  <c r="B997" i="17"/>
  <c r="B998" i="17"/>
  <c r="B999" i="17"/>
  <c r="B1000" i="17"/>
  <c r="B1001" i="17"/>
  <c r="B1002" i="17"/>
  <c r="B1003" i="17"/>
  <c r="B1004" i="17"/>
  <c r="B1005" i="17"/>
  <c r="B1006" i="17"/>
  <c r="B1007" i="17"/>
  <c r="B1008" i="17"/>
  <c r="B1009" i="17"/>
  <c r="B1010" i="17"/>
  <c r="B1011" i="17"/>
  <c r="B1012" i="17"/>
  <c r="B1013" i="17"/>
  <c r="B1014" i="17"/>
  <c r="B1015" i="17"/>
  <c r="B1016" i="17"/>
  <c r="B1017" i="17"/>
  <c r="B1018" i="17"/>
  <c r="B1019" i="17"/>
  <c r="B1020" i="17"/>
  <c r="B1021" i="17"/>
  <c r="B1022" i="17"/>
  <c r="B1023" i="17"/>
  <c r="B1024" i="17"/>
  <c r="B1025" i="17"/>
  <c r="B1026" i="17"/>
  <c r="B1027" i="17"/>
  <c r="B1028" i="17"/>
  <c r="B1029" i="17"/>
  <c r="B1030" i="17"/>
  <c r="B1031" i="17"/>
  <c r="B1032" i="17"/>
  <c r="B1033" i="17"/>
  <c r="B1034" i="17"/>
  <c r="B1035" i="17"/>
  <c r="B1036" i="17"/>
  <c r="B1037" i="17"/>
  <c r="B1038" i="17"/>
  <c r="B1039" i="17"/>
  <c r="B1040" i="17"/>
  <c r="B1041" i="17"/>
  <c r="B1042" i="17"/>
  <c r="B1043" i="17"/>
  <c r="B1044" i="17"/>
  <c r="B1045" i="17"/>
  <c r="B1046" i="17"/>
  <c r="B1047" i="17"/>
  <c r="B1048" i="17"/>
  <c r="B1049" i="17"/>
  <c r="B1050" i="17"/>
  <c r="B1051" i="17"/>
  <c r="B1052" i="17"/>
  <c r="B1053" i="17"/>
  <c r="B1054" i="17"/>
  <c r="B1055" i="17"/>
  <c r="B1056" i="17"/>
  <c r="B1057" i="17"/>
  <c r="B1058" i="17"/>
  <c r="B1059" i="17"/>
  <c r="B1060" i="17"/>
  <c r="B1061" i="17"/>
  <c r="B1062" i="17"/>
  <c r="B1063" i="17"/>
  <c r="B1064" i="17"/>
  <c r="B1065" i="17"/>
  <c r="B1066" i="17"/>
  <c r="B1067" i="17"/>
  <c r="B1068" i="17"/>
  <c r="B1069" i="17"/>
  <c r="B1070" i="17"/>
  <c r="B1071" i="17"/>
  <c r="B1072" i="17"/>
  <c r="B1073" i="17"/>
  <c r="B1074" i="17"/>
  <c r="B1075" i="17"/>
  <c r="B1076" i="17"/>
  <c r="B1077" i="17"/>
  <c r="B1078" i="17"/>
  <c r="B1079" i="17"/>
  <c r="B1080" i="17"/>
  <c r="B1081" i="17"/>
  <c r="B1082" i="17"/>
  <c r="B1083" i="17"/>
  <c r="B1084" i="17"/>
  <c r="B1085" i="17"/>
  <c r="B1086" i="17"/>
  <c r="B1087" i="17"/>
  <c r="B1088" i="17"/>
  <c r="B1089" i="17"/>
  <c r="B1090" i="17"/>
  <c r="B1091" i="17"/>
  <c r="B1092" i="17"/>
  <c r="B1093" i="17"/>
  <c r="B1094" i="17"/>
  <c r="B1095" i="17"/>
  <c r="B1096" i="17"/>
  <c r="B1097" i="17"/>
  <c r="B1098" i="17"/>
  <c r="B1099" i="17"/>
  <c r="B1100" i="17"/>
  <c r="B1101" i="17"/>
  <c r="B1102" i="17"/>
  <c r="B1103" i="17"/>
  <c r="B1104" i="17"/>
  <c r="B1105" i="17"/>
  <c r="B1106" i="17"/>
  <c r="B1107" i="17"/>
  <c r="B1108" i="17"/>
  <c r="B1109" i="17"/>
  <c r="B1110" i="17"/>
  <c r="B1111" i="17"/>
  <c r="B1112" i="17"/>
  <c r="B1113" i="17"/>
  <c r="B1114" i="17"/>
  <c r="B1115" i="17"/>
  <c r="B1116" i="17"/>
  <c r="B1117" i="17"/>
  <c r="B1118" i="17"/>
  <c r="B1119" i="17"/>
  <c r="B1120" i="17"/>
  <c r="B1121" i="17"/>
  <c r="B1122" i="17"/>
  <c r="B1123" i="17"/>
  <c r="B1124" i="17"/>
  <c r="B1125" i="17"/>
  <c r="B1126" i="17"/>
  <c r="B1127" i="17"/>
  <c r="B1128" i="17"/>
  <c r="B1129" i="17"/>
  <c r="B1130" i="17"/>
  <c r="B1131" i="17"/>
  <c r="B1132" i="17"/>
  <c r="B1133" i="17"/>
  <c r="B1134" i="17"/>
  <c r="B1135" i="17"/>
  <c r="B1136" i="17"/>
  <c r="B1137" i="17"/>
  <c r="B1138" i="17"/>
  <c r="B1139" i="17"/>
  <c r="B1140" i="17"/>
  <c r="B1141" i="17"/>
  <c r="B1142" i="17"/>
  <c r="B1143" i="17"/>
  <c r="B1144" i="17"/>
  <c r="B1145" i="17"/>
  <c r="B1146" i="17"/>
  <c r="B1147" i="17"/>
  <c r="B1148" i="17"/>
  <c r="B1149" i="17"/>
  <c r="B1150" i="17"/>
  <c r="B1151" i="17"/>
  <c r="B1152" i="17"/>
  <c r="B1153" i="17"/>
  <c r="B1154" i="17"/>
  <c r="B1155" i="17"/>
  <c r="B1156" i="17"/>
  <c r="B1157" i="17"/>
  <c r="B1158" i="17"/>
  <c r="B1159" i="17"/>
  <c r="B1160" i="17"/>
  <c r="B1161" i="17"/>
  <c r="B1162" i="17"/>
  <c r="B1163" i="17"/>
  <c r="B1164" i="17"/>
  <c r="B1165" i="17"/>
  <c r="B1166" i="17"/>
  <c r="B1167" i="17"/>
  <c r="B1168" i="17"/>
  <c r="B1169" i="17"/>
  <c r="B1170" i="17"/>
  <c r="B1171" i="17"/>
  <c r="B1172" i="17"/>
  <c r="B1173" i="17"/>
  <c r="B1174" i="17"/>
  <c r="B1175" i="17"/>
  <c r="B1176" i="17"/>
  <c r="B1177" i="17"/>
  <c r="B1178" i="17"/>
  <c r="B1179" i="17"/>
  <c r="B1180" i="17"/>
  <c r="B1181" i="17"/>
  <c r="B1182" i="17"/>
  <c r="B1183" i="17"/>
  <c r="B1184" i="17"/>
  <c r="B1185" i="17"/>
  <c r="B1186" i="17"/>
  <c r="B1187" i="17"/>
  <c r="B1188" i="17"/>
  <c r="B1189" i="17"/>
  <c r="B1190" i="17"/>
  <c r="B1191" i="17"/>
  <c r="B1192" i="17"/>
  <c r="B1193" i="17"/>
  <c r="B1194" i="17"/>
  <c r="B1195" i="17"/>
  <c r="B1196" i="17"/>
  <c r="B1197" i="17"/>
  <c r="B1198" i="17"/>
  <c r="B1199" i="17"/>
  <c r="B1200" i="17"/>
  <c r="B1201" i="17"/>
  <c r="B1202" i="17"/>
  <c r="B1203" i="17"/>
  <c r="B1204" i="17"/>
  <c r="B1205" i="17"/>
  <c r="B1206" i="17"/>
  <c r="B1207" i="17"/>
  <c r="B1208" i="17"/>
  <c r="B1209" i="17"/>
  <c r="B1210" i="17"/>
  <c r="B1211" i="17"/>
  <c r="B1212" i="17"/>
  <c r="B1213" i="17"/>
  <c r="B1214" i="17"/>
  <c r="B1215" i="17"/>
  <c r="B1216" i="17"/>
  <c r="B1217" i="17"/>
  <c r="B1218" i="17"/>
  <c r="B1219" i="17"/>
  <c r="B1220" i="17"/>
  <c r="B1221" i="17"/>
  <c r="B1222" i="17"/>
  <c r="B1223" i="17"/>
  <c r="B1224" i="17"/>
  <c r="B1225" i="17"/>
  <c r="B1226" i="17"/>
  <c r="B1227" i="17"/>
  <c r="B1228" i="17"/>
  <c r="B1229" i="17"/>
  <c r="B1230" i="17"/>
  <c r="B1231" i="17"/>
  <c r="B1232" i="17"/>
  <c r="B1233" i="17"/>
  <c r="B1234" i="17"/>
  <c r="B1235" i="17"/>
  <c r="B1236" i="17"/>
  <c r="B1237" i="17"/>
  <c r="B1238" i="17"/>
  <c r="B1239" i="17"/>
  <c r="B1240" i="17"/>
  <c r="B1241" i="17"/>
  <c r="B1242" i="17"/>
  <c r="B1243" i="17"/>
  <c r="B1244" i="17"/>
  <c r="B1245" i="17"/>
  <c r="AZ251" i="10"/>
  <c r="BE251" i="10"/>
  <c r="BF251" i="10"/>
  <c r="BH251" i="10"/>
  <c r="BI251" i="10"/>
  <c r="BJ251" i="10"/>
  <c r="BK251" i="10"/>
  <c r="BL251" i="10"/>
  <c r="BM251" i="10"/>
  <c r="BN251" i="10"/>
  <c r="BO251" i="10"/>
  <c r="BP251" i="10"/>
  <c r="BS251" i="10"/>
  <c r="BT251" i="10" s="1"/>
  <c r="E24" i="9" s="1"/>
  <c r="BU251" i="10"/>
  <c r="AZ252" i="10"/>
  <c r="BE252" i="10"/>
  <c r="BF252" i="10"/>
  <c r="BH252" i="10"/>
  <c r="BI252" i="10"/>
  <c r="BJ252" i="10"/>
  <c r="BK252" i="10"/>
  <c r="BL252" i="10"/>
  <c r="BM252" i="10"/>
  <c r="BN252" i="10"/>
  <c r="BO252" i="10"/>
  <c r="BP252" i="10"/>
  <c r="BS252" i="10"/>
  <c r="BT252" i="10" s="1"/>
  <c r="E43" i="9" s="1"/>
  <c r="BU252" i="10"/>
  <c r="E44" i="9"/>
  <c r="AZ253" i="10"/>
  <c r="BE253" i="10"/>
  <c r="BF253" i="10"/>
  <c r="BH253" i="10"/>
  <c r="BI253" i="10"/>
  <c r="BJ253" i="10"/>
  <c r="BK253" i="10"/>
  <c r="BL253" i="10"/>
  <c r="BM253" i="10"/>
  <c r="BN253" i="10"/>
  <c r="BO253" i="10"/>
  <c r="BP253" i="10"/>
  <c r="BS253" i="10"/>
  <c r="BT253" i="10" s="1"/>
  <c r="E62" i="9" s="1"/>
  <c r="BU253" i="10"/>
  <c r="AZ254" i="10"/>
  <c r="BE254" i="10"/>
  <c r="BF254" i="10"/>
  <c r="BH254" i="10"/>
  <c r="BI254" i="10"/>
  <c r="BJ254" i="10"/>
  <c r="BK254" i="10"/>
  <c r="BL254" i="10"/>
  <c r="BM254" i="10"/>
  <c r="BN254" i="10"/>
  <c r="BO254" i="10"/>
  <c r="BP254" i="10"/>
  <c r="BS254" i="10"/>
  <c r="BT254" i="10" s="1"/>
  <c r="E75" i="9" s="1"/>
  <c r="BU254" i="10"/>
  <c r="AZ255" i="10"/>
  <c r="BE255" i="10"/>
  <c r="BF255" i="10"/>
  <c r="BH255" i="10"/>
  <c r="BI255" i="10"/>
  <c r="BJ255" i="10"/>
  <c r="BK255" i="10"/>
  <c r="BL255" i="10"/>
  <c r="BM255" i="10"/>
  <c r="BN255" i="10"/>
  <c r="BO255" i="10"/>
  <c r="BP255" i="10"/>
  <c r="BS255" i="10"/>
  <c r="BT255" i="10" s="1"/>
  <c r="E81" i="9" s="1"/>
  <c r="BU255" i="10"/>
  <c r="AZ256" i="10"/>
  <c r="BE256" i="10"/>
  <c r="BF256" i="10"/>
  <c r="BH256" i="10"/>
  <c r="BI256" i="10"/>
  <c r="BJ256" i="10"/>
  <c r="BK256" i="10"/>
  <c r="BL256" i="10"/>
  <c r="BM256" i="10"/>
  <c r="BN256" i="10"/>
  <c r="BO256" i="10"/>
  <c r="BP256" i="10"/>
  <c r="BS256" i="10"/>
  <c r="BT256" i="10" s="1"/>
  <c r="E97" i="9" s="1"/>
  <c r="BU256" i="10"/>
  <c r="AZ257" i="10"/>
  <c r="BE257" i="10"/>
  <c r="BF257" i="10"/>
  <c r="BH257" i="10"/>
  <c r="BI257" i="10"/>
  <c r="BJ257" i="10"/>
  <c r="BK257" i="10"/>
  <c r="BL257" i="10"/>
  <c r="BM257" i="10"/>
  <c r="BN257" i="10"/>
  <c r="BO257" i="10"/>
  <c r="BP257" i="10"/>
  <c r="BS257" i="10"/>
  <c r="BT257" i="10" s="1"/>
  <c r="E99" i="9" s="1"/>
  <c r="BU257" i="10"/>
  <c r="AZ258" i="10"/>
  <c r="BE258" i="10"/>
  <c r="BF258" i="10"/>
  <c r="BH258" i="10"/>
  <c r="BI258" i="10"/>
  <c r="BJ258" i="10"/>
  <c r="BK258" i="10"/>
  <c r="BL258" i="10"/>
  <c r="BM258" i="10"/>
  <c r="BN258" i="10"/>
  <c r="BO258" i="10"/>
  <c r="BP258" i="10"/>
  <c r="BS258" i="10"/>
  <c r="BT258" i="10" s="1"/>
  <c r="E108" i="9" s="1"/>
  <c r="BU258" i="10"/>
  <c r="AZ259" i="10"/>
  <c r="BE259" i="10"/>
  <c r="BF259" i="10"/>
  <c r="BH259" i="10"/>
  <c r="BI259" i="10"/>
  <c r="BJ259" i="10"/>
  <c r="BK259" i="10"/>
  <c r="BL259" i="10"/>
  <c r="BM259" i="10"/>
  <c r="BN259" i="10"/>
  <c r="BO259" i="10"/>
  <c r="BP259" i="10"/>
  <c r="BS259" i="10"/>
  <c r="BT259" i="10" s="1"/>
  <c r="E114" i="9" s="1"/>
  <c r="BU259" i="10"/>
  <c r="AZ260" i="10"/>
  <c r="BE260" i="10"/>
  <c r="BF260" i="10"/>
  <c r="BH260" i="10"/>
  <c r="BI260" i="10"/>
  <c r="BJ260" i="10"/>
  <c r="BK260" i="10"/>
  <c r="BL260" i="10"/>
  <c r="BM260" i="10"/>
  <c r="BN260" i="10"/>
  <c r="BO260" i="10"/>
  <c r="BP260" i="10"/>
  <c r="BS260" i="10"/>
  <c r="BT260" i="10" s="1"/>
  <c r="E115" i="9" s="1"/>
  <c r="BU260" i="10"/>
  <c r="AZ261" i="10"/>
  <c r="BE261" i="10"/>
  <c r="BF261" i="10"/>
  <c r="BH261" i="10"/>
  <c r="BI261" i="10"/>
  <c r="BJ261" i="10"/>
  <c r="BK261" i="10"/>
  <c r="BL261" i="10"/>
  <c r="BM261" i="10"/>
  <c r="BN261" i="10"/>
  <c r="BO261" i="10"/>
  <c r="BP261" i="10"/>
  <c r="BS261" i="10"/>
  <c r="BT261" i="10" s="1"/>
  <c r="E118" i="9" s="1"/>
  <c r="BU261" i="10"/>
  <c r="AZ262" i="10"/>
  <c r="BE262" i="10"/>
  <c r="BF262" i="10"/>
  <c r="BH262" i="10"/>
  <c r="BI262" i="10"/>
  <c r="BJ262" i="10"/>
  <c r="BK262" i="10"/>
  <c r="BL262" i="10"/>
  <c r="BM262" i="10"/>
  <c r="BN262" i="10"/>
  <c r="BO262" i="10"/>
  <c r="BP262" i="10"/>
  <c r="BS262" i="10"/>
  <c r="BT262" i="10" s="1"/>
  <c r="E121" i="9" s="1"/>
  <c r="BU262" i="10"/>
  <c r="AZ263" i="10"/>
  <c r="BE263" i="10"/>
  <c r="BF263" i="10"/>
  <c r="BH263" i="10"/>
  <c r="BI263" i="10"/>
  <c r="BJ263" i="10"/>
  <c r="BK263" i="10"/>
  <c r="BL263" i="10"/>
  <c r="BM263" i="10"/>
  <c r="BN263" i="10"/>
  <c r="BO263" i="10"/>
  <c r="BP263" i="10"/>
  <c r="BS263" i="10"/>
  <c r="BT263" i="10" s="1"/>
  <c r="E134" i="9" s="1"/>
  <c r="BU263" i="10"/>
  <c r="AZ264" i="10"/>
  <c r="BE264" i="10"/>
  <c r="BF264" i="10"/>
  <c r="BH264" i="10"/>
  <c r="BI264" i="10"/>
  <c r="BJ264" i="10"/>
  <c r="BK264" i="10"/>
  <c r="BL264" i="10"/>
  <c r="BM264" i="10"/>
  <c r="BN264" i="10"/>
  <c r="BO264" i="10"/>
  <c r="BP264" i="10"/>
  <c r="BS264" i="10"/>
  <c r="BT264" i="10" s="1"/>
  <c r="E154" i="9" s="1"/>
  <c r="BU264" i="10"/>
  <c r="AZ265" i="10"/>
  <c r="BE265" i="10"/>
  <c r="BF265" i="10"/>
  <c r="BH265" i="10"/>
  <c r="BI265" i="10"/>
  <c r="BJ265" i="10"/>
  <c r="BK265" i="10"/>
  <c r="BL265" i="10"/>
  <c r="BM265" i="10"/>
  <c r="BN265" i="10"/>
  <c r="BO265" i="10"/>
  <c r="BP265" i="10"/>
  <c r="BS265" i="10"/>
  <c r="BT265" i="10" s="1"/>
  <c r="E164" i="9" s="1"/>
  <c r="BU265" i="10"/>
  <c r="AZ266" i="10"/>
  <c r="BE266" i="10"/>
  <c r="BF266" i="10"/>
  <c r="BH266" i="10"/>
  <c r="BI266" i="10"/>
  <c r="BJ266" i="10"/>
  <c r="BK266" i="10"/>
  <c r="BL266" i="10"/>
  <c r="BM266" i="10"/>
  <c r="BN266" i="10"/>
  <c r="BO266" i="10"/>
  <c r="BP266" i="10"/>
  <c r="BS266" i="10"/>
  <c r="BT266" i="10" s="1"/>
  <c r="E167" i="9" s="1"/>
  <c r="BU266" i="10"/>
  <c r="AZ267" i="10"/>
  <c r="BE267" i="10"/>
  <c r="BF267" i="10"/>
  <c r="BH267" i="10"/>
  <c r="BI267" i="10"/>
  <c r="BJ267" i="10"/>
  <c r="BK267" i="10"/>
  <c r="BL267" i="10"/>
  <c r="BM267" i="10"/>
  <c r="BN267" i="10"/>
  <c r="AK178" i="3" s="1"/>
  <c r="BO267" i="10"/>
  <c r="BP267" i="10"/>
  <c r="BS267" i="10"/>
  <c r="BT267" i="10" s="1"/>
  <c r="E178" i="9" s="1"/>
  <c r="BU267" i="10"/>
  <c r="AZ268" i="10"/>
  <c r="BE268" i="10"/>
  <c r="BF268" i="10"/>
  <c r="BH268" i="10"/>
  <c r="BI268" i="10"/>
  <c r="BJ268" i="10"/>
  <c r="BK268" i="10"/>
  <c r="BL268" i="10"/>
  <c r="BM268" i="10"/>
  <c r="BN268" i="10"/>
  <c r="BO268" i="10"/>
  <c r="BP268" i="10"/>
  <c r="BS268" i="10"/>
  <c r="BT268" i="10" s="1"/>
  <c r="E180" i="9" s="1"/>
  <c r="BU268" i="10"/>
  <c r="AZ269" i="10"/>
  <c r="BE269" i="10"/>
  <c r="BF269" i="10"/>
  <c r="BH269" i="10"/>
  <c r="BI269" i="10"/>
  <c r="BJ269" i="10"/>
  <c r="BK269" i="10"/>
  <c r="BL269" i="10"/>
  <c r="BM269" i="10"/>
  <c r="BN269" i="10"/>
  <c r="BO269" i="10"/>
  <c r="BP269" i="10"/>
  <c r="BS269" i="10"/>
  <c r="BT269" i="10" s="1"/>
  <c r="E187" i="9" s="1"/>
  <c r="BU269" i="10"/>
  <c r="AZ270" i="10"/>
  <c r="BE270" i="10"/>
  <c r="BF270" i="10"/>
  <c r="BH270" i="10"/>
  <c r="BI270" i="10"/>
  <c r="BJ270" i="10"/>
  <c r="BK270" i="10"/>
  <c r="BL270" i="10"/>
  <c r="BM270" i="10"/>
  <c r="BN270" i="10"/>
  <c r="BO270" i="10"/>
  <c r="BP270" i="10"/>
  <c r="BS270" i="10"/>
  <c r="BT270" i="10" s="1"/>
  <c r="E194" i="9" s="1"/>
  <c r="BU270" i="10"/>
  <c r="AZ271" i="10"/>
  <c r="BE271" i="10"/>
  <c r="BF271" i="10"/>
  <c r="BH271" i="10"/>
  <c r="BI271" i="10"/>
  <c r="BJ271" i="10"/>
  <c r="BK271" i="10"/>
  <c r="BL271" i="10"/>
  <c r="BM271" i="10"/>
  <c r="BN271" i="10"/>
  <c r="BO271" i="10"/>
  <c r="BP271" i="10"/>
  <c r="BS271" i="10"/>
  <c r="BT271" i="10" s="1"/>
  <c r="E199" i="9" s="1"/>
  <c r="BU271" i="10"/>
  <c r="E203" i="9"/>
  <c r="AZ272" i="10"/>
  <c r="BE272" i="10"/>
  <c r="BF272" i="10"/>
  <c r="BH272" i="10"/>
  <c r="BI272" i="10"/>
  <c r="BJ272" i="10"/>
  <c r="BK272" i="10"/>
  <c r="BL272" i="10"/>
  <c r="BM272" i="10"/>
  <c r="BN272" i="10"/>
  <c r="BO272" i="10"/>
  <c r="BP272" i="10"/>
  <c r="BS272" i="10"/>
  <c r="BT272" i="10" s="1"/>
  <c r="E206" i="9" s="1"/>
  <c r="BU272" i="10"/>
  <c r="AZ273" i="10"/>
  <c r="BE273" i="10"/>
  <c r="BF273" i="10"/>
  <c r="BH273" i="10"/>
  <c r="BI273" i="10"/>
  <c r="BJ273" i="10"/>
  <c r="BK273" i="10"/>
  <c r="BL273" i="10"/>
  <c r="BM273" i="10"/>
  <c r="BN273" i="10"/>
  <c r="BO273" i="10"/>
  <c r="BP273" i="10"/>
  <c r="BS273" i="10"/>
  <c r="BT273" i="10" s="1"/>
  <c r="E214" i="9" s="1"/>
  <c r="BU273" i="10"/>
  <c r="AZ274" i="10"/>
  <c r="BE274" i="10"/>
  <c r="BF274" i="10"/>
  <c r="BH274" i="10"/>
  <c r="BI274" i="10"/>
  <c r="BJ274" i="10"/>
  <c r="BK274" i="10"/>
  <c r="BL274" i="10"/>
  <c r="BM274" i="10"/>
  <c r="BN274" i="10"/>
  <c r="BO274" i="10"/>
  <c r="BP274" i="10"/>
  <c r="BS274" i="10"/>
  <c r="BT274" i="10" s="1"/>
  <c r="E223" i="9" s="1"/>
  <c r="BU274" i="10"/>
  <c r="AZ275" i="10"/>
  <c r="BE275" i="10"/>
  <c r="BF275" i="10"/>
  <c r="BH275" i="10"/>
  <c r="BI275" i="10"/>
  <c r="BJ275" i="10"/>
  <c r="BK275" i="10"/>
  <c r="BL275" i="10"/>
  <c r="BM275" i="10"/>
  <c r="BN275" i="10"/>
  <c r="BO275" i="10"/>
  <c r="BP275" i="10"/>
  <c r="BS275" i="10"/>
  <c r="BT275" i="10" s="1"/>
  <c r="E225" i="9" s="1"/>
  <c r="BU275" i="10"/>
  <c r="AZ276" i="10"/>
  <c r="BE276" i="10"/>
  <c r="BF276" i="10"/>
  <c r="BH276" i="10"/>
  <c r="BI276" i="10"/>
  <c r="BJ276" i="10"/>
  <c r="BK276" i="10"/>
  <c r="BL276" i="10"/>
  <c r="BM276" i="10"/>
  <c r="BN276" i="10"/>
  <c r="BO276" i="10"/>
  <c r="BP276" i="10"/>
  <c r="BS276" i="10"/>
  <c r="BT276" i="10" s="1"/>
  <c r="E229" i="9" s="1"/>
  <c r="BU276" i="10"/>
  <c r="AZ277" i="10"/>
  <c r="BE277" i="10"/>
  <c r="BF277" i="10"/>
  <c r="BH277" i="10"/>
  <c r="BI277" i="10"/>
  <c r="BJ277" i="10"/>
  <c r="BK277" i="10"/>
  <c r="BL277" i="10"/>
  <c r="BM277" i="10"/>
  <c r="BN277" i="10"/>
  <c r="BO277" i="10"/>
  <c r="BP277" i="10"/>
  <c r="BS277" i="10"/>
  <c r="BT277" i="10" s="1"/>
  <c r="E236" i="9" s="1"/>
  <c r="BU277" i="10"/>
  <c r="AZ278" i="10"/>
  <c r="BE278" i="10"/>
  <c r="BF278" i="10"/>
  <c r="BH278" i="10"/>
  <c r="BI278" i="10"/>
  <c r="BJ278" i="10"/>
  <c r="BK278" i="10"/>
  <c r="BL278" i="10"/>
  <c r="BM278" i="10"/>
  <c r="BN278" i="10"/>
  <c r="BO278" i="10"/>
  <c r="BP278" i="10"/>
  <c r="BS278" i="10"/>
  <c r="BT278" i="10" s="1"/>
  <c r="E241" i="9" s="1"/>
  <c r="BU278" i="10"/>
  <c r="AZ279" i="10"/>
  <c r="BE279" i="10"/>
  <c r="BF279" i="10"/>
  <c r="BH279" i="10"/>
  <c r="BI279" i="10"/>
  <c r="BJ279" i="10"/>
  <c r="BK279" i="10"/>
  <c r="BL279" i="10"/>
  <c r="BM279" i="10"/>
  <c r="BN279" i="10"/>
  <c r="BO279" i="10"/>
  <c r="BP279" i="10"/>
  <c r="BS279" i="10"/>
  <c r="BT279" i="10" s="1"/>
  <c r="E242" i="9" s="1"/>
  <c r="BU279" i="10"/>
  <c r="AZ280" i="10"/>
  <c r="BE280" i="10"/>
  <c r="BF280" i="10"/>
  <c r="BH280" i="10"/>
  <c r="BI280" i="10"/>
  <c r="BJ280" i="10"/>
  <c r="BK280" i="10"/>
  <c r="BL280" i="10"/>
  <c r="BM280" i="10"/>
  <c r="BN280" i="10"/>
  <c r="BO280" i="10"/>
  <c r="BP280" i="10"/>
  <c r="BS280" i="10"/>
  <c r="BT280" i="10" s="1"/>
  <c r="E252" i="9" s="1"/>
  <c r="BU280" i="10"/>
  <c r="E258" i="9"/>
  <c r="AZ281" i="10"/>
  <c r="BE281" i="10"/>
  <c r="BF281" i="10"/>
  <c r="BH281" i="10"/>
  <c r="BI281" i="10"/>
  <c r="BJ281" i="10"/>
  <c r="BK281" i="10"/>
  <c r="BL281" i="10"/>
  <c r="BM281" i="10"/>
  <c r="BN281" i="10"/>
  <c r="BO281" i="10"/>
  <c r="BP281" i="10"/>
  <c r="BS281" i="10"/>
  <c r="BT281" i="10" s="1"/>
  <c r="E270" i="9" s="1"/>
  <c r="BU281" i="10"/>
  <c r="AZ282" i="10"/>
  <c r="BE282" i="10"/>
  <c r="BF282" i="10"/>
  <c r="BH282" i="10"/>
  <c r="BI282" i="10"/>
  <c r="BJ282" i="10"/>
  <c r="BK282" i="10"/>
  <c r="BL282" i="10"/>
  <c r="BM282" i="10"/>
  <c r="BN282" i="10"/>
  <c r="BO282" i="10"/>
  <c r="BP282" i="10"/>
  <c r="BS282" i="10"/>
  <c r="BT282" i="10" s="1"/>
  <c r="E279" i="9" s="1"/>
  <c r="BU282" i="10"/>
  <c r="AZ283" i="10"/>
  <c r="BE283" i="10"/>
  <c r="BF283" i="10"/>
  <c r="BH283" i="10"/>
  <c r="BI283" i="10"/>
  <c r="BJ283" i="10"/>
  <c r="BK283" i="10"/>
  <c r="BL283" i="10"/>
  <c r="BM283" i="10"/>
  <c r="BN283" i="10"/>
  <c r="BO283" i="10"/>
  <c r="BP283" i="10"/>
  <c r="BS283" i="10"/>
  <c r="BT283" i="10" s="1"/>
  <c r="E284" i="9" s="1"/>
  <c r="BU283" i="10"/>
  <c r="AZ284" i="10"/>
  <c r="BE284" i="10"/>
  <c r="BF284" i="10"/>
  <c r="BH284" i="10"/>
  <c r="BI284" i="10"/>
  <c r="BJ284" i="10"/>
  <c r="BK284" i="10"/>
  <c r="BL284" i="10"/>
  <c r="BM284" i="10"/>
  <c r="BN284" i="10"/>
  <c r="BO284" i="10"/>
  <c r="BP284" i="10"/>
  <c r="BS284" i="10"/>
  <c r="BT284" i="10" s="1"/>
  <c r="E285" i="9" s="1"/>
  <c r="BU284" i="10"/>
  <c r="P995" i="17" l="1"/>
  <c r="Q995" i="17" s="1"/>
  <c r="O1038" i="17"/>
  <c r="Q1038" i="17" s="1"/>
  <c r="P1028" i="17"/>
  <c r="Q1028" i="17" s="1"/>
  <c r="O1158" i="17"/>
  <c r="Q1158" i="17" s="1"/>
  <c r="P1110" i="17"/>
  <c r="Q1110" i="17" s="1"/>
  <c r="P1242" i="17"/>
  <c r="Q1242" i="17" s="1"/>
  <c r="P1007" i="17"/>
  <c r="Q1007" i="17" s="1"/>
  <c r="P1037" i="17"/>
  <c r="Q1037" i="17" s="1"/>
  <c r="P1051" i="17"/>
  <c r="Q1051" i="17" s="1"/>
  <c r="P1082" i="17"/>
  <c r="Q1082" i="17" s="1"/>
  <c r="P1027" i="17"/>
  <c r="Q1027" i="17" s="1"/>
  <c r="O1011" i="17"/>
  <c r="Q1011" i="17" s="1"/>
  <c r="O1012" i="17"/>
  <c r="Q1012" i="17" s="1"/>
  <c r="O1004" i="17"/>
  <c r="Q1004" i="17" s="1"/>
  <c r="P1020" i="17"/>
  <c r="Q1020" i="17" s="1"/>
  <c r="P1232" i="17"/>
  <c r="Q1232" i="17" s="1"/>
  <c r="P1235" i="17"/>
  <c r="Q1235" i="17" s="1"/>
  <c r="O1241" i="17"/>
  <c r="Q1241" i="17" s="1"/>
  <c r="O1054" i="17"/>
  <c r="Q1054" i="17" s="1"/>
  <c r="P996" i="17"/>
  <c r="Q996" i="17" s="1"/>
  <c r="P1056" i="17"/>
  <c r="Q1056" i="17" s="1"/>
  <c r="P1173" i="17"/>
  <c r="Q1173" i="17" s="1"/>
  <c r="P1169" i="17"/>
  <c r="Q1169" i="17" s="1"/>
  <c r="P1138" i="17"/>
  <c r="Q1138" i="17" s="1"/>
  <c r="P1058" i="17"/>
  <c r="Q1058" i="17" s="1"/>
  <c r="P1118" i="17"/>
  <c r="Q1118" i="17" s="1"/>
  <c r="P1143" i="17"/>
  <c r="Q1143" i="17" s="1"/>
  <c r="O1230" i="17"/>
  <c r="Q1230" i="17" s="1"/>
  <c r="P1097" i="17"/>
  <c r="Q1097" i="17" s="1"/>
  <c r="P1112" i="17"/>
  <c r="Q1112" i="17" s="1"/>
  <c r="P1107" i="17"/>
  <c r="Q1107" i="17" s="1"/>
  <c r="P1015" i="17"/>
  <c r="Q1015" i="17" s="1"/>
  <c r="P1034" i="17"/>
  <c r="Q1034" i="17" s="1"/>
  <c r="P1135" i="17"/>
  <c r="Q1135" i="17" s="1"/>
  <c r="O1044" i="17"/>
  <c r="Q1044" i="17" s="1"/>
  <c r="O1195" i="17"/>
  <c r="Q1195" i="17" s="1"/>
  <c r="O1125" i="17"/>
  <c r="Q1125" i="17" s="1"/>
  <c r="O1069" i="17"/>
  <c r="Q1069" i="17" s="1"/>
  <c r="P1160" i="17"/>
  <c r="Q1160" i="17" s="1"/>
  <c r="O1152" i="17"/>
  <c r="Q1152" i="17" s="1"/>
  <c r="P1239" i="17"/>
  <c r="Q1239" i="17" s="1"/>
  <c r="P1141" i="17"/>
  <c r="Q1141" i="17" s="1"/>
  <c r="P1103" i="17"/>
  <c r="Q1103" i="17" s="1"/>
  <c r="O1190" i="17"/>
  <c r="Q1190" i="17" s="1"/>
  <c r="O1165" i="17"/>
  <c r="Q1165" i="17" s="1"/>
  <c r="P1129" i="17"/>
  <c r="Q1129" i="17" s="1"/>
  <c r="O1209" i="17"/>
  <c r="Q1209" i="17" s="1"/>
  <c r="P994" i="17"/>
  <c r="Q994" i="17" s="1"/>
  <c r="O993" i="17"/>
  <c r="Q993" i="17" s="1"/>
  <c r="P1108" i="17"/>
  <c r="Q1108" i="17" s="1"/>
  <c r="P1188" i="17"/>
  <c r="Q1188" i="17" s="1"/>
  <c r="P1222" i="17"/>
  <c r="Q1222" i="17" s="1"/>
  <c r="P1090" i="17"/>
  <c r="Q1090" i="17" s="1"/>
  <c r="O1225" i="17"/>
  <c r="Q1225" i="17" s="1"/>
  <c r="P1042" i="17"/>
  <c r="Q1042" i="17" s="1"/>
  <c r="O1136" i="17"/>
  <c r="Q1136" i="17" s="1"/>
  <c r="O1101" i="17"/>
  <c r="Q1101" i="17" s="1"/>
  <c r="P1025" i="17"/>
  <c r="Q1025" i="17" s="1"/>
  <c r="P1140" i="17"/>
  <c r="Q1140" i="17" s="1"/>
  <c r="P1035" i="17"/>
  <c r="Q1035" i="17" s="1"/>
  <c r="O1236" i="17"/>
  <c r="Q1236" i="17" s="1"/>
  <c r="P1074" i="17"/>
  <c r="Q1074" i="17" s="1"/>
  <c r="P1031" i="17"/>
  <c r="Q1031" i="17" s="1"/>
  <c r="P1017" i="17"/>
  <c r="Q1017" i="17" s="1"/>
  <c r="O1046" i="17"/>
  <c r="Q1046" i="17" s="1"/>
  <c r="O1115" i="17"/>
  <c r="Q1115" i="17" s="1"/>
  <c r="P1120" i="17"/>
  <c r="Q1120" i="17" s="1"/>
  <c r="P1132" i="17"/>
  <c r="Q1132" i="17" s="1"/>
  <c r="P1111" i="17"/>
  <c r="Q1111" i="17" s="1"/>
  <c r="P1091" i="17"/>
  <c r="Q1091" i="17" s="1"/>
  <c r="P1070" i="17"/>
  <c r="Q1070" i="17" s="1"/>
  <c r="P1179" i="17"/>
  <c r="Q1179" i="17" s="1"/>
  <c r="P1130" i="17"/>
  <c r="Q1130" i="17" s="1"/>
  <c r="P1214" i="17"/>
  <c r="Q1214" i="17" s="1"/>
  <c r="P1024" i="17"/>
  <c r="Q1024" i="17" s="1"/>
  <c r="O1220" i="17"/>
  <c r="Q1220" i="17" s="1"/>
  <c r="O1233" i="17"/>
  <c r="Q1233" i="17" s="1"/>
  <c r="P1099" i="17"/>
  <c r="Q1099" i="17" s="1"/>
  <c r="P1146" i="17"/>
  <c r="Q1146" i="17" s="1"/>
  <c r="P1041" i="17"/>
  <c r="Q1041" i="17" s="1"/>
  <c r="O999" i="17"/>
  <c r="Q999" i="17" s="1"/>
  <c r="P1119" i="17"/>
  <c r="Q1119" i="17" s="1"/>
  <c r="P1096" i="17"/>
  <c r="Q1096" i="17" s="1"/>
  <c r="O1191" i="17"/>
  <c r="Q1191" i="17" s="1"/>
  <c r="O1176" i="17"/>
  <c r="Q1176" i="17" s="1"/>
  <c r="P992" i="17"/>
  <c r="Q992" i="17" s="1"/>
  <c r="P1177" i="17"/>
  <c r="Q1177" i="17" s="1"/>
  <c r="P1121" i="17"/>
  <c r="Q1121" i="17" s="1"/>
  <c r="P1150" i="17"/>
  <c r="Q1150" i="17" s="1"/>
  <c r="P1178" i="17"/>
  <c r="Q1178" i="17" s="1"/>
  <c r="O1018" i="17"/>
  <c r="Q1018" i="17" s="1"/>
  <c r="P1016" i="17"/>
  <c r="Q1016" i="17" s="1"/>
  <c r="O1078" i="17"/>
  <c r="Q1078" i="17" s="1"/>
  <c r="P1100" i="17"/>
  <c r="Q1100" i="17" s="1"/>
  <c r="O1154" i="17"/>
  <c r="Q1154" i="17" s="1"/>
  <c r="O1094" i="17"/>
  <c r="Q1094" i="17" s="1"/>
  <c r="P1147" i="17"/>
  <c r="Q1147" i="17" s="1"/>
  <c r="P998" i="17"/>
  <c r="Q998" i="17" s="1"/>
  <c r="O1208" i="17"/>
  <c r="Q1208" i="17" s="1"/>
  <c r="P1006" i="17"/>
  <c r="Q1006" i="17" s="1"/>
  <c r="P1123" i="17"/>
  <c r="Q1123" i="17" s="1"/>
  <c r="P1067" i="17"/>
  <c r="Q1067" i="17" s="1"/>
  <c r="O1113" i="17"/>
  <c r="Q1113" i="17" s="1"/>
  <c r="P1238" i="17"/>
  <c r="Q1238" i="17" s="1"/>
  <c r="O1139" i="17"/>
  <c r="Q1139" i="17" s="1"/>
  <c r="P1196" i="17"/>
  <c r="Q1196" i="17" s="1"/>
  <c r="P1053" i="17"/>
  <c r="Q1053" i="17" s="1"/>
  <c r="P1002" i="17"/>
  <c r="Q1002" i="17" s="1"/>
  <c r="P1093" i="17"/>
  <c r="Q1093" i="17" s="1"/>
  <c r="P1049" i="17"/>
  <c r="Q1049" i="17" s="1"/>
  <c r="P1183" i="17"/>
  <c r="Q1183" i="17" s="1"/>
  <c r="O1005" i="17"/>
  <c r="Q1005" i="17" s="1"/>
  <c r="P1219" i="17"/>
  <c r="Q1219" i="17" s="1"/>
  <c r="P1156" i="17"/>
  <c r="Q1156" i="17" s="1"/>
  <c r="P1065" i="17"/>
  <c r="Q1065" i="17" s="1"/>
  <c r="P1171" i="17"/>
  <c r="Q1171" i="17" s="1"/>
  <c r="P1149" i="17"/>
  <c r="Q1149" i="17" s="1"/>
  <c r="P1221" i="17"/>
  <c r="Q1221" i="17" s="1"/>
  <c r="O1180" i="17"/>
  <c r="Q1180" i="17" s="1"/>
  <c r="P1052" i="17"/>
  <c r="Q1052" i="17" s="1"/>
  <c r="P1157" i="17"/>
  <c r="Q1157" i="17" s="1"/>
  <c r="P1000" i="17"/>
  <c r="Q1000" i="17" s="1"/>
  <c r="P1231" i="17"/>
  <c r="Q1231" i="17" s="1"/>
  <c r="O1055" i="17"/>
  <c r="Q1055" i="17" s="1"/>
  <c r="P1059" i="17"/>
  <c r="Q1059" i="17" s="1"/>
  <c r="P1133" i="17"/>
  <c r="Q1133" i="17" s="1"/>
  <c r="P1202" i="17"/>
  <c r="Q1202" i="17" s="1"/>
  <c r="O1128" i="17"/>
  <c r="Q1128" i="17" s="1"/>
  <c r="P1080" i="17"/>
  <c r="Q1080" i="17" s="1"/>
  <c r="O1009" i="17"/>
  <c r="Q1009" i="17" s="1"/>
  <c r="P1164" i="17"/>
  <c r="Q1164" i="17" s="1"/>
  <c r="P1184" i="17"/>
  <c r="Q1184" i="17" s="1"/>
  <c r="P1083" i="17"/>
  <c r="Q1083" i="17" s="1"/>
  <c r="O1163" i="17"/>
  <c r="Q1163" i="17" s="1"/>
  <c r="P1217" i="17"/>
  <c r="Q1217" i="17" s="1"/>
  <c r="O1008" i="17"/>
  <c r="Q1008" i="17" s="1"/>
  <c r="O1166" i="17"/>
  <c r="Q1166" i="17" s="1"/>
  <c r="P1245" i="17"/>
  <c r="Q1245" i="17" s="1"/>
  <c r="P1114" i="17"/>
  <c r="Q1114" i="17" s="1"/>
  <c r="O1170" i="17"/>
  <c r="Q1170" i="17" s="1"/>
  <c r="P1227" i="17"/>
  <c r="Q1227" i="17" s="1"/>
  <c r="O1211" i="17"/>
  <c r="Q1211" i="17" s="1"/>
  <c r="P1023" i="17"/>
  <c r="Q1023" i="17" s="1"/>
  <c r="P1237" i="17"/>
  <c r="Q1237" i="17" s="1"/>
  <c r="P1064" i="17"/>
  <c r="Q1064" i="17" s="1"/>
  <c r="P1148" i="17"/>
  <c r="Q1148" i="17" s="1"/>
  <c r="O1223" i="17"/>
  <c r="Q1223" i="17" s="1"/>
  <c r="P1050" i="17"/>
  <c r="Q1050" i="17" s="1"/>
  <c r="P1068" i="17"/>
  <c r="Q1068" i="17" s="1"/>
  <c r="O1131" i="17"/>
  <c r="Q1131" i="17" s="1"/>
  <c r="O1197" i="17"/>
  <c r="Q1197" i="17" s="1"/>
  <c r="O1142" i="17"/>
  <c r="Q1142" i="17" s="1"/>
  <c r="O1063" i="17"/>
  <c r="Q1063" i="17" s="1"/>
  <c r="P1066" i="17"/>
  <c r="Q1066" i="17" s="1"/>
  <c r="P1048" i="17"/>
  <c r="Q1048" i="17" s="1"/>
  <c r="O1062" i="17"/>
  <c r="Q1062" i="17" s="1"/>
  <c r="P1116" i="17"/>
  <c r="Q1116" i="17" s="1"/>
  <c r="O1234" i="17"/>
  <c r="Q1234" i="17" s="1"/>
  <c r="P1104" i="17"/>
  <c r="Q1104" i="17" s="1"/>
  <c r="P1033" i="17"/>
  <c r="Q1033" i="17" s="1"/>
  <c r="P1022" i="17"/>
  <c r="Q1022" i="17" s="1"/>
  <c r="O1001" i="17"/>
  <c r="Q1001" i="17" s="1"/>
  <c r="P1057" i="17"/>
  <c r="Q1057" i="17" s="1"/>
  <c r="P1086" i="17"/>
  <c r="Q1086" i="17" s="1"/>
  <c r="P1045" i="17"/>
  <c r="Q1045" i="17" s="1"/>
  <c r="O1102" i="17"/>
  <c r="Q1102" i="17" s="1"/>
  <c r="O1168" i="17"/>
  <c r="Q1168" i="17" s="1"/>
  <c r="P1199" i="17"/>
  <c r="Q1199" i="17" s="1"/>
  <c r="P1175" i="17"/>
  <c r="Q1175" i="17" s="1"/>
  <c r="P1203" i="17"/>
  <c r="Q1203" i="17" s="1"/>
  <c r="O1126" i="17"/>
  <c r="Q1126" i="17" s="1"/>
  <c r="O1243" i="17"/>
  <c r="Q1243" i="17" s="1"/>
  <c r="P1244" i="17"/>
  <c r="Q1244" i="17" s="1"/>
  <c r="O1088" i="17"/>
  <c r="Q1088" i="17" s="1"/>
  <c r="O1205" i="17"/>
  <c r="Q1205" i="17" s="1"/>
  <c r="O1105" i="17"/>
  <c r="Q1105" i="17" s="1"/>
  <c r="P1161" i="17"/>
  <c r="Q1161" i="17" s="1"/>
  <c r="P1106" i="17"/>
  <c r="Q1106" i="17" s="1"/>
  <c r="O1098" i="17"/>
  <c r="Q1098" i="17" s="1"/>
  <c r="O1159" i="17"/>
  <c r="Q1159" i="17" s="1"/>
  <c r="P1167" i="17"/>
  <c r="Q1167" i="17" s="1"/>
  <c r="O1032" i="17"/>
  <c r="Q1032" i="17" s="1"/>
  <c r="O1174" i="17"/>
  <c r="Q1174" i="17" s="1"/>
  <c r="P1014" i="17"/>
  <c r="Q1014" i="17" s="1"/>
  <c r="O1047" i="17"/>
  <c r="Q1047" i="17" s="1"/>
  <c r="P1117" i="17"/>
  <c r="Q1117" i="17" s="1"/>
  <c r="O1127" i="17"/>
  <c r="Q1127" i="17" s="1"/>
  <c r="P1019" i="17"/>
  <c r="Q1019" i="17" s="1"/>
  <c r="P1061" i="17"/>
  <c r="Q1061" i="17" s="1"/>
  <c r="O1084" i="17"/>
  <c r="Q1084" i="17" s="1"/>
  <c r="O1198" i="17"/>
  <c r="Q1198" i="17" s="1"/>
  <c r="P1213" i="17"/>
  <c r="Q1213" i="17" s="1"/>
  <c r="O1206" i="17"/>
  <c r="Q1206" i="17" s="1"/>
  <c r="P1010" i="17"/>
  <c r="Q1010" i="17" s="1"/>
  <c r="P1124" i="17"/>
  <c r="Q1124" i="17" s="1"/>
  <c r="O1192" i="17"/>
  <c r="Q1192" i="17" s="1"/>
  <c r="O1081" i="17"/>
  <c r="Q1081" i="17" s="1"/>
  <c r="P1073" i="17"/>
  <c r="Q1073" i="17" s="1"/>
  <c r="O1043" i="17"/>
  <c r="Q1043" i="17" s="1"/>
  <c r="P1071" i="17"/>
  <c r="Q1071" i="17" s="1"/>
  <c r="O1079" i="17"/>
  <c r="Q1079" i="17" s="1"/>
  <c r="O1109" i="17"/>
  <c r="Q1109" i="17" s="1"/>
  <c r="O1029" i="17"/>
  <c r="Q1029" i="17" s="1"/>
  <c r="P1172" i="17"/>
  <c r="Q1172" i="17" s="1"/>
  <c r="P1072" i="17"/>
  <c r="Q1072" i="17" s="1"/>
  <c r="P1187" i="17"/>
  <c r="Q1187" i="17" s="1"/>
  <c r="O1189" i="17"/>
  <c r="Q1189" i="17" s="1"/>
  <c r="O1162" i="17"/>
  <c r="Q1162" i="17" s="1"/>
  <c r="P1224" i="17"/>
  <c r="Q1224" i="17" s="1"/>
  <c r="P1212" i="17"/>
  <c r="Q1212" i="17" s="1"/>
  <c r="P1085" i="17"/>
  <c r="Q1085" i="17" s="1"/>
  <c r="O1021" i="17"/>
  <c r="Q1021" i="17" s="1"/>
  <c r="O1077" i="17"/>
  <c r="Q1077" i="17" s="1"/>
  <c r="P1145" i="17"/>
  <c r="Q1145" i="17" s="1"/>
  <c r="O1134" i="17"/>
  <c r="Q1134" i="17" s="1"/>
  <c r="O1228" i="17"/>
  <c r="Q1228" i="17" s="1"/>
  <c r="O1075" i="17"/>
  <c r="Q1075" i="17" s="1"/>
  <c r="O1030" i="17"/>
  <c r="P1030" i="17"/>
  <c r="O1040" i="17"/>
  <c r="P1040" i="17"/>
  <c r="P1036" i="17"/>
  <c r="Q1036" i="17" s="1"/>
  <c r="P1155" i="17"/>
  <c r="Q1155" i="17" s="1"/>
  <c r="O1122" i="17"/>
  <c r="Q1122" i="17" s="1"/>
  <c r="O1151" i="17"/>
  <c r="Q1151" i="17" s="1"/>
  <c r="O1229" i="17"/>
  <c r="Q1229" i="17" s="1"/>
  <c r="O1013" i="17"/>
  <c r="Q1013" i="17" s="1"/>
  <c r="P1039" i="17"/>
  <c r="O1039" i="17"/>
  <c r="P1095" i="17"/>
  <c r="Q1095" i="17" s="1"/>
  <c r="P1215" i="17"/>
  <c r="Q1215" i="17" s="1"/>
  <c r="P1060" i="17"/>
  <c r="Q1060" i="17" s="1"/>
  <c r="O1087" i="17"/>
  <c r="Q1087" i="17" s="1"/>
  <c r="P1207" i="17"/>
  <c r="Q1207" i="17" s="1"/>
  <c r="O1240" i="17"/>
  <c r="Q1240" i="17" s="1"/>
  <c r="P997" i="17"/>
  <c r="O997" i="17"/>
  <c r="P1200" i="17"/>
  <c r="O1200" i="17"/>
  <c r="P1185" i="17"/>
  <c r="O1185" i="17"/>
  <c r="O1201" i="17"/>
  <c r="P1201" i="17"/>
  <c r="O1089" i="17"/>
  <c r="P1089" i="17"/>
  <c r="P1204" i="17"/>
  <c r="O1204" i="17"/>
  <c r="P1092" i="17"/>
  <c r="Q1092" i="17" s="1"/>
  <c r="P1194" i="17"/>
  <c r="Q1194" i="17" s="1"/>
  <c r="P1144" i="17"/>
  <c r="O1144" i="17"/>
  <c r="P1193" i="17"/>
  <c r="Q1193" i="17" s="1"/>
  <c r="P1210" i="17"/>
  <c r="O1210" i="17"/>
  <c r="P1003" i="17"/>
  <c r="Q1003" i="17" s="1"/>
  <c r="P1216" i="17"/>
  <c r="O1216" i="17"/>
  <c r="O1182" i="17"/>
  <c r="P1182" i="17"/>
  <c r="O1153" i="17"/>
  <c r="P1153" i="17"/>
  <c r="P1181" i="17"/>
  <c r="O1181" i="17"/>
  <c r="P1218" i="17"/>
  <c r="O1218" i="17"/>
  <c r="O1186" i="17"/>
  <c r="P1186" i="17"/>
  <c r="P1137" i="17"/>
  <c r="O1137" i="17"/>
  <c r="O1076" i="17"/>
  <c r="P1076" i="17"/>
  <c r="O1226" i="17"/>
  <c r="P1226" i="17"/>
  <c r="O1026" i="17"/>
  <c r="P1026" i="17"/>
  <c r="L984" i="17"/>
  <c r="M984" i="17"/>
  <c r="S984" i="17"/>
  <c r="L985" i="17"/>
  <c r="M985" i="17"/>
  <c r="S985" i="17"/>
  <c r="L986" i="17"/>
  <c r="M986" i="17"/>
  <c r="S986" i="17"/>
  <c r="L987" i="17"/>
  <c r="M987" i="17"/>
  <c r="S987" i="17"/>
  <c r="L988" i="17"/>
  <c r="M988" i="17"/>
  <c r="S988" i="17"/>
  <c r="L989" i="17"/>
  <c r="M989" i="17"/>
  <c r="S989" i="17"/>
  <c r="L990" i="17"/>
  <c r="M990" i="17"/>
  <c r="S990" i="17"/>
  <c r="L991" i="17"/>
  <c r="M991" i="17"/>
  <c r="S991" i="17"/>
  <c r="B984" i="17"/>
  <c r="B985" i="17"/>
  <c r="B986" i="17"/>
  <c r="B987" i="17"/>
  <c r="B988" i="17"/>
  <c r="B989" i="17"/>
  <c r="B990" i="17"/>
  <c r="B991" i="17"/>
  <c r="AZ250" i="10"/>
  <c r="BE250" i="10"/>
  <c r="BF250" i="10"/>
  <c r="BH250" i="10"/>
  <c r="BI250" i="10"/>
  <c r="BJ250" i="10"/>
  <c r="BK250" i="10"/>
  <c r="BL250" i="10"/>
  <c r="BM250" i="10"/>
  <c r="BN250" i="10"/>
  <c r="BO250" i="10"/>
  <c r="BP250" i="10"/>
  <c r="BS250" i="10"/>
  <c r="BT250" i="10" s="1"/>
  <c r="E254" i="9" s="1"/>
  <c r="BU250" i="10"/>
  <c r="Q1030" i="17" l="1"/>
  <c r="Q1039" i="17"/>
  <c r="Q1186" i="17"/>
  <c r="Q1040" i="17"/>
  <c r="Q1216" i="17"/>
  <c r="Q1144" i="17"/>
  <c r="Q1185" i="17"/>
  <c r="Q1089" i="17"/>
  <c r="Q1153" i="17"/>
  <c r="Q997" i="17"/>
  <c r="Q1181" i="17"/>
  <c r="Q1210" i="17"/>
  <c r="Q1200" i="17"/>
  <c r="Q1137" i="17"/>
  <c r="Q1218" i="17"/>
  <c r="Q1182" i="17"/>
  <c r="Q1204" i="17"/>
  <c r="Q1201" i="17"/>
  <c r="Q1076" i="17"/>
  <c r="Q1226" i="17"/>
  <c r="Q1026" i="17"/>
  <c r="N987" i="17"/>
  <c r="O987" i="17" s="1"/>
  <c r="N988" i="17"/>
  <c r="P988" i="17" s="1"/>
  <c r="N986" i="17"/>
  <c r="P986" i="17" s="1"/>
  <c r="N984" i="17"/>
  <c r="P984" i="17" s="1"/>
  <c r="N989" i="17"/>
  <c r="O989" i="17" s="1"/>
  <c r="N991" i="17"/>
  <c r="P991" i="17" s="1"/>
  <c r="N990" i="17"/>
  <c r="O990" i="17" s="1"/>
  <c r="N985" i="17"/>
  <c r="O985" i="17" s="1"/>
  <c r="AZ249" i="10"/>
  <c r="BE249" i="10"/>
  <c r="BF249" i="10"/>
  <c r="BH249" i="10"/>
  <c r="BI249" i="10"/>
  <c r="BJ249" i="10"/>
  <c r="BK249" i="10"/>
  <c r="BL249" i="10"/>
  <c r="BM249" i="10"/>
  <c r="BN249" i="10"/>
  <c r="BO249" i="10"/>
  <c r="BP249" i="10"/>
  <c r="BS249" i="10"/>
  <c r="BT249" i="10" s="1"/>
  <c r="E247" i="9" s="1"/>
  <c r="BU249" i="10"/>
  <c r="P987" i="17" l="1"/>
  <c r="Q987" i="17" s="1"/>
  <c r="O988" i="17"/>
  <c r="Q988" i="17" s="1"/>
  <c r="P989" i="17"/>
  <c r="Q989" i="17" s="1"/>
  <c r="O986" i="17"/>
  <c r="Q986" i="17" s="1"/>
  <c r="O984" i="17"/>
  <c r="Q984" i="17" s="1"/>
  <c r="O991" i="17"/>
  <c r="Q991" i="17" s="1"/>
  <c r="P990" i="17"/>
  <c r="Q990" i="17" s="1"/>
  <c r="P985" i="17"/>
  <c r="Q985" i="17" s="1"/>
  <c r="AZ248" i="10"/>
  <c r="BE248" i="10"/>
  <c r="BF248" i="10"/>
  <c r="BH248" i="10"/>
  <c r="BI248" i="10"/>
  <c r="BJ248" i="10"/>
  <c r="BK248" i="10"/>
  <c r="BL248" i="10"/>
  <c r="BM248" i="10"/>
  <c r="BN248" i="10"/>
  <c r="BO248" i="10"/>
  <c r="BP248" i="10"/>
  <c r="BS248" i="10"/>
  <c r="BT248" i="10" s="1"/>
  <c r="E268" i="9" s="1"/>
  <c r="BU248" i="10"/>
  <c r="L978" i="17" l="1"/>
  <c r="M978" i="17"/>
  <c r="S978" i="17"/>
  <c r="L979" i="17"/>
  <c r="M979" i="17"/>
  <c r="S979" i="17"/>
  <c r="L980" i="17"/>
  <c r="M980" i="17"/>
  <c r="S980" i="17"/>
  <c r="L981" i="17"/>
  <c r="M981" i="17"/>
  <c r="N981" i="17" s="1"/>
  <c r="O981" i="17" s="1"/>
  <c r="S981" i="17"/>
  <c r="L982" i="17"/>
  <c r="M982" i="17"/>
  <c r="S982" i="17"/>
  <c r="L983" i="17"/>
  <c r="M983" i="17"/>
  <c r="S983" i="17"/>
  <c r="B978" i="17"/>
  <c r="B979" i="17"/>
  <c r="B980" i="17"/>
  <c r="B981" i="17"/>
  <c r="B982" i="17"/>
  <c r="B983" i="17"/>
  <c r="N983" i="17" l="1"/>
  <c r="P983" i="17" s="1"/>
  <c r="N978" i="17"/>
  <c r="P978" i="17" s="1"/>
  <c r="N980" i="17"/>
  <c r="O980" i="17" s="1"/>
  <c r="N982" i="17"/>
  <c r="P982" i="17" s="1"/>
  <c r="N979" i="17"/>
  <c r="O979" i="17" s="1"/>
  <c r="P981" i="17"/>
  <c r="Q981" i="17" s="1"/>
  <c r="BD6" i="3"/>
  <c r="BD7" i="3"/>
  <c r="BD8" i="3"/>
  <c r="BD9" i="3"/>
  <c r="BD10" i="3"/>
  <c r="BD11" i="3"/>
  <c r="BD12" i="3"/>
  <c r="BD13" i="3"/>
  <c r="BD14" i="3"/>
  <c r="BD15" i="3"/>
  <c r="BD16" i="3"/>
  <c r="BD17" i="3"/>
  <c r="BD18" i="3"/>
  <c r="BD19" i="3"/>
  <c r="BD20" i="3"/>
  <c r="BD21" i="3"/>
  <c r="BD22" i="3"/>
  <c r="BD23" i="3"/>
  <c r="BD24" i="3"/>
  <c r="BD25" i="3"/>
  <c r="BD26" i="3"/>
  <c r="BD27" i="3"/>
  <c r="BD28" i="3"/>
  <c r="BD29" i="3"/>
  <c r="BD30" i="3"/>
  <c r="BD31" i="3"/>
  <c r="BD32" i="3"/>
  <c r="BD33" i="3"/>
  <c r="BD34" i="3"/>
  <c r="BD35" i="3"/>
  <c r="BD36" i="3"/>
  <c r="BD37" i="3"/>
  <c r="BD38" i="3"/>
  <c r="BD39" i="3"/>
  <c r="BD40" i="3"/>
  <c r="BD41" i="3"/>
  <c r="BD42" i="3"/>
  <c r="BD43" i="3"/>
  <c r="BD44" i="3"/>
  <c r="BD45" i="3"/>
  <c r="BD46" i="3"/>
  <c r="BD47" i="3"/>
  <c r="BD48" i="3"/>
  <c r="BD49" i="3"/>
  <c r="BD50" i="3"/>
  <c r="BD51" i="3"/>
  <c r="BD52" i="3"/>
  <c r="BD53" i="3"/>
  <c r="BD54" i="3"/>
  <c r="BD55" i="3"/>
  <c r="BD56" i="3"/>
  <c r="BD57" i="3"/>
  <c r="BD58" i="3"/>
  <c r="BD59" i="3"/>
  <c r="BD60" i="3"/>
  <c r="BD61" i="3"/>
  <c r="BD62" i="3"/>
  <c r="BD63" i="3"/>
  <c r="BD64" i="3"/>
  <c r="BD65" i="3"/>
  <c r="BD66" i="3"/>
  <c r="BD67" i="3"/>
  <c r="BD68" i="3"/>
  <c r="BD69" i="3"/>
  <c r="BD70" i="3"/>
  <c r="BD71" i="3"/>
  <c r="BD72" i="3"/>
  <c r="BD73" i="3"/>
  <c r="BD74" i="3"/>
  <c r="BD75" i="3"/>
  <c r="BD76" i="3"/>
  <c r="BD77" i="3"/>
  <c r="BD78" i="3"/>
  <c r="BD79" i="3"/>
  <c r="BD80" i="3"/>
  <c r="BD81" i="3"/>
  <c r="BD82" i="3"/>
  <c r="BD83" i="3"/>
  <c r="BD84" i="3"/>
  <c r="BD85" i="3"/>
  <c r="BD86" i="3"/>
  <c r="BD87" i="3"/>
  <c r="BD88" i="3"/>
  <c r="BD89" i="3"/>
  <c r="BD90" i="3"/>
  <c r="BD91" i="3"/>
  <c r="BD92" i="3"/>
  <c r="BD93" i="3"/>
  <c r="BD94" i="3"/>
  <c r="BD95" i="3"/>
  <c r="BD96" i="3"/>
  <c r="BD97" i="3"/>
  <c r="BD98" i="3"/>
  <c r="BD99" i="3"/>
  <c r="BD100" i="3"/>
  <c r="BD101" i="3"/>
  <c r="BD102" i="3"/>
  <c r="BD103" i="3"/>
  <c r="BD104" i="3"/>
  <c r="BD105" i="3"/>
  <c r="BD106" i="3"/>
  <c r="BD107" i="3"/>
  <c r="BD108" i="3"/>
  <c r="BD109" i="3"/>
  <c r="BD110" i="3"/>
  <c r="BD111" i="3"/>
  <c r="BD112" i="3"/>
  <c r="BD113" i="3"/>
  <c r="BD114" i="3"/>
  <c r="BD115" i="3"/>
  <c r="BD116" i="3"/>
  <c r="BD117" i="3"/>
  <c r="BD118" i="3"/>
  <c r="BD119" i="3"/>
  <c r="BD120" i="3"/>
  <c r="BD121" i="3"/>
  <c r="BD122" i="3"/>
  <c r="BD123" i="3"/>
  <c r="BD124" i="3"/>
  <c r="BD125" i="3"/>
  <c r="BD126" i="3"/>
  <c r="BD127" i="3"/>
  <c r="BD128" i="3"/>
  <c r="BD129" i="3"/>
  <c r="BD130" i="3"/>
  <c r="BD131" i="3"/>
  <c r="BD132" i="3"/>
  <c r="BD133" i="3"/>
  <c r="BD134" i="3"/>
  <c r="BD135" i="3"/>
  <c r="BD136" i="3"/>
  <c r="BD137" i="3"/>
  <c r="BD138" i="3"/>
  <c r="BD139" i="3"/>
  <c r="BD140" i="3"/>
  <c r="BD141" i="3"/>
  <c r="BD142" i="3"/>
  <c r="BD143" i="3"/>
  <c r="BD144" i="3"/>
  <c r="BD145" i="3"/>
  <c r="BD146" i="3"/>
  <c r="BD147" i="3"/>
  <c r="BD148" i="3"/>
  <c r="BD149" i="3"/>
  <c r="BD150" i="3"/>
  <c r="BD151" i="3"/>
  <c r="BD152" i="3"/>
  <c r="BD153" i="3"/>
  <c r="BD154" i="3"/>
  <c r="BD155" i="3"/>
  <c r="BD156" i="3"/>
  <c r="BD157" i="3"/>
  <c r="BD158" i="3"/>
  <c r="BD159" i="3"/>
  <c r="BD160" i="3"/>
  <c r="BD161" i="3"/>
  <c r="BD162" i="3"/>
  <c r="BD163" i="3"/>
  <c r="BD164" i="3"/>
  <c r="BD165" i="3"/>
  <c r="BD166" i="3"/>
  <c r="BD167" i="3"/>
  <c r="BD168" i="3"/>
  <c r="BD169" i="3"/>
  <c r="BD170" i="3"/>
  <c r="BD171" i="3"/>
  <c r="BD172" i="3"/>
  <c r="BD173" i="3"/>
  <c r="BD174" i="3"/>
  <c r="BD175" i="3"/>
  <c r="BD176" i="3"/>
  <c r="BD177" i="3"/>
  <c r="BD178" i="3"/>
  <c r="BD179" i="3"/>
  <c r="BD180" i="3"/>
  <c r="BD181" i="3"/>
  <c r="BD182" i="3"/>
  <c r="BD183" i="3"/>
  <c r="BD184" i="3"/>
  <c r="BD185" i="3"/>
  <c r="BD186" i="3"/>
  <c r="BD187" i="3"/>
  <c r="BD188" i="3"/>
  <c r="BD189" i="3"/>
  <c r="BD190" i="3"/>
  <c r="BD191" i="3"/>
  <c r="BD192" i="3"/>
  <c r="BD193" i="3"/>
  <c r="BD194" i="3"/>
  <c r="BD195" i="3"/>
  <c r="BD196" i="3"/>
  <c r="BD197" i="3"/>
  <c r="BD198" i="3"/>
  <c r="BD199" i="3"/>
  <c r="BD200" i="3"/>
  <c r="BD201" i="3"/>
  <c r="BD202" i="3"/>
  <c r="BD203" i="3"/>
  <c r="BD204" i="3"/>
  <c r="BD205" i="3"/>
  <c r="BD206" i="3"/>
  <c r="BD207" i="3"/>
  <c r="BD208" i="3"/>
  <c r="BD209" i="3"/>
  <c r="BD210" i="3"/>
  <c r="BD211" i="3"/>
  <c r="BD212" i="3"/>
  <c r="BD213" i="3"/>
  <c r="BD214" i="3"/>
  <c r="BD215" i="3"/>
  <c r="BD216" i="3"/>
  <c r="BD217" i="3"/>
  <c r="BD218" i="3"/>
  <c r="BD219" i="3"/>
  <c r="BD220" i="3"/>
  <c r="BD221" i="3"/>
  <c r="BD222" i="3"/>
  <c r="BD223" i="3"/>
  <c r="BD224" i="3"/>
  <c r="BD225" i="3"/>
  <c r="BD226" i="3"/>
  <c r="BD227" i="3"/>
  <c r="BD228" i="3"/>
  <c r="BD229" i="3"/>
  <c r="BD230" i="3"/>
  <c r="BD231" i="3"/>
  <c r="BD232" i="3"/>
  <c r="BD233" i="3"/>
  <c r="BD234" i="3"/>
  <c r="BD235" i="3"/>
  <c r="BD236" i="3"/>
  <c r="BD237" i="3"/>
  <c r="BD238" i="3"/>
  <c r="BD239" i="3"/>
  <c r="BD240" i="3"/>
  <c r="BD241" i="3"/>
  <c r="BD242" i="3"/>
  <c r="BD243" i="3"/>
  <c r="BD244" i="3"/>
  <c r="BD245" i="3"/>
  <c r="BD246" i="3"/>
  <c r="BD247" i="3"/>
  <c r="BD248" i="3"/>
  <c r="BD249" i="3"/>
  <c r="BD250" i="3"/>
  <c r="BD251" i="3"/>
  <c r="BD252" i="3"/>
  <c r="BD253" i="3"/>
  <c r="BD254" i="3"/>
  <c r="BD255" i="3"/>
  <c r="BD256" i="3"/>
  <c r="BD257" i="3"/>
  <c r="BD258" i="3"/>
  <c r="BD259" i="3"/>
  <c r="BD260" i="3"/>
  <c r="BD261" i="3"/>
  <c r="BD262" i="3"/>
  <c r="BD263" i="3"/>
  <c r="BD264" i="3"/>
  <c r="BD265" i="3"/>
  <c r="BD266" i="3"/>
  <c r="BD267" i="3"/>
  <c r="BD268" i="3"/>
  <c r="BD269" i="3"/>
  <c r="BD270" i="3"/>
  <c r="BD271" i="3"/>
  <c r="BD272" i="3"/>
  <c r="BD273" i="3"/>
  <c r="BD274" i="3"/>
  <c r="BD275" i="3"/>
  <c r="BD276" i="3"/>
  <c r="BD277" i="3"/>
  <c r="BD278" i="3"/>
  <c r="BD279" i="3"/>
  <c r="BD280" i="3"/>
  <c r="BD281" i="3"/>
  <c r="BD282" i="3"/>
  <c r="BD283" i="3"/>
  <c r="BD284" i="3"/>
  <c r="BD285" i="3"/>
  <c r="BD286" i="3"/>
  <c r="BD287" i="3"/>
  <c r="BD288" i="3"/>
  <c r="BD289" i="3"/>
  <c r="BD290" i="3"/>
  <c r="BD5" i="3"/>
  <c r="AY6" i="3"/>
  <c r="AY7" i="3"/>
  <c r="AY8" i="3"/>
  <c r="AY9" i="3"/>
  <c r="AY10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6" i="3"/>
  <c r="AY57" i="3"/>
  <c r="AY58" i="3"/>
  <c r="AY59" i="3"/>
  <c r="AY60" i="3"/>
  <c r="AY61" i="3"/>
  <c r="AY62" i="3"/>
  <c r="AY63" i="3"/>
  <c r="AY64" i="3"/>
  <c r="AY65" i="3"/>
  <c r="AY66" i="3"/>
  <c r="AY67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8" i="3"/>
  <c r="AY89" i="3"/>
  <c r="AY90" i="3"/>
  <c r="AY91" i="3"/>
  <c r="AY92" i="3"/>
  <c r="AY93" i="3"/>
  <c r="AY94" i="3"/>
  <c r="AY95" i="3"/>
  <c r="AY96" i="3"/>
  <c r="AY97" i="3"/>
  <c r="AY98" i="3"/>
  <c r="AY99" i="3"/>
  <c r="AY100" i="3"/>
  <c r="AY101" i="3"/>
  <c r="AY102" i="3"/>
  <c r="AY103" i="3"/>
  <c r="AY104" i="3"/>
  <c r="AY105" i="3"/>
  <c r="AY106" i="3"/>
  <c r="AY107" i="3"/>
  <c r="AY108" i="3"/>
  <c r="AY109" i="3"/>
  <c r="AY110" i="3"/>
  <c r="AY111" i="3"/>
  <c r="AY112" i="3"/>
  <c r="AY113" i="3"/>
  <c r="AY114" i="3"/>
  <c r="AY115" i="3"/>
  <c r="AY116" i="3"/>
  <c r="AY117" i="3"/>
  <c r="AY118" i="3"/>
  <c r="AY119" i="3"/>
  <c r="AY120" i="3"/>
  <c r="AY121" i="3"/>
  <c r="AY122" i="3"/>
  <c r="AY123" i="3"/>
  <c r="AY124" i="3"/>
  <c r="AY125" i="3"/>
  <c r="AY126" i="3"/>
  <c r="AY127" i="3"/>
  <c r="AY128" i="3"/>
  <c r="AY129" i="3"/>
  <c r="AY130" i="3"/>
  <c r="AY131" i="3"/>
  <c r="AY132" i="3"/>
  <c r="AY133" i="3"/>
  <c r="AY134" i="3"/>
  <c r="AY135" i="3"/>
  <c r="AY136" i="3"/>
  <c r="AY137" i="3"/>
  <c r="AY138" i="3"/>
  <c r="AY139" i="3"/>
  <c r="AY140" i="3"/>
  <c r="AY141" i="3"/>
  <c r="AY142" i="3"/>
  <c r="AY143" i="3"/>
  <c r="AY144" i="3"/>
  <c r="AY145" i="3"/>
  <c r="AY146" i="3"/>
  <c r="AY147" i="3"/>
  <c r="AY148" i="3"/>
  <c r="AY149" i="3"/>
  <c r="AY150" i="3"/>
  <c r="AY151" i="3"/>
  <c r="AY152" i="3"/>
  <c r="AY153" i="3"/>
  <c r="AY154" i="3"/>
  <c r="AY155" i="3"/>
  <c r="AY156" i="3"/>
  <c r="AY157" i="3"/>
  <c r="AY158" i="3"/>
  <c r="AY159" i="3"/>
  <c r="AY160" i="3"/>
  <c r="AY161" i="3"/>
  <c r="AY162" i="3"/>
  <c r="AY163" i="3"/>
  <c r="AY164" i="3"/>
  <c r="AY165" i="3"/>
  <c r="AY166" i="3"/>
  <c r="AY167" i="3"/>
  <c r="AY168" i="3"/>
  <c r="AY169" i="3"/>
  <c r="AY170" i="3"/>
  <c r="AY171" i="3"/>
  <c r="AY172" i="3"/>
  <c r="AY173" i="3"/>
  <c r="AY174" i="3"/>
  <c r="AY175" i="3"/>
  <c r="AY176" i="3"/>
  <c r="AY177" i="3"/>
  <c r="AY178" i="3"/>
  <c r="AY179" i="3"/>
  <c r="AY180" i="3"/>
  <c r="AY181" i="3"/>
  <c r="AY182" i="3"/>
  <c r="AY183" i="3"/>
  <c r="AY184" i="3"/>
  <c r="AY185" i="3"/>
  <c r="AY186" i="3"/>
  <c r="AY187" i="3"/>
  <c r="AY188" i="3"/>
  <c r="AY189" i="3"/>
  <c r="AY190" i="3"/>
  <c r="AY191" i="3"/>
  <c r="AY192" i="3"/>
  <c r="AY193" i="3"/>
  <c r="AY194" i="3"/>
  <c r="AY195" i="3"/>
  <c r="AY196" i="3"/>
  <c r="AY197" i="3"/>
  <c r="AY198" i="3"/>
  <c r="AY199" i="3"/>
  <c r="AY200" i="3"/>
  <c r="AY201" i="3"/>
  <c r="AY202" i="3"/>
  <c r="AY203" i="3"/>
  <c r="AY204" i="3"/>
  <c r="AY205" i="3"/>
  <c r="AY206" i="3"/>
  <c r="AY207" i="3"/>
  <c r="AY208" i="3"/>
  <c r="AY209" i="3"/>
  <c r="AY210" i="3"/>
  <c r="AY211" i="3"/>
  <c r="AY212" i="3"/>
  <c r="AY213" i="3"/>
  <c r="AY214" i="3"/>
  <c r="AY215" i="3"/>
  <c r="AY216" i="3"/>
  <c r="AY217" i="3"/>
  <c r="AY218" i="3"/>
  <c r="AY219" i="3"/>
  <c r="AY220" i="3"/>
  <c r="AY221" i="3"/>
  <c r="AY222" i="3"/>
  <c r="AY223" i="3"/>
  <c r="AY224" i="3"/>
  <c r="AY225" i="3"/>
  <c r="AY226" i="3"/>
  <c r="AY227" i="3"/>
  <c r="AY228" i="3"/>
  <c r="AY229" i="3"/>
  <c r="AY230" i="3"/>
  <c r="AY231" i="3"/>
  <c r="AY232" i="3"/>
  <c r="AY233" i="3"/>
  <c r="AY234" i="3"/>
  <c r="AY235" i="3"/>
  <c r="AY236" i="3"/>
  <c r="AY237" i="3"/>
  <c r="AY238" i="3"/>
  <c r="AY239" i="3"/>
  <c r="AY240" i="3"/>
  <c r="AY241" i="3"/>
  <c r="AY242" i="3"/>
  <c r="AY243" i="3"/>
  <c r="AY244" i="3"/>
  <c r="AY245" i="3"/>
  <c r="AY246" i="3"/>
  <c r="AY247" i="3"/>
  <c r="AY248" i="3"/>
  <c r="AY249" i="3"/>
  <c r="AY250" i="3"/>
  <c r="AY251" i="3"/>
  <c r="AY252" i="3"/>
  <c r="AY253" i="3"/>
  <c r="AY254" i="3"/>
  <c r="AY255" i="3"/>
  <c r="AY256" i="3"/>
  <c r="AY257" i="3"/>
  <c r="AY258" i="3"/>
  <c r="AY259" i="3"/>
  <c r="AY260" i="3"/>
  <c r="AY261" i="3"/>
  <c r="AY262" i="3"/>
  <c r="AY263" i="3"/>
  <c r="AY264" i="3"/>
  <c r="AY265" i="3"/>
  <c r="AY266" i="3"/>
  <c r="AY267" i="3"/>
  <c r="AY268" i="3"/>
  <c r="AY269" i="3"/>
  <c r="AY270" i="3"/>
  <c r="AY271" i="3"/>
  <c r="AY272" i="3"/>
  <c r="AY273" i="3"/>
  <c r="AY274" i="3"/>
  <c r="AY275" i="3"/>
  <c r="AY276" i="3"/>
  <c r="AY277" i="3"/>
  <c r="AY278" i="3"/>
  <c r="AY279" i="3"/>
  <c r="AY280" i="3"/>
  <c r="AY281" i="3"/>
  <c r="AY282" i="3"/>
  <c r="AY283" i="3"/>
  <c r="AY284" i="3"/>
  <c r="AY285" i="3"/>
  <c r="AY286" i="3"/>
  <c r="AY287" i="3"/>
  <c r="AY288" i="3"/>
  <c r="AY289" i="3"/>
  <c r="AY290" i="3"/>
  <c r="AY5" i="3"/>
  <c r="AX6" i="3"/>
  <c r="AX7" i="3"/>
  <c r="AX8" i="3"/>
  <c r="AX9" i="3"/>
  <c r="AX10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8" i="3"/>
  <c r="AX89" i="3"/>
  <c r="AX90" i="3"/>
  <c r="AX91" i="3"/>
  <c r="AX92" i="3"/>
  <c r="AX93" i="3"/>
  <c r="AX94" i="3"/>
  <c r="AX95" i="3"/>
  <c r="AX96" i="3"/>
  <c r="AX97" i="3"/>
  <c r="AX98" i="3"/>
  <c r="AX99" i="3"/>
  <c r="AX100" i="3"/>
  <c r="AX101" i="3"/>
  <c r="AX102" i="3"/>
  <c r="AX103" i="3"/>
  <c r="AX104" i="3"/>
  <c r="AX105" i="3"/>
  <c r="AX106" i="3"/>
  <c r="AX107" i="3"/>
  <c r="AX108" i="3"/>
  <c r="AX109" i="3"/>
  <c r="AX110" i="3"/>
  <c r="AX111" i="3"/>
  <c r="AX112" i="3"/>
  <c r="AX113" i="3"/>
  <c r="AX114" i="3"/>
  <c r="AX115" i="3"/>
  <c r="AX116" i="3"/>
  <c r="AX117" i="3"/>
  <c r="AX118" i="3"/>
  <c r="AX119" i="3"/>
  <c r="AX120" i="3"/>
  <c r="AX121" i="3"/>
  <c r="AX122" i="3"/>
  <c r="AX123" i="3"/>
  <c r="AX124" i="3"/>
  <c r="AX125" i="3"/>
  <c r="AX126" i="3"/>
  <c r="AX127" i="3"/>
  <c r="AX128" i="3"/>
  <c r="AX129" i="3"/>
  <c r="AX130" i="3"/>
  <c r="AX131" i="3"/>
  <c r="AX132" i="3"/>
  <c r="AX133" i="3"/>
  <c r="AX134" i="3"/>
  <c r="AX135" i="3"/>
  <c r="AX136" i="3"/>
  <c r="AX137" i="3"/>
  <c r="AX138" i="3"/>
  <c r="AX139" i="3"/>
  <c r="AX140" i="3"/>
  <c r="AX141" i="3"/>
  <c r="AX142" i="3"/>
  <c r="AX143" i="3"/>
  <c r="AX144" i="3"/>
  <c r="AX145" i="3"/>
  <c r="AX146" i="3"/>
  <c r="AX147" i="3"/>
  <c r="AX148" i="3"/>
  <c r="AX149" i="3"/>
  <c r="AX150" i="3"/>
  <c r="AX151" i="3"/>
  <c r="AX152" i="3"/>
  <c r="AX153" i="3"/>
  <c r="AX154" i="3"/>
  <c r="AX155" i="3"/>
  <c r="AX156" i="3"/>
  <c r="AX157" i="3"/>
  <c r="AX158" i="3"/>
  <c r="AX159" i="3"/>
  <c r="AX160" i="3"/>
  <c r="AX161" i="3"/>
  <c r="AX162" i="3"/>
  <c r="AX163" i="3"/>
  <c r="AX164" i="3"/>
  <c r="AX165" i="3"/>
  <c r="AX166" i="3"/>
  <c r="AX167" i="3"/>
  <c r="AX168" i="3"/>
  <c r="AX169" i="3"/>
  <c r="AX170" i="3"/>
  <c r="AX171" i="3"/>
  <c r="AX172" i="3"/>
  <c r="AX173" i="3"/>
  <c r="AX174" i="3"/>
  <c r="AX175" i="3"/>
  <c r="AX176" i="3"/>
  <c r="AX177" i="3"/>
  <c r="AX178" i="3"/>
  <c r="AX179" i="3"/>
  <c r="AX180" i="3"/>
  <c r="AX181" i="3"/>
  <c r="AX182" i="3"/>
  <c r="AX183" i="3"/>
  <c r="AX184" i="3"/>
  <c r="AX185" i="3"/>
  <c r="AX186" i="3"/>
  <c r="AX187" i="3"/>
  <c r="AX188" i="3"/>
  <c r="AX189" i="3"/>
  <c r="AX190" i="3"/>
  <c r="AX191" i="3"/>
  <c r="AX192" i="3"/>
  <c r="AX193" i="3"/>
  <c r="AX194" i="3"/>
  <c r="AX195" i="3"/>
  <c r="AX196" i="3"/>
  <c r="AX197" i="3"/>
  <c r="AX198" i="3"/>
  <c r="AX199" i="3"/>
  <c r="AX200" i="3"/>
  <c r="AX201" i="3"/>
  <c r="AX202" i="3"/>
  <c r="AX203" i="3"/>
  <c r="AX204" i="3"/>
  <c r="AX205" i="3"/>
  <c r="AX206" i="3"/>
  <c r="AX207" i="3"/>
  <c r="AX208" i="3"/>
  <c r="AX209" i="3"/>
  <c r="AX210" i="3"/>
  <c r="AX211" i="3"/>
  <c r="AX212" i="3"/>
  <c r="AX213" i="3"/>
  <c r="AX214" i="3"/>
  <c r="AX215" i="3"/>
  <c r="AX216" i="3"/>
  <c r="AX217" i="3"/>
  <c r="AX218" i="3"/>
  <c r="AX219" i="3"/>
  <c r="AX220" i="3"/>
  <c r="AX221" i="3"/>
  <c r="AX222" i="3"/>
  <c r="AX223" i="3"/>
  <c r="AX224" i="3"/>
  <c r="AX225" i="3"/>
  <c r="AX226" i="3"/>
  <c r="AX227" i="3"/>
  <c r="AX228" i="3"/>
  <c r="AX229" i="3"/>
  <c r="AX230" i="3"/>
  <c r="AX231" i="3"/>
  <c r="AX232" i="3"/>
  <c r="AX233" i="3"/>
  <c r="AX234" i="3"/>
  <c r="AX235" i="3"/>
  <c r="AX236" i="3"/>
  <c r="AX237" i="3"/>
  <c r="AX238" i="3"/>
  <c r="AX239" i="3"/>
  <c r="AX240" i="3"/>
  <c r="AX241" i="3"/>
  <c r="AX242" i="3"/>
  <c r="AX243" i="3"/>
  <c r="AX244" i="3"/>
  <c r="AX245" i="3"/>
  <c r="AX246" i="3"/>
  <c r="AX247" i="3"/>
  <c r="AX248" i="3"/>
  <c r="AX249" i="3"/>
  <c r="AX250" i="3"/>
  <c r="AX251" i="3"/>
  <c r="AX252" i="3"/>
  <c r="AX253" i="3"/>
  <c r="AX254" i="3"/>
  <c r="AX255" i="3"/>
  <c r="AX256" i="3"/>
  <c r="AX257" i="3"/>
  <c r="AX258" i="3"/>
  <c r="AX259" i="3"/>
  <c r="AX260" i="3"/>
  <c r="AX261" i="3"/>
  <c r="AX262" i="3"/>
  <c r="AX263" i="3"/>
  <c r="AX264" i="3"/>
  <c r="AX265" i="3"/>
  <c r="AX266" i="3"/>
  <c r="AX267" i="3"/>
  <c r="AX268" i="3"/>
  <c r="AX269" i="3"/>
  <c r="AX270" i="3"/>
  <c r="AX271" i="3"/>
  <c r="AX272" i="3"/>
  <c r="AX273" i="3"/>
  <c r="AX274" i="3"/>
  <c r="AX275" i="3"/>
  <c r="AX276" i="3"/>
  <c r="AX277" i="3"/>
  <c r="AX278" i="3"/>
  <c r="AX279" i="3"/>
  <c r="AX280" i="3"/>
  <c r="AX281" i="3"/>
  <c r="AX282" i="3"/>
  <c r="AX283" i="3"/>
  <c r="AX284" i="3"/>
  <c r="AX285" i="3"/>
  <c r="AX286" i="3"/>
  <c r="AX287" i="3"/>
  <c r="AX288" i="3"/>
  <c r="AX289" i="3"/>
  <c r="AX290" i="3"/>
  <c r="AX5" i="3"/>
  <c r="AU6" i="3"/>
  <c r="AU7" i="3"/>
  <c r="AU8" i="3"/>
  <c r="AU9" i="3"/>
  <c r="AU10" i="3"/>
  <c r="AU11" i="3"/>
  <c r="AU12" i="3"/>
  <c r="AU13" i="3"/>
  <c r="AU14" i="3"/>
  <c r="AU15" i="3"/>
  <c r="AU16" i="3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8" i="3"/>
  <c r="AU89" i="3"/>
  <c r="AU90" i="3"/>
  <c r="AU91" i="3"/>
  <c r="AU92" i="3"/>
  <c r="AU93" i="3"/>
  <c r="AU94" i="3"/>
  <c r="AU95" i="3"/>
  <c r="AU96" i="3"/>
  <c r="AU97" i="3"/>
  <c r="AU98" i="3"/>
  <c r="AU99" i="3"/>
  <c r="AU100" i="3"/>
  <c r="AU101" i="3"/>
  <c r="AU102" i="3"/>
  <c r="AU103" i="3"/>
  <c r="AU104" i="3"/>
  <c r="AU105" i="3"/>
  <c r="AU106" i="3"/>
  <c r="AU107" i="3"/>
  <c r="AU108" i="3"/>
  <c r="AU109" i="3"/>
  <c r="AU110" i="3"/>
  <c r="AU111" i="3"/>
  <c r="AU112" i="3"/>
  <c r="AU113" i="3"/>
  <c r="AU114" i="3"/>
  <c r="AU115" i="3"/>
  <c r="AU116" i="3"/>
  <c r="AU117" i="3"/>
  <c r="AU118" i="3"/>
  <c r="AU119" i="3"/>
  <c r="AU120" i="3"/>
  <c r="AU121" i="3"/>
  <c r="AU122" i="3"/>
  <c r="AU123" i="3"/>
  <c r="AU124" i="3"/>
  <c r="AU125" i="3"/>
  <c r="AU126" i="3"/>
  <c r="AU127" i="3"/>
  <c r="AU128" i="3"/>
  <c r="AU129" i="3"/>
  <c r="AU130" i="3"/>
  <c r="AU131" i="3"/>
  <c r="AU132" i="3"/>
  <c r="AU133" i="3"/>
  <c r="AU134" i="3"/>
  <c r="AU135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AU159" i="3"/>
  <c r="AU160" i="3"/>
  <c r="AU161" i="3"/>
  <c r="AU162" i="3"/>
  <c r="AU163" i="3"/>
  <c r="AU164" i="3"/>
  <c r="AU165" i="3"/>
  <c r="AU166" i="3"/>
  <c r="AU167" i="3"/>
  <c r="AU168" i="3"/>
  <c r="AU169" i="3"/>
  <c r="AU170" i="3"/>
  <c r="AU171" i="3"/>
  <c r="AU172" i="3"/>
  <c r="AU173" i="3"/>
  <c r="AU174" i="3"/>
  <c r="AU175" i="3"/>
  <c r="AU176" i="3"/>
  <c r="AU177" i="3"/>
  <c r="AU178" i="3"/>
  <c r="AU179" i="3"/>
  <c r="AU180" i="3"/>
  <c r="AU181" i="3"/>
  <c r="AU182" i="3"/>
  <c r="AU183" i="3"/>
  <c r="AU184" i="3"/>
  <c r="AU185" i="3"/>
  <c r="AU186" i="3"/>
  <c r="AU187" i="3"/>
  <c r="AU188" i="3"/>
  <c r="AU189" i="3"/>
  <c r="AU190" i="3"/>
  <c r="AU191" i="3"/>
  <c r="AU192" i="3"/>
  <c r="AU193" i="3"/>
  <c r="AU194" i="3"/>
  <c r="AU195" i="3"/>
  <c r="AU196" i="3"/>
  <c r="AU197" i="3"/>
  <c r="AU198" i="3"/>
  <c r="AU199" i="3"/>
  <c r="AU200" i="3"/>
  <c r="AU201" i="3"/>
  <c r="AU202" i="3"/>
  <c r="AU203" i="3"/>
  <c r="AU204" i="3"/>
  <c r="AU205" i="3"/>
  <c r="AU206" i="3"/>
  <c r="AU207" i="3"/>
  <c r="AU208" i="3"/>
  <c r="AU209" i="3"/>
  <c r="AU210" i="3"/>
  <c r="AU211" i="3"/>
  <c r="AU212" i="3"/>
  <c r="AU213" i="3"/>
  <c r="AU214" i="3"/>
  <c r="AU215" i="3"/>
  <c r="AU216" i="3"/>
  <c r="AU217" i="3"/>
  <c r="AU218" i="3"/>
  <c r="AU219" i="3"/>
  <c r="AU220" i="3"/>
  <c r="AU221" i="3"/>
  <c r="AU222" i="3"/>
  <c r="AU223" i="3"/>
  <c r="AU224" i="3"/>
  <c r="AU225" i="3"/>
  <c r="AU226" i="3"/>
  <c r="AU227" i="3"/>
  <c r="AU228" i="3"/>
  <c r="AU229" i="3"/>
  <c r="AU230" i="3"/>
  <c r="AU231" i="3"/>
  <c r="AU232" i="3"/>
  <c r="AU233" i="3"/>
  <c r="AU234" i="3"/>
  <c r="AU235" i="3"/>
  <c r="AU236" i="3"/>
  <c r="AU237" i="3"/>
  <c r="AU238" i="3"/>
  <c r="AU239" i="3"/>
  <c r="AU240" i="3"/>
  <c r="AU241" i="3"/>
  <c r="AU242" i="3"/>
  <c r="AU243" i="3"/>
  <c r="AU244" i="3"/>
  <c r="AU245" i="3"/>
  <c r="AU246" i="3"/>
  <c r="AU247" i="3"/>
  <c r="AU248" i="3"/>
  <c r="AU249" i="3"/>
  <c r="AU250" i="3"/>
  <c r="AU251" i="3"/>
  <c r="AU252" i="3"/>
  <c r="AU253" i="3"/>
  <c r="AU254" i="3"/>
  <c r="AU255" i="3"/>
  <c r="AU256" i="3"/>
  <c r="AU257" i="3"/>
  <c r="AU258" i="3"/>
  <c r="AU259" i="3"/>
  <c r="AU260" i="3"/>
  <c r="AU261" i="3"/>
  <c r="AU262" i="3"/>
  <c r="AU263" i="3"/>
  <c r="AU264" i="3"/>
  <c r="AU265" i="3"/>
  <c r="AU266" i="3"/>
  <c r="AU267" i="3"/>
  <c r="AU268" i="3"/>
  <c r="AU269" i="3"/>
  <c r="AU270" i="3"/>
  <c r="AU271" i="3"/>
  <c r="AU272" i="3"/>
  <c r="AU273" i="3"/>
  <c r="AU274" i="3"/>
  <c r="AU275" i="3"/>
  <c r="AU276" i="3"/>
  <c r="AU277" i="3"/>
  <c r="AU278" i="3"/>
  <c r="AU279" i="3"/>
  <c r="AU280" i="3"/>
  <c r="AU281" i="3"/>
  <c r="AU282" i="3"/>
  <c r="AU283" i="3"/>
  <c r="AU284" i="3"/>
  <c r="AU285" i="3"/>
  <c r="AU286" i="3"/>
  <c r="AU287" i="3"/>
  <c r="AU288" i="3"/>
  <c r="AU289" i="3"/>
  <c r="AU290" i="3"/>
  <c r="AU5" i="3"/>
  <c r="O983" i="17" l="1"/>
  <c r="Q983" i="17" s="1"/>
  <c r="O978" i="17"/>
  <c r="Q978" i="17" s="1"/>
  <c r="O982" i="17"/>
  <c r="Q982" i="17" s="1"/>
  <c r="P980" i="17"/>
  <c r="Q980" i="17" s="1"/>
  <c r="P979" i="17"/>
  <c r="Q979" i="17" s="1"/>
  <c r="L976" i="17"/>
  <c r="M976" i="17"/>
  <c r="S976" i="17"/>
  <c r="L977" i="17"/>
  <c r="M977" i="17"/>
  <c r="S977" i="17"/>
  <c r="B976" i="17"/>
  <c r="B977" i="17"/>
  <c r="Q72" i="3"/>
  <c r="W72" i="3"/>
  <c r="AB72" i="3"/>
  <c r="AD72" i="3"/>
  <c r="AI72" i="3"/>
  <c r="AK72" i="3"/>
  <c r="E72" i="9"/>
  <c r="Q97" i="3"/>
  <c r="W97" i="3"/>
  <c r="AB97" i="3"/>
  <c r="AD97" i="3"/>
  <c r="AI97" i="3"/>
  <c r="AK97" i="3"/>
  <c r="AZ247" i="10"/>
  <c r="BE247" i="10"/>
  <c r="BF247" i="10"/>
  <c r="Q116" i="3" s="1"/>
  <c r="BH247" i="10"/>
  <c r="BI247" i="10"/>
  <c r="W116" i="3" s="1"/>
  <c r="BJ247" i="10"/>
  <c r="BK247" i="10"/>
  <c r="AB116" i="3" s="1"/>
  <c r="BL247" i="10"/>
  <c r="AD116" i="3" s="1"/>
  <c r="BM247" i="10"/>
  <c r="AI116" i="3" s="1"/>
  <c r="BN247" i="10"/>
  <c r="AK116" i="3" s="1"/>
  <c r="BO247" i="10"/>
  <c r="BP247" i="10"/>
  <c r="BS247" i="10"/>
  <c r="BT247" i="10" s="1"/>
  <c r="E116" i="9" s="1"/>
  <c r="BU247" i="10"/>
  <c r="Q178" i="3"/>
  <c r="W178" i="3"/>
  <c r="AB178" i="3"/>
  <c r="AD178" i="3"/>
  <c r="AI178" i="3"/>
  <c r="Q258" i="3"/>
  <c r="W258" i="3"/>
  <c r="AB258" i="3"/>
  <c r="AD258" i="3"/>
  <c r="AI258" i="3"/>
  <c r="AK258" i="3"/>
  <c r="Q268" i="3"/>
  <c r="W268" i="3"/>
  <c r="AB268" i="3"/>
  <c r="AD268" i="3"/>
  <c r="AI268" i="3"/>
  <c r="AK268" i="3"/>
  <c r="N977" i="17" l="1"/>
  <c r="O977" i="17" s="1"/>
  <c r="N976" i="17"/>
  <c r="P976" i="17" s="1"/>
  <c r="L970" i="17"/>
  <c r="M970" i="17"/>
  <c r="S970" i="17"/>
  <c r="L971" i="17"/>
  <c r="M971" i="17"/>
  <c r="S971" i="17"/>
  <c r="L972" i="17"/>
  <c r="M972" i="17"/>
  <c r="S972" i="17"/>
  <c r="L973" i="17"/>
  <c r="M973" i="17"/>
  <c r="S973" i="17"/>
  <c r="L974" i="17"/>
  <c r="M974" i="17"/>
  <c r="S974" i="17"/>
  <c r="L975" i="17"/>
  <c r="M975" i="17"/>
  <c r="S975" i="17"/>
  <c r="B970" i="17"/>
  <c r="B971" i="17"/>
  <c r="B972" i="17"/>
  <c r="B973" i="17"/>
  <c r="B974" i="17"/>
  <c r="B975" i="17"/>
  <c r="AZ246" i="10"/>
  <c r="BE246" i="10"/>
  <c r="BF246" i="10"/>
  <c r="Q210" i="3" s="1"/>
  <c r="BH246" i="10"/>
  <c r="BI246" i="10"/>
  <c r="W210" i="3" s="1"/>
  <c r="BJ246" i="10"/>
  <c r="BK246" i="10"/>
  <c r="AB210" i="3" s="1"/>
  <c r="BL246" i="10"/>
  <c r="AD210" i="3" s="1"/>
  <c r="BM246" i="10"/>
  <c r="AI210" i="3" s="1"/>
  <c r="BN246" i="10"/>
  <c r="AK210" i="3" s="1"/>
  <c r="BO246" i="10"/>
  <c r="BP246" i="10"/>
  <c r="BS246" i="10"/>
  <c r="BT246" i="10" s="1"/>
  <c r="E210" i="9" s="1"/>
  <c r="BU246" i="10"/>
  <c r="Q254" i="3"/>
  <c r="W254" i="3"/>
  <c r="AB254" i="3"/>
  <c r="AD254" i="3"/>
  <c r="AI254" i="3"/>
  <c r="AK254" i="3"/>
  <c r="P977" i="17" l="1"/>
  <c r="Q977" i="17" s="1"/>
  <c r="O976" i="17"/>
  <c r="Q976" i="17" s="1"/>
  <c r="N974" i="17"/>
  <c r="P974" i="17" s="1"/>
  <c r="N970" i="17"/>
  <c r="P970" i="17" s="1"/>
  <c r="N972" i="17"/>
  <c r="O972" i="17" s="1"/>
  <c r="N971" i="17"/>
  <c r="O971" i="17" s="1"/>
  <c r="N975" i="17"/>
  <c r="P975" i="17" s="1"/>
  <c r="N973" i="17"/>
  <c r="O973" i="17" s="1"/>
  <c r="AZ242" i="10"/>
  <c r="BE242" i="10"/>
  <c r="BF242" i="10"/>
  <c r="Q95" i="3" s="1"/>
  <c r="BH242" i="10"/>
  <c r="BI242" i="10"/>
  <c r="W95" i="3" s="1"/>
  <c r="BJ242" i="10"/>
  <c r="BK242" i="10"/>
  <c r="AB95" i="3" s="1"/>
  <c r="BL242" i="10"/>
  <c r="AD95" i="3" s="1"/>
  <c r="BM242" i="10"/>
  <c r="AI95" i="3" s="1"/>
  <c r="BN242" i="10"/>
  <c r="AK95" i="3" s="1"/>
  <c r="BO242" i="10"/>
  <c r="BP242" i="10"/>
  <c r="BS242" i="10"/>
  <c r="BT242" i="10" s="1"/>
  <c r="E95" i="9" s="1"/>
  <c r="BU242" i="10"/>
  <c r="AZ243" i="10"/>
  <c r="BE243" i="10"/>
  <c r="BF243" i="10"/>
  <c r="Q171" i="3" s="1"/>
  <c r="BH243" i="10"/>
  <c r="BI243" i="10"/>
  <c r="W171" i="3" s="1"/>
  <c r="BJ243" i="10"/>
  <c r="BK243" i="10"/>
  <c r="AB171" i="3" s="1"/>
  <c r="BL243" i="10"/>
  <c r="AD171" i="3" s="1"/>
  <c r="BM243" i="10"/>
  <c r="AI171" i="3" s="1"/>
  <c r="BN243" i="10"/>
  <c r="AK171" i="3" s="1"/>
  <c r="BO243" i="10"/>
  <c r="BP243" i="10"/>
  <c r="BS243" i="10"/>
  <c r="BT243" i="10" s="1"/>
  <c r="E171" i="9" s="1"/>
  <c r="BU243" i="10"/>
  <c r="AZ244" i="10"/>
  <c r="BE244" i="10"/>
  <c r="BF244" i="10"/>
  <c r="Q190" i="3" s="1"/>
  <c r="BH244" i="10"/>
  <c r="BI244" i="10"/>
  <c r="W190" i="3" s="1"/>
  <c r="BJ244" i="10"/>
  <c r="BK244" i="10"/>
  <c r="AB190" i="3" s="1"/>
  <c r="BL244" i="10"/>
  <c r="AD190" i="3" s="1"/>
  <c r="BM244" i="10"/>
  <c r="AI190" i="3" s="1"/>
  <c r="BN244" i="10"/>
  <c r="AK190" i="3" s="1"/>
  <c r="BO244" i="10"/>
  <c r="BP244" i="10"/>
  <c r="BS244" i="10"/>
  <c r="BT244" i="10" s="1"/>
  <c r="E190" i="9" s="1"/>
  <c r="BU244" i="10"/>
  <c r="AZ245" i="10"/>
  <c r="BE245" i="10"/>
  <c r="BF245" i="10"/>
  <c r="Q278" i="3" s="1"/>
  <c r="BH245" i="10"/>
  <c r="BI245" i="10"/>
  <c r="W278" i="3" s="1"/>
  <c r="BJ245" i="10"/>
  <c r="BK245" i="10"/>
  <c r="AB278" i="3" s="1"/>
  <c r="BL245" i="10"/>
  <c r="AD278" i="3" s="1"/>
  <c r="BM245" i="10"/>
  <c r="AI278" i="3" s="1"/>
  <c r="BN245" i="10"/>
  <c r="AK278" i="3" s="1"/>
  <c r="BO245" i="10"/>
  <c r="BP245" i="10"/>
  <c r="BS245" i="10"/>
  <c r="BT245" i="10" s="1"/>
  <c r="E278" i="9" s="1"/>
  <c r="BU245" i="10"/>
  <c r="L959" i="17"/>
  <c r="M959" i="17"/>
  <c r="S959" i="17"/>
  <c r="L960" i="17"/>
  <c r="M960" i="17"/>
  <c r="S960" i="17"/>
  <c r="L961" i="17"/>
  <c r="M961" i="17"/>
  <c r="S961" i="17"/>
  <c r="L962" i="17"/>
  <c r="M962" i="17"/>
  <c r="S962" i="17"/>
  <c r="L963" i="17"/>
  <c r="M963" i="17"/>
  <c r="S963" i="17"/>
  <c r="L964" i="17"/>
  <c r="M964" i="17"/>
  <c r="S964" i="17"/>
  <c r="L965" i="17"/>
  <c r="M965" i="17"/>
  <c r="S965" i="17"/>
  <c r="L966" i="17"/>
  <c r="M966" i="17"/>
  <c r="S966" i="17"/>
  <c r="L967" i="17"/>
  <c r="M967" i="17"/>
  <c r="S967" i="17"/>
  <c r="L968" i="17"/>
  <c r="M968" i="17"/>
  <c r="S968" i="17"/>
  <c r="L969" i="17"/>
  <c r="M969" i="17"/>
  <c r="S969" i="17"/>
  <c r="B959" i="17"/>
  <c r="B960" i="17"/>
  <c r="B961" i="17"/>
  <c r="B962" i="17"/>
  <c r="B963" i="17"/>
  <c r="B964" i="17"/>
  <c r="B965" i="17"/>
  <c r="B966" i="17"/>
  <c r="B967" i="17"/>
  <c r="B968" i="17"/>
  <c r="B969" i="17"/>
  <c r="O974" i="17" l="1"/>
  <c r="Q974" i="17" s="1"/>
  <c r="O970" i="17"/>
  <c r="Q970" i="17" s="1"/>
  <c r="O975" i="17"/>
  <c r="Q975" i="17" s="1"/>
  <c r="P971" i="17"/>
  <c r="Q971" i="17" s="1"/>
  <c r="P973" i="17"/>
  <c r="Q973" i="17" s="1"/>
  <c r="P972" i="17"/>
  <c r="Q972" i="17" s="1"/>
  <c r="N962" i="17"/>
  <c r="O962" i="17" s="1"/>
  <c r="N961" i="17"/>
  <c r="O961" i="17" s="1"/>
  <c r="N968" i="17"/>
  <c r="P968" i="17" s="1"/>
  <c r="N959" i="17"/>
  <c r="P959" i="17" s="1"/>
  <c r="N966" i="17"/>
  <c r="O966" i="17" s="1"/>
  <c r="N963" i="17"/>
  <c r="O963" i="17" s="1"/>
  <c r="N967" i="17"/>
  <c r="O967" i="17" s="1"/>
  <c r="N965" i="17"/>
  <c r="P965" i="17" s="1"/>
  <c r="N960" i="17"/>
  <c r="P960" i="17" s="1"/>
  <c r="N969" i="17"/>
  <c r="P969" i="17" s="1"/>
  <c r="N964" i="17"/>
  <c r="P964" i="17" s="1"/>
  <c r="L934" i="17"/>
  <c r="M934" i="17"/>
  <c r="S934" i="17"/>
  <c r="L935" i="17"/>
  <c r="M935" i="17"/>
  <c r="S935" i="17"/>
  <c r="L936" i="17"/>
  <c r="M936" i="17"/>
  <c r="S936" i="17"/>
  <c r="L937" i="17"/>
  <c r="M937" i="17"/>
  <c r="S937" i="17"/>
  <c r="L938" i="17"/>
  <c r="M938" i="17"/>
  <c r="S938" i="17"/>
  <c r="L939" i="17"/>
  <c r="M939" i="17"/>
  <c r="S939" i="17"/>
  <c r="L940" i="17"/>
  <c r="M940" i="17"/>
  <c r="S940" i="17"/>
  <c r="L941" i="17"/>
  <c r="M941" i="17"/>
  <c r="S941" i="17"/>
  <c r="L942" i="17"/>
  <c r="M942" i="17"/>
  <c r="S942" i="17"/>
  <c r="L943" i="17"/>
  <c r="M943" i="17"/>
  <c r="S943" i="17"/>
  <c r="L944" i="17"/>
  <c r="M944" i="17"/>
  <c r="S944" i="17"/>
  <c r="L945" i="17"/>
  <c r="M945" i="17"/>
  <c r="S945" i="17"/>
  <c r="L946" i="17"/>
  <c r="M946" i="17"/>
  <c r="S946" i="17"/>
  <c r="L947" i="17"/>
  <c r="M947" i="17"/>
  <c r="S947" i="17"/>
  <c r="L948" i="17"/>
  <c r="M948" i="17"/>
  <c r="S948" i="17"/>
  <c r="L949" i="17"/>
  <c r="M949" i="17"/>
  <c r="S949" i="17"/>
  <c r="L950" i="17"/>
  <c r="M950" i="17"/>
  <c r="S950" i="17"/>
  <c r="L951" i="17"/>
  <c r="M951" i="17"/>
  <c r="S951" i="17"/>
  <c r="L952" i="17"/>
  <c r="M952" i="17"/>
  <c r="S952" i="17"/>
  <c r="L953" i="17"/>
  <c r="M953" i="17"/>
  <c r="S953" i="17"/>
  <c r="L954" i="17"/>
  <c r="M954" i="17"/>
  <c r="S954" i="17"/>
  <c r="L955" i="17"/>
  <c r="M955" i="17"/>
  <c r="S955" i="17"/>
  <c r="L956" i="17"/>
  <c r="M956" i="17"/>
  <c r="S956" i="17"/>
  <c r="L957" i="17"/>
  <c r="M957" i="17"/>
  <c r="S957" i="17"/>
  <c r="L958" i="17"/>
  <c r="M958" i="17"/>
  <c r="S958" i="17"/>
  <c r="B934" i="17"/>
  <c r="B935" i="17"/>
  <c r="B936" i="17"/>
  <c r="B937" i="17"/>
  <c r="B938" i="17"/>
  <c r="B939" i="17"/>
  <c r="B940" i="17"/>
  <c r="B941" i="17"/>
  <c r="B942" i="17"/>
  <c r="B943" i="17"/>
  <c r="B944" i="17"/>
  <c r="B945" i="17"/>
  <c r="B946" i="17"/>
  <c r="B947" i="17"/>
  <c r="B948" i="17"/>
  <c r="B949" i="17"/>
  <c r="B950" i="17"/>
  <c r="B951" i="17"/>
  <c r="B952" i="17"/>
  <c r="B953" i="17"/>
  <c r="B954" i="17"/>
  <c r="B955" i="17"/>
  <c r="B956" i="17"/>
  <c r="B957" i="17"/>
  <c r="B958" i="17"/>
  <c r="AZ238" i="10"/>
  <c r="BE238" i="10"/>
  <c r="BF238" i="10"/>
  <c r="Q107" i="3" s="1"/>
  <c r="BH238" i="10"/>
  <c r="BI238" i="10"/>
  <c r="W107" i="3" s="1"/>
  <c r="BJ238" i="10"/>
  <c r="BK238" i="10"/>
  <c r="AB107" i="3" s="1"/>
  <c r="BL238" i="10"/>
  <c r="AD107" i="3" s="1"/>
  <c r="BM238" i="10"/>
  <c r="AI107" i="3" s="1"/>
  <c r="BN238" i="10"/>
  <c r="AK107" i="3" s="1"/>
  <c r="BO238" i="10"/>
  <c r="BP238" i="10"/>
  <c r="BS238" i="10"/>
  <c r="BT238" i="10" s="1"/>
  <c r="E107" i="9" s="1"/>
  <c r="BU238" i="10"/>
  <c r="AZ239" i="10"/>
  <c r="BE239" i="10"/>
  <c r="BF239" i="10"/>
  <c r="Q196" i="3" s="1"/>
  <c r="BH239" i="10"/>
  <c r="BI239" i="10"/>
  <c r="W196" i="3" s="1"/>
  <c r="BJ239" i="10"/>
  <c r="BK239" i="10"/>
  <c r="AB196" i="3" s="1"/>
  <c r="BL239" i="10"/>
  <c r="AD196" i="3" s="1"/>
  <c r="BM239" i="10"/>
  <c r="AI196" i="3" s="1"/>
  <c r="BN239" i="10"/>
  <c r="AK196" i="3" s="1"/>
  <c r="BO239" i="10"/>
  <c r="BP239" i="10"/>
  <c r="BS239" i="10"/>
  <c r="BT239" i="10" s="1"/>
  <c r="E196" i="9" s="1"/>
  <c r="BU239" i="10"/>
  <c r="AZ240" i="10"/>
  <c r="BE240" i="10"/>
  <c r="BF240" i="10"/>
  <c r="Q200" i="3" s="1"/>
  <c r="BH240" i="10"/>
  <c r="BI240" i="10"/>
  <c r="W200" i="3" s="1"/>
  <c r="BJ240" i="10"/>
  <c r="BK240" i="10"/>
  <c r="AB200" i="3" s="1"/>
  <c r="BL240" i="10"/>
  <c r="AD200" i="3" s="1"/>
  <c r="BM240" i="10"/>
  <c r="AI200" i="3" s="1"/>
  <c r="BN240" i="10"/>
  <c r="AK200" i="3" s="1"/>
  <c r="BO240" i="10"/>
  <c r="BP240" i="10"/>
  <c r="BS240" i="10"/>
  <c r="BT240" i="10" s="1"/>
  <c r="E200" i="9" s="1"/>
  <c r="BU240" i="10"/>
  <c r="AZ241" i="10"/>
  <c r="BE241" i="10"/>
  <c r="BF241" i="10"/>
  <c r="Q267" i="3" s="1"/>
  <c r="BH241" i="10"/>
  <c r="BI241" i="10"/>
  <c r="W267" i="3" s="1"/>
  <c r="BJ241" i="10"/>
  <c r="BK241" i="10"/>
  <c r="AB267" i="3" s="1"/>
  <c r="BL241" i="10"/>
  <c r="AD267" i="3" s="1"/>
  <c r="BM241" i="10"/>
  <c r="AI267" i="3" s="1"/>
  <c r="BN241" i="10"/>
  <c r="AK267" i="3" s="1"/>
  <c r="BO241" i="10"/>
  <c r="BP241" i="10"/>
  <c r="BS241" i="10"/>
  <c r="BT241" i="10" s="1"/>
  <c r="E267" i="9" s="1"/>
  <c r="BU241" i="10"/>
  <c r="O959" i="17" l="1"/>
  <c r="Q959" i="17" s="1"/>
  <c r="P962" i="17"/>
  <c r="Q962" i="17" s="1"/>
  <c r="P961" i="17"/>
  <c r="Q961" i="17" s="1"/>
  <c r="O965" i="17"/>
  <c r="Q965" i="17" s="1"/>
  <c r="P963" i="17"/>
  <c r="Q963" i="17" s="1"/>
  <c r="P966" i="17"/>
  <c r="Q966" i="17" s="1"/>
  <c r="P967" i="17"/>
  <c r="Q967" i="17" s="1"/>
  <c r="O968" i="17"/>
  <c r="Q968" i="17" s="1"/>
  <c r="O964" i="17"/>
  <c r="Q964" i="17" s="1"/>
  <c r="O960" i="17"/>
  <c r="Q960" i="17" s="1"/>
  <c r="O969" i="17"/>
  <c r="Q969" i="17" s="1"/>
  <c r="N953" i="17"/>
  <c r="O953" i="17" s="1"/>
  <c r="N945" i="17"/>
  <c r="O945" i="17" s="1"/>
  <c r="N937" i="17"/>
  <c r="O937" i="17" s="1"/>
  <c r="N936" i="17"/>
  <c r="P936" i="17" s="1"/>
  <c r="N943" i="17"/>
  <c r="O943" i="17" s="1"/>
  <c r="N947" i="17"/>
  <c r="O947" i="17" s="1"/>
  <c r="N948" i="17"/>
  <c r="P948" i="17" s="1"/>
  <c r="N958" i="17"/>
  <c r="O958" i="17" s="1"/>
  <c r="N935" i="17"/>
  <c r="O935" i="17" s="1"/>
  <c r="N950" i="17"/>
  <c r="O950" i="17" s="1"/>
  <c r="N942" i="17"/>
  <c r="O942" i="17" s="1"/>
  <c r="N957" i="17"/>
  <c r="O957" i="17" s="1"/>
  <c r="N939" i="17"/>
  <c r="O939" i="17" s="1"/>
  <c r="N955" i="17"/>
  <c r="P955" i="17" s="1"/>
  <c r="N954" i="17"/>
  <c r="P954" i="17" s="1"/>
  <c r="N949" i="17"/>
  <c r="P949" i="17" s="1"/>
  <c r="N940" i="17"/>
  <c r="O940" i="17" s="1"/>
  <c r="N938" i="17"/>
  <c r="P938" i="17" s="1"/>
  <c r="N946" i="17"/>
  <c r="O946" i="17" s="1"/>
  <c r="N934" i="17"/>
  <c r="O934" i="17" s="1"/>
  <c r="N956" i="17"/>
  <c r="P956" i="17" s="1"/>
  <c r="N952" i="17"/>
  <c r="O952" i="17" s="1"/>
  <c r="N951" i="17"/>
  <c r="O951" i="17" s="1"/>
  <c r="N944" i="17"/>
  <c r="P944" i="17" s="1"/>
  <c r="N941" i="17"/>
  <c r="O941" i="17" s="1"/>
  <c r="Q279" i="3"/>
  <c r="W279" i="3"/>
  <c r="AB279" i="3"/>
  <c r="AD279" i="3"/>
  <c r="AI279" i="3"/>
  <c r="AK279" i="3"/>
  <c r="P945" i="17" l="1"/>
  <c r="Q945" i="17" s="1"/>
  <c r="P937" i="17"/>
  <c r="Q937" i="17" s="1"/>
  <c r="P953" i="17"/>
  <c r="Q953" i="17" s="1"/>
  <c r="P947" i="17"/>
  <c r="Q947" i="17" s="1"/>
  <c r="O936" i="17"/>
  <c r="Q936" i="17" s="1"/>
  <c r="O955" i="17"/>
  <c r="Q955" i="17" s="1"/>
  <c r="O948" i="17"/>
  <c r="Q948" i="17" s="1"/>
  <c r="P935" i="17"/>
  <c r="Q935" i="17" s="1"/>
  <c r="O949" i="17"/>
  <c r="Q949" i="17" s="1"/>
  <c r="P943" i="17"/>
  <c r="Q943" i="17" s="1"/>
  <c r="P950" i="17"/>
  <c r="Q950" i="17" s="1"/>
  <c r="P942" i="17"/>
  <c r="Q942" i="17" s="1"/>
  <c r="P958" i="17"/>
  <c r="Q958" i="17" s="1"/>
  <c r="P941" i="17"/>
  <c r="Q941" i="17" s="1"/>
  <c r="P939" i="17"/>
  <c r="Q939" i="17" s="1"/>
  <c r="O944" i="17"/>
  <c r="Q944" i="17" s="1"/>
  <c r="P951" i="17"/>
  <c r="Q951" i="17" s="1"/>
  <c r="P957" i="17"/>
  <c r="Q957" i="17" s="1"/>
  <c r="P934" i="17"/>
  <c r="Q934" i="17" s="1"/>
  <c r="P946" i="17"/>
  <c r="Q946" i="17" s="1"/>
  <c r="O954" i="17"/>
  <c r="Q954" i="17" s="1"/>
  <c r="P952" i="17"/>
  <c r="Q952" i="17" s="1"/>
  <c r="P940" i="17"/>
  <c r="Q940" i="17" s="1"/>
  <c r="O938" i="17"/>
  <c r="Q938" i="17" s="1"/>
  <c r="O956" i="17"/>
  <c r="Q956" i="17" s="1"/>
  <c r="L932" i="17" l="1"/>
  <c r="M932" i="17"/>
  <c r="S932" i="17"/>
  <c r="L933" i="17"/>
  <c r="M933" i="17"/>
  <c r="S933" i="17"/>
  <c r="B932" i="17"/>
  <c r="B933" i="17"/>
  <c r="N932" i="17" l="1"/>
  <c r="O932" i="17" s="1"/>
  <c r="N933" i="17"/>
  <c r="O933" i="17" s="1"/>
  <c r="P932" i="17" l="1"/>
  <c r="Q932" i="17" s="1"/>
  <c r="P933" i="17"/>
  <c r="Q933" i="17" s="1"/>
  <c r="AZ237" i="10" l="1"/>
  <c r="BE237" i="10"/>
  <c r="BF237" i="10"/>
  <c r="Q147" i="3" s="1"/>
  <c r="BH237" i="10"/>
  <c r="BI237" i="10"/>
  <c r="W147" i="3" s="1"/>
  <c r="BJ237" i="10"/>
  <c r="BK237" i="10"/>
  <c r="AB147" i="3" s="1"/>
  <c r="BL237" i="10"/>
  <c r="AD147" i="3" s="1"/>
  <c r="BM237" i="10"/>
  <c r="AI147" i="3" s="1"/>
  <c r="BN237" i="10"/>
  <c r="AK147" i="3" s="1"/>
  <c r="BO237" i="10"/>
  <c r="BP237" i="10"/>
  <c r="BS237" i="10"/>
  <c r="BT237" i="10" s="1"/>
  <c r="E147" i="9" s="1"/>
  <c r="BU237" i="10"/>
  <c r="L917" i="17" l="1"/>
  <c r="M917" i="17"/>
  <c r="S917" i="17"/>
  <c r="L918" i="17"/>
  <c r="M918" i="17"/>
  <c r="S918" i="17"/>
  <c r="L919" i="17"/>
  <c r="M919" i="17"/>
  <c r="S919" i="17"/>
  <c r="L920" i="17"/>
  <c r="M920" i="17"/>
  <c r="S920" i="17"/>
  <c r="L921" i="17"/>
  <c r="M921" i="17"/>
  <c r="S921" i="17"/>
  <c r="L922" i="17"/>
  <c r="M922" i="17"/>
  <c r="S922" i="17"/>
  <c r="L923" i="17"/>
  <c r="M923" i="17"/>
  <c r="S923" i="17"/>
  <c r="L924" i="17"/>
  <c r="M924" i="17"/>
  <c r="S924" i="17"/>
  <c r="L925" i="17"/>
  <c r="M925" i="17"/>
  <c r="S925" i="17"/>
  <c r="L926" i="17"/>
  <c r="M926" i="17"/>
  <c r="S926" i="17"/>
  <c r="L927" i="17"/>
  <c r="M927" i="17"/>
  <c r="S927" i="17"/>
  <c r="L928" i="17"/>
  <c r="M928" i="17"/>
  <c r="S928" i="17"/>
  <c r="L929" i="17"/>
  <c r="M929" i="17"/>
  <c r="S929" i="17"/>
  <c r="L930" i="17"/>
  <c r="M930" i="17"/>
  <c r="S930" i="17"/>
  <c r="L931" i="17"/>
  <c r="M931" i="17"/>
  <c r="S931" i="17"/>
  <c r="B917" i="17"/>
  <c r="B918" i="17"/>
  <c r="B919" i="17"/>
  <c r="B920" i="17"/>
  <c r="B921" i="17"/>
  <c r="B922" i="17"/>
  <c r="B923" i="17"/>
  <c r="B924" i="17"/>
  <c r="B925" i="17"/>
  <c r="B926" i="17"/>
  <c r="B927" i="17"/>
  <c r="B928" i="17"/>
  <c r="B929" i="17"/>
  <c r="B930" i="17"/>
  <c r="B931" i="17"/>
  <c r="AZ233" i="10"/>
  <c r="BE233" i="10"/>
  <c r="BF233" i="10"/>
  <c r="Q69" i="3" s="1"/>
  <c r="BH233" i="10"/>
  <c r="BI233" i="10"/>
  <c r="W69" i="3" s="1"/>
  <c r="BJ233" i="10"/>
  <c r="BK233" i="10"/>
  <c r="AB69" i="3" s="1"/>
  <c r="BL233" i="10"/>
  <c r="AD69" i="3" s="1"/>
  <c r="BM233" i="10"/>
  <c r="AI69" i="3" s="1"/>
  <c r="BN233" i="10"/>
  <c r="AK69" i="3" s="1"/>
  <c r="BO233" i="10"/>
  <c r="BP233" i="10"/>
  <c r="BS233" i="10"/>
  <c r="BT233" i="10" s="1"/>
  <c r="E69" i="9" s="1"/>
  <c r="BU233" i="10"/>
  <c r="AZ234" i="10"/>
  <c r="BE234" i="10"/>
  <c r="BF234" i="10"/>
  <c r="Q128" i="3" s="1"/>
  <c r="BH234" i="10"/>
  <c r="BI234" i="10"/>
  <c r="W128" i="3" s="1"/>
  <c r="BJ234" i="10"/>
  <c r="BK234" i="10"/>
  <c r="AB128" i="3" s="1"/>
  <c r="BL234" i="10"/>
  <c r="AD128" i="3" s="1"/>
  <c r="BM234" i="10"/>
  <c r="AI128" i="3" s="1"/>
  <c r="BN234" i="10"/>
  <c r="AK128" i="3" s="1"/>
  <c r="BO234" i="10"/>
  <c r="BP234" i="10"/>
  <c r="BS234" i="10"/>
  <c r="BT234" i="10" s="1"/>
  <c r="E128" i="9" s="1"/>
  <c r="BU234" i="10"/>
  <c r="AZ235" i="10"/>
  <c r="BE235" i="10"/>
  <c r="BF235" i="10"/>
  <c r="Q226" i="3" s="1"/>
  <c r="BH235" i="10"/>
  <c r="BI235" i="10"/>
  <c r="W226" i="3" s="1"/>
  <c r="BJ235" i="10"/>
  <c r="BK235" i="10"/>
  <c r="AB226" i="3" s="1"/>
  <c r="BL235" i="10"/>
  <c r="AD226" i="3" s="1"/>
  <c r="BM235" i="10"/>
  <c r="AI226" i="3" s="1"/>
  <c r="BN235" i="10"/>
  <c r="AK226" i="3" s="1"/>
  <c r="BO235" i="10"/>
  <c r="BP235" i="10"/>
  <c r="BS235" i="10"/>
  <c r="BT235" i="10" s="1"/>
  <c r="E226" i="9" s="1"/>
  <c r="BU235" i="10"/>
  <c r="Q229" i="3"/>
  <c r="W229" i="3"/>
  <c r="AB229" i="3"/>
  <c r="AD229" i="3"/>
  <c r="AI229" i="3"/>
  <c r="AK229" i="3"/>
  <c r="AZ236" i="10"/>
  <c r="BE236" i="10"/>
  <c r="BF236" i="10"/>
  <c r="Q264" i="3" s="1"/>
  <c r="BH236" i="10"/>
  <c r="BI236" i="10"/>
  <c r="W264" i="3" s="1"/>
  <c r="BJ236" i="10"/>
  <c r="BK236" i="10"/>
  <c r="AB264" i="3" s="1"/>
  <c r="BL236" i="10"/>
  <c r="AD264" i="3" s="1"/>
  <c r="BM236" i="10"/>
  <c r="AI264" i="3" s="1"/>
  <c r="BN236" i="10"/>
  <c r="AK264" i="3" s="1"/>
  <c r="BO236" i="10"/>
  <c r="BP236" i="10"/>
  <c r="BS236" i="10"/>
  <c r="BT236" i="10" s="1"/>
  <c r="E264" i="9" s="1"/>
  <c r="BU236" i="10"/>
  <c r="N929" i="17" l="1"/>
  <c r="O929" i="17" s="1"/>
  <c r="N930" i="17"/>
  <c r="O930" i="17" s="1"/>
  <c r="N919" i="17"/>
  <c r="O919" i="17" s="1"/>
  <c r="N917" i="17"/>
  <c r="O917" i="17" s="1"/>
  <c r="N924" i="17"/>
  <c r="O924" i="17" s="1"/>
  <c r="N918" i="17"/>
  <c r="P918" i="17" s="1"/>
  <c r="N928" i="17"/>
  <c r="O928" i="17" s="1"/>
  <c r="N926" i="17"/>
  <c r="P926" i="17" s="1"/>
  <c r="N920" i="17"/>
  <c r="P920" i="17" s="1"/>
  <c r="N931" i="17"/>
  <c r="P931" i="17" s="1"/>
  <c r="N923" i="17"/>
  <c r="O923" i="17" s="1"/>
  <c r="N925" i="17"/>
  <c r="P925" i="17" s="1"/>
  <c r="N927" i="17"/>
  <c r="P927" i="17" s="1"/>
  <c r="N922" i="17"/>
  <c r="O922" i="17" s="1"/>
  <c r="N921" i="17"/>
  <c r="O921" i="17" s="1"/>
  <c r="L904" i="17"/>
  <c r="M904" i="17"/>
  <c r="S904" i="17"/>
  <c r="L905" i="17"/>
  <c r="M905" i="17"/>
  <c r="S905" i="17"/>
  <c r="L906" i="17"/>
  <c r="M906" i="17"/>
  <c r="S906" i="17"/>
  <c r="L907" i="17"/>
  <c r="M907" i="17"/>
  <c r="S907" i="17"/>
  <c r="L908" i="17"/>
  <c r="M908" i="17"/>
  <c r="S908" i="17"/>
  <c r="L909" i="17"/>
  <c r="M909" i="17"/>
  <c r="S909" i="17"/>
  <c r="L910" i="17"/>
  <c r="M910" i="17"/>
  <c r="S910" i="17"/>
  <c r="L911" i="17"/>
  <c r="M911" i="17"/>
  <c r="S911" i="17"/>
  <c r="L912" i="17"/>
  <c r="M912" i="17"/>
  <c r="S912" i="17"/>
  <c r="L913" i="17"/>
  <c r="M913" i="17"/>
  <c r="S913" i="17"/>
  <c r="L914" i="17"/>
  <c r="M914" i="17"/>
  <c r="S914" i="17"/>
  <c r="L915" i="17"/>
  <c r="M915" i="17"/>
  <c r="S915" i="17"/>
  <c r="L916" i="17"/>
  <c r="M916" i="17"/>
  <c r="S916" i="17"/>
  <c r="B904" i="17"/>
  <c r="B905" i="17"/>
  <c r="B906" i="17"/>
  <c r="B907" i="17"/>
  <c r="B908" i="17"/>
  <c r="B909" i="17"/>
  <c r="B910" i="17"/>
  <c r="B911" i="17"/>
  <c r="B912" i="17"/>
  <c r="B913" i="17"/>
  <c r="B914" i="17"/>
  <c r="B915" i="17"/>
  <c r="B916" i="17"/>
  <c r="P929" i="17" l="1"/>
  <c r="Q929" i="17" s="1"/>
  <c r="P919" i="17"/>
  <c r="Q919" i="17" s="1"/>
  <c r="P930" i="17"/>
  <c r="Q930" i="17" s="1"/>
  <c r="P928" i="17"/>
  <c r="Q928" i="17" s="1"/>
  <c r="P921" i="17"/>
  <c r="Q921" i="17" s="1"/>
  <c r="P917" i="17"/>
  <c r="Q917" i="17" s="1"/>
  <c r="P924" i="17"/>
  <c r="Q924" i="17" s="1"/>
  <c r="O918" i="17"/>
  <c r="Q918" i="17" s="1"/>
  <c r="P923" i="17"/>
  <c r="Q923" i="17" s="1"/>
  <c r="O926" i="17"/>
  <c r="Q926" i="17" s="1"/>
  <c r="O920" i="17"/>
  <c r="Q920" i="17" s="1"/>
  <c r="P922" i="17"/>
  <c r="Q922" i="17" s="1"/>
  <c r="O927" i="17"/>
  <c r="Q927" i="17" s="1"/>
  <c r="O925" i="17"/>
  <c r="Q925" i="17" s="1"/>
  <c r="O931" i="17"/>
  <c r="Q931" i="17" s="1"/>
  <c r="N908" i="17"/>
  <c r="O908" i="17" s="1"/>
  <c r="N915" i="17"/>
  <c r="P915" i="17" s="1"/>
  <c r="N906" i="17"/>
  <c r="O906" i="17" s="1"/>
  <c r="N910" i="17"/>
  <c r="P910" i="17" s="1"/>
  <c r="N912" i="17"/>
  <c r="O912" i="17" s="1"/>
  <c r="N911" i="17"/>
  <c r="O911" i="17" s="1"/>
  <c r="N904" i="17"/>
  <c r="O904" i="17" s="1"/>
  <c r="N916" i="17"/>
  <c r="O916" i="17" s="1"/>
  <c r="N914" i="17"/>
  <c r="O914" i="17" s="1"/>
  <c r="N913" i="17"/>
  <c r="P913" i="17" s="1"/>
  <c r="N905" i="17"/>
  <c r="O905" i="17" s="1"/>
  <c r="N907" i="17"/>
  <c r="O907" i="17" s="1"/>
  <c r="N909" i="17"/>
  <c r="O909" i="17" s="1"/>
  <c r="O915" i="17" l="1"/>
  <c r="Q915" i="17" s="1"/>
  <c r="P908" i="17"/>
  <c r="Q908" i="17" s="1"/>
  <c r="P916" i="17"/>
  <c r="Q916" i="17" s="1"/>
  <c r="P912" i="17"/>
  <c r="Q912" i="17" s="1"/>
  <c r="P906" i="17"/>
  <c r="Q906" i="17" s="1"/>
  <c r="O910" i="17"/>
  <c r="Q910" i="17" s="1"/>
  <c r="P911" i="17"/>
  <c r="Q911" i="17" s="1"/>
  <c r="P904" i="17"/>
  <c r="Q904" i="17" s="1"/>
  <c r="P914" i="17"/>
  <c r="Q914" i="17" s="1"/>
  <c r="P909" i="17"/>
  <c r="Q909" i="17" s="1"/>
  <c r="O913" i="17"/>
  <c r="Q913" i="17" s="1"/>
  <c r="P905" i="17"/>
  <c r="Q905" i="17" s="1"/>
  <c r="P907" i="17"/>
  <c r="Q907" i="17" s="1"/>
  <c r="Z72" i="3" l="1"/>
  <c r="U72" i="3"/>
  <c r="Z69" i="3" l="1"/>
  <c r="U69" i="3"/>
  <c r="AZ231" i="10"/>
  <c r="BE231" i="10"/>
  <c r="BF231" i="10"/>
  <c r="Q77" i="3" s="1"/>
  <c r="BH231" i="10"/>
  <c r="Z77" i="3" s="1"/>
  <c r="BI231" i="10"/>
  <c r="W77" i="3" s="1"/>
  <c r="BJ231" i="10"/>
  <c r="U77" i="3" s="1"/>
  <c r="BK231" i="10"/>
  <c r="AB77" i="3" s="1"/>
  <c r="BL231" i="10"/>
  <c r="AD77" i="3" s="1"/>
  <c r="BM231" i="10"/>
  <c r="AI77" i="3" s="1"/>
  <c r="BN231" i="10"/>
  <c r="AK77" i="3" s="1"/>
  <c r="BO231" i="10"/>
  <c r="BP231" i="10"/>
  <c r="BS231" i="10"/>
  <c r="BT231" i="10" s="1"/>
  <c r="E77" i="9" s="1"/>
  <c r="BU231" i="10"/>
  <c r="Z128" i="3"/>
  <c r="U128" i="3"/>
  <c r="AZ232" i="10"/>
  <c r="BE232" i="10"/>
  <c r="BF232" i="10"/>
  <c r="Q166" i="3" s="1"/>
  <c r="BH232" i="10"/>
  <c r="Z166" i="3" s="1"/>
  <c r="BI232" i="10"/>
  <c r="W166" i="3" s="1"/>
  <c r="BJ232" i="10"/>
  <c r="U166" i="3" s="1"/>
  <c r="BK232" i="10"/>
  <c r="AB166" i="3" s="1"/>
  <c r="BL232" i="10"/>
  <c r="AD166" i="3" s="1"/>
  <c r="BM232" i="10"/>
  <c r="AI166" i="3" s="1"/>
  <c r="BN232" i="10"/>
  <c r="AK166" i="3" s="1"/>
  <c r="BO232" i="10"/>
  <c r="BP232" i="10"/>
  <c r="BS232" i="10"/>
  <c r="BT232" i="10" s="1"/>
  <c r="E166" i="9" s="1"/>
  <c r="BU232" i="10"/>
  <c r="Z196" i="3"/>
  <c r="U196" i="3"/>
  <c r="Z226" i="3"/>
  <c r="U226" i="3"/>
  <c r="Z229" i="3"/>
  <c r="U229" i="3"/>
  <c r="Z264" i="3"/>
  <c r="U264" i="3"/>
  <c r="Z268" i="3"/>
  <c r="U268" i="3"/>
  <c r="L900" i="17" l="1"/>
  <c r="M900" i="17"/>
  <c r="S900" i="17"/>
  <c r="L901" i="17"/>
  <c r="M901" i="17"/>
  <c r="S901" i="17"/>
  <c r="L902" i="17"/>
  <c r="M902" i="17"/>
  <c r="S902" i="17"/>
  <c r="L903" i="17"/>
  <c r="M903" i="17"/>
  <c r="S903" i="17"/>
  <c r="B900" i="17"/>
  <c r="B901" i="17"/>
  <c r="B902" i="17"/>
  <c r="B903" i="17"/>
  <c r="N903" i="17" l="1"/>
  <c r="O903" i="17" s="1"/>
  <c r="N902" i="17"/>
  <c r="O902" i="17" s="1"/>
  <c r="N900" i="17"/>
  <c r="O900" i="17" s="1"/>
  <c r="N901" i="17"/>
  <c r="O901" i="17" s="1"/>
  <c r="P903" i="17" l="1"/>
  <c r="Q903" i="17" s="1"/>
  <c r="P902" i="17"/>
  <c r="Q902" i="17" s="1"/>
  <c r="P901" i="17"/>
  <c r="Q901" i="17" s="1"/>
  <c r="P900" i="17"/>
  <c r="Q900" i="17" s="1"/>
  <c r="AZ230" i="10" l="1"/>
  <c r="BE230" i="10"/>
  <c r="BF230" i="10"/>
  <c r="Q25" i="3" s="1"/>
  <c r="BH230" i="10"/>
  <c r="Z25" i="3" s="1"/>
  <c r="BI230" i="10"/>
  <c r="W25" i="3" s="1"/>
  <c r="BJ230" i="10"/>
  <c r="U25" i="3" s="1"/>
  <c r="BK230" i="10"/>
  <c r="AB25" i="3" s="1"/>
  <c r="BL230" i="10"/>
  <c r="AD25" i="3" s="1"/>
  <c r="BM230" i="10"/>
  <c r="AI25" i="3" s="1"/>
  <c r="BN230" i="10"/>
  <c r="AK25" i="3" s="1"/>
  <c r="BO230" i="10"/>
  <c r="BP230" i="10"/>
  <c r="BS230" i="10"/>
  <c r="BT230" i="10" s="1"/>
  <c r="E25" i="9" s="1"/>
  <c r="BU230" i="10"/>
  <c r="L753" i="17" l="1"/>
  <c r="M753" i="17"/>
  <c r="S753" i="17"/>
  <c r="L754" i="17"/>
  <c r="M754" i="17"/>
  <c r="S754" i="17"/>
  <c r="L755" i="17"/>
  <c r="M755" i="17"/>
  <c r="S755" i="17"/>
  <c r="L756" i="17"/>
  <c r="M756" i="17"/>
  <c r="S756" i="17"/>
  <c r="L757" i="17"/>
  <c r="M757" i="17"/>
  <c r="S757" i="17"/>
  <c r="L758" i="17"/>
  <c r="M758" i="17"/>
  <c r="S758" i="17"/>
  <c r="L759" i="17"/>
  <c r="M759" i="17"/>
  <c r="S759" i="17"/>
  <c r="L760" i="17"/>
  <c r="M760" i="17"/>
  <c r="S760" i="17"/>
  <c r="L761" i="17"/>
  <c r="M761" i="17"/>
  <c r="S761" i="17"/>
  <c r="L762" i="17"/>
  <c r="M762" i="17"/>
  <c r="S762" i="17"/>
  <c r="L763" i="17"/>
  <c r="M763" i="17"/>
  <c r="S763" i="17"/>
  <c r="L764" i="17"/>
  <c r="M764" i="17"/>
  <c r="S764" i="17"/>
  <c r="L765" i="17"/>
  <c r="M765" i="17"/>
  <c r="S765" i="17"/>
  <c r="L766" i="17"/>
  <c r="M766" i="17"/>
  <c r="S766" i="17"/>
  <c r="L767" i="17"/>
  <c r="M767" i="17"/>
  <c r="S767" i="17"/>
  <c r="L768" i="17"/>
  <c r="M768" i="17"/>
  <c r="S768" i="17"/>
  <c r="L769" i="17"/>
  <c r="M769" i="17"/>
  <c r="S769" i="17"/>
  <c r="L770" i="17"/>
  <c r="M770" i="17"/>
  <c r="S770" i="17"/>
  <c r="L771" i="17"/>
  <c r="M771" i="17"/>
  <c r="S771" i="17"/>
  <c r="L772" i="17"/>
  <c r="M772" i="17"/>
  <c r="S772" i="17"/>
  <c r="L773" i="17"/>
  <c r="M773" i="17"/>
  <c r="S773" i="17"/>
  <c r="L774" i="17"/>
  <c r="M774" i="17"/>
  <c r="S774" i="17"/>
  <c r="L775" i="17"/>
  <c r="M775" i="17"/>
  <c r="S775" i="17"/>
  <c r="L776" i="17"/>
  <c r="M776" i="17"/>
  <c r="S776" i="17"/>
  <c r="L777" i="17"/>
  <c r="M777" i="17"/>
  <c r="S777" i="17"/>
  <c r="L778" i="17"/>
  <c r="M778" i="17"/>
  <c r="S778" i="17"/>
  <c r="L779" i="17"/>
  <c r="M779" i="17"/>
  <c r="S779" i="17"/>
  <c r="L780" i="17"/>
  <c r="M780" i="17"/>
  <c r="S780" i="17"/>
  <c r="L781" i="17"/>
  <c r="M781" i="17"/>
  <c r="S781" i="17"/>
  <c r="L782" i="17"/>
  <c r="M782" i="17"/>
  <c r="S782" i="17"/>
  <c r="L783" i="17"/>
  <c r="M783" i="17"/>
  <c r="S783" i="17"/>
  <c r="L784" i="17"/>
  <c r="M784" i="17"/>
  <c r="S784" i="17"/>
  <c r="L785" i="17"/>
  <c r="M785" i="17"/>
  <c r="S785" i="17"/>
  <c r="L786" i="17"/>
  <c r="M786" i="17"/>
  <c r="S786" i="17"/>
  <c r="L787" i="17"/>
  <c r="M787" i="17"/>
  <c r="S787" i="17"/>
  <c r="L788" i="17"/>
  <c r="M788" i="17"/>
  <c r="S788" i="17"/>
  <c r="L789" i="17"/>
  <c r="M789" i="17"/>
  <c r="S789" i="17"/>
  <c r="L790" i="17"/>
  <c r="M790" i="17"/>
  <c r="S790" i="17"/>
  <c r="L791" i="17"/>
  <c r="M791" i="17"/>
  <c r="S791" i="17"/>
  <c r="L792" i="17"/>
  <c r="M792" i="17"/>
  <c r="S792" i="17"/>
  <c r="L793" i="17"/>
  <c r="M793" i="17"/>
  <c r="S793" i="17"/>
  <c r="L794" i="17"/>
  <c r="M794" i="17"/>
  <c r="S794" i="17"/>
  <c r="L795" i="17"/>
  <c r="M795" i="17"/>
  <c r="S795" i="17"/>
  <c r="L796" i="17"/>
  <c r="M796" i="17"/>
  <c r="S796" i="17"/>
  <c r="L797" i="17"/>
  <c r="M797" i="17"/>
  <c r="S797" i="17"/>
  <c r="L798" i="17"/>
  <c r="M798" i="17"/>
  <c r="S798" i="17"/>
  <c r="L799" i="17"/>
  <c r="M799" i="17"/>
  <c r="S799" i="17"/>
  <c r="L800" i="17"/>
  <c r="M800" i="17"/>
  <c r="S800" i="17"/>
  <c r="L801" i="17"/>
  <c r="M801" i="17"/>
  <c r="S801" i="17"/>
  <c r="L802" i="17"/>
  <c r="M802" i="17"/>
  <c r="S802" i="17"/>
  <c r="L803" i="17"/>
  <c r="M803" i="17"/>
  <c r="S803" i="17"/>
  <c r="L804" i="17"/>
  <c r="M804" i="17"/>
  <c r="S804" i="17"/>
  <c r="L805" i="17"/>
  <c r="M805" i="17"/>
  <c r="S805" i="17"/>
  <c r="L806" i="17"/>
  <c r="M806" i="17"/>
  <c r="S806" i="17"/>
  <c r="L807" i="17"/>
  <c r="M807" i="17"/>
  <c r="S807" i="17"/>
  <c r="L808" i="17"/>
  <c r="M808" i="17"/>
  <c r="S808" i="17"/>
  <c r="L809" i="17"/>
  <c r="M809" i="17"/>
  <c r="S809" i="17"/>
  <c r="L810" i="17"/>
  <c r="M810" i="17"/>
  <c r="S810" i="17"/>
  <c r="L811" i="17"/>
  <c r="M811" i="17"/>
  <c r="S811" i="17"/>
  <c r="L812" i="17"/>
  <c r="M812" i="17"/>
  <c r="S812" i="17"/>
  <c r="L813" i="17"/>
  <c r="M813" i="17"/>
  <c r="S813" i="17"/>
  <c r="L814" i="17"/>
  <c r="M814" i="17"/>
  <c r="S814" i="17"/>
  <c r="L815" i="17"/>
  <c r="M815" i="17"/>
  <c r="S815" i="17"/>
  <c r="L816" i="17"/>
  <c r="M816" i="17"/>
  <c r="S816" i="17"/>
  <c r="L817" i="17"/>
  <c r="M817" i="17"/>
  <c r="S817" i="17"/>
  <c r="L818" i="17"/>
  <c r="M818" i="17"/>
  <c r="S818" i="17"/>
  <c r="L819" i="17"/>
  <c r="M819" i="17"/>
  <c r="S819" i="17"/>
  <c r="L820" i="17"/>
  <c r="M820" i="17"/>
  <c r="S820" i="17"/>
  <c r="L821" i="17"/>
  <c r="M821" i="17"/>
  <c r="S821" i="17"/>
  <c r="L822" i="17"/>
  <c r="M822" i="17"/>
  <c r="S822" i="17"/>
  <c r="L823" i="17"/>
  <c r="M823" i="17"/>
  <c r="S823" i="17"/>
  <c r="L824" i="17"/>
  <c r="M824" i="17"/>
  <c r="S824" i="17"/>
  <c r="L825" i="17"/>
  <c r="M825" i="17"/>
  <c r="S825" i="17"/>
  <c r="L826" i="17"/>
  <c r="M826" i="17"/>
  <c r="S826" i="17"/>
  <c r="L827" i="17"/>
  <c r="M827" i="17"/>
  <c r="S827" i="17"/>
  <c r="L828" i="17"/>
  <c r="M828" i="17"/>
  <c r="S828" i="17"/>
  <c r="L829" i="17"/>
  <c r="M829" i="17"/>
  <c r="S829" i="17"/>
  <c r="L830" i="17"/>
  <c r="M830" i="17"/>
  <c r="S830" i="17"/>
  <c r="L831" i="17"/>
  <c r="M831" i="17"/>
  <c r="S831" i="17"/>
  <c r="L832" i="17"/>
  <c r="M832" i="17"/>
  <c r="S832" i="17"/>
  <c r="L833" i="17"/>
  <c r="M833" i="17"/>
  <c r="S833" i="17"/>
  <c r="L834" i="17"/>
  <c r="M834" i="17"/>
  <c r="S834" i="17"/>
  <c r="L835" i="17"/>
  <c r="M835" i="17"/>
  <c r="S835" i="17"/>
  <c r="L836" i="17"/>
  <c r="M836" i="17"/>
  <c r="S836" i="17"/>
  <c r="L837" i="17"/>
  <c r="M837" i="17"/>
  <c r="S837" i="17"/>
  <c r="L838" i="17"/>
  <c r="M838" i="17"/>
  <c r="S838" i="17"/>
  <c r="L839" i="17"/>
  <c r="M839" i="17"/>
  <c r="S839" i="17"/>
  <c r="L840" i="17"/>
  <c r="M840" i="17"/>
  <c r="S840" i="17"/>
  <c r="L841" i="17"/>
  <c r="M841" i="17"/>
  <c r="S841" i="17"/>
  <c r="L842" i="17"/>
  <c r="M842" i="17"/>
  <c r="S842" i="17"/>
  <c r="L843" i="17"/>
  <c r="M843" i="17"/>
  <c r="S843" i="17"/>
  <c r="L844" i="17"/>
  <c r="M844" i="17"/>
  <c r="S844" i="17"/>
  <c r="L845" i="17"/>
  <c r="M845" i="17"/>
  <c r="S845" i="17"/>
  <c r="L846" i="17"/>
  <c r="M846" i="17"/>
  <c r="S846" i="17"/>
  <c r="L847" i="17"/>
  <c r="M847" i="17"/>
  <c r="S847" i="17"/>
  <c r="L848" i="17"/>
  <c r="M848" i="17"/>
  <c r="S848" i="17"/>
  <c r="L849" i="17"/>
  <c r="M849" i="17"/>
  <c r="S849" i="17"/>
  <c r="L850" i="17"/>
  <c r="M850" i="17"/>
  <c r="S850" i="17"/>
  <c r="L851" i="17"/>
  <c r="M851" i="17"/>
  <c r="S851" i="17"/>
  <c r="L852" i="17"/>
  <c r="M852" i="17"/>
  <c r="S852" i="17"/>
  <c r="L853" i="17"/>
  <c r="M853" i="17"/>
  <c r="S853" i="17"/>
  <c r="L854" i="17"/>
  <c r="M854" i="17"/>
  <c r="S854" i="17"/>
  <c r="L855" i="17"/>
  <c r="M855" i="17"/>
  <c r="S855" i="17"/>
  <c r="L856" i="17"/>
  <c r="M856" i="17"/>
  <c r="S856" i="17"/>
  <c r="L857" i="17"/>
  <c r="M857" i="17"/>
  <c r="S857" i="17"/>
  <c r="L858" i="17"/>
  <c r="M858" i="17"/>
  <c r="S858" i="17"/>
  <c r="L859" i="17"/>
  <c r="M859" i="17"/>
  <c r="S859" i="17"/>
  <c r="L860" i="17"/>
  <c r="M860" i="17"/>
  <c r="S860" i="17"/>
  <c r="L861" i="17"/>
  <c r="M861" i="17"/>
  <c r="S861" i="17"/>
  <c r="L862" i="17"/>
  <c r="M862" i="17"/>
  <c r="S862" i="17"/>
  <c r="L863" i="17"/>
  <c r="M863" i="17"/>
  <c r="S863" i="17"/>
  <c r="L864" i="17"/>
  <c r="M864" i="17"/>
  <c r="S864" i="17"/>
  <c r="L865" i="17"/>
  <c r="M865" i="17"/>
  <c r="S865" i="17"/>
  <c r="L866" i="17"/>
  <c r="M866" i="17"/>
  <c r="S866" i="17"/>
  <c r="L867" i="17"/>
  <c r="M867" i="17"/>
  <c r="S867" i="17"/>
  <c r="L868" i="17"/>
  <c r="M868" i="17"/>
  <c r="S868" i="17"/>
  <c r="L869" i="17"/>
  <c r="M869" i="17"/>
  <c r="S869" i="17"/>
  <c r="L870" i="17"/>
  <c r="M870" i="17"/>
  <c r="S870" i="17"/>
  <c r="L871" i="17"/>
  <c r="M871" i="17"/>
  <c r="S871" i="17"/>
  <c r="L872" i="17"/>
  <c r="M872" i="17"/>
  <c r="S872" i="17"/>
  <c r="L873" i="17"/>
  <c r="M873" i="17"/>
  <c r="S873" i="17"/>
  <c r="L874" i="17"/>
  <c r="M874" i="17"/>
  <c r="S874" i="17"/>
  <c r="L875" i="17"/>
  <c r="M875" i="17"/>
  <c r="S875" i="17"/>
  <c r="L876" i="17"/>
  <c r="M876" i="17"/>
  <c r="S876" i="17"/>
  <c r="L877" i="17"/>
  <c r="M877" i="17"/>
  <c r="S877" i="17"/>
  <c r="L878" i="17"/>
  <c r="M878" i="17"/>
  <c r="S878" i="17"/>
  <c r="L879" i="17"/>
  <c r="M879" i="17"/>
  <c r="S879" i="17"/>
  <c r="L880" i="17"/>
  <c r="M880" i="17"/>
  <c r="S880" i="17"/>
  <c r="L881" i="17"/>
  <c r="M881" i="17"/>
  <c r="S881" i="17"/>
  <c r="L882" i="17"/>
  <c r="M882" i="17"/>
  <c r="S882" i="17"/>
  <c r="L883" i="17"/>
  <c r="M883" i="17"/>
  <c r="S883" i="17"/>
  <c r="L884" i="17"/>
  <c r="M884" i="17"/>
  <c r="S884" i="17"/>
  <c r="L885" i="17"/>
  <c r="M885" i="17"/>
  <c r="S885" i="17"/>
  <c r="L886" i="17"/>
  <c r="M886" i="17"/>
  <c r="S886" i="17"/>
  <c r="L887" i="17"/>
  <c r="M887" i="17"/>
  <c r="S887" i="17"/>
  <c r="L888" i="17"/>
  <c r="M888" i="17"/>
  <c r="S888" i="17"/>
  <c r="L889" i="17"/>
  <c r="M889" i="17"/>
  <c r="S889" i="17"/>
  <c r="L890" i="17"/>
  <c r="M890" i="17"/>
  <c r="S890" i="17"/>
  <c r="L891" i="17"/>
  <c r="M891" i="17"/>
  <c r="S891" i="17"/>
  <c r="L892" i="17"/>
  <c r="M892" i="17"/>
  <c r="S892" i="17"/>
  <c r="L893" i="17"/>
  <c r="M893" i="17"/>
  <c r="S893" i="17"/>
  <c r="L894" i="17"/>
  <c r="M894" i="17"/>
  <c r="S894" i="17"/>
  <c r="L895" i="17"/>
  <c r="M895" i="17"/>
  <c r="S895" i="17"/>
  <c r="L896" i="17"/>
  <c r="M896" i="17"/>
  <c r="S896" i="17"/>
  <c r="L897" i="17"/>
  <c r="M897" i="17"/>
  <c r="S897" i="17"/>
  <c r="L898" i="17"/>
  <c r="M898" i="17"/>
  <c r="S898" i="17"/>
  <c r="L899" i="17"/>
  <c r="M899" i="17"/>
  <c r="S899" i="17"/>
  <c r="B753" i="17"/>
  <c r="B754" i="17"/>
  <c r="B755" i="17"/>
  <c r="B756" i="17"/>
  <c r="B757" i="17"/>
  <c r="B758" i="17"/>
  <c r="B759" i="17"/>
  <c r="B760" i="17"/>
  <c r="B761" i="17"/>
  <c r="B762" i="17"/>
  <c r="B763" i="17"/>
  <c r="B764" i="17"/>
  <c r="B765" i="17"/>
  <c r="B766" i="17"/>
  <c r="B767" i="17"/>
  <c r="B768" i="17"/>
  <c r="B769" i="17"/>
  <c r="B770" i="17"/>
  <c r="B771" i="17"/>
  <c r="B772" i="17"/>
  <c r="B773" i="17"/>
  <c r="B774" i="17"/>
  <c r="B775" i="17"/>
  <c r="B776" i="17"/>
  <c r="B777" i="17"/>
  <c r="B778" i="17"/>
  <c r="B779" i="17"/>
  <c r="B780" i="17"/>
  <c r="B781" i="17"/>
  <c r="B782" i="17"/>
  <c r="B783" i="17"/>
  <c r="B784" i="17"/>
  <c r="B785" i="17"/>
  <c r="B786" i="17"/>
  <c r="B787" i="17"/>
  <c r="B788" i="17"/>
  <c r="B789" i="17"/>
  <c r="B790" i="17"/>
  <c r="B791" i="17"/>
  <c r="B792" i="17"/>
  <c r="B793" i="17"/>
  <c r="B794" i="17"/>
  <c r="B795" i="17"/>
  <c r="B796" i="17"/>
  <c r="B797" i="17"/>
  <c r="B798" i="17"/>
  <c r="B799" i="17"/>
  <c r="B800" i="17"/>
  <c r="B801" i="17"/>
  <c r="B802" i="17"/>
  <c r="B803" i="17"/>
  <c r="B804" i="17"/>
  <c r="B805" i="17"/>
  <c r="B806" i="17"/>
  <c r="B807" i="17"/>
  <c r="B808" i="17"/>
  <c r="B809" i="17"/>
  <c r="B810" i="17"/>
  <c r="B811" i="17"/>
  <c r="B812" i="17"/>
  <c r="B813" i="17"/>
  <c r="B814" i="17"/>
  <c r="B815" i="17"/>
  <c r="B816" i="17"/>
  <c r="B817" i="17"/>
  <c r="B818" i="17"/>
  <c r="B819" i="17"/>
  <c r="B820" i="17"/>
  <c r="B821" i="17"/>
  <c r="B822" i="17"/>
  <c r="B823" i="17"/>
  <c r="B824" i="17"/>
  <c r="B825" i="17"/>
  <c r="B826" i="17"/>
  <c r="B827" i="17"/>
  <c r="B828" i="17"/>
  <c r="B829" i="17"/>
  <c r="B830" i="17"/>
  <c r="B831" i="17"/>
  <c r="B832" i="17"/>
  <c r="B833" i="17"/>
  <c r="B834" i="17"/>
  <c r="B835" i="17"/>
  <c r="B836" i="17"/>
  <c r="B837" i="17"/>
  <c r="B838" i="17"/>
  <c r="B839" i="17"/>
  <c r="B840" i="17"/>
  <c r="B841" i="17"/>
  <c r="B842" i="17"/>
  <c r="B843" i="17"/>
  <c r="B844" i="17"/>
  <c r="B845" i="17"/>
  <c r="B846" i="17"/>
  <c r="B847" i="17"/>
  <c r="B848" i="17"/>
  <c r="B849" i="17"/>
  <c r="B850" i="17"/>
  <c r="B851" i="17"/>
  <c r="B852" i="17"/>
  <c r="B853" i="17"/>
  <c r="B854" i="17"/>
  <c r="B855" i="17"/>
  <c r="B856" i="17"/>
  <c r="B857" i="17"/>
  <c r="B858" i="17"/>
  <c r="B859" i="17"/>
  <c r="B860" i="17"/>
  <c r="B861" i="17"/>
  <c r="B862" i="17"/>
  <c r="B863" i="17"/>
  <c r="B864" i="17"/>
  <c r="B865" i="17"/>
  <c r="B866" i="17"/>
  <c r="B867" i="17"/>
  <c r="B868" i="17"/>
  <c r="B869" i="17"/>
  <c r="B870" i="17"/>
  <c r="B871" i="17"/>
  <c r="B872" i="17"/>
  <c r="B873" i="17"/>
  <c r="B874" i="17"/>
  <c r="B875" i="17"/>
  <c r="B876" i="17"/>
  <c r="B877" i="17"/>
  <c r="B878" i="17"/>
  <c r="B879" i="17"/>
  <c r="B880" i="17"/>
  <c r="B881" i="17"/>
  <c r="B882" i="17"/>
  <c r="B883" i="17"/>
  <c r="B884" i="17"/>
  <c r="B885" i="17"/>
  <c r="B886" i="17"/>
  <c r="B887" i="17"/>
  <c r="B888" i="17"/>
  <c r="B889" i="17"/>
  <c r="B890" i="17"/>
  <c r="B891" i="17"/>
  <c r="B892" i="17"/>
  <c r="B893" i="17"/>
  <c r="B894" i="17"/>
  <c r="B895" i="17"/>
  <c r="B896" i="17"/>
  <c r="B897" i="17"/>
  <c r="B898" i="17"/>
  <c r="B899" i="17"/>
  <c r="AZ194" i="10"/>
  <c r="BE194" i="10"/>
  <c r="BF194" i="10"/>
  <c r="Q5" i="3" s="1"/>
  <c r="BH194" i="10"/>
  <c r="Z5" i="3" s="1"/>
  <c r="BI194" i="10"/>
  <c r="W5" i="3" s="1"/>
  <c r="BJ194" i="10"/>
  <c r="U5" i="3" s="1"/>
  <c r="BK194" i="10"/>
  <c r="AB5" i="3" s="1"/>
  <c r="BL194" i="10"/>
  <c r="AD5" i="3" s="1"/>
  <c r="BM194" i="10"/>
  <c r="AI5" i="3" s="1"/>
  <c r="BN194" i="10"/>
  <c r="AK5" i="3" s="1"/>
  <c r="BO194" i="10"/>
  <c r="BP194" i="10"/>
  <c r="BS194" i="10"/>
  <c r="BT194" i="10" s="1"/>
  <c r="E5" i="9" s="1"/>
  <c r="BU194" i="10"/>
  <c r="AZ195" i="10"/>
  <c r="BE195" i="10"/>
  <c r="BF195" i="10"/>
  <c r="Q17" i="3" s="1"/>
  <c r="BH195" i="10"/>
  <c r="Z17" i="3" s="1"/>
  <c r="BI195" i="10"/>
  <c r="W17" i="3" s="1"/>
  <c r="BJ195" i="10"/>
  <c r="U17" i="3" s="1"/>
  <c r="BK195" i="10"/>
  <c r="AB17" i="3" s="1"/>
  <c r="BL195" i="10"/>
  <c r="AD17" i="3" s="1"/>
  <c r="BM195" i="10"/>
  <c r="AI17" i="3" s="1"/>
  <c r="BN195" i="10"/>
  <c r="AK17" i="3" s="1"/>
  <c r="BO195" i="10"/>
  <c r="BP195" i="10"/>
  <c r="BS195" i="10"/>
  <c r="BT195" i="10" s="1"/>
  <c r="E17" i="9" s="1"/>
  <c r="BU195" i="10"/>
  <c r="AZ196" i="10"/>
  <c r="BE196" i="10"/>
  <c r="BF196" i="10"/>
  <c r="Q26" i="3" s="1"/>
  <c r="BH196" i="10"/>
  <c r="Z26" i="3" s="1"/>
  <c r="BI196" i="10"/>
  <c r="W26" i="3" s="1"/>
  <c r="BJ196" i="10"/>
  <c r="U26" i="3" s="1"/>
  <c r="BK196" i="10"/>
  <c r="AB26" i="3" s="1"/>
  <c r="BL196" i="10"/>
  <c r="AD26" i="3" s="1"/>
  <c r="BM196" i="10"/>
  <c r="AI26" i="3" s="1"/>
  <c r="BN196" i="10"/>
  <c r="AK26" i="3" s="1"/>
  <c r="BO196" i="10"/>
  <c r="BP196" i="10"/>
  <c r="BS196" i="10"/>
  <c r="BT196" i="10" s="1"/>
  <c r="E26" i="9" s="1"/>
  <c r="BU196" i="10"/>
  <c r="AZ197" i="10"/>
  <c r="BE197" i="10"/>
  <c r="BF197" i="10"/>
  <c r="Q31" i="3" s="1"/>
  <c r="BH197" i="10"/>
  <c r="Z31" i="3" s="1"/>
  <c r="BI197" i="10"/>
  <c r="W31" i="3" s="1"/>
  <c r="BJ197" i="10"/>
  <c r="U31" i="3" s="1"/>
  <c r="BK197" i="10"/>
  <c r="AB31" i="3" s="1"/>
  <c r="BL197" i="10"/>
  <c r="AD31" i="3" s="1"/>
  <c r="BM197" i="10"/>
  <c r="AI31" i="3" s="1"/>
  <c r="BN197" i="10"/>
  <c r="AK31" i="3" s="1"/>
  <c r="BO197" i="10"/>
  <c r="BP197" i="10"/>
  <c r="BS197" i="10"/>
  <c r="BT197" i="10" s="1"/>
  <c r="E31" i="9" s="1"/>
  <c r="BU197" i="10"/>
  <c r="AZ198" i="10"/>
  <c r="BE198" i="10"/>
  <c r="BF198" i="10"/>
  <c r="Q35" i="3" s="1"/>
  <c r="BH198" i="10"/>
  <c r="Z35" i="3" s="1"/>
  <c r="BI198" i="10"/>
  <c r="W35" i="3" s="1"/>
  <c r="BJ198" i="10"/>
  <c r="U35" i="3" s="1"/>
  <c r="BK198" i="10"/>
  <c r="AB35" i="3" s="1"/>
  <c r="BL198" i="10"/>
  <c r="AD35" i="3" s="1"/>
  <c r="BM198" i="10"/>
  <c r="AI35" i="3" s="1"/>
  <c r="BN198" i="10"/>
  <c r="AK35" i="3" s="1"/>
  <c r="BO198" i="10"/>
  <c r="BP198" i="10"/>
  <c r="BS198" i="10"/>
  <c r="BT198" i="10" s="1"/>
  <c r="E35" i="9" s="1"/>
  <c r="BU198" i="10"/>
  <c r="AZ199" i="10"/>
  <c r="BE199" i="10"/>
  <c r="BF199" i="10"/>
  <c r="Q42" i="3" s="1"/>
  <c r="BH199" i="10"/>
  <c r="Z42" i="3" s="1"/>
  <c r="BI199" i="10"/>
  <c r="W42" i="3" s="1"/>
  <c r="BJ199" i="10"/>
  <c r="U42" i="3" s="1"/>
  <c r="BK199" i="10"/>
  <c r="AB42" i="3" s="1"/>
  <c r="BL199" i="10"/>
  <c r="AD42" i="3" s="1"/>
  <c r="BM199" i="10"/>
  <c r="AI42" i="3" s="1"/>
  <c r="BN199" i="10"/>
  <c r="AK42" i="3" s="1"/>
  <c r="BO199" i="10"/>
  <c r="BP199" i="10"/>
  <c r="BS199" i="10"/>
  <c r="BT199" i="10" s="1"/>
  <c r="E42" i="9" s="1"/>
  <c r="BU199" i="10"/>
  <c r="Q43" i="3"/>
  <c r="Z43" i="3"/>
  <c r="W43" i="3"/>
  <c r="U43" i="3"/>
  <c r="AB43" i="3"/>
  <c r="AD43" i="3"/>
  <c r="AI43" i="3"/>
  <c r="AK43" i="3"/>
  <c r="Q44" i="3"/>
  <c r="Z44" i="3"/>
  <c r="W44" i="3"/>
  <c r="U44" i="3"/>
  <c r="AB44" i="3"/>
  <c r="AD44" i="3"/>
  <c r="AI44" i="3"/>
  <c r="AK44" i="3"/>
  <c r="AZ200" i="10"/>
  <c r="BE200" i="10"/>
  <c r="BF200" i="10"/>
  <c r="Q48" i="3" s="1"/>
  <c r="BH200" i="10"/>
  <c r="Z48" i="3" s="1"/>
  <c r="BI200" i="10"/>
  <c r="W48" i="3" s="1"/>
  <c r="BJ200" i="10"/>
  <c r="U48" i="3" s="1"/>
  <c r="BK200" i="10"/>
  <c r="AB48" i="3" s="1"/>
  <c r="BL200" i="10"/>
  <c r="AD48" i="3" s="1"/>
  <c r="BM200" i="10"/>
  <c r="AI48" i="3" s="1"/>
  <c r="BN200" i="10"/>
  <c r="AK48" i="3" s="1"/>
  <c r="BO200" i="10"/>
  <c r="BP200" i="10"/>
  <c r="BS200" i="10"/>
  <c r="BT200" i="10" s="1"/>
  <c r="E48" i="9" s="1"/>
  <c r="BU200" i="10"/>
  <c r="AZ201" i="10"/>
  <c r="BE201" i="10"/>
  <c r="BF201" i="10"/>
  <c r="Q73" i="3" s="1"/>
  <c r="BH201" i="10"/>
  <c r="Z73" i="3" s="1"/>
  <c r="BI201" i="10"/>
  <c r="W73" i="3" s="1"/>
  <c r="BJ201" i="10"/>
  <c r="U73" i="3" s="1"/>
  <c r="BK201" i="10"/>
  <c r="AB73" i="3" s="1"/>
  <c r="BL201" i="10"/>
  <c r="AD73" i="3" s="1"/>
  <c r="BM201" i="10"/>
  <c r="AI73" i="3" s="1"/>
  <c r="BN201" i="10"/>
  <c r="AK73" i="3" s="1"/>
  <c r="BO201" i="10"/>
  <c r="BP201" i="10"/>
  <c r="BS201" i="10"/>
  <c r="BT201" i="10" s="1"/>
  <c r="E73" i="9" s="1"/>
  <c r="BU201" i="10"/>
  <c r="AZ202" i="10"/>
  <c r="BE202" i="10"/>
  <c r="BF202" i="10"/>
  <c r="Q74" i="3" s="1"/>
  <c r="BH202" i="10"/>
  <c r="Z74" i="3" s="1"/>
  <c r="BI202" i="10"/>
  <c r="W74" i="3" s="1"/>
  <c r="BJ202" i="10"/>
  <c r="U74" i="3" s="1"/>
  <c r="BK202" i="10"/>
  <c r="AB74" i="3" s="1"/>
  <c r="BL202" i="10"/>
  <c r="AD74" i="3" s="1"/>
  <c r="BM202" i="10"/>
  <c r="AI74" i="3" s="1"/>
  <c r="BN202" i="10"/>
  <c r="AK74" i="3" s="1"/>
  <c r="BO202" i="10"/>
  <c r="BP202" i="10"/>
  <c r="BS202" i="10"/>
  <c r="BT202" i="10" s="1"/>
  <c r="E74" i="9" s="1"/>
  <c r="BU202" i="10"/>
  <c r="AZ203" i="10"/>
  <c r="BE203" i="10"/>
  <c r="BF203" i="10"/>
  <c r="Q76" i="3" s="1"/>
  <c r="BH203" i="10"/>
  <c r="Z76" i="3" s="1"/>
  <c r="BI203" i="10"/>
  <c r="W76" i="3" s="1"/>
  <c r="BJ203" i="10"/>
  <c r="U76" i="3" s="1"/>
  <c r="BK203" i="10"/>
  <c r="AB76" i="3" s="1"/>
  <c r="BL203" i="10"/>
  <c r="AD76" i="3" s="1"/>
  <c r="BM203" i="10"/>
  <c r="AI76" i="3" s="1"/>
  <c r="BN203" i="10"/>
  <c r="AK76" i="3" s="1"/>
  <c r="BO203" i="10"/>
  <c r="BP203" i="10"/>
  <c r="BS203" i="10"/>
  <c r="BT203" i="10" s="1"/>
  <c r="E76" i="9" s="1"/>
  <c r="BU203" i="10"/>
  <c r="AZ204" i="10"/>
  <c r="BE204" i="10"/>
  <c r="BF204" i="10"/>
  <c r="Q78" i="3" s="1"/>
  <c r="BH204" i="10"/>
  <c r="Z78" i="3" s="1"/>
  <c r="BI204" i="10"/>
  <c r="W78" i="3" s="1"/>
  <c r="BJ204" i="10"/>
  <c r="U78" i="3" s="1"/>
  <c r="BK204" i="10"/>
  <c r="AB78" i="3" s="1"/>
  <c r="BL204" i="10"/>
  <c r="AD78" i="3" s="1"/>
  <c r="BM204" i="10"/>
  <c r="AI78" i="3" s="1"/>
  <c r="BN204" i="10"/>
  <c r="AK78" i="3" s="1"/>
  <c r="BO204" i="10"/>
  <c r="BP204" i="10"/>
  <c r="BS204" i="10"/>
  <c r="BT204" i="10" s="1"/>
  <c r="E78" i="9" s="1"/>
  <c r="BU204" i="10"/>
  <c r="AZ205" i="10"/>
  <c r="BE205" i="10"/>
  <c r="BF205" i="10"/>
  <c r="Q79" i="3" s="1"/>
  <c r="BH205" i="10"/>
  <c r="Z79" i="3" s="1"/>
  <c r="BI205" i="10"/>
  <c r="W79" i="3" s="1"/>
  <c r="BJ205" i="10"/>
  <c r="U79" i="3" s="1"/>
  <c r="BK205" i="10"/>
  <c r="AB79" i="3" s="1"/>
  <c r="BL205" i="10"/>
  <c r="AD79" i="3" s="1"/>
  <c r="BM205" i="10"/>
  <c r="AI79" i="3" s="1"/>
  <c r="BN205" i="10"/>
  <c r="AK79" i="3" s="1"/>
  <c r="BO205" i="10"/>
  <c r="BP205" i="10"/>
  <c r="BS205" i="10"/>
  <c r="BT205" i="10" s="1"/>
  <c r="E79" i="9" s="1"/>
  <c r="BU205" i="10"/>
  <c r="Q81" i="3"/>
  <c r="Z81" i="3"/>
  <c r="W81" i="3"/>
  <c r="U81" i="3"/>
  <c r="AB81" i="3"/>
  <c r="AD81" i="3"/>
  <c r="AI81" i="3"/>
  <c r="AK81" i="3"/>
  <c r="AZ206" i="10"/>
  <c r="BE206" i="10"/>
  <c r="BF206" i="10"/>
  <c r="Q87" i="3" s="1"/>
  <c r="BH206" i="10"/>
  <c r="Z87" i="3" s="1"/>
  <c r="BI206" i="10"/>
  <c r="W87" i="3" s="1"/>
  <c r="BJ206" i="10"/>
  <c r="U87" i="3" s="1"/>
  <c r="BK206" i="10"/>
  <c r="AB87" i="3" s="1"/>
  <c r="BL206" i="10"/>
  <c r="AD87" i="3" s="1"/>
  <c r="BM206" i="10"/>
  <c r="AI87" i="3" s="1"/>
  <c r="BN206" i="10"/>
  <c r="AK87" i="3" s="1"/>
  <c r="BO206" i="10"/>
  <c r="BP206" i="10"/>
  <c r="BS206" i="10"/>
  <c r="BT206" i="10" s="1"/>
  <c r="E87" i="9" s="1"/>
  <c r="BU206" i="10"/>
  <c r="Z107" i="3"/>
  <c r="U107" i="3"/>
  <c r="AZ207" i="10"/>
  <c r="BE207" i="10"/>
  <c r="BF207" i="10"/>
  <c r="Q109" i="3" s="1"/>
  <c r="BH207" i="10"/>
  <c r="Z109" i="3" s="1"/>
  <c r="BI207" i="10"/>
  <c r="W109" i="3" s="1"/>
  <c r="BJ207" i="10"/>
  <c r="U109" i="3" s="1"/>
  <c r="BK207" i="10"/>
  <c r="AB109" i="3" s="1"/>
  <c r="BL207" i="10"/>
  <c r="AD109" i="3" s="1"/>
  <c r="BM207" i="10"/>
  <c r="AI109" i="3" s="1"/>
  <c r="BN207" i="10"/>
  <c r="AK109" i="3" s="1"/>
  <c r="BO207" i="10"/>
  <c r="BP207" i="10"/>
  <c r="BS207" i="10"/>
  <c r="BT207" i="10" s="1"/>
  <c r="E109" i="9" s="1"/>
  <c r="BU207" i="10"/>
  <c r="AZ208" i="10"/>
  <c r="BE208" i="10"/>
  <c r="BF208" i="10"/>
  <c r="Q110" i="3" s="1"/>
  <c r="BH208" i="10"/>
  <c r="Z110" i="3" s="1"/>
  <c r="BI208" i="10"/>
  <c r="W110" i="3" s="1"/>
  <c r="BJ208" i="10"/>
  <c r="U110" i="3" s="1"/>
  <c r="BK208" i="10"/>
  <c r="AB110" i="3" s="1"/>
  <c r="BL208" i="10"/>
  <c r="AD110" i="3" s="1"/>
  <c r="BM208" i="10"/>
  <c r="AI110" i="3" s="1"/>
  <c r="BN208" i="10"/>
  <c r="AK110" i="3" s="1"/>
  <c r="BO208" i="10"/>
  <c r="BP208" i="10"/>
  <c r="BS208" i="10"/>
  <c r="BT208" i="10" s="1"/>
  <c r="E110" i="9" s="1"/>
  <c r="BU208" i="10"/>
  <c r="AZ209" i="10"/>
  <c r="BE209" i="10"/>
  <c r="BF209" i="10"/>
  <c r="Q112" i="3" s="1"/>
  <c r="BH209" i="10"/>
  <c r="Z112" i="3" s="1"/>
  <c r="BI209" i="10"/>
  <c r="W112" i="3" s="1"/>
  <c r="BJ209" i="10"/>
  <c r="U112" i="3" s="1"/>
  <c r="BK209" i="10"/>
  <c r="AB112" i="3" s="1"/>
  <c r="BL209" i="10"/>
  <c r="AD112" i="3" s="1"/>
  <c r="BM209" i="10"/>
  <c r="AI112" i="3" s="1"/>
  <c r="BN209" i="10"/>
  <c r="AK112" i="3" s="1"/>
  <c r="BO209" i="10"/>
  <c r="BP209" i="10"/>
  <c r="BS209" i="10"/>
  <c r="BT209" i="10" s="1"/>
  <c r="E112" i="9" s="1"/>
  <c r="BU209" i="10"/>
  <c r="AZ210" i="10"/>
  <c r="BE210" i="10"/>
  <c r="BF210" i="10"/>
  <c r="Q117" i="3" s="1"/>
  <c r="BH210" i="10"/>
  <c r="Z117" i="3" s="1"/>
  <c r="BI210" i="10"/>
  <c r="W117" i="3" s="1"/>
  <c r="BJ210" i="10"/>
  <c r="U117" i="3" s="1"/>
  <c r="BK210" i="10"/>
  <c r="AB117" i="3" s="1"/>
  <c r="BL210" i="10"/>
  <c r="AD117" i="3" s="1"/>
  <c r="BM210" i="10"/>
  <c r="AI117" i="3" s="1"/>
  <c r="BN210" i="10"/>
  <c r="AK117" i="3" s="1"/>
  <c r="BO210" i="10"/>
  <c r="BP210" i="10"/>
  <c r="BS210" i="10"/>
  <c r="BT210" i="10" s="1"/>
  <c r="E117" i="9" s="1"/>
  <c r="BU210" i="10"/>
  <c r="Q121" i="3"/>
  <c r="Z121" i="3"/>
  <c r="W121" i="3"/>
  <c r="U121" i="3"/>
  <c r="AB121" i="3"/>
  <c r="AD121" i="3"/>
  <c r="AI121" i="3"/>
  <c r="AK121" i="3"/>
  <c r="AZ211" i="10"/>
  <c r="BE211" i="10"/>
  <c r="BF211" i="10"/>
  <c r="Q125" i="3" s="1"/>
  <c r="BH211" i="10"/>
  <c r="Z125" i="3" s="1"/>
  <c r="BI211" i="10"/>
  <c r="W125" i="3" s="1"/>
  <c r="BJ211" i="10"/>
  <c r="U125" i="3" s="1"/>
  <c r="BK211" i="10"/>
  <c r="AB125" i="3" s="1"/>
  <c r="BL211" i="10"/>
  <c r="AD125" i="3" s="1"/>
  <c r="BM211" i="10"/>
  <c r="AI125" i="3" s="1"/>
  <c r="BN211" i="10"/>
  <c r="AK125" i="3" s="1"/>
  <c r="BO211" i="10"/>
  <c r="BP211" i="10"/>
  <c r="BS211" i="10"/>
  <c r="BT211" i="10" s="1"/>
  <c r="E125" i="9" s="1"/>
  <c r="BU211" i="10"/>
  <c r="Z147" i="3"/>
  <c r="U147" i="3"/>
  <c r="AZ212" i="10"/>
  <c r="BE212" i="10"/>
  <c r="BF212" i="10"/>
  <c r="Q148" i="3" s="1"/>
  <c r="BH212" i="10"/>
  <c r="Z148" i="3" s="1"/>
  <c r="BI212" i="10"/>
  <c r="W148" i="3" s="1"/>
  <c r="BJ212" i="10"/>
  <c r="U148" i="3" s="1"/>
  <c r="BK212" i="10"/>
  <c r="AB148" i="3" s="1"/>
  <c r="BL212" i="10"/>
  <c r="AD148" i="3" s="1"/>
  <c r="BM212" i="10"/>
  <c r="AI148" i="3" s="1"/>
  <c r="BN212" i="10"/>
  <c r="AK148" i="3" s="1"/>
  <c r="BO212" i="10"/>
  <c r="BP212" i="10"/>
  <c r="BS212" i="10"/>
  <c r="BT212" i="10" s="1"/>
  <c r="E148" i="9" s="1"/>
  <c r="BU212" i="10"/>
  <c r="AZ213" i="10"/>
  <c r="BE213" i="10"/>
  <c r="BF213" i="10"/>
  <c r="Q157" i="3" s="1"/>
  <c r="BH213" i="10"/>
  <c r="Z157" i="3" s="1"/>
  <c r="BI213" i="10"/>
  <c r="W157" i="3" s="1"/>
  <c r="BJ213" i="10"/>
  <c r="U157" i="3" s="1"/>
  <c r="BK213" i="10"/>
  <c r="AB157" i="3" s="1"/>
  <c r="BL213" i="10"/>
  <c r="AD157" i="3" s="1"/>
  <c r="BM213" i="10"/>
  <c r="AI157" i="3" s="1"/>
  <c r="BN213" i="10"/>
  <c r="AK157" i="3" s="1"/>
  <c r="BO213" i="10"/>
  <c r="BP213" i="10"/>
  <c r="BS213" i="10"/>
  <c r="BT213" i="10" s="1"/>
  <c r="E157" i="9" s="1"/>
  <c r="BU213" i="10"/>
  <c r="Q164" i="3"/>
  <c r="Z164" i="3"/>
  <c r="W164" i="3"/>
  <c r="U164" i="3"/>
  <c r="AB164" i="3"/>
  <c r="AD164" i="3"/>
  <c r="AI164" i="3"/>
  <c r="AK164" i="3"/>
  <c r="AZ214" i="10"/>
  <c r="BE214" i="10"/>
  <c r="BF214" i="10"/>
  <c r="Q165" i="3" s="1"/>
  <c r="BH214" i="10"/>
  <c r="Z165" i="3" s="1"/>
  <c r="BI214" i="10"/>
  <c r="W165" i="3" s="1"/>
  <c r="BJ214" i="10"/>
  <c r="U165" i="3" s="1"/>
  <c r="BK214" i="10"/>
  <c r="AB165" i="3" s="1"/>
  <c r="BL214" i="10"/>
  <c r="AD165" i="3" s="1"/>
  <c r="BM214" i="10"/>
  <c r="AI165" i="3" s="1"/>
  <c r="BN214" i="10"/>
  <c r="AK165" i="3" s="1"/>
  <c r="BO214" i="10"/>
  <c r="BP214" i="10"/>
  <c r="BS214" i="10"/>
  <c r="BT214" i="10" s="1"/>
  <c r="E165" i="9" s="1"/>
  <c r="BU214" i="10"/>
  <c r="AZ215" i="10"/>
  <c r="BE215" i="10"/>
  <c r="BF215" i="10"/>
  <c r="Q169" i="3" s="1"/>
  <c r="BH215" i="10"/>
  <c r="Z169" i="3" s="1"/>
  <c r="BI215" i="10"/>
  <c r="W169" i="3" s="1"/>
  <c r="BJ215" i="10"/>
  <c r="U169" i="3" s="1"/>
  <c r="BK215" i="10"/>
  <c r="AB169" i="3" s="1"/>
  <c r="BL215" i="10"/>
  <c r="AD169" i="3" s="1"/>
  <c r="BM215" i="10"/>
  <c r="AI169" i="3" s="1"/>
  <c r="BN215" i="10"/>
  <c r="AK169" i="3" s="1"/>
  <c r="BO215" i="10"/>
  <c r="BP215" i="10"/>
  <c r="BS215" i="10"/>
  <c r="BT215" i="10" s="1"/>
  <c r="E169" i="9" s="1"/>
  <c r="BU215" i="10"/>
  <c r="Q180" i="3"/>
  <c r="Z180" i="3"/>
  <c r="W180" i="3"/>
  <c r="U180" i="3"/>
  <c r="AB180" i="3"/>
  <c r="AD180" i="3"/>
  <c r="AI180" i="3"/>
  <c r="AK180" i="3"/>
  <c r="Q194" i="3"/>
  <c r="Z194" i="3"/>
  <c r="W194" i="3"/>
  <c r="U194" i="3"/>
  <c r="AB194" i="3"/>
  <c r="AD194" i="3"/>
  <c r="AI194" i="3"/>
  <c r="AK194" i="3"/>
  <c r="AZ216" i="10"/>
  <c r="BE216" i="10"/>
  <c r="BF216" i="10"/>
  <c r="Q195" i="3" s="1"/>
  <c r="BH216" i="10"/>
  <c r="Z195" i="3" s="1"/>
  <c r="BI216" i="10"/>
  <c r="W195" i="3" s="1"/>
  <c r="BJ216" i="10"/>
  <c r="U195" i="3" s="1"/>
  <c r="BK216" i="10"/>
  <c r="AB195" i="3" s="1"/>
  <c r="BL216" i="10"/>
  <c r="AD195" i="3" s="1"/>
  <c r="BM216" i="10"/>
  <c r="AI195" i="3" s="1"/>
  <c r="BN216" i="10"/>
  <c r="AK195" i="3" s="1"/>
  <c r="BO216" i="10"/>
  <c r="BP216" i="10"/>
  <c r="BS216" i="10"/>
  <c r="BT216" i="10" s="1"/>
  <c r="E195" i="9" s="1"/>
  <c r="BU216" i="10"/>
  <c r="AZ217" i="10"/>
  <c r="BE217" i="10"/>
  <c r="BF217" i="10"/>
  <c r="Q201" i="3" s="1"/>
  <c r="BH217" i="10"/>
  <c r="Z201" i="3" s="1"/>
  <c r="BI217" i="10"/>
  <c r="W201" i="3" s="1"/>
  <c r="BJ217" i="10"/>
  <c r="U201" i="3" s="1"/>
  <c r="BK217" i="10"/>
  <c r="AB201" i="3" s="1"/>
  <c r="BL217" i="10"/>
  <c r="AD201" i="3" s="1"/>
  <c r="BM217" i="10"/>
  <c r="AI201" i="3" s="1"/>
  <c r="BN217" i="10"/>
  <c r="AK201" i="3" s="1"/>
  <c r="BO217" i="10"/>
  <c r="BP217" i="10"/>
  <c r="BS217" i="10"/>
  <c r="BT217" i="10" s="1"/>
  <c r="E201" i="9" s="1"/>
  <c r="BU217" i="10"/>
  <c r="Z210" i="3"/>
  <c r="U210" i="3"/>
  <c r="AZ218" i="10"/>
  <c r="BE218" i="10"/>
  <c r="BF218" i="10"/>
  <c r="Q228" i="3" s="1"/>
  <c r="BH218" i="10"/>
  <c r="Z228" i="3" s="1"/>
  <c r="BI218" i="10"/>
  <c r="W228" i="3" s="1"/>
  <c r="BJ218" i="10"/>
  <c r="U228" i="3" s="1"/>
  <c r="BK218" i="10"/>
  <c r="AB228" i="3" s="1"/>
  <c r="BL218" i="10"/>
  <c r="AD228" i="3" s="1"/>
  <c r="BM218" i="10"/>
  <c r="AI228" i="3" s="1"/>
  <c r="BN218" i="10"/>
  <c r="AK228" i="3" s="1"/>
  <c r="BO218" i="10"/>
  <c r="BP218" i="10"/>
  <c r="BS218" i="10"/>
  <c r="BT218" i="10" s="1"/>
  <c r="E228" i="9" s="1"/>
  <c r="BU218" i="10"/>
  <c r="AZ219" i="10"/>
  <c r="BE219" i="10"/>
  <c r="BF219" i="10"/>
  <c r="Q232" i="3" s="1"/>
  <c r="BH219" i="10"/>
  <c r="Z232" i="3" s="1"/>
  <c r="BI219" i="10"/>
  <c r="W232" i="3" s="1"/>
  <c r="BJ219" i="10"/>
  <c r="U232" i="3" s="1"/>
  <c r="BK219" i="10"/>
  <c r="AB232" i="3" s="1"/>
  <c r="BL219" i="10"/>
  <c r="AD232" i="3" s="1"/>
  <c r="BM219" i="10"/>
  <c r="AI232" i="3" s="1"/>
  <c r="BN219" i="10"/>
  <c r="AK232" i="3" s="1"/>
  <c r="BO219" i="10"/>
  <c r="BP219" i="10"/>
  <c r="BS219" i="10"/>
  <c r="BT219" i="10" s="1"/>
  <c r="E232" i="9" s="1"/>
  <c r="BU219" i="10"/>
  <c r="AZ220" i="10"/>
  <c r="BE220" i="10"/>
  <c r="BF220" i="10"/>
  <c r="Q237" i="3" s="1"/>
  <c r="BH220" i="10"/>
  <c r="Z237" i="3" s="1"/>
  <c r="BI220" i="10"/>
  <c r="W237" i="3" s="1"/>
  <c r="BJ220" i="10"/>
  <c r="U237" i="3" s="1"/>
  <c r="BK220" i="10"/>
  <c r="AB237" i="3" s="1"/>
  <c r="BL220" i="10"/>
  <c r="AD237" i="3" s="1"/>
  <c r="BM220" i="10"/>
  <c r="AI237" i="3" s="1"/>
  <c r="BN220" i="10"/>
  <c r="AK237" i="3" s="1"/>
  <c r="BO220" i="10"/>
  <c r="BP220" i="10"/>
  <c r="BS220" i="10"/>
  <c r="BT220" i="10" s="1"/>
  <c r="E237" i="9" s="1"/>
  <c r="BU220" i="10"/>
  <c r="AZ221" i="10"/>
  <c r="BE221" i="10"/>
  <c r="BF221" i="10"/>
  <c r="Q238" i="3" s="1"/>
  <c r="BH221" i="10"/>
  <c r="Z238" i="3" s="1"/>
  <c r="BI221" i="10"/>
  <c r="W238" i="3" s="1"/>
  <c r="BJ221" i="10"/>
  <c r="U238" i="3" s="1"/>
  <c r="BK221" i="10"/>
  <c r="AB238" i="3" s="1"/>
  <c r="BL221" i="10"/>
  <c r="AD238" i="3" s="1"/>
  <c r="BM221" i="10"/>
  <c r="AI238" i="3" s="1"/>
  <c r="BN221" i="10"/>
  <c r="AK238" i="3" s="1"/>
  <c r="BO221" i="10"/>
  <c r="BP221" i="10"/>
  <c r="BS221" i="10"/>
  <c r="BT221" i="10" s="1"/>
  <c r="E238" i="9" s="1"/>
  <c r="BU221" i="10"/>
  <c r="Z254" i="3"/>
  <c r="U254" i="3"/>
  <c r="AZ222" i="10"/>
  <c r="BE222" i="10"/>
  <c r="BF222" i="10"/>
  <c r="Q256" i="3" s="1"/>
  <c r="BH222" i="10"/>
  <c r="Z256" i="3" s="1"/>
  <c r="BI222" i="10"/>
  <c r="W256" i="3" s="1"/>
  <c r="BJ222" i="10"/>
  <c r="U256" i="3" s="1"/>
  <c r="BK222" i="10"/>
  <c r="AB256" i="3" s="1"/>
  <c r="BL222" i="10"/>
  <c r="AD256" i="3" s="1"/>
  <c r="BM222" i="10"/>
  <c r="AI256" i="3" s="1"/>
  <c r="BN222" i="10"/>
  <c r="AK256" i="3" s="1"/>
  <c r="BO222" i="10"/>
  <c r="BP222" i="10"/>
  <c r="BS222" i="10"/>
  <c r="BT222" i="10" s="1"/>
  <c r="E256" i="9" s="1"/>
  <c r="BU222" i="10"/>
  <c r="AZ223" i="10"/>
  <c r="BE223" i="10"/>
  <c r="BF223" i="10"/>
  <c r="Q261" i="3" s="1"/>
  <c r="BH223" i="10"/>
  <c r="Z261" i="3" s="1"/>
  <c r="BI223" i="10"/>
  <c r="W261" i="3" s="1"/>
  <c r="BJ223" i="10"/>
  <c r="U261" i="3" s="1"/>
  <c r="BK223" i="10"/>
  <c r="AB261" i="3" s="1"/>
  <c r="BL223" i="10"/>
  <c r="AD261" i="3" s="1"/>
  <c r="BM223" i="10"/>
  <c r="AI261" i="3" s="1"/>
  <c r="BN223" i="10"/>
  <c r="AK261" i="3" s="1"/>
  <c r="BO223" i="10"/>
  <c r="BP223" i="10"/>
  <c r="BS223" i="10"/>
  <c r="BT223" i="10" s="1"/>
  <c r="E261" i="9" s="1"/>
  <c r="BU223" i="10"/>
  <c r="AZ224" i="10"/>
  <c r="BE224" i="10"/>
  <c r="BF224" i="10"/>
  <c r="Q271" i="3" s="1"/>
  <c r="BH224" i="10"/>
  <c r="Z271" i="3" s="1"/>
  <c r="BI224" i="10"/>
  <c r="W271" i="3" s="1"/>
  <c r="BJ224" i="10"/>
  <c r="U271" i="3" s="1"/>
  <c r="BK224" i="10"/>
  <c r="AB271" i="3" s="1"/>
  <c r="BL224" i="10"/>
  <c r="AD271" i="3" s="1"/>
  <c r="BM224" i="10"/>
  <c r="AI271" i="3" s="1"/>
  <c r="BN224" i="10"/>
  <c r="AK271" i="3" s="1"/>
  <c r="BO224" i="10"/>
  <c r="BP224" i="10"/>
  <c r="BS224" i="10"/>
  <c r="BT224" i="10" s="1"/>
  <c r="E271" i="9" s="1"/>
  <c r="BU224" i="10"/>
  <c r="AZ225" i="10"/>
  <c r="BE225" i="10"/>
  <c r="BF225" i="10"/>
  <c r="Q273" i="3" s="1"/>
  <c r="BH225" i="10"/>
  <c r="Z273" i="3" s="1"/>
  <c r="BI225" i="10"/>
  <c r="W273" i="3" s="1"/>
  <c r="BJ225" i="10"/>
  <c r="U273" i="3" s="1"/>
  <c r="BK225" i="10"/>
  <c r="AB273" i="3" s="1"/>
  <c r="BL225" i="10"/>
  <c r="AD273" i="3" s="1"/>
  <c r="BM225" i="10"/>
  <c r="AI273" i="3" s="1"/>
  <c r="BN225" i="10"/>
  <c r="AK273" i="3" s="1"/>
  <c r="BO225" i="10"/>
  <c r="BP225" i="10"/>
  <c r="BS225" i="10"/>
  <c r="BT225" i="10" s="1"/>
  <c r="E273" i="9" s="1"/>
  <c r="BU225" i="10"/>
  <c r="AZ226" i="10"/>
  <c r="BE226" i="10"/>
  <c r="BF226" i="10"/>
  <c r="Q276" i="3" s="1"/>
  <c r="BH226" i="10"/>
  <c r="Z276" i="3" s="1"/>
  <c r="BI226" i="10"/>
  <c r="W276" i="3" s="1"/>
  <c r="BJ226" i="10"/>
  <c r="U276" i="3" s="1"/>
  <c r="BK226" i="10"/>
  <c r="AB276" i="3" s="1"/>
  <c r="BL226" i="10"/>
  <c r="AD276" i="3" s="1"/>
  <c r="BM226" i="10"/>
  <c r="AI276" i="3" s="1"/>
  <c r="BN226" i="10"/>
  <c r="AK276" i="3" s="1"/>
  <c r="BO226" i="10"/>
  <c r="BP226" i="10"/>
  <c r="BS226" i="10"/>
  <c r="BT226" i="10" s="1"/>
  <c r="E276" i="9" s="1"/>
  <c r="BU226" i="10"/>
  <c r="AZ227" i="10"/>
  <c r="BE227" i="10"/>
  <c r="BF227" i="10"/>
  <c r="Q281" i="3" s="1"/>
  <c r="BH227" i="10"/>
  <c r="Z281" i="3" s="1"/>
  <c r="BI227" i="10"/>
  <c r="W281" i="3" s="1"/>
  <c r="BJ227" i="10"/>
  <c r="U281" i="3" s="1"/>
  <c r="BK227" i="10"/>
  <c r="AB281" i="3" s="1"/>
  <c r="BL227" i="10"/>
  <c r="AD281" i="3" s="1"/>
  <c r="BM227" i="10"/>
  <c r="AI281" i="3" s="1"/>
  <c r="BN227" i="10"/>
  <c r="AK281" i="3" s="1"/>
  <c r="BO227" i="10"/>
  <c r="BP227" i="10"/>
  <c r="BS227" i="10"/>
  <c r="BT227" i="10" s="1"/>
  <c r="E281" i="9" s="1"/>
  <c r="BU227" i="10"/>
  <c r="Q284" i="3"/>
  <c r="Z284" i="3"/>
  <c r="W284" i="3"/>
  <c r="U284" i="3"/>
  <c r="AB284" i="3"/>
  <c r="AD284" i="3"/>
  <c r="AI284" i="3"/>
  <c r="AK284" i="3"/>
  <c r="AZ228" i="10"/>
  <c r="BE228" i="10"/>
  <c r="BF228" i="10"/>
  <c r="Q286" i="3" s="1"/>
  <c r="BH228" i="10"/>
  <c r="Z286" i="3" s="1"/>
  <c r="BI228" i="10"/>
  <c r="W286" i="3" s="1"/>
  <c r="BJ228" i="10"/>
  <c r="U286" i="3" s="1"/>
  <c r="BK228" i="10"/>
  <c r="AB286" i="3" s="1"/>
  <c r="BL228" i="10"/>
  <c r="AD286" i="3" s="1"/>
  <c r="BM228" i="10"/>
  <c r="AI286" i="3" s="1"/>
  <c r="BN228" i="10"/>
  <c r="AK286" i="3" s="1"/>
  <c r="BO228" i="10"/>
  <c r="BP228" i="10"/>
  <c r="BS228" i="10"/>
  <c r="BT228" i="10" s="1"/>
  <c r="E286" i="9" s="1"/>
  <c r="BU228" i="10"/>
  <c r="AZ229" i="10"/>
  <c r="BE229" i="10"/>
  <c r="BF229" i="10"/>
  <c r="Q287" i="3" s="1"/>
  <c r="BH229" i="10"/>
  <c r="Z287" i="3" s="1"/>
  <c r="BI229" i="10"/>
  <c r="W287" i="3" s="1"/>
  <c r="BJ229" i="10"/>
  <c r="U287" i="3" s="1"/>
  <c r="BK229" i="10"/>
  <c r="AB287" i="3" s="1"/>
  <c r="BL229" i="10"/>
  <c r="AD287" i="3" s="1"/>
  <c r="BM229" i="10"/>
  <c r="AI287" i="3" s="1"/>
  <c r="BN229" i="10"/>
  <c r="AK287" i="3" s="1"/>
  <c r="BO229" i="10"/>
  <c r="BP229" i="10"/>
  <c r="BS229" i="10"/>
  <c r="BT229" i="10" s="1"/>
  <c r="E287" i="9" s="1"/>
  <c r="BU229" i="10"/>
  <c r="N755" i="17" l="1"/>
  <c r="P755" i="17" s="1"/>
  <c r="N767" i="17"/>
  <c r="O767" i="17" s="1"/>
  <c r="N798" i="17"/>
  <c r="P798" i="17" s="1"/>
  <c r="N758" i="17"/>
  <c r="O758" i="17" s="1"/>
  <c r="N764" i="17"/>
  <c r="O764" i="17" s="1"/>
  <c r="N796" i="17"/>
  <c r="O796" i="17" s="1"/>
  <c r="N761" i="17"/>
  <c r="P761" i="17" s="1"/>
  <c r="N802" i="17"/>
  <c r="O802" i="17" s="1"/>
  <c r="N830" i="17"/>
  <c r="O830" i="17" s="1"/>
  <c r="N754" i="17"/>
  <c r="O754" i="17" s="1"/>
  <c r="N895" i="17"/>
  <c r="O895" i="17" s="1"/>
  <c r="N852" i="17"/>
  <c r="P852" i="17" s="1"/>
  <c r="N814" i="17"/>
  <c r="O814" i="17" s="1"/>
  <c r="N842" i="17"/>
  <c r="O842" i="17" s="1"/>
  <c r="N792" i="17"/>
  <c r="P792" i="17" s="1"/>
  <c r="N786" i="17"/>
  <c r="O786" i="17" s="1"/>
  <c r="N779" i="17"/>
  <c r="O779" i="17" s="1"/>
  <c r="N893" i="17"/>
  <c r="O893" i="17" s="1"/>
  <c r="N885" i="17"/>
  <c r="O885" i="17" s="1"/>
  <c r="N873" i="17"/>
  <c r="O873" i="17" s="1"/>
  <c r="N871" i="17"/>
  <c r="O871" i="17" s="1"/>
  <c r="N861" i="17"/>
  <c r="O861" i="17" s="1"/>
  <c r="N756" i="17"/>
  <c r="P756" i="17" s="1"/>
  <c r="N847" i="17"/>
  <c r="O847" i="17" s="1"/>
  <c r="N774" i="17"/>
  <c r="O774" i="17" s="1"/>
  <c r="N770" i="17"/>
  <c r="O770" i="17" s="1"/>
  <c r="N824" i="17"/>
  <c r="P824" i="17" s="1"/>
  <c r="N815" i="17"/>
  <c r="O815" i="17" s="1"/>
  <c r="N812" i="17"/>
  <c r="P812" i="17" s="1"/>
  <c r="N889" i="17"/>
  <c r="P889" i="17" s="1"/>
  <c r="N891" i="17"/>
  <c r="O891" i="17" s="1"/>
  <c r="N836" i="17"/>
  <c r="O836" i="17" s="1"/>
  <c r="N775" i="17"/>
  <c r="O775" i="17" s="1"/>
  <c r="N858" i="17"/>
  <c r="O858" i="17" s="1"/>
  <c r="N845" i="17"/>
  <c r="O845" i="17" s="1"/>
  <c r="N862" i="17"/>
  <c r="P862" i="17" s="1"/>
  <c r="N880" i="17"/>
  <c r="O880" i="17" s="1"/>
  <c r="N869" i="17"/>
  <c r="P869" i="17" s="1"/>
  <c r="N843" i="17"/>
  <c r="O843" i="17" s="1"/>
  <c r="N805" i="17"/>
  <c r="O805" i="17" s="1"/>
  <c r="N877" i="17"/>
  <c r="O877" i="17" s="1"/>
  <c r="N874" i="17"/>
  <c r="O874" i="17" s="1"/>
  <c r="N855" i="17"/>
  <c r="O855" i="17" s="1"/>
  <c r="N849" i="17"/>
  <c r="O849" i="17" s="1"/>
  <c r="N838" i="17"/>
  <c r="O838" i="17" s="1"/>
  <c r="N834" i="17"/>
  <c r="O834" i="17" s="1"/>
  <c r="N832" i="17"/>
  <c r="O832" i="17" s="1"/>
  <c r="N807" i="17"/>
  <c r="O807" i="17" s="1"/>
  <c r="N795" i="17"/>
  <c r="O795" i="17" s="1"/>
  <c r="N791" i="17"/>
  <c r="O791" i="17" s="1"/>
  <c r="N789" i="17"/>
  <c r="O789" i="17" s="1"/>
  <c r="N782" i="17"/>
  <c r="P782" i="17" s="1"/>
  <c r="N763" i="17"/>
  <c r="O763" i="17" s="1"/>
  <c r="N860" i="17"/>
  <c r="O860" i="17" s="1"/>
  <c r="N831" i="17"/>
  <c r="P831" i="17" s="1"/>
  <c r="N828" i="17"/>
  <c r="P828" i="17" s="1"/>
  <c r="N794" i="17"/>
  <c r="O794" i="17" s="1"/>
  <c r="N781" i="17"/>
  <c r="O781" i="17" s="1"/>
  <c r="N769" i="17"/>
  <c r="O769" i="17" s="1"/>
  <c r="N840" i="17"/>
  <c r="O840" i="17" s="1"/>
  <c r="N890" i="17"/>
  <c r="P890" i="17" s="1"/>
  <c r="N844" i="17"/>
  <c r="P844" i="17" s="1"/>
  <c r="N818" i="17"/>
  <c r="O818" i="17" s="1"/>
  <c r="N811" i="17"/>
  <c r="O811" i="17" s="1"/>
  <c r="N809" i="17"/>
  <c r="O809" i="17" s="1"/>
  <c r="N806" i="17"/>
  <c r="P806" i="17" s="1"/>
  <c r="N797" i="17"/>
  <c r="O797" i="17" s="1"/>
  <c r="N793" i="17"/>
  <c r="O793" i="17" s="1"/>
  <c r="N787" i="17"/>
  <c r="O787" i="17" s="1"/>
  <c r="N777" i="17"/>
  <c r="O777" i="17" s="1"/>
  <c r="N773" i="17"/>
  <c r="O773" i="17" s="1"/>
  <c r="N866" i="17"/>
  <c r="P866" i="17" s="1"/>
  <c r="N823" i="17"/>
  <c r="P823" i="17" s="1"/>
  <c r="N799" i="17"/>
  <c r="O799" i="17" s="1"/>
  <c r="N898" i="17"/>
  <c r="O898" i="17" s="1"/>
  <c r="N876" i="17"/>
  <c r="O876" i="17" s="1"/>
  <c r="N868" i="17"/>
  <c r="O868" i="17" s="1"/>
  <c r="N864" i="17"/>
  <c r="O864" i="17" s="1"/>
  <c r="N817" i="17"/>
  <c r="O817" i="17" s="1"/>
  <c r="N810" i="17"/>
  <c r="O810" i="17" s="1"/>
  <c r="N808" i="17"/>
  <c r="O808" i="17" s="1"/>
  <c r="N801" i="17"/>
  <c r="P801" i="17" s="1"/>
  <c r="N776" i="17"/>
  <c r="O776" i="17" s="1"/>
  <c r="N772" i="17"/>
  <c r="O772" i="17" s="1"/>
  <c r="N757" i="17"/>
  <c r="O757" i="17" s="1"/>
  <c r="N841" i="17"/>
  <c r="P841" i="17" s="1"/>
  <c r="N899" i="17"/>
  <c r="P899" i="17" s="1"/>
  <c r="N888" i="17"/>
  <c r="O888" i="17" s="1"/>
  <c r="N883" i="17"/>
  <c r="P883" i="17" s="1"/>
  <c r="N867" i="17"/>
  <c r="O867" i="17" s="1"/>
  <c r="N853" i="17"/>
  <c r="P853" i="17" s="1"/>
  <c r="N835" i="17"/>
  <c r="P835" i="17" s="1"/>
  <c r="N833" i="17"/>
  <c r="O833" i="17" s="1"/>
  <c r="N821" i="17"/>
  <c r="O821" i="17" s="1"/>
  <c r="N819" i="17"/>
  <c r="N800" i="17"/>
  <c r="O800" i="17" s="1"/>
  <c r="N783" i="17"/>
  <c r="O783" i="17" s="1"/>
  <c r="N766" i="17"/>
  <c r="P766" i="17" s="1"/>
  <c r="N759" i="17"/>
  <c r="O759" i="17" s="1"/>
  <c r="N896" i="17"/>
  <c r="O896" i="17" s="1"/>
  <c r="N897" i="17"/>
  <c r="P897" i="17" s="1"/>
  <c r="N884" i="17"/>
  <c r="N879" i="17"/>
  <c r="O879" i="17" s="1"/>
  <c r="N875" i="17"/>
  <c r="P875" i="17" s="1"/>
  <c r="N856" i="17"/>
  <c r="P856" i="17" s="1"/>
  <c r="N851" i="17"/>
  <c r="P851" i="17" s="1"/>
  <c r="N825" i="17"/>
  <c r="O825" i="17" s="1"/>
  <c r="N820" i="17"/>
  <c r="O820" i="17" s="1"/>
  <c r="N816" i="17"/>
  <c r="O816" i="17" s="1"/>
  <c r="N804" i="17"/>
  <c r="O804" i="17" s="1"/>
  <c r="N785" i="17"/>
  <c r="N760" i="17"/>
  <c r="P760" i="17" s="1"/>
  <c r="N886" i="17"/>
  <c r="P886" i="17" s="1"/>
  <c r="N870" i="17"/>
  <c r="N865" i="17"/>
  <c r="P865" i="17" s="1"/>
  <c r="N863" i="17"/>
  <c r="N848" i="17"/>
  <c r="O848" i="17" s="1"/>
  <c r="N813" i="17"/>
  <c r="P813" i="17" s="1"/>
  <c r="N765" i="17"/>
  <c r="O765" i="17" s="1"/>
  <c r="N857" i="17"/>
  <c r="O857" i="17" s="1"/>
  <c r="N850" i="17"/>
  <c r="O850" i="17" s="1"/>
  <c r="N827" i="17"/>
  <c r="O827" i="17" s="1"/>
  <c r="N803" i="17"/>
  <c r="O803" i="17" s="1"/>
  <c r="N788" i="17"/>
  <c r="O788" i="17" s="1"/>
  <c r="N762" i="17"/>
  <c r="O762" i="17" s="1"/>
  <c r="N894" i="17"/>
  <c r="O894" i="17" s="1"/>
  <c r="N878" i="17"/>
  <c r="N859" i="17"/>
  <c r="P859" i="17" s="1"/>
  <c r="N846" i="17"/>
  <c r="P846" i="17" s="1"/>
  <c r="N837" i="17"/>
  <c r="O837" i="17" s="1"/>
  <c r="N882" i="17"/>
  <c r="O882" i="17" s="1"/>
  <c r="N872" i="17"/>
  <c r="N854" i="17"/>
  <c r="O854" i="17" s="1"/>
  <c r="N839" i="17"/>
  <c r="P839" i="17" s="1"/>
  <c r="N784" i="17"/>
  <c r="O784" i="17" s="1"/>
  <c r="N780" i="17"/>
  <c r="P780" i="17" s="1"/>
  <c r="N778" i="17"/>
  <c r="N771" i="17"/>
  <c r="O771" i="17" s="1"/>
  <c r="N768" i="17"/>
  <c r="N887" i="17"/>
  <c r="N881" i="17"/>
  <c r="N892" i="17"/>
  <c r="N790" i="17"/>
  <c r="N826" i="17"/>
  <c r="N753" i="17"/>
  <c r="N829" i="17"/>
  <c r="N822" i="17"/>
  <c r="O755" i="17" l="1"/>
  <c r="Q755" i="17" s="1"/>
  <c r="O798" i="17"/>
  <c r="Q798" i="17" s="1"/>
  <c r="P767" i="17"/>
  <c r="Q767" i="17" s="1"/>
  <c r="P796" i="17"/>
  <c r="Q796" i="17" s="1"/>
  <c r="P861" i="17"/>
  <c r="Q861" i="17" s="1"/>
  <c r="P802" i="17"/>
  <c r="Q802" i="17" s="1"/>
  <c r="O812" i="17"/>
  <c r="Q812" i="17" s="1"/>
  <c r="P775" i="17"/>
  <c r="Q775" i="17" s="1"/>
  <c r="P873" i="17"/>
  <c r="Q873" i="17" s="1"/>
  <c r="P815" i="17"/>
  <c r="Q815" i="17" s="1"/>
  <c r="P757" i="17"/>
  <c r="Q757" i="17" s="1"/>
  <c r="P817" i="17"/>
  <c r="Q817" i="17" s="1"/>
  <c r="O866" i="17"/>
  <c r="Q866" i="17" s="1"/>
  <c r="O828" i="17"/>
  <c r="Q828" i="17" s="1"/>
  <c r="P808" i="17"/>
  <c r="Q808" i="17" s="1"/>
  <c r="P805" i="17"/>
  <c r="Q805" i="17" s="1"/>
  <c r="P807" i="17"/>
  <c r="Q807" i="17" s="1"/>
  <c r="P855" i="17"/>
  <c r="Q855" i="17" s="1"/>
  <c r="P787" i="17"/>
  <c r="Q787" i="17" s="1"/>
  <c r="P843" i="17"/>
  <c r="Q843" i="17" s="1"/>
  <c r="P774" i="17"/>
  <c r="Q774" i="17" s="1"/>
  <c r="P898" i="17"/>
  <c r="Q898" i="17" s="1"/>
  <c r="O801" i="17"/>
  <c r="Q801" i="17" s="1"/>
  <c r="P877" i="17"/>
  <c r="Q877" i="17" s="1"/>
  <c r="O889" i="17"/>
  <c r="Q889" i="17" s="1"/>
  <c r="O756" i="17"/>
  <c r="Q756" i="17" s="1"/>
  <c r="P803" i="17"/>
  <c r="Q803" i="17" s="1"/>
  <c r="P781" i="17"/>
  <c r="Q781" i="17" s="1"/>
  <c r="P776" i="17"/>
  <c r="Q776" i="17" s="1"/>
  <c r="O841" i="17"/>
  <c r="Q841" i="17" s="1"/>
  <c r="P895" i="17"/>
  <c r="Q895" i="17" s="1"/>
  <c r="P864" i="17"/>
  <c r="Q864" i="17" s="1"/>
  <c r="P821" i="17"/>
  <c r="Q821" i="17" s="1"/>
  <c r="P797" i="17"/>
  <c r="Q797" i="17" s="1"/>
  <c r="O883" i="17"/>
  <c r="Q883" i="17" s="1"/>
  <c r="O869" i="17"/>
  <c r="Q869" i="17" s="1"/>
  <c r="P771" i="17"/>
  <c r="Q771" i="17" s="1"/>
  <c r="P804" i="17"/>
  <c r="Q804" i="17" s="1"/>
  <c r="O813" i="17"/>
  <c r="Q813" i="17" s="1"/>
  <c r="O835" i="17"/>
  <c r="Q835" i="17" s="1"/>
  <c r="P868" i="17"/>
  <c r="Q868" i="17" s="1"/>
  <c r="P888" i="17"/>
  <c r="Q888" i="17" s="1"/>
  <c r="P758" i="17"/>
  <c r="Q758" i="17" s="1"/>
  <c r="O766" i="17"/>
  <c r="Q766" i="17" s="1"/>
  <c r="O761" i="17"/>
  <c r="Q761" i="17" s="1"/>
  <c r="P867" i="17"/>
  <c r="Q867" i="17" s="1"/>
  <c r="P795" i="17"/>
  <c r="Q795" i="17" s="1"/>
  <c r="P763" i="17"/>
  <c r="Q763" i="17" s="1"/>
  <c r="P762" i="17"/>
  <c r="Q762" i="17" s="1"/>
  <c r="O851" i="17"/>
  <c r="Q851" i="17" s="1"/>
  <c r="P764" i="17"/>
  <c r="Q764" i="17" s="1"/>
  <c r="O823" i="17"/>
  <c r="Q823" i="17" s="1"/>
  <c r="P791" i="17"/>
  <c r="Q791" i="17" s="1"/>
  <c r="P783" i="17"/>
  <c r="Q783" i="17" s="1"/>
  <c r="O780" i="17"/>
  <c r="Q780" i="17" s="1"/>
  <c r="O853" i="17"/>
  <c r="Q853" i="17" s="1"/>
  <c r="P840" i="17"/>
  <c r="Q840" i="17" s="1"/>
  <c r="P777" i="17"/>
  <c r="Q777" i="17" s="1"/>
  <c r="O856" i="17"/>
  <c r="Q856" i="17" s="1"/>
  <c r="O899" i="17"/>
  <c r="Q899" i="17" s="1"/>
  <c r="P779" i="17"/>
  <c r="Q779" i="17" s="1"/>
  <c r="P850" i="17"/>
  <c r="Q850" i="17" s="1"/>
  <c r="O862" i="17"/>
  <c r="Q862" i="17" s="1"/>
  <c r="P786" i="17"/>
  <c r="Q786" i="17" s="1"/>
  <c r="O890" i="17"/>
  <c r="Q890" i="17" s="1"/>
  <c r="P809" i="17"/>
  <c r="Q809" i="17" s="1"/>
  <c r="O839" i="17"/>
  <c r="Q839" i="17" s="1"/>
  <c r="O859" i="17"/>
  <c r="Q859" i="17" s="1"/>
  <c r="P754" i="17"/>
  <c r="Q754" i="17" s="1"/>
  <c r="P814" i="17"/>
  <c r="Q814" i="17" s="1"/>
  <c r="P849" i="17"/>
  <c r="Q849" i="17" s="1"/>
  <c r="P836" i="17"/>
  <c r="Q836" i="17" s="1"/>
  <c r="P769" i="17"/>
  <c r="Q769" i="17" s="1"/>
  <c r="P793" i="17"/>
  <c r="Q793" i="17" s="1"/>
  <c r="P880" i="17"/>
  <c r="Q880" i="17" s="1"/>
  <c r="P772" i="17"/>
  <c r="Q772" i="17" s="1"/>
  <c r="P827" i="17"/>
  <c r="Q827" i="17" s="1"/>
  <c r="P871" i="17"/>
  <c r="Q871" i="17" s="1"/>
  <c r="P830" i="17"/>
  <c r="Q830" i="17" s="1"/>
  <c r="P770" i="17"/>
  <c r="Q770" i="17" s="1"/>
  <c r="O846" i="17"/>
  <c r="Q846" i="17" s="1"/>
  <c r="P784" i="17"/>
  <c r="Q784" i="17" s="1"/>
  <c r="P845" i="17"/>
  <c r="Q845" i="17" s="1"/>
  <c r="O824" i="17"/>
  <c r="Q824" i="17" s="1"/>
  <c r="P818" i="17"/>
  <c r="Q818" i="17" s="1"/>
  <c r="P842" i="17"/>
  <c r="Q842" i="17" s="1"/>
  <c r="P834" i="17"/>
  <c r="Q834" i="17" s="1"/>
  <c r="P848" i="17"/>
  <c r="Q848" i="17" s="1"/>
  <c r="O844" i="17"/>
  <c r="Q844" i="17" s="1"/>
  <c r="O852" i="17"/>
  <c r="Q852" i="17" s="1"/>
  <c r="P833" i="17"/>
  <c r="Q833" i="17" s="1"/>
  <c r="P885" i="17"/>
  <c r="Q885" i="17" s="1"/>
  <c r="P854" i="17"/>
  <c r="Q854" i="17" s="1"/>
  <c r="O792" i="17"/>
  <c r="Q792" i="17" s="1"/>
  <c r="P891" i="17"/>
  <c r="Q891" i="17" s="1"/>
  <c r="O897" i="17"/>
  <c r="Q897" i="17" s="1"/>
  <c r="P765" i="17"/>
  <c r="Q765" i="17" s="1"/>
  <c r="P894" i="17"/>
  <c r="Q894" i="17" s="1"/>
  <c r="P847" i="17"/>
  <c r="Q847" i="17" s="1"/>
  <c r="P794" i="17"/>
  <c r="Q794" i="17" s="1"/>
  <c r="P820" i="17"/>
  <c r="Q820" i="17" s="1"/>
  <c r="P832" i="17"/>
  <c r="Q832" i="17" s="1"/>
  <c r="P759" i="17"/>
  <c r="Q759" i="17" s="1"/>
  <c r="O831" i="17"/>
  <c r="Q831" i="17" s="1"/>
  <c r="P838" i="17"/>
  <c r="Q838" i="17" s="1"/>
  <c r="P811" i="17"/>
  <c r="Q811" i="17" s="1"/>
  <c r="P799" i="17"/>
  <c r="Q799" i="17" s="1"/>
  <c r="P773" i="17"/>
  <c r="Q773" i="17" s="1"/>
  <c r="P837" i="17"/>
  <c r="Q837" i="17" s="1"/>
  <c r="O782" i="17"/>
  <c r="Q782" i="17" s="1"/>
  <c r="P860" i="17"/>
  <c r="Q860" i="17" s="1"/>
  <c r="P789" i="17"/>
  <c r="Q789" i="17" s="1"/>
  <c r="P874" i="17"/>
  <c r="Q874" i="17" s="1"/>
  <c r="P810" i="17"/>
  <c r="Q810" i="17" s="1"/>
  <c r="P879" i="17"/>
  <c r="Q879" i="17" s="1"/>
  <c r="P858" i="17"/>
  <c r="Q858" i="17" s="1"/>
  <c r="O760" i="17"/>
  <c r="Q760" i="17" s="1"/>
  <c r="P893" i="17"/>
  <c r="Q893" i="17" s="1"/>
  <c r="O806" i="17"/>
  <c r="Q806" i="17" s="1"/>
  <c r="O886" i="17"/>
  <c r="Q886" i="17" s="1"/>
  <c r="P876" i="17"/>
  <c r="Q876" i="17" s="1"/>
  <c r="P882" i="17"/>
  <c r="Q882" i="17" s="1"/>
  <c r="P800" i="17"/>
  <c r="Q800" i="17" s="1"/>
  <c r="O819" i="17"/>
  <c r="P819" i="17"/>
  <c r="P768" i="17"/>
  <c r="O768" i="17"/>
  <c r="P785" i="17"/>
  <c r="O785" i="17"/>
  <c r="P878" i="17"/>
  <c r="O878" i="17"/>
  <c r="P816" i="17"/>
  <c r="Q816" i="17" s="1"/>
  <c r="O870" i="17"/>
  <c r="P870" i="17"/>
  <c r="P788" i="17"/>
  <c r="Q788" i="17" s="1"/>
  <c r="P857" i="17"/>
  <c r="Q857" i="17" s="1"/>
  <c r="P778" i="17"/>
  <c r="O778" i="17"/>
  <c r="O884" i="17"/>
  <c r="P884" i="17"/>
  <c r="O865" i="17"/>
  <c r="Q865" i="17" s="1"/>
  <c r="P896" i="17"/>
  <c r="Q896" i="17" s="1"/>
  <c r="O872" i="17"/>
  <c r="P872" i="17"/>
  <c r="P825" i="17"/>
  <c r="Q825" i="17" s="1"/>
  <c r="O875" i="17"/>
  <c r="Q875" i="17" s="1"/>
  <c r="O863" i="17"/>
  <c r="P863" i="17"/>
  <c r="O753" i="17"/>
  <c r="P753" i="17"/>
  <c r="O822" i="17"/>
  <c r="P822" i="17"/>
  <c r="O829" i="17"/>
  <c r="P829" i="17"/>
  <c r="P881" i="17"/>
  <c r="O881" i="17"/>
  <c r="O826" i="17"/>
  <c r="P826" i="17"/>
  <c r="O892" i="17"/>
  <c r="P892" i="17"/>
  <c r="O887" i="17"/>
  <c r="P887" i="17"/>
  <c r="O790" i="17"/>
  <c r="P790" i="17"/>
  <c r="M247" i="3"/>
  <c r="M17" i="3"/>
  <c r="M25" i="3"/>
  <c r="M26" i="3"/>
  <c r="M31" i="3"/>
  <c r="M35" i="3"/>
  <c r="M42" i="3"/>
  <c r="M44" i="3"/>
  <c r="M48" i="3"/>
  <c r="M69" i="3"/>
  <c r="M72" i="3"/>
  <c r="M73" i="3"/>
  <c r="M74" i="3"/>
  <c r="M78" i="3"/>
  <c r="M79" i="3"/>
  <c r="M81" i="3"/>
  <c r="M87" i="3"/>
  <c r="M97" i="3"/>
  <c r="M107" i="3"/>
  <c r="M109" i="3"/>
  <c r="M110" i="3"/>
  <c r="M112" i="3"/>
  <c r="M116" i="3"/>
  <c r="M121" i="3"/>
  <c r="M125" i="3"/>
  <c r="M147" i="3"/>
  <c r="M148" i="3"/>
  <c r="M157" i="3"/>
  <c r="M164" i="3"/>
  <c r="M165" i="3"/>
  <c r="M166" i="3"/>
  <c r="M169" i="3"/>
  <c r="M178" i="3"/>
  <c r="M180" i="3"/>
  <c r="M194" i="3"/>
  <c r="M195" i="3"/>
  <c r="M196" i="3"/>
  <c r="M201" i="3"/>
  <c r="M210" i="3"/>
  <c r="M226" i="3"/>
  <c r="M228" i="3"/>
  <c r="M229" i="3"/>
  <c r="M232" i="3"/>
  <c r="M237" i="3"/>
  <c r="M238" i="3"/>
  <c r="M254" i="3"/>
  <c r="M256" i="3"/>
  <c r="M258" i="3"/>
  <c r="M261" i="3"/>
  <c r="M264" i="3"/>
  <c r="M267" i="3"/>
  <c r="M271" i="3"/>
  <c r="M273" i="3"/>
  <c r="M276" i="3"/>
  <c r="M278" i="3"/>
  <c r="M279" i="3"/>
  <c r="M281" i="3"/>
  <c r="M284" i="3"/>
  <c r="M286" i="3"/>
  <c r="M287" i="3"/>
  <c r="M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5" i="3"/>
  <c r="Q863" i="17" l="1"/>
  <c r="Q884" i="17"/>
  <c r="Q826" i="17"/>
  <c r="Q768" i="17"/>
  <c r="Q887" i="17"/>
  <c r="Q878" i="17"/>
  <c r="Q870" i="17"/>
  <c r="Q785" i="17"/>
  <c r="Q819" i="17"/>
  <c r="Q872" i="17"/>
  <c r="Q778" i="17"/>
  <c r="Q892" i="17"/>
  <c r="Q790" i="17"/>
  <c r="Q829" i="17"/>
  <c r="Q881" i="17"/>
  <c r="Q822" i="17"/>
  <c r="Q753" i="17"/>
  <c r="L709" i="17"/>
  <c r="M709" i="17"/>
  <c r="S709" i="17"/>
  <c r="L710" i="17"/>
  <c r="M710" i="17"/>
  <c r="S710" i="17"/>
  <c r="L711" i="17"/>
  <c r="M711" i="17"/>
  <c r="S711" i="17"/>
  <c r="L712" i="17"/>
  <c r="M712" i="17"/>
  <c r="S712" i="17"/>
  <c r="L713" i="17"/>
  <c r="M713" i="17"/>
  <c r="S713" i="17"/>
  <c r="L714" i="17"/>
  <c r="M714" i="17"/>
  <c r="S714" i="17"/>
  <c r="L715" i="17"/>
  <c r="M715" i="17"/>
  <c r="S715" i="17"/>
  <c r="L716" i="17"/>
  <c r="M716" i="17"/>
  <c r="S716" i="17"/>
  <c r="L717" i="17"/>
  <c r="M717" i="17"/>
  <c r="S717" i="17"/>
  <c r="L718" i="17"/>
  <c r="M718" i="17"/>
  <c r="S718" i="17"/>
  <c r="L719" i="17"/>
  <c r="M719" i="17"/>
  <c r="S719" i="17"/>
  <c r="L720" i="17"/>
  <c r="M720" i="17"/>
  <c r="S720" i="17"/>
  <c r="L721" i="17"/>
  <c r="M721" i="17"/>
  <c r="S721" i="17"/>
  <c r="L722" i="17"/>
  <c r="M722" i="17"/>
  <c r="S722" i="17"/>
  <c r="L723" i="17"/>
  <c r="M723" i="17"/>
  <c r="S723" i="17"/>
  <c r="L724" i="17"/>
  <c r="M724" i="17"/>
  <c r="S724" i="17"/>
  <c r="L725" i="17"/>
  <c r="M725" i="17"/>
  <c r="S725" i="17"/>
  <c r="L726" i="17"/>
  <c r="M726" i="17"/>
  <c r="S726" i="17"/>
  <c r="L727" i="17"/>
  <c r="M727" i="17"/>
  <c r="S727" i="17"/>
  <c r="L728" i="17"/>
  <c r="M728" i="17"/>
  <c r="S728" i="17"/>
  <c r="L729" i="17"/>
  <c r="M729" i="17"/>
  <c r="S729" i="17"/>
  <c r="L730" i="17"/>
  <c r="M730" i="17"/>
  <c r="S730" i="17"/>
  <c r="L731" i="17"/>
  <c r="M731" i="17"/>
  <c r="S731" i="17"/>
  <c r="L732" i="17"/>
  <c r="M732" i="17"/>
  <c r="S732" i="17"/>
  <c r="L733" i="17"/>
  <c r="M733" i="17"/>
  <c r="S733" i="17"/>
  <c r="L734" i="17"/>
  <c r="M734" i="17"/>
  <c r="S734" i="17"/>
  <c r="L735" i="17"/>
  <c r="M735" i="17"/>
  <c r="S735" i="17"/>
  <c r="L736" i="17"/>
  <c r="M736" i="17"/>
  <c r="S736" i="17"/>
  <c r="L737" i="17"/>
  <c r="M737" i="17"/>
  <c r="S737" i="17"/>
  <c r="L738" i="17"/>
  <c r="M738" i="17"/>
  <c r="S738" i="17"/>
  <c r="L739" i="17"/>
  <c r="M739" i="17"/>
  <c r="S739" i="17"/>
  <c r="L740" i="17"/>
  <c r="M740" i="17"/>
  <c r="S740" i="17"/>
  <c r="L741" i="17"/>
  <c r="M741" i="17"/>
  <c r="S741" i="17"/>
  <c r="L742" i="17"/>
  <c r="M742" i="17"/>
  <c r="S742" i="17"/>
  <c r="L743" i="17"/>
  <c r="M743" i="17"/>
  <c r="S743" i="17"/>
  <c r="L744" i="17"/>
  <c r="M744" i="17"/>
  <c r="S744" i="17"/>
  <c r="L745" i="17"/>
  <c r="M745" i="17"/>
  <c r="S745" i="17"/>
  <c r="L746" i="17"/>
  <c r="M746" i="17"/>
  <c r="S746" i="17"/>
  <c r="L747" i="17"/>
  <c r="M747" i="17"/>
  <c r="S747" i="17"/>
  <c r="L748" i="17"/>
  <c r="M748" i="17"/>
  <c r="S748" i="17"/>
  <c r="L749" i="17"/>
  <c r="M749" i="17"/>
  <c r="S749" i="17"/>
  <c r="L750" i="17"/>
  <c r="M750" i="17"/>
  <c r="S750" i="17"/>
  <c r="L751" i="17"/>
  <c r="M751" i="17"/>
  <c r="S751" i="17"/>
  <c r="L752" i="17"/>
  <c r="M752" i="17"/>
  <c r="S752" i="17"/>
  <c r="B709" i="17"/>
  <c r="B710" i="17"/>
  <c r="B711" i="17"/>
  <c r="B712" i="17"/>
  <c r="B713" i="17"/>
  <c r="B714" i="17"/>
  <c r="B715" i="17"/>
  <c r="B716" i="17"/>
  <c r="B717" i="17"/>
  <c r="B718" i="17"/>
  <c r="B719" i="17"/>
  <c r="B720" i="17"/>
  <c r="B721" i="17"/>
  <c r="B722" i="17"/>
  <c r="B723" i="17"/>
  <c r="B724" i="17"/>
  <c r="B725" i="17"/>
  <c r="B726" i="17"/>
  <c r="B727" i="17"/>
  <c r="B728" i="17"/>
  <c r="B729" i="17"/>
  <c r="B730" i="17"/>
  <c r="B731" i="17"/>
  <c r="B732" i="17"/>
  <c r="B733" i="17"/>
  <c r="B734" i="17"/>
  <c r="B735" i="17"/>
  <c r="B736" i="17"/>
  <c r="B737" i="17"/>
  <c r="B738" i="17"/>
  <c r="B739" i="17"/>
  <c r="B740" i="17"/>
  <c r="B741" i="17"/>
  <c r="B742" i="17"/>
  <c r="B743" i="17"/>
  <c r="B744" i="17"/>
  <c r="B745" i="17"/>
  <c r="B746" i="17"/>
  <c r="B747" i="17"/>
  <c r="B748" i="17"/>
  <c r="B749" i="17"/>
  <c r="B750" i="17"/>
  <c r="B751" i="17"/>
  <c r="B752" i="17"/>
  <c r="N736" i="17" l="1"/>
  <c r="O736" i="17" s="1"/>
  <c r="N723" i="17"/>
  <c r="O723" i="17" s="1"/>
  <c r="N730" i="17"/>
  <c r="O730" i="17" s="1"/>
  <c r="N737" i="17"/>
  <c r="P737" i="17" s="1"/>
  <c r="N716" i="17"/>
  <c r="O716" i="17" s="1"/>
  <c r="N741" i="17"/>
  <c r="P741" i="17" s="1"/>
  <c r="N718" i="17"/>
  <c r="O718" i="17" s="1"/>
  <c r="N722" i="17"/>
  <c r="O722" i="17" s="1"/>
  <c r="N731" i="17"/>
  <c r="P731" i="17" s="1"/>
  <c r="N750" i="17"/>
  <c r="O750" i="17" s="1"/>
  <c r="N734" i="17"/>
  <c r="P734" i="17" s="1"/>
  <c r="N752" i="17"/>
  <c r="O752" i="17" s="1"/>
  <c r="N725" i="17"/>
  <c r="P725" i="17" s="1"/>
  <c r="N751" i="17"/>
  <c r="O751" i="17" s="1"/>
  <c r="N715" i="17"/>
  <c r="O715" i="17" s="1"/>
  <c r="N744" i="17"/>
  <c r="P744" i="17" s="1"/>
  <c r="N717" i="17"/>
  <c r="O717" i="17" s="1"/>
  <c r="N743" i="17"/>
  <c r="O743" i="17" s="1"/>
  <c r="N746" i="17"/>
  <c r="O746" i="17" s="1"/>
  <c r="N742" i="17"/>
  <c r="O742" i="17" s="1"/>
  <c r="N732" i="17"/>
  <c r="O732" i="17" s="1"/>
  <c r="N748" i="17"/>
  <c r="P748" i="17" s="1"/>
  <c r="N709" i="17"/>
  <c r="O709" i="17" s="1"/>
  <c r="N721" i="17"/>
  <c r="O721" i="17" s="1"/>
  <c r="N747" i="17"/>
  <c r="P747" i="17" s="1"/>
  <c r="N728" i="17"/>
  <c r="O728" i="17" s="1"/>
  <c r="N733" i="17"/>
  <c r="P733" i="17" s="1"/>
  <c r="N729" i="17"/>
  <c r="O729" i="17" s="1"/>
  <c r="N713" i="17"/>
  <c r="O713" i="17" s="1"/>
  <c r="N749" i="17"/>
  <c r="O749" i="17" s="1"/>
  <c r="N745" i="17"/>
  <c r="O745" i="17" s="1"/>
  <c r="N739" i="17"/>
  <c r="O739" i="17" s="1"/>
  <c r="N720" i="17"/>
  <c r="O720" i="17" s="1"/>
  <c r="N714" i="17"/>
  <c r="O714" i="17" s="1"/>
  <c r="N724" i="17"/>
  <c r="P724" i="17" s="1"/>
  <c r="N711" i="17"/>
  <c r="O711" i="17" s="1"/>
  <c r="N738" i="17"/>
  <c r="O738" i="17" s="1"/>
  <c r="N735" i="17"/>
  <c r="O735" i="17" s="1"/>
  <c r="N727" i="17"/>
  <c r="O727" i="17" s="1"/>
  <c r="N712" i="17"/>
  <c r="O712" i="17" s="1"/>
  <c r="N740" i="17"/>
  <c r="O740" i="17" s="1"/>
  <c r="N726" i="17"/>
  <c r="O726" i="17" s="1"/>
  <c r="N719" i="17"/>
  <c r="P719" i="17" s="1"/>
  <c r="N710" i="17"/>
  <c r="O710" i="17" s="1"/>
  <c r="AZ181" i="10"/>
  <c r="BE181" i="10"/>
  <c r="BF181" i="10"/>
  <c r="Q9" i="3" s="1"/>
  <c r="BH181" i="10"/>
  <c r="Z9" i="3" s="1"/>
  <c r="BI181" i="10"/>
  <c r="W9" i="3" s="1"/>
  <c r="BJ181" i="10"/>
  <c r="U9" i="3" s="1"/>
  <c r="BK181" i="10"/>
  <c r="AB9" i="3" s="1"/>
  <c r="BL181" i="10"/>
  <c r="AD9" i="3" s="1"/>
  <c r="BM181" i="10"/>
  <c r="AI9" i="3" s="1"/>
  <c r="BN181" i="10"/>
  <c r="AK9" i="3" s="1"/>
  <c r="BO181" i="10"/>
  <c r="BP181" i="10"/>
  <c r="BS181" i="10"/>
  <c r="BT181" i="10" s="1"/>
  <c r="E9" i="9" s="1"/>
  <c r="BU181" i="10"/>
  <c r="M9" i="3" s="1"/>
  <c r="AZ182" i="10"/>
  <c r="BE182" i="10"/>
  <c r="BF182" i="10"/>
  <c r="Q10" i="3" s="1"/>
  <c r="BH182" i="10"/>
  <c r="Z10" i="3" s="1"/>
  <c r="BI182" i="10"/>
  <c r="W10" i="3" s="1"/>
  <c r="BJ182" i="10"/>
  <c r="U10" i="3" s="1"/>
  <c r="BK182" i="10"/>
  <c r="AB10" i="3" s="1"/>
  <c r="BL182" i="10"/>
  <c r="AD10" i="3" s="1"/>
  <c r="BM182" i="10"/>
  <c r="AI10" i="3" s="1"/>
  <c r="BN182" i="10"/>
  <c r="AK10" i="3" s="1"/>
  <c r="BO182" i="10"/>
  <c r="BP182" i="10"/>
  <c r="BS182" i="10"/>
  <c r="BT182" i="10" s="1"/>
  <c r="E10" i="9" s="1"/>
  <c r="BU182" i="10"/>
  <c r="M10" i="3" s="1"/>
  <c r="AZ183" i="10"/>
  <c r="BE183" i="10"/>
  <c r="BF183" i="10"/>
  <c r="Q29" i="3" s="1"/>
  <c r="BH183" i="10"/>
  <c r="Z29" i="3" s="1"/>
  <c r="BI183" i="10"/>
  <c r="W29" i="3" s="1"/>
  <c r="BJ183" i="10"/>
  <c r="U29" i="3" s="1"/>
  <c r="BK183" i="10"/>
  <c r="AB29" i="3" s="1"/>
  <c r="BL183" i="10"/>
  <c r="AD29" i="3" s="1"/>
  <c r="BM183" i="10"/>
  <c r="AI29" i="3" s="1"/>
  <c r="BN183" i="10"/>
  <c r="AK29" i="3" s="1"/>
  <c r="BO183" i="10"/>
  <c r="BP183" i="10"/>
  <c r="BS183" i="10"/>
  <c r="BT183" i="10" s="1"/>
  <c r="E29" i="9" s="1"/>
  <c r="BU183" i="10"/>
  <c r="M29" i="3" s="1"/>
  <c r="M43" i="3"/>
  <c r="AZ184" i="10"/>
  <c r="BE184" i="10"/>
  <c r="BF184" i="10"/>
  <c r="Q52" i="3" s="1"/>
  <c r="BH184" i="10"/>
  <c r="Z52" i="3" s="1"/>
  <c r="BI184" i="10"/>
  <c r="W52" i="3" s="1"/>
  <c r="BJ184" i="10"/>
  <c r="U52" i="3" s="1"/>
  <c r="BK184" i="10"/>
  <c r="AB52" i="3" s="1"/>
  <c r="BL184" i="10"/>
  <c r="AD52" i="3" s="1"/>
  <c r="BM184" i="10"/>
  <c r="AI52" i="3" s="1"/>
  <c r="BN184" i="10"/>
  <c r="AK52" i="3" s="1"/>
  <c r="BO184" i="10"/>
  <c r="BP184" i="10"/>
  <c r="BS184" i="10"/>
  <c r="BT184" i="10" s="1"/>
  <c r="E52" i="9" s="1"/>
  <c r="BU184" i="10"/>
  <c r="M52" i="3" s="1"/>
  <c r="AZ185" i="10"/>
  <c r="BE185" i="10"/>
  <c r="BF185" i="10"/>
  <c r="Q63" i="3" s="1"/>
  <c r="BH185" i="10"/>
  <c r="Z63" i="3" s="1"/>
  <c r="BI185" i="10"/>
  <c r="W63" i="3" s="1"/>
  <c r="BJ185" i="10"/>
  <c r="U63" i="3" s="1"/>
  <c r="BK185" i="10"/>
  <c r="AB63" i="3" s="1"/>
  <c r="BL185" i="10"/>
  <c r="AD63" i="3" s="1"/>
  <c r="BM185" i="10"/>
  <c r="AI63" i="3" s="1"/>
  <c r="BN185" i="10"/>
  <c r="AK63" i="3" s="1"/>
  <c r="BO185" i="10"/>
  <c r="BP185" i="10"/>
  <c r="BS185" i="10"/>
  <c r="BT185" i="10" s="1"/>
  <c r="E63" i="9" s="1"/>
  <c r="BU185" i="10"/>
  <c r="M63" i="3" s="1"/>
  <c r="M76" i="3"/>
  <c r="M77" i="3"/>
  <c r="Q115" i="3"/>
  <c r="Z115" i="3"/>
  <c r="W115" i="3"/>
  <c r="U115" i="3"/>
  <c r="AB115" i="3"/>
  <c r="AD115" i="3"/>
  <c r="AI115" i="3"/>
  <c r="AK115" i="3"/>
  <c r="M115" i="3"/>
  <c r="Q118" i="3"/>
  <c r="Z118" i="3"/>
  <c r="W118" i="3"/>
  <c r="U118" i="3"/>
  <c r="AB118" i="3"/>
  <c r="AD118" i="3"/>
  <c r="AI118" i="3"/>
  <c r="AK118" i="3"/>
  <c r="M118" i="3"/>
  <c r="M128" i="3"/>
  <c r="AZ186" i="10"/>
  <c r="BE186" i="10"/>
  <c r="BF186" i="10"/>
  <c r="Q191" i="3" s="1"/>
  <c r="BH186" i="10"/>
  <c r="Z191" i="3" s="1"/>
  <c r="BI186" i="10"/>
  <c r="W191" i="3" s="1"/>
  <c r="BJ186" i="10"/>
  <c r="U191" i="3" s="1"/>
  <c r="BK186" i="10"/>
  <c r="AB191" i="3" s="1"/>
  <c r="BL186" i="10"/>
  <c r="AD191" i="3" s="1"/>
  <c r="BM186" i="10"/>
  <c r="AI191" i="3" s="1"/>
  <c r="BN186" i="10"/>
  <c r="AK191" i="3" s="1"/>
  <c r="BO186" i="10"/>
  <c r="BP186" i="10"/>
  <c r="BS186" i="10"/>
  <c r="BT186" i="10" s="1"/>
  <c r="E191" i="9" s="1"/>
  <c r="BU186" i="10"/>
  <c r="M191" i="3" s="1"/>
  <c r="AZ187" i="10"/>
  <c r="BE187" i="10"/>
  <c r="BF187" i="10"/>
  <c r="Q192" i="3" s="1"/>
  <c r="BH187" i="10"/>
  <c r="Z192" i="3" s="1"/>
  <c r="BI187" i="10"/>
  <c r="W192" i="3" s="1"/>
  <c r="BJ187" i="10"/>
  <c r="U192" i="3" s="1"/>
  <c r="BK187" i="10"/>
  <c r="AB192" i="3" s="1"/>
  <c r="BL187" i="10"/>
  <c r="AD192" i="3" s="1"/>
  <c r="BM187" i="10"/>
  <c r="AI192" i="3" s="1"/>
  <c r="BN187" i="10"/>
  <c r="AK192" i="3" s="1"/>
  <c r="BO187" i="10"/>
  <c r="BP187" i="10"/>
  <c r="BS187" i="10"/>
  <c r="BT187" i="10" s="1"/>
  <c r="E192" i="9" s="1"/>
  <c r="BU187" i="10"/>
  <c r="M192" i="3" s="1"/>
  <c r="Q203" i="3"/>
  <c r="Z203" i="3"/>
  <c r="W203" i="3"/>
  <c r="U203" i="3"/>
  <c r="AB203" i="3"/>
  <c r="AD203" i="3"/>
  <c r="AI203" i="3"/>
  <c r="AK203" i="3"/>
  <c r="M203" i="3"/>
  <c r="AZ188" i="10"/>
  <c r="BE188" i="10"/>
  <c r="BF188" i="10"/>
  <c r="Q215" i="3" s="1"/>
  <c r="BH188" i="10"/>
  <c r="Z215" i="3" s="1"/>
  <c r="BI188" i="10"/>
  <c r="W215" i="3" s="1"/>
  <c r="BJ188" i="10"/>
  <c r="U215" i="3" s="1"/>
  <c r="BK188" i="10"/>
  <c r="AB215" i="3" s="1"/>
  <c r="BL188" i="10"/>
  <c r="AD215" i="3" s="1"/>
  <c r="BM188" i="10"/>
  <c r="AI215" i="3" s="1"/>
  <c r="BN188" i="10"/>
  <c r="AK215" i="3" s="1"/>
  <c r="BO188" i="10"/>
  <c r="BP188" i="10"/>
  <c r="BS188" i="10"/>
  <c r="BT188" i="10" s="1"/>
  <c r="E215" i="9" s="1"/>
  <c r="BU188" i="10"/>
  <c r="M215" i="3" s="1"/>
  <c r="AZ189" i="10"/>
  <c r="BE189" i="10"/>
  <c r="BF189" i="10"/>
  <c r="Q231" i="3" s="1"/>
  <c r="BH189" i="10"/>
  <c r="Z231" i="3" s="1"/>
  <c r="BI189" i="10"/>
  <c r="W231" i="3" s="1"/>
  <c r="BJ189" i="10"/>
  <c r="U231" i="3" s="1"/>
  <c r="BK189" i="10"/>
  <c r="AB231" i="3" s="1"/>
  <c r="BL189" i="10"/>
  <c r="AD231" i="3" s="1"/>
  <c r="BM189" i="10"/>
  <c r="AI231" i="3" s="1"/>
  <c r="BN189" i="10"/>
  <c r="AK231" i="3" s="1"/>
  <c r="BO189" i="10"/>
  <c r="BP189" i="10"/>
  <c r="BS189" i="10"/>
  <c r="BT189" i="10" s="1"/>
  <c r="E231" i="9" s="1"/>
  <c r="BU189" i="10"/>
  <c r="M231" i="3" s="1"/>
  <c r="AZ190" i="10"/>
  <c r="BE190" i="10"/>
  <c r="BF190" i="10"/>
  <c r="Q235" i="3" s="1"/>
  <c r="BH190" i="10"/>
  <c r="Z235" i="3" s="1"/>
  <c r="BI190" i="10"/>
  <c r="W235" i="3" s="1"/>
  <c r="BJ190" i="10"/>
  <c r="U235" i="3" s="1"/>
  <c r="BK190" i="10"/>
  <c r="AB235" i="3" s="1"/>
  <c r="BL190" i="10"/>
  <c r="AD235" i="3" s="1"/>
  <c r="BM190" i="10"/>
  <c r="AI235" i="3" s="1"/>
  <c r="BN190" i="10"/>
  <c r="AK235" i="3" s="1"/>
  <c r="BO190" i="10"/>
  <c r="BP190" i="10"/>
  <c r="BS190" i="10"/>
  <c r="BT190" i="10" s="1"/>
  <c r="E235" i="9" s="1"/>
  <c r="BU190" i="10"/>
  <c r="M235" i="3" s="1"/>
  <c r="AZ191" i="10"/>
  <c r="BE191" i="10"/>
  <c r="BF191" i="10"/>
  <c r="Q253" i="3" s="1"/>
  <c r="BH191" i="10"/>
  <c r="Z253" i="3" s="1"/>
  <c r="BI191" i="10"/>
  <c r="W253" i="3" s="1"/>
  <c r="BJ191" i="10"/>
  <c r="U253" i="3" s="1"/>
  <c r="BK191" i="10"/>
  <c r="AB253" i="3" s="1"/>
  <c r="BL191" i="10"/>
  <c r="AD253" i="3" s="1"/>
  <c r="BM191" i="10"/>
  <c r="AI253" i="3" s="1"/>
  <c r="BN191" i="10"/>
  <c r="AK253" i="3" s="1"/>
  <c r="BO191" i="10"/>
  <c r="BP191" i="10"/>
  <c r="BS191" i="10"/>
  <c r="BT191" i="10" s="1"/>
  <c r="E253" i="9" s="1"/>
  <c r="BU191" i="10"/>
  <c r="M253" i="3" s="1"/>
  <c r="AZ192" i="10"/>
  <c r="BE192" i="10"/>
  <c r="BF192" i="10"/>
  <c r="Q262" i="3" s="1"/>
  <c r="BH192" i="10"/>
  <c r="Z262" i="3" s="1"/>
  <c r="BI192" i="10"/>
  <c r="W262" i="3" s="1"/>
  <c r="BJ192" i="10"/>
  <c r="U262" i="3" s="1"/>
  <c r="BK192" i="10"/>
  <c r="AB262" i="3" s="1"/>
  <c r="BL192" i="10"/>
  <c r="AD262" i="3" s="1"/>
  <c r="BM192" i="10"/>
  <c r="AI262" i="3" s="1"/>
  <c r="BN192" i="10"/>
  <c r="AK262" i="3" s="1"/>
  <c r="BO192" i="10"/>
  <c r="BP192" i="10"/>
  <c r="BS192" i="10"/>
  <c r="BT192" i="10" s="1"/>
  <c r="E262" i="9" s="1"/>
  <c r="BU192" i="10"/>
  <c r="M262" i="3" s="1"/>
  <c r="AZ193" i="10"/>
  <c r="BE193" i="10"/>
  <c r="BF193" i="10"/>
  <c r="Q263" i="3" s="1"/>
  <c r="BH193" i="10"/>
  <c r="Z263" i="3" s="1"/>
  <c r="BI193" i="10"/>
  <c r="W263" i="3" s="1"/>
  <c r="BJ193" i="10"/>
  <c r="U263" i="3" s="1"/>
  <c r="BK193" i="10"/>
  <c r="AB263" i="3" s="1"/>
  <c r="BL193" i="10"/>
  <c r="AD263" i="3" s="1"/>
  <c r="BM193" i="10"/>
  <c r="AI263" i="3" s="1"/>
  <c r="BN193" i="10"/>
  <c r="AK263" i="3" s="1"/>
  <c r="BO193" i="10"/>
  <c r="BP193" i="10"/>
  <c r="BS193" i="10"/>
  <c r="BT193" i="10" s="1"/>
  <c r="E263" i="9" s="1"/>
  <c r="BU193" i="10"/>
  <c r="M263" i="3" s="1"/>
  <c r="M268" i="3"/>
  <c r="O734" i="17" l="1"/>
  <c r="Q734" i="17" s="1"/>
  <c r="P736" i="17"/>
  <c r="Q736" i="17" s="1"/>
  <c r="P723" i="17"/>
  <c r="Q723" i="17" s="1"/>
  <c r="O741" i="17"/>
  <c r="Q741" i="17" s="1"/>
  <c r="O725" i="17"/>
  <c r="Q725" i="17" s="1"/>
  <c r="P730" i="17"/>
  <c r="Q730" i="17" s="1"/>
  <c r="P746" i="17"/>
  <c r="Q746" i="17" s="1"/>
  <c r="P716" i="17"/>
  <c r="Q716" i="17" s="1"/>
  <c r="O747" i="17"/>
  <c r="Q747" i="17" s="1"/>
  <c r="P745" i="17"/>
  <c r="Q745" i="17" s="1"/>
  <c r="O733" i="17"/>
  <c r="Q733" i="17" s="1"/>
  <c r="P742" i="17"/>
  <c r="Q742" i="17" s="1"/>
  <c r="P729" i="17"/>
  <c r="Q729" i="17" s="1"/>
  <c r="O737" i="17"/>
  <c r="Q737" i="17" s="1"/>
  <c r="P718" i="17"/>
  <c r="Q718" i="17" s="1"/>
  <c r="P735" i="17"/>
  <c r="Q735" i="17" s="1"/>
  <c r="P721" i="17"/>
  <c r="Q721" i="17" s="1"/>
  <c r="P712" i="17"/>
  <c r="Q712" i="17" s="1"/>
  <c r="P722" i="17"/>
  <c r="Q722" i="17" s="1"/>
  <c r="P715" i="17"/>
  <c r="Q715" i="17" s="1"/>
  <c r="P709" i="17"/>
  <c r="Q709" i="17" s="1"/>
  <c r="P740" i="17"/>
  <c r="Q740" i="17" s="1"/>
  <c r="P717" i="17"/>
  <c r="Q717" i="17" s="1"/>
  <c r="P749" i="17"/>
  <c r="Q749" i="17" s="1"/>
  <c r="O744" i="17"/>
  <c r="Q744" i="17" s="1"/>
  <c r="P750" i="17"/>
  <c r="Q750" i="17" s="1"/>
  <c r="O731" i="17"/>
  <c r="Q731" i="17" s="1"/>
  <c r="P743" i="17"/>
  <c r="Q743" i="17" s="1"/>
  <c r="O724" i="17"/>
  <c r="Q724" i="17" s="1"/>
  <c r="O719" i="17"/>
  <c r="Q719" i="17" s="1"/>
  <c r="P752" i="17"/>
  <c r="Q752" i="17" s="1"/>
  <c r="O748" i="17"/>
  <c r="Q748" i="17" s="1"/>
  <c r="P720" i="17"/>
  <c r="Q720" i="17" s="1"/>
  <c r="P751" i="17"/>
  <c r="Q751" i="17" s="1"/>
  <c r="P711" i="17"/>
  <c r="Q711" i="17" s="1"/>
  <c r="P739" i="17"/>
  <c r="Q739" i="17" s="1"/>
  <c r="P727" i="17"/>
  <c r="Q727" i="17" s="1"/>
  <c r="P713" i="17"/>
  <c r="Q713" i="17" s="1"/>
  <c r="P728" i="17"/>
  <c r="Q728" i="17" s="1"/>
  <c r="P726" i="17"/>
  <c r="Q726" i="17" s="1"/>
  <c r="P714" i="17"/>
  <c r="Q714" i="17" s="1"/>
  <c r="P732" i="17"/>
  <c r="Q732" i="17" s="1"/>
  <c r="P710" i="17"/>
  <c r="Q710" i="17" s="1"/>
  <c r="P738" i="17"/>
  <c r="Q738" i="17" s="1"/>
  <c r="AZ135" i="10"/>
  <c r="AZ136" i="10"/>
  <c r="AZ137" i="10"/>
  <c r="AZ138" i="10"/>
  <c r="AZ139" i="10"/>
  <c r="AZ140" i="10"/>
  <c r="AZ141" i="10"/>
  <c r="AZ142" i="10"/>
  <c r="AZ143" i="10"/>
  <c r="AZ144" i="10"/>
  <c r="AZ145" i="10"/>
  <c r="AZ146" i="10"/>
  <c r="AZ147" i="10"/>
  <c r="AZ148" i="10"/>
  <c r="AZ149" i="10"/>
  <c r="AZ150" i="10"/>
  <c r="AZ151" i="10"/>
  <c r="AZ152" i="10"/>
  <c r="AZ153" i="10"/>
  <c r="AZ154" i="10"/>
  <c r="AZ155" i="10"/>
  <c r="AZ156" i="10"/>
  <c r="AZ157" i="10"/>
  <c r="AZ158" i="10"/>
  <c r="AZ159" i="10"/>
  <c r="AZ160" i="10"/>
  <c r="AZ161" i="10"/>
  <c r="AZ162" i="10"/>
  <c r="AZ163" i="10"/>
  <c r="AZ164" i="10"/>
  <c r="AZ165" i="10"/>
  <c r="AZ166" i="10"/>
  <c r="AZ167" i="10"/>
  <c r="AZ168" i="10"/>
  <c r="AZ169" i="10"/>
  <c r="AZ170" i="10"/>
  <c r="AZ171" i="10"/>
  <c r="AZ172" i="10"/>
  <c r="AZ173" i="10"/>
  <c r="AZ174" i="10"/>
  <c r="AZ175" i="10"/>
  <c r="AZ176" i="10"/>
  <c r="AZ177" i="10"/>
  <c r="AZ178" i="10"/>
  <c r="AZ179" i="10"/>
  <c r="AZ180" i="10"/>
  <c r="L707" i="17" l="1"/>
  <c r="M707" i="17"/>
  <c r="S707" i="17"/>
  <c r="L708" i="17"/>
  <c r="M708" i="17"/>
  <c r="S708" i="17"/>
  <c r="B707" i="17"/>
  <c r="B708" i="17"/>
  <c r="BE180" i="10"/>
  <c r="BF180" i="10"/>
  <c r="Q162" i="3" s="1"/>
  <c r="BH180" i="10"/>
  <c r="Z162" i="3" s="1"/>
  <c r="BI180" i="10"/>
  <c r="W162" i="3" s="1"/>
  <c r="BJ180" i="10"/>
  <c r="U162" i="3" s="1"/>
  <c r="BK180" i="10"/>
  <c r="AB162" i="3" s="1"/>
  <c r="BL180" i="10"/>
  <c r="AD162" i="3" s="1"/>
  <c r="BM180" i="10"/>
  <c r="AI162" i="3" s="1"/>
  <c r="BN180" i="10"/>
  <c r="AK162" i="3" s="1"/>
  <c r="BO180" i="10"/>
  <c r="BP180" i="10"/>
  <c r="BS180" i="10"/>
  <c r="BT180" i="10" s="1"/>
  <c r="E162" i="9" s="1"/>
  <c r="BU180" i="10"/>
  <c r="M162" i="3" s="1"/>
  <c r="N708" i="17" l="1"/>
  <c r="P708" i="17" s="1"/>
  <c r="N707" i="17"/>
  <c r="O707" i="17" s="1"/>
  <c r="L586" i="17"/>
  <c r="M586" i="17"/>
  <c r="S586" i="17"/>
  <c r="L587" i="17"/>
  <c r="M587" i="17"/>
  <c r="S587" i="17"/>
  <c r="L588" i="17"/>
  <c r="M588" i="17"/>
  <c r="S588" i="17"/>
  <c r="L589" i="17"/>
  <c r="M589" i="17"/>
  <c r="S589" i="17"/>
  <c r="L590" i="17"/>
  <c r="M590" i="17"/>
  <c r="S590" i="17"/>
  <c r="L591" i="17"/>
  <c r="M591" i="17"/>
  <c r="S591" i="17"/>
  <c r="L592" i="17"/>
  <c r="M592" i="17"/>
  <c r="S592" i="17"/>
  <c r="L593" i="17"/>
  <c r="M593" i="17"/>
  <c r="S593" i="17"/>
  <c r="L594" i="17"/>
  <c r="M594" i="17"/>
  <c r="S594" i="17"/>
  <c r="L595" i="17"/>
  <c r="M595" i="17"/>
  <c r="S595" i="17"/>
  <c r="L596" i="17"/>
  <c r="M596" i="17"/>
  <c r="S596" i="17"/>
  <c r="L597" i="17"/>
  <c r="M597" i="17"/>
  <c r="S597" i="17"/>
  <c r="L598" i="17"/>
  <c r="M598" i="17"/>
  <c r="S598" i="17"/>
  <c r="L599" i="17"/>
  <c r="M599" i="17"/>
  <c r="S599" i="17"/>
  <c r="L600" i="17"/>
  <c r="M600" i="17"/>
  <c r="S600" i="17"/>
  <c r="L601" i="17"/>
  <c r="M601" i="17"/>
  <c r="S601" i="17"/>
  <c r="L602" i="17"/>
  <c r="M602" i="17"/>
  <c r="S602" i="17"/>
  <c r="L603" i="17"/>
  <c r="M603" i="17"/>
  <c r="S603" i="17"/>
  <c r="L604" i="17"/>
  <c r="M604" i="17"/>
  <c r="S604" i="17"/>
  <c r="L605" i="17"/>
  <c r="M605" i="17"/>
  <c r="S605" i="17"/>
  <c r="L606" i="17"/>
  <c r="M606" i="17"/>
  <c r="S606" i="17"/>
  <c r="L607" i="17"/>
  <c r="M607" i="17"/>
  <c r="S607" i="17"/>
  <c r="L608" i="17"/>
  <c r="M608" i="17"/>
  <c r="S608" i="17"/>
  <c r="L609" i="17"/>
  <c r="M609" i="17"/>
  <c r="S609" i="17"/>
  <c r="L610" i="17"/>
  <c r="M610" i="17"/>
  <c r="S610" i="17"/>
  <c r="L611" i="17"/>
  <c r="M611" i="17"/>
  <c r="S611" i="17"/>
  <c r="L612" i="17"/>
  <c r="M612" i="17"/>
  <c r="S612" i="17"/>
  <c r="L613" i="17"/>
  <c r="M613" i="17"/>
  <c r="S613" i="17"/>
  <c r="L614" i="17"/>
  <c r="M614" i="17"/>
  <c r="S614" i="17"/>
  <c r="L615" i="17"/>
  <c r="M615" i="17"/>
  <c r="S615" i="17"/>
  <c r="L616" i="17"/>
  <c r="M616" i="17"/>
  <c r="S616" i="17"/>
  <c r="L617" i="17"/>
  <c r="M617" i="17"/>
  <c r="S617" i="17"/>
  <c r="L618" i="17"/>
  <c r="M618" i="17"/>
  <c r="S618" i="17"/>
  <c r="L619" i="17"/>
  <c r="M619" i="17"/>
  <c r="S619" i="17"/>
  <c r="L620" i="17"/>
  <c r="M620" i="17"/>
  <c r="S620" i="17"/>
  <c r="L621" i="17"/>
  <c r="M621" i="17"/>
  <c r="S621" i="17"/>
  <c r="L622" i="17"/>
  <c r="M622" i="17"/>
  <c r="S622" i="17"/>
  <c r="L623" i="17"/>
  <c r="M623" i="17"/>
  <c r="S623" i="17"/>
  <c r="L624" i="17"/>
  <c r="M624" i="17"/>
  <c r="S624" i="17"/>
  <c r="L625" i="17"/>
  <c r="M625" i="17"/>
  <c r="S625" i="17"/>
  <c r="L626" i="17"/>
  <c r="M626" i="17"/>
  <c r="S626" i="17"/>
  <c r="L627" i="17"/>
  <c r="M627" i="17"/>
  <c r="S627" i="17"/>
  <c r="L628" i="17"/>
  <c r="M628" i="17"/>
  <c r="S628" i="17"/>
  <c r="L629" i="17"/>
  <c r="M629" i="17"/>
  <c r="S629" i="17"/>
  <c r="L630" i="17"/>
  <c r="M630" i="17"/>
  <c r="S630" i="17"/>
  <c r="L631" i="17"/>
  <c r="M631" i="17"/>
  <c r="S631" i="17"/>
  <c r="L632" i="17"/>
  <c r="M632" i="17"/>
  <c r="S632" i="17"/>
  <c r="L633" i="17"/>
  <c r="M633" i="17"/>
  <c r="S633" i="17"/>
  <c r="L634" i="17"/>
  <c r="M634" i="17"/>
  <c r="S634" i="17"/>
  <c r="L635" i="17"/>
  <c r="M635" i="17"/>
  <c r="S635" i="17"/>
  <c r="L636" i="17"/>
  <c r="M636" i="17"/>
  <c r="S636" i="17"/>
  <c r="L637" i="17"/>
  <c r="M637" i="17"/>
  <c r="S637" i="17"/>
  <c r="L638" i="17"/>
  <c r="M638" i="17"/>
  <c r="S638" i="17"/>
  <c r="L639" i="17"/>
  <c r="M639" i="17"/>
  <c r="S639" i="17"/>
  <c r="L640" i="17"/>
  <c r="M640" i="17"/>
  <c r="S640" i="17"/>
  <c r="L641" i="17"/>
  <c r="M641" i="17"/>
  <c r="S641" i="17"/>
  <c r="L642" i="17"/>
  <c r="M642" i="17"/>
  <c r="S642" i="17"/>
  <c r="L643" i="17"/>
  <c r="M643" i="17"/>
  <c r="S643" i="17"/>
  <c r="L644" i="17"/>
  <c r="M644" i="17"/>
  <c r="S644" i="17"/>
  <c r="L645" i="17"/>
  <c r="M645" i="17"/>
  <c r="S645" i="17"/>
  <c r="L646" i="17"/>
  <c r="M646" i="17"/>
  <c r="S646" i="17"/>
  <c r="L647" i="17"/>
  <c r="M647" i="17"/>
  <c r="S647" i="17"/>
  <c r="L648" i="17"/>
  <c r="M648" i="17"/>
  <c r="S648" i="17"/>
  <c r="L649" i="17"/>
  <c r="M649" i="17"/>
  <c r="S649" i="17"/>
  <c r="L650" i="17"/>
  <c r="M650" i="17"/>
  <c r="S650" i="17"/>
  <c r="L651" i="17"/>
  <c r="M651" i="17"/>
  <c r="S651" i="17"/>
  <c r="L652" i="17"/>
  <c r="M652" i="17"/>
  <c r="S652" i="17"/>
  <c r="L653" i="17"/>
  <c r="M653" i="17"/>
  <c r="S653" i="17"/>
  <c r="L654" i="17"/>
  <c r="M654" i="17"/>
  <c r="S654" i="17"/>
  <c r="L655" i="17"/>
  <c r="M655" i="17"/>
  <c r="S655" i="17"/>
  <c r="L656" i="17"/>
  <c r="M656" i="17"/>
  <c r="S656" i="17"/>
  <c r="L657" i="17"/>
  <c r="M657" i="17"/>
  <c r="S657" i="17"/>
  <c r="L658" i="17"/>
  <c r="M658" i="17"/>
  <c r="S658" i="17"/>
  <c r="L659" i="17"/>
  <c r="M659" i="17"/>
  <c r="S659" i="17"/>
  <c r="L660" i="17"/>
  <c r="M660" i="17"/>
  <c r="S660" i="17"/>
  <c r="L661" i="17"/>
  <c r="M661" i="17"/>
  <c r="S661" i="17"/>
  <c r="L662" i="17"/>
  <c r="M662" i="17"/>
  <c r="S662" i="17"/>
  <c r="L663" i="17"/>
  <c r="M663" i="17"/>
  <c r="S663" i="17"/>
  <c r="L664" i="17"/>
  <c r="M664" i="17"/>
  <c r="S664" i="17"/>
  <c r="L665" i="17"/>
  <c r="M665" i="17"/>
  <c r="S665" i="17"/>
  <c r="L666" i="17"/>
  <c r="M666" i="17"/>
  <c r="S666" i="17"/>
  <c r="L667" i="17"/>
  <c r="M667" i="17"/>
  <c r="S667" i="17"/>
  <c r="L668" i="17"/>
  <c r="M668" i="17"/>
  <c r="S668" i="17"/>
  <c r="L669" i="17"/>
  <c r="M669" i="17"/>
  <c r="S669" i="17"/>
  <c r="L670" i="17"/>
  <c r="M670" i="17"/>
  <c r="S670" i="17"/>
  <c r="L671" i="17"/>
  <c r="M671" i="17"/>
  <c r="S671" i="17"/>
  <c r="L672" i="17"/>
  <c r="M672" i="17"/>
  <c r="S672" i="17"/>
  <c r="L673" i="17"/>
  <c r="M673" i="17"/>
  <c r="S673" i="17"/>
  <c r="L674" i="17"/>
  <c r="M674" i="17"/>
  <c r="S674" i="17"/>
  <c r="L675" i="17"/>
  <c r="M675" i="17"/>
  <c r="S675" i="17"/>
  <c r="L676" i="17"/>
  <c r="M676" i="17"/>
  <c r="S676" i="17"/>
  <c r="L677" i="17"/>
  <c r="M677" i="17"/>
  <c r="S677" i="17"/>
  <c r="L678" i="17"/>
  <c r="M678" i="17"/>
  <c r="S678" i="17"/>
  <c r="L679" i="17"/>
  <c r="M679" i="17"/>
  <c r="S679" i="17"/>
  <c r="L680" i="17"/>
  <c r="M680" i="17"/>
  <c r="S680" i="17"/>
  <c r="L681" i="17"/>
  <c r="M681" i="17"/>
  <c r="S681" i="17"/>
  <c r="L682" i="17"/>
  <c r="M682" i="17"/>
  <c r="S682" i="17"/>
  <c r="L683" i="17"/>
  <c r="M683" i="17"/>
  <c r="S683" i="17"/>
  <c r="L684" i="17"/>
  <c r="M684" i="17"/>
  <c r="S684" i="17"/>
  <c r="L685" i="17"/>
  <c r="M685" i="17"/>
  <c r="S685" i="17"/>
  <c r="L686" i="17"/>
  <c r="M686" i="17"/>
  <c r="S686" i="17"/>
  <c r="L687" i="17"/>
  <c r="M687" i="17"/>
  <c r="S687" i="17"/>
  <c r="L688" i="17"/>
  <c r="M688" i="17"/>
  <c r="S688" i="17"/>
  <c r="L689" i="17"/>
  <c r="M689" i="17"/>
  <c r="S689" i="17"/>
  <c r="L690" i="17"/>
  <c r="M690" i="17"/>
  <c r="S690" i="17"/>
  <c r="L691" i="17"/>
  <c r="M691" i="17"/>
  <c r="S691" i="17"/>
  <c r="L692" i="17"/>
  <c r="M692" i="17"/>
  <c r="S692" i="17"/>
  <c r="L693" i="17"/>
  <c r="M693" i="17"/>
  <c r="S693" i="17"/>
  <c r="L694" i="17"/>
  <c r="M694" i="17"/>
  <c r="S694" i="17"/>
  <c r="L695" i="17"/>
  <c r="M695" i="17"/>
  <c r="S695" i="17"/>
  <c r="L696" i="17"/>
  <c r="M696" i="17"/>
  <c r="S696" i="17"/>
  <c r="L697" i="17"/>
  <c r="M697" i="17"/>
  <c r="S697" i="17"/>
  <c r="L698" i="17"/>
  <c r="M698" i="17"/>
  <c r="S698" i="17"/>
  <c r="L699" i="17"/>
  <c r="M699" i="17"/>
  <c r="S699" i="17"/>
  <c r="L700" i="17"/>
  <c r="M700" i="17"/>
  <c r="S700" i="17"/>
  <c r="L701" i="17"/>
  <c r="M701" i="17"/>
  <c r="S701" i="17"/>
  <c r="L702" i="17"/>
  <c r="M702" i="17"/>
  <c r="S702" i="17"/>
  <c r="L703" i="17"/>
  <c r="M703" i="17"/>
  <c r="S703" i="17"/>
  <c r="L704" i="17"/>
  <c r="M704" i="17"/>
  <c r="S704" i="17"/>
  <c r="L705" i="17"/>
  <c r="M705" i="17"/>
  <c r="S705" i="17"/>
  <c r="L706" i="17"/>
  <c r="M706" i="17"/>
  <c r="S706" i="17"/>
  <c r="B586" i="17"/>
  <c r="B587" i="17"/>
  <c r="B588" i="17"/>
  <c r="B589" i="17"/>
  <c r="B590" i="17"/>
  <c r="B591" i="17"/>
  <c r="B592" i="17"/>
  <c r="B593" i="17"/>
  <c r="B594" i="17"/>
  <c r="B595" i="17"/>
  <c r="B596" i="17"/>
  <c r="B597" i="17"/>
  <c r="B598" i="17"/>
  <c r="B599" i="17"/>
  <c r="B600" i="17"/>
  <c r="B601" i="17"/>
  <c r="B602" i="17"/>
  <c r="B603" i="17"/>
  <c r="B604" i="17"/>
  <c r="B605" i="17"/>
  <c r="B606" i="17"/>
  <c r="B607" i="17"/>
  <c r="B608" i="17"/>
  <c r="B609" i="17"/>
  <c r="B610" i="17"/>
  <c r="B611" i="17"/>
  <c r="B612" i="17"/>
  <c r="B613" i="17"/>
  <c r="B614" i="17"/>
  <c r="B615" i="17"/>
  <c r="B616" i="17"/>
  <c r="B617" i="17"/>
  <c r="B618" i="17"/>
  <c r="B619" i="17"/>
  <c r="B620" i="17"/>
  <c r="B621" i="17"/>
  <c r="B622" i="17"/>
  <c r="B623" i="17"/>
  <c r="B624" i="17"/>
  <c r="B625" i="17"/>
  <c r="B626" i="17"/>
  <c r="B627" i="17"/>
  <c r="B628" i="17"/>
  <c r="B629" i="17"/>
  <c r="B630" i="17"/>
  <c r="B631" i="17"/>
  <c r="B632" i="17"/>
  <c r="B633" i="17"/>
  <c r="B634" i="17"/>
  <c r="B635" i="17"/>
  <c r="B636" i="17"/>
  <c r="B637" i="17"/>
  <c r="B638" i="17"/>
  <c r="B639" i="17"/>
  <c r="B640" i="17"/>
  <c r="B641" i="17"/>
  <c r="B642" i="17"/>
  <c r="B643" i="17"/>
  <c r="B644" i="17"/>
  <c r="B645" i="17"/>
  <c r="B646" i="17"/>
  <c r="B647" i="17"/>
  <c r="B648" i="17"/>
  <c r="B649" i="17"/>
  <c r="B650" i="17"/>
  <c r="B651" i="17"/>
  <c r="B652" i="17"/>
  <c r="B653" i="17"/>
  <c r="B654" i="17"/>
  <c r="B655" i="17"/>
  <c r="B656" i="17"/>
  <c r="B657" i="17"/>
  <c r="B658" i="17"/>
  <c r="B659" i="17"/>
  <c r="B660" i="17"/>
  <c r="B661" i="17"/>
  <c r="B662" i="17"/>
  <c r="B663" i="17"/>
  <c r="B664" i="17"/>
  <c r="B665" i="17"/>
  <c r="B666" i="17"/>
  <c r="B667" i="17"/>
  <c r="B668" i="17"/>
  <c r="B669" i="17"/>
  <c r="B670" i="17"/>
  <c r="B671" i="17"/>
  <c r="B672" i="17"/>
  <c r="B673" i="17"/>
  <c r="B674" i="17"/>
  <c r="B675" i="17"/>
  <c r="B676" i="17"/>
  <c r="B677" i="17"/>
  <c r="B678" i="17"/>
  <c r="B679" i="17"/>
  <c r="B680" i="17"/>
  <c r="B681" i="17"/>
  <c r="B682" i="17"/>
  <c r="B683" i="17"/>
  <c r="B684" i="17"/>
  <c r="B685" i="17"/>
  <c r="B686" i="17"/>
  <c r="B687" i="17"/>
  <c r="B688" i="17"/>
  <c r="B689" i="17"/>
  <c r="B690" i="17"/>
  <c r="B691" i="17"/>
  <c r="B692" i="17"/>
  <c r="B693" i="17"/>
  <c r="B694" i="17"/>
  <c r="B695" i="17"/>
  <c r="B696" i="17"/>
  <c r="B697" i="17"/>
  <c r="B698" i="17"/>
  <c r="B699" i="17"/>
  <c r="B700" i="17"/>
  <c r="B701" i="17"/>
  <c r="B702" i="17"/>
  <c r="B703" i="17"/>
  <c r="B704" i="17"/>
  <c r="B705" i="17"/>
  <c r="B706" i="17"/>
  <c r="BE135" i="10"/>
  <c r="BF135" i="10"/>
  <c r="Q8" i="3" s="1"/>
  <c r="BH135" i="10"/>
  <c r="Z8" i="3" s="1"/>
  <c r="BI135" i="10"/>
  <c r="W8" i="3" s="1"/>
  <c r="BJ135" i="10"/>
  <c r="U8" i="3" s="1"/>
  <c r="BK135" i="10"/>
  <c r="AB8" i="3" s="1"/>
  <c r="BL135" i="10"/>
  <c r="AD8" i="3" s="1"/>
  <c r="BM135" i="10"/>
  <c r="AI8" i="3" s="1"/>
  <c r="BN135" i="10"/>
  <c r="AK8" i="3" s="1"/>
  <c r="BO135" i="10"/>
  <c r="BP135" i="10"/>
  <c r="BS135" i="10"/>
  <c r="BT135" i="10" s="1"/>
  <c r="E8" i="9" s="1"/>
  <c r="BU135" i="10"/>
  <c r="M8" i="3" s="1"/>
  <c r="BE136" i="10"/>
  <c r="BF136" i="10"/>
  <c r="Q13" i="3" s="1"/>
  <c r="BH136" i="10"/>
  <c r="Z13" i="3" s="1"/>
  <c r="BI136" i="10"/>
  <c r="W13" i="3" s="1"/>
  <c r="BJ136" i="10"/>
  <c r="U13" i="3" s="1"/>
  <c r="BK136" i="10"/>
  <c r="AB13" i="3" s="1"/>
  <c r="BL136" i="10"/>
  <c r="AD13" i="3" s="1"/>
  <c r="BM136" i="10"/>
  <c r="AI13" i="3" s="1"/>
  <c r="BN136" i="10"/>
  <c r="AK13" i="3" s="1"/>
  <c r="BO136" i="10"/>
  <c r="BP136" i="10"/>
  <c r="BS136" i="10"/>
  <c r="BT136" i="10" s="1"/>
  <c r="E13" i="9" s="1"/>
  <c r="BU136" i="10"/>
  <c r="M13" i="3" s="1"/>
  <c r="BE137" i="10"/>
  <c r="BF137" i="10"/>
  <c r="Q14" i="3" s="1"/>
  <c r="BH137" i="10"/>
  <c r="Z14" i="3" s="1"/>
  <c r="BI137" i="10"/>
  <c r="W14" i="3" s="1"/>
  <c r="BJ137" i="10"/>
  <c r="U14" i="3" s="1"/>
  <c r="BK137" i="10"/>
  <c r="AB14" i="3" s="1"/>
  <c r="BL137" i="10"/>
  <c r="AD14" i="3" s="1"/>
  <c r="BM137" i="10"/>
  <c r="AI14" i="3" s="1"/>
  <c r="BN137" i="10"/>
  <c r="AK14" i="3" s="1"/>
  <c r="BO137" i="10"/>
  <c r="BP137" i="10"/>
  <c r="BS137" i="10"/>
  <c r="BT137" i="10" s="1"/>
  <c r="E14" i="9" s="1"/>
  <c r="BU137" i="10"/>
  <c r="M14" i="3" s="1"/>
  <c r="BE138" i="10"/>
  <c r="BF138" i="10"/>
  <c r="Q21" i="3" s="1"/>
  <c r="BH138" i="10"/>
  <c r="Z21" i="3" s="1"/>
  <c r="BI138" i="10"/>
  <c r="W21" i="3" s="1"/>
  <c r="BJ138" i="10"/>
  <c r="U21" i="3" s="1"/>
  <c r="BK138" i="10"/>
  <c r="AB21" i="3" s="1"/>
  <c r="BL138" i="10"/>
  <c r="AD21" i="3" s="1"/>
  <c r="BM138" i="10"/>
  <c r="AI21" i="3" s="1"/>
  <c r="BN138" i="10"/>
  <c r="AK21" i="3" s="1"/>
  <c r="BO138" i="10"/>
  <c r="BP138" i="10"/>
  <c r="BS138" i="10"/>
  <c r="BT138" i="10" s="1"/>
  <c r="E21" i="9" s="1"/>
  <c r="BU138" i="10"/>
  <c r="M21" i="3" s="1"/>
  <c r="Q24" i="3"/>
  <c r="Z24" i="3"/>
  <c r="W24" i="3"/>
  <c r="U24" i="3"/>
  <c r="AB24" i="3"/>
  <c r="AD24" i="3"/>
  <c r="AI24" i="3"/>
  <c r="AK24" i="3"/>
  <c r="M24" i="3"/>
  <c r="BE139" i="10"/>
  <c r="BF139" i="10"/>
  <c r="Q28" i="3" s="1"/>
  <c r="BH139" i="10"/>
  <c r="Z28" i="3" s="1"/>
  <c r="BI139" i="10"/>
  <c r="W28" i="3" s="1"/>
  <c r="BJ139" i="10"/>
  <c r="U28" i="3" s="1"/>
  <c r="BK139" i="10"/>
  <c r="AB28" i="3" s="1"/>
  <c r="BL139" i="10"/>
  <c r="AD28" i="3" s="1"/>
  <c r="BM139" i="10"/>
  <c r="AI28" i="3" s="1"/>
  <c r="BN139" i="10"/>
  <c r="AK28" i="3" s="1"/>
  <c r="BO139" i="10"/>
  <c r="BP139" i="10"/>
  <c r="BS139" i="10"/>
  <c r="BT139" i="10" s="1"/>
  <c r="E28" i="9" s="1"/>
  <c r="BU139" i="10"/>
  <c r="M28" i="3" s="1"/>
  <c r="BE140" i="10"/>
  <c r="BF140" i="10"/>
  <c r="Q30" i="3" s="1"/>
  <c r="BH140" i="10"/>
  <c r="Z30" i="3" s="1"/>
  <c r="BI140" i="10"/>
  <c r="W30" i="3" s="1"/>
  <c r="BJ140" i="10"/>
  <c r="U30" i="3" s="1"/>
  <c r="BK140" i="10"/>
  <c r="AB30" i="3" s="1"/>
  <c r="BL140" i="10"/>
  <c r="AD30" i="3" s="1"/>
  <c r="BM140" i="10"/>
  <c r="AI30" i="3" s="1"/>
  <c r="BN140" i="10"/>
  <c r="AK30" i="3" s="1"/>
  <c r="BO140" i="10"/>
  <c r="BP140" i="10"/>
  <c r="BS140" i="10"/>
  <c r="BT140" i="10" s="1"/>
  <c r="E30" i="9" s="1"/>
  <c r="BU140" i="10"/>
  <c r="M30" i="3" s="1"/>
  <c r="BE141" i="10"/>
  <c r="BF141" i="10"/>
  <c r="Q37" i="3" s="1"/>
  <c r="BH141" i="10"/>
  <c r="Z37" i="3" s="1"/>
  <c r="BI141" i="10"/>
  <c r="W37" i="3" s="1"/>
  <c r="BJ141" i="10"/>
  <c r="U37" i="3" s="1"/>
  <c r="BK141" i="10"/>
  <c r="AB37" i="3" s="1"/>
  <c r="BL141" i="10"/>
  <c r="AD37" i="3" s="1"/>
  <c r="BM141" i="10"/>
  <c r="AI37" i="3" s="1"/>
  <c r="BN141" i="10"/>
  <c r="AK37" i="3" s="1"/>
  <c r="BO141" i="10"/>
  <c r="BP141" i="10"/>
  <c r="BS141" i="10"/>
  <c r="BT141" i="10" s="1"/>
  <c r="E37" i="9" s="1"/>
  <c r="BU141" i="10"/>
  <c r="M37" i="3" s="1"/>
  <c r="BE142" i="10"/>
  <c r="BF142" i="10"/>
  <c r="Q38" i="3" s="1"/>
  <c r="BH142" i="10"/>
  <c r="Z38" i="3" s="1"/>
  <c r="BI142" i="10"/>
  <c r="W38" i="3" s="1"/>
  <c r="BJ142" i="10"/>
  <c r="U38" i="3" s="1"/>
  <c r="BK142" i="10"/>
  <c r="AB38" i="3" s="1"/>
  <c r="BL142" i="10"/>
  <c r="AD38" i="3" s="1"/>
  <c r="BM142" i="10"/>
  <c r="AI38" i="3" s="1"/>
  <c r="BN142" i="10"/>
  <c r="AK38" i="3" s="1"/>
  <c r="BO142" i="10"/>
  <c r="BP142" i="10"/>
  <c r="BS142" i="10"/>
  <c r="BT142" i="10" s="1"/>
  <c r="E38" i="9" s="1"/>
  <c r="BU142" i="10"/>
  <c r="M38" i="3" s="1"/>
  <c r="BE143" i="10"/>
  <c r="BF143" i="10"/>
  <c r="Q50" i="3" s="1"/>
  <c r="BH143" i="10"/>
  <c r="Z50" i="3" s="1"/>
  <c r="BI143" i="10"/>
  <c r="W50" i="3" s="1"/>
  <c r="BJ143" i="10"/>
  <c r="U50" i="3" s="1"/>
  <c r="BK143" i="10"/>
  <c r="AB50" i="3" s="1"/>
  <c r="BL143" i="10"/>
  <c r="AD50" i="3" s="1"/>
  <c r="BM143" i="10"/>
  <c r="AI50" i="3" s="1"/>
  <c r="BN143" i="10"/>
  <c r="AK50" i="3" s="1"/>
  <c r="BO143" i="10"/>
  <c r="BP143" i="10"/>
  <c r="BS143" i="10"/>
  <c r="BT143" i="10" s="1"/>
  <c r="E50" i="9" s="1"/>
  <c r="BU143" i="10"/>
  <c r="M50" i="3" s="1"/>
  <c r="BE144" i="10"/>
  <c r="BF144" i="10"/>
  <c r="Q51" i="3" s="1"/>
  <c r="BH144" i="10"/>
  <c r="Z51" i="3" s="1"/>
  <c r="BI144" i="10"/>
  <c r="W51" i="3" s="1"/>
  <c r="BJ144" i="10"/>
  <c r="U51" i="3" s="1"/>
  <c r="BK144" i="10"/>
  <c r="AB51" i="3" s="1"/>
  <c r="BL144" i="10"/>
  <c r="AD51" i="3" s="1"/>
  <c r="BM144" i="10"/>
  <c r="AI51" i="3" s="1"/>
  <c r="BN144" i="10"/>
  <c r="AK51" i="3" s="1"/>
  <c r="BO144" i="10"/>
  <c r="BP144" i="10"/>
  <c r="BS144" i="10"/>
  <c r="BT144" i="10" s="1"/>
  <c r="E51" i="9" s="1"/>
  <c r="BU144" i="10"/>
  <c r="M51" i="3" s="1"/>
  <c r="BE145" i="10"/>
  <c r="BF145" i="10"/>
  <c r="Q82" i="3" s="1"/>
  <c r="BH145" i="10"/>
  <c r="Z82" i="3" s="1"/>
  <c r="BI145" i="10"/>
  <c r="W82" i="3" s="1"/>
  <c r="BJ145" i="10"/>
  <c r="U82" i="3" s="1"/>
  <c r="BK145" i="10"/>
  <c r="AB82" i="3" s="1"/>
  <c r="BL145" i="10"/>
  <c r="AD82" i="3" s="1"/>
  <c r="BM145" i="10"/>
  <c r="AI82" i="3" s="1"/>
  <c r="BN145" i="10"/>
  <c r="AK82" i="3" s="1"/>
  <c r="BO145" i="10"/>
  <c r="BP145" i="10"/>
  <c r="BS145" i="10"/>
  <c r="BT145" i="10" s="1"/>
  <c r="E82" i="9" s="1"/>
  <c r="BU145" i="10"/>
  <c r="M82" i="3" s="1"/>
  <c r="BE146" i="10"/>
  <c r="BF146" i="10"/>
  <c r="Q85" i="3" s="1"/>
  <c r="BH146" i="10"/>
  <c r="Z85" i="3" s="1"/>
  <c r="BI146" i="10"/>
  <c r="W85" i="3" s="1"/>
  <c r="BJ146" i="10"/>
  <c r="U85" i="3" s="1"/>
  <c r="BK146" i="10"/>
  <c r="AB85" i="3" s="1"/>
  <c r="BL146" i="10"/>
  <c r="AD85" i="3" s="1"/>
  <c r="BM146" i="10"/>
  <c r="AI85" i="3" s="1"/>
  <c r="BN146" i="10"/>
  <c r="AK85" i="3" s="1"/>
  <c r="BO146" i="10"/>
  <c r="BP146" i="10"/>
  <c r="BS146" i="10"/>
  <c r="BT146" i="10" s="1"/>
  <c r="E85" i="9" s="1"/>
  <c r="BU146" i="10"/>
  <c r="M85" i="3" s="1"/>
  <c r="BE147" i="10"/>
  <c r="BF147" i="10"/>
  <c r="Q86" i="3" s="1"/>
  <c r="BH147" i="10"/>
  <c r="Z86" i="3" s="1"/>
  <c r="BI147" i="10"/>
  <c r="W86" i="3" s="1"/>
  <c r="BJ147" i="10"/>
  <c r="U86" i="3" s="1"/>
  <c r="BK147" i="10"/>
  <c r="AB86" i="3" s="1"/>
  <c r="BL147" i="10"/>
  <c r="AD86" i="3" s="1"/>
  <c r="BM147" i="10"/>
  <c r="AI86" i="3" s="1"/>
  <c r="BN147" i="10"/>
  <c r="AK86" i="3" s="1"/>
  <c r="BO147" i="10"/>
  <c r="BP147" i="10"/>
  <c r="BS147" i="10"/>
  <c r="BT147" i="10" s="1"/>
  <c r="E86" i="9" s="1"/>
  <c r="BU147" i="10"/>
  <c r="M86" i="3" s="1"/>
  <c r="BE148" i="10"/>
  <c r="BF148" i="10"/>
  <c r="Q96" i="3" s="1"/>
  <c r="BH148" i="10"/>
  <c r="Z96" i="3" s="1"/>
  <c r="BI148" i="10"/>
  <c r="W96" i="3" s="1"/>
  <c r="BJ148" i="10"/>
  <c r="U96" i="3" s="1"/>
  <c r="BK148" i="10"/>
  <c r="AB96" i="3" s="1"/>
  <c r="BL148" i="10"/>
  <c r="AD96" i="3" s="1"/>
  <c r="BM148" i="10"/>
  <c r="AI96" i="3" s="1"/>
  <c r="BN148" i="10"/>
  <c r="AK96" i="3" s="1"/>
  <c r="BO148" i="10"/>
  <c r="BP148" i="10"/>
  <c r="BS148" i="10"/>
  <c r="BT148" i="10" s="1"/>
  <c r="E96" i="9" s="1"/>
  <c r="BU148" i="10"/>
  <c r="M96" i="3" s="1"/>
  <c r="BE149" i="10"/>
  <c r="BF149" i="10"/>
  <c r="Q102" i="3" s="1"/>
  <c r="BH149" i="10"/>
  <c r="Z102" i="3" s="1"/>
  <c r="BI149" i="10"/>
  <c r="W102" i="3" s="1"/>
  <c r="BJ149" i="10"/>
  <c r="U102" i="3" s="1"/>
  <c r="BK149" i="10"/>
  <c r="AB102" i="3" s="1"/>
  <c r="BL149" i="10"/>
  <c r="AD102" i="3" s="1"/>
  <c r="BM149" i="10"/>
  <c r="AI102" i="3" s="1"/>
  <c r="BN149" i="10"/>
  <c r="AK102" i="3" s="1"/>
  <c r="BO149" i="10"/>
  <c r="BP149" i="10"/>
  <c r="BS149" i="10"/>
  <c r="BT149" i="10" s="1"/>
  <c r="E102" i="9" s="1"/>
  <c r="BU149" i="10"/>
  <c r="M102" i="3" s="1"/>
  <c r="BE150" i="10"/>
  <c r="BF150" i="10"/>
  <c r="Q104" i="3" s="1"/>
  <c r="BH150" i="10"/>
  <c r="Z104" i="3" s="1"/>
  <c r="BI150" i="10"/>
  <c r="W104" i="3" s="1"/>
  <c r="BJ150" i="10"/>
  <c r="U104" i="3" s="1"/>
  <c r="BK150" i="10"/>
  <c r="AB104" i="3" s="1"/>
  <c r="BL150" i="10"/>
  <c r="AD104" i="3" s="1"/>
  <c r="BM150" i="10"/>
  <c r="AI104" i="3" s="1"/>
  <c r="BN150" i="10"/>
  <c r="AK104" i="3" s="1"/>
  <c r="BO150" i="10"/>
  <c r="BP150" i="10"/>
  <c r="BS150" i="10"/>
  <c r="BT150" i="10" s="1"/>
  <c r="E104" i="9" s="1"/>
  <c r="BU150" i="10"/>
  <c r="M104" i="3" s="1"/>
  <c r="BE151" i="10"/>
  <c r="BF151" i="10"/>
  <c r="Q105" i="3" s="1"/>
  <c r="BH151" i="10"/>
  <c r="Z105" i="3" s="1"/>
  <c r="BI151" i="10"/>
  <c r="W105" i="3" s="1"/>
  <c r="BJ151" i="10"/>
  <c r="U105" i="3" s="1"/>
  <c r="BK151" i="10"/>
  <c r="AB105" i="3" s="1"/>
  <c r="BL151" i="10"/>
  <c r="AD105" i="3" s="1"/>
  <c r="BM151" i="10"/>
  <c r="AI105" i="3" s="1"/>
  <c r="BN151" i="10"/>
  <c r="AK105" i="3" s="1"/>
  <c r="BO151" i="10"/>
  <c r="BP151" i="10"/>
  <c r="BS151" i="10"/>
  <c r="BT151" i="10" s="1"/>
  <c r="E105" i="9" s="1"/>
  <c r="BU151" i="10"/>
  <c r="M105" i="3" s="1"/>
  <c r="Q108" i="3"/>
  <c r="Z108" i="3"/>
  <c r="W108" i="3"/>
  <c r="U108" i="3"/>
  <c r="AB108" i="3"/>
  <c r="AD108" i="3"/>
  <c r="AI108" i="3"/>
  <c r="AK108" i="3"/>
  <c r="M108" i="3"/>
  <c r="Q114" i="3"/>
  <c r="Z114" i="3"/>
  <c r="W114" i="3"/>
  <c r="U114" i="3"/>
  <c r="AB114" i="3"/>
  <c r="AD114" i="3"/>
  <c r="AI114" i="3"/>
  <c r="AK114" i="3"/>
  <c r="M114" i="3"/>
  <c r="M117" i="3"/>
  <c r="BE152" i="10"/>
  <c r="BF152" i="10"/>
  <c r="Q122" i="3" s="1"/>
  <c r="BH152" i="10"/>
  <c r="Z122" i="3" s="1"/>
  <c r="BI152" i="10"/>
  <c r="W122" i="3" s="1"/>
  <c r="BJ152" i="10"/>
  <c r="U122" i="3" s="1"/>
  <c r="BK152" i="10"/>
  <c r="AB122" i="3" s="1"/>
  <c r="BL152" i="10"/>
  <c r="AD122" i="3" s="1"/>
  <c r="BM152" i="10"/>
  <c r="AI122" i="3" s="1"/>
  <c r="BN152" i="10"/>
  <c r="AK122" i="3" s="1"/>
  <c r="BO152" i="10"/>
  <c r="BP152" i="10"/>
  <c r="BS152" i="10"/>
  <c r="BT152" i="10" s="1"/>
  <c r="E122" i="9" s="1"/>
  <c r="BU152" i="10"/>
  <c r="M122" i="3" s="1"/>
  <c r="BE153" i="10"/>
  <c r="BF153" i="10"/>
  <c r="Q123" i="3" s="1"/>
  <c r="BH153" i="10"/>
  <c r="Z123" i="3" s="1"/>
  <c r="BI153" i="10"/>
  <c r="W123" i="3" s="1"/>
  <c r="BJ153" i="10"/>
  <c r="U123" i="3" s="1"/>
  <c r="BK153" i="10"/>
  <c r="AB123" i="3" s="1"/>
  <c r="BL153" i="10"/>
  <c r="AD123" i="3" s="1"/>
  <c r="BM153" i="10"/>
  <c r="AI123" i="3" s="1"/>
  <c r="BN153" i="10"/>
  <c r="AK123" i="3" s="1"/>
  <c r="BO153" i="10"/>
  <c r="BP153" i="10"/>
  <c r="BS153" i="10"/>
  <c r="BT153" i="10" s="1"/>
  <c r="E123" i="9" s="1"/>
  <c r="BU153" i="10"/>
  <c r="M123" i="3" s="1"/>
  <c r="BE154" i="10"/>
  <c r="BF154" i="10"/>
  <c r="Q124" i="3" s="1"/>
  <c r="BH154" i="10"/>
  <c r="Z124" i="3" s="1"/>
  <c r="BI154" i="10"/>
  <c r="W124" i="3" s="1"/>
  <c r="BJ154" i="10"/>
  <c r="U124" i="3" s="1"/>
  <c r="BK154" i="10"/>
  <c r="AB124" i="3" s="1"/>
  <c r="BL154" i="10"/>
  <c r="AD124" i="3" s="1"/>
  <c r="BM154" i="10"/>
  <c r="AI124" i="3" s="1"/>
  <c r="BN154" i="10"/>
  <c r="AK124" i="3" s="1"/>
  <c r="BO154" i="10"/>
  <c r="BP154" i="10"/>
  <c r="BS154" i="10"/>
  <c r="BT154" i="10" s="1"/>
  <c r="E124" i="9" s="1"/>
  <c r="BU154" i="10"/>
  <c r="M124" i="3" s="1"/>
  <c r="BE155" i="10"/>
  <c r="BF155" i="10"/>
  <c r="Q126" i="3" s="1"/>
  <c r="BH155" i="10"/>
  <c r="Z126" i="3" s="1"/>
  <c r="BI155" i="10"/>
  <c r="W126" i="3" s="1"/>
  <c r="BJ155" i="10"/>
  <c r="U126" i="3" s="1"/>
  <c r="BK155" i="10"/>
  <c r="AB126" i="3" s="1"/>
  <c r="BL155" i="10"/>
  <c r="AD126" i="3" s="1"/>
  <c r="BM155" i="10"/>
  <c r="AI126" i="3" s="1"/>
  <c r="BN155" i="10"/>
  <c r="AK126" i="3" s="1"/>
  <c r="BO155" i="10"/>
  <c r="BP155" i="10"/>
  <c r="BS155" i="10"/>
  <c r="BT155" i="10" s="1"/>
  <c r="E126" i="9" s="1"/>
  <c r="BU155" i="10"/>
  <c r="M126" i="3" s="1"/>
  <c r="BE156" i="10"/>
  <c r="BF156" i="10"/>
  <c r="Q131" i="3" s="1"/>
  <c r="BH156" i="10"/>
  <c r="Z131" i="3" s="1"/>
  <c r="BI156" i="10"/>
  <c r="W131" i="3" s="1"/>
  <c r="BJ156" i="10"/>
  <c r="U131" i="3" s="1"/>
  <c r="BK156" i="10"/>
  <c r="AB131" i="3" s="1"/>
  <c r="BL156" i="10"/>
  <c r="AD131" i="3" s="1"/>
  <c r="BM156" i="10"/>
  <c r="AI131" i="3" s="1"/>
  <c r="BN156" i="10"/>
  <c r="AK131" i="3" s="1"/>
  <c r="BO156" i="10"/>
  <c r="BP156" i="10"/>
  <c r="BS156" i="10"/>
  <c r="BT156" i="10" s="1"/>
  <c r="E131" i="9" s="1"/>
  <c r="BU156" i="10"/>
  <c r="M131" i="3" s="1"/>
  <c r="BE157" i="10"/>
  <c r="BF157" i="10"/>
  <c r="Q132" i="3" s="1"/>
  <c r="BH157" i="10"/>
  <c r="Z132" i="3" s="1"/>
  <c r="BI157" i="10"/>
  <c r="W132" i="3" s="1"/>
  <c r="BJ157" i="10"/>
  <c r="U132" i="3" s="1"/>
  <c r="BK157" i="10"/>
  <c r="AB132" i="3" s="1"/>
  <c r="BL157" i="10"/>
  <c r="AD132" i="3" s="1"/>
  <c r="BM157" i="10"/>
  <c r="AI132" i="3" s="1"/>
  <c r="BN157" i="10"/>
  <c r="AK132" i="3" s="1"/>
  <c r="BO157" i="10"/>
  <c r="BP157" i="10"/>
  <c r="BS157" i="10"/>
  <c r="BT157" i="10" s="1"/>
  <c r="E132" i="9" s="1"/>
  <c r="BU157" i="10"/>
  <c r="M132" i="3" s="1"/>
  <c r="BE158" i="10"/>
  <c r="BF158" i="10"/>
  <c r="Q136" i="3" s="1"/>
  <c r="BH158" i="10"/>
  <c r="Z136" i="3" s="1"/>
  <c r="BI158" i="10"/>
  <c r="W136" i="3" s="1"/>
  <c r="BJ158" i="10"/>
  <c r="U136" i="3" s="1"/>
  <c r="BK158" i="10"/>
  <c r="AB136" i="3" s="1"/>
  <c r="BL158" i="10"/>
  <c r="AD136" i="3" s="1"/>
  <c r="BM158" i="10"/>
  <c r="AI136" i="3" s="1"/>
  <c r="BN158" i="10"/>
  <c r="AK136" i="3" s="1"/>
  <c r="BO158" i="10"/>
  <c r="BP158" i="10"/>
  <c r="BS158" i="10"/>
  <c r="BT158" i="10" s="1"/>
  <c r="E136" i="9" s="1"/>
  <c r="BU158" i="10"/>
  <c r="M136" i="3" s="1"/>
  <c r="BE159" i="10"/>
  <c r="BF159" i="10"/>
  <c r="Q141" i="3" s="1"/>
  <c r="BH159" i="10"/>
  <c r="Z141" i="3" s="1"/>
  <c r="BI159" i="10"/>
  <c r="W141" i="3" s="1"/>
  <c r="BJ159" i="10"/>
  <c r="U141" i="3" s="1"/>
  <c r="BK159" i="10"/>
  <c r="AB141" i="3" s="1"/>
  <c r="BL159" i="10"/>
  <c r="AD141" i="3" s="1"/>
  <c r="BM159" i="10"/>
  <c r="AI141" i="3" s="1"/>
  <c r="BN159" i="10"/>
  <c r="AK141" i="3" s="1"/>
  <c r="BO159" i="10"/>
  <c r="BP159" i="10"/>
  <c r="BS159" i="10"/>
  <c r="BT159" i="10" s="1"/>
  <c r="E141" i="9" s="1"/>
  <c r="BU159" i="10"/>
  <c r="M141" i="3" s="1"/>
  <c r="BE160" i="10"/>
  <c r="BF160" i="10"/>
  <c r="Q143" i="3" s="1"/>
  <c r="BH160" i="10"/>
  <c r="Z143" i="3" s="1"/>
  <c r="BI160" i="10"/>
  <c r="W143" i="3" s="1"/>
  <c r="BJ160" i="10"/>
  <c r="U143" i="3" s="1"/>
  <c r="BK160" i="10"/>
  <c r="AB143" i="3" s="1"/>
  <c r="BL160" i="10"/>
  <c r="AD143" i="3" s="1"/>
  <c r="BM160" i="10"/>
  <c r="AI143" i="3" s="1"/>
  <c r="BN160" i="10"/>
  <c r="AK143" i="3" s="1"/>
  <c r="BO160" i="10"/>
  <c r="BP160" i="10"/>
  <c r="BS160" i="10"/>
  <c r="BT160" i="10" s="1"/>
  <c r="E143" i="9" s="1"/>
  <c r="BU160" i="10"/>
  <c r="M143" i="3" s="1"/>
  <c r="BE161" i="10"/>
  <c r="BF161" i="10"/>
  <c r="Q145" i="3" s="1"/>
  <c r="BH161" i="10"/>
  <c r="Z145" i="3" s="1"/>
  <c r="BI161" i="10"/>
  <c r="W145" i="3" s="1"/>
  <c r="BJ161" i="10"/>
  <c r="U145" i="3" s="1"/>
  <c r="BK161" i="10"/>
  <c r="AB145" i="3" s="1"/>
  <c r="BL161" i="10"/>
  <c r="AD145" i="3" s="1"/>
  <c r="BM161" i="10"/>
  <c r="AI145" i="3" s="1"/>
  <c r="BN161" i="10"/>
  <c r="AK145" i="3" s="1"/>
  <c r="BO161" i="10"/>
  <c r="BP161" i="10"/>
  <c r="BS161" i="10"/>
  <c r="BT161" i="10" s="1"/>
  <c r="E145" i="9" s="1"/>
  <c r="BU161" i="10"/>
  <c r="M145" i="3" s="1"/>
  <c r="BE162" i="10"/>
  <c r="BF162" i="10"/>
  <c r="Q146" i="3" s="1"/>
  <c r="BH162" i="10"/>
  <c r="Z146" i="3" s="1"/>
  <c r="BI162" i="10"/>
  <c r="W146" i="3" s="1"/>
  <c r="BJ162" i="10"/>
  <c r="U146" i="3" s="1"/>
  <c r="BK162" i="10"/>
  <c r="AB146" i="3" s="1"/>
  <c r="BL162" i="10"/>
  <c r="AD146" i="3" s="1"/>
  <c r="BM162" i="10"/>
  <c r="AI146" i="3" s="1"/>
  <c r="BN162" i="10"/>
  <c r="AK146" i="3" s="1"/>
  <c r="BO162" i="10"/>
  <c r="BP162" i="10"/>
  <c r="BS162" i="10"/>
  <c r="BT162" i="10" s="1"/>
  <c r="E146" i="9" s="1"/>
  <c r="BU162" i="10"/>
  <c r="M146" i="3" s="1"/>
  <c r="BE163" i="10"/>
  <c r="BF163" i="10"/>
  <c r="Q150" i="3" s="1"/>
  <c r="BH163" i="10"/>
  <c r="Z150" i="3" s="1"/>
  <c r="BI163" i="10"/>
  <c r="W150" i="3" s="1"/>
  <c r="BJ163" i="10"/>
  <c r="U150" i="3" s="1"/>
  <c r="BK163" i="10"/>
  <c r="AB150" i="3" s="1"/>
  <c r="BL163" i="10"/>
  <c r="AD150" i="3" s="1"/>
  <c r="BM163" i="10"/>
  <c r="AI150" i="3" s="1"/>
  <c r="BN163" i="10"/>
  <c r="AK150" i="3" s="1"/>
  <c r="BO163" i="10"/>
  <c r="BP163" i="10"/>
  <c r="BS163" i="10"/>
  <c r="BT163" i="10" s="1"/>
  <c r="E150" i="9" s="1"/>
  <c r="BU163" i="10"/>
  <c r="M150" i="3" s="1"/>
  <c r="Z171" i="3"/>
  <c r="U171" i="3"/>
  <c r="M171" i="3"/>
  <c r="BE164" i="10"/>
  <c r="BF164" i="10"/>
  <c r="Q172" i="3" s="1"/>
  <c r="BH164" i="10"/>
  <c r="Z172" i="3" s="1"/>
  <c r="BI164" i="10"/>
  <c r="W172" i="3" s="1"/>
  <c r="BJ164" i="10"/>
  <c r="U172" i="3" s="1"/>
  <c r="BK164" i="10"/>
  <c r="AB172" i="3" s="1"/>
  <c r="BL164" i="10"/>
  <c r="AD172" i="3" s="1"/>
  <c r="BM164" i="10"/>
  <c r="AI172" i="3" s="1"/>
  <c r="BN164" i="10"/>
  <c r="AK172" i="3" s="1"/>
  <c r="BO164" i="10"/>
  <c r="BP164" i="10"/>
  <c r="BS164" i="10"/>
  <c r="BT164" i="10" s="1"/>
  <c r="E172" i="9" s="1"/>
  <c r="BU164" i="10"/>
  <c r="M172" i="3" s="1"/>
  <c r="BE165" i="10"/>
  <c r="BF165" i="10"/>
  <c r="Q176" i="3" s="1"/>
  <c r="BH165" i="10"/>
  <c r="Z176" i="3" s="1"/>
  <c r="BI165" i="10"/>
  <c r="W176" i="3" s="1"/>
  <c r="BJ165" i="10"/>
  <c r="U176" i="3" s="1"/>
  <c r="BK165" i="10"/>
  <c r="AB176" i="3" s="1"/>
  <c r="BL165" i="10"/>
  <c r="AD176" i="3" s="1"/>
  <c r="BM165" i="10"/>
  <c r="AI176" i="3" s="1"/>
  <c r="BN165" i="10"/>
  <c r="AK176" i="3" s="1"/>
  <c r="BO165" i="10"/>
  <c r="BP165" i="10"/>
  <c r="BS165" i="10"/>
  <c r="BT165" i="10" s="1"/>
  <c r="E176" i="9" s="1"/>
  <c r="BU165" i="10"/>
  <c r="M176" i="3" s="1"/>
  <c r="BE166" i="10"/>
  <c r="BF166" i="10"/>
  <c r="Q188" i="3" s="1"/>
  <c r="BH166" i="10"/>
  <c r="Z188" i="3" s="1"/>
  <c r="BI166" i="10"/>
  <c r="W188" i="3" s="1"/>
  <c r="BJ166" i="10"/>
  <c r="U188" i="3" s="1"/>
  <c r="BK166" i="10"/>
  <c r="AB188" i="3" s="1"/>
  <c r="BL166" i="10"/>
  <c r="AD188" i="3" s="1"/>
  <c r="BM166" i="10"/>
  <c r="AI188" i="3" s="1"/>
  <c r="BN166" i="10"/>
  <c r="AK188" i="3" s="1"/>
  <c r="BO166" i="10"/>
  <c r="BP166" i="10"/>
  <c r="BS166" i="10"/>
  <c r="BT166" i="10" s="1"/>
  <c r="E188" i="9" s="1"/>
  <c r="BU166" i="10"/>
  <c r="M188" i="3" s="1"/>
  <c r="BE167" i="10"/>
  <c r="BF167" i="10"/>
  <c r="Q189" i="3" s="1"/>
  <c r="BH167" i="10"/>
  <c r="Z189" i="3" s="1"/>
  <c r="BI167" i="10"/>
  <c r="W189" i="3" s="1"/>
  <c r="BJ167" i="10"/>
  <c r="U189" i="3" s="1"/>
  <c r="BK167" i="10"/>
  <c r="AB189" i="3" s="1"/>
  <c r="BL167" i="10"/>
  <c r="AD189" i="3" s="1"/>
  <c r="BM167" i="10"/>
  <c r="AI189" i="3" s="1"/>
  <c r="BN167" i="10"/>
  <c r="AK189" i="3" s="1"/>
  <c r="BO167" i="10"/>
  <c r="BP167" i="10"/>
  <c r="BS167" i="10"/>
  <c r="BT167" i="10" s="1"/>
  <c r="E189" i="9" s="1"/>
  <c r="BU167" i="10"/>
  <c r="M189" i="3" s="1"/>
  <c r="Z190" i="3"/>
  <c r="U190" i="3"/>
  <c r="M190" i="3"/>
  <c r="BE168" i="10"/>
  <c r="BF168" i="10"/>
  <c r="Q197" i="3" s="1"/>
  <c r="BH168" i="10"/>
  <c r="Z197" i="3" s="1"/>
  <c r="BI168" i="10"/>
  <c r="W197" i="3" s="1"/>
  <c r="BJ168" i="10"/>
  <c r="U197" i="3" s="1"/>
  <c r="BK168" i="10"/>
  <c r="AB197" i="3" s="1"/>
  <c r="BL168" i="10"/>
  <c r="AD197" i="3" s="1"/>
  <c r="BM168" i="10"/>
  <c r="AI197" i="3" s="1"/>
  <c r="BN168" i="10"/>
  <c r="AK197" i="3" s="1"/>
  <c r="BO168" i="10"/>
  <c r="BP168" i="10"/>
  <c r="BS168" i="10"/>
  <c r="BT168" i="10" s="1"/>
  <c r="E197" i="9" s="1"/>
  <c r="BU168" i="10"/>
  <c r="M197" i="3" s="1"/>
  <c r="Q199" i="3"/>
  <c r="Z199" i="3"/>
  <c r="W199" i="3"/>
  <c r="U199" i="3"/>
  <c r="AB199" i="3"/>
  <c r="AD199" i="3"/>
  <c r="AI199" i="3"/>
  <c r="AK199" i="3"/>
  <c r="M199" i="3"/>
  <c r="Z200" i="3"/>
  <c r="U200" i="3"/>
  <c r="M200" i="3"/>
  <c r="BE169" i="10"/>
  <c r="BF169" i="10"/>
  <c r="Q204" i="3" s="1"/>
  <c r="BH169" i="10"/>
  <c r="Z204" i="3" s="1"/>
  <c r="BI169" i="10"/>
  <c r="W204" i="3" s="1"/>
  <c r="BJ169" i="10"/>
  <c r="U204" i="3" s="1"/>
  <c r="BK169" i="10"/>
  <c r="AB204" i="3" s="1"/>
  <c r="BL169" i="10"/>
  <c r="AD204" i="3" s="1"/>
  <c r="BM169" i="10"/>
  <c r="AI204" i="3" s="1"/>
  <c r="BN169" i="10"/>
  <c r="AK204" i="3" s="1"/>
  <c r="BO169" i="10"/>
  <c r="BP169" i="10"/>
  <c r="BS169" i="10"/>
  <c r="BT169" i="10" s="1"/>
  <c r="E204" i="9" s="1"/>
  <c r="BU169" i="10"/>
  <c r="M204" i="3" s="1"/>
  <c r="BE170" i="10"/>
  <c r="BF170" i="10"/>
  <c r="Q205" i="3" s="1"/>
  <c r="BH170" i="10"/>
  <c r="Z205" i="3" s="1"/>
  <c r="BI170" i="10"/>
  <c r="W205" i="3" s="1"/>
  <c r="BJ170" i="10"/>
  <c r="U205" i="3" s="1"/>
  <c r="BK170" i="10"/>
  <c r="AB205" i="3" s="1"/>
  <c r="BL170" i="10"/>
  <c r="AD205" i="3" s="1"/>
  <c r="BM170" i="10"/>
  <c r="AI205" i="3" s="1"/>
  <c r="BN170" i="10"/>
  <c r="AK205" i="3" s="1"/>
  <c r="BO170" i="10"/>
  <c r="BP170" i="10"/>
  <c r="BS170" i="10"/>
  <c r="BT170" i="10" s="1"/>
  <c r="E205" i="9" s="1"/>
  <c r="BU170" i="10"/>
  <c r="M205" i="3" s="1"/>
  <c r="BE171" i="10"/>
  <c r="BF171" i="10"/>
  <c r="Q212" i="3" s="1"/>
  <c r="BH171" i="10"/>
  <c r="Z212" i="3" s="1"/>
  <c r="BI171" i="10"/>
  <c r="W212" i="3" s="1"/>
  <c r="BJ171" i="10"/>
  <c r="U212" i="3" s="1"/>
  <c r="BK171" i="10"/>
  <c r="AB212" i="3" s="1"/>
  <c r="BL171" i="10"/>
  <c r="AD212" i="3" s="1"/>
  <c r="BM171" i="10"/>
  <c r="AI212" i="3" s="1"/>
  <c r="BN171" i="10"/>
  <c r="AK212" i="3" s="1"/>
  <c r="BO171" i="10"/>
  <c r="BP171" i="10"/>
  <c r="BS171" i="10"/>
  <c r="BT171" i="10" s="1"/>
  <c r="E212" i="9" s="1"/>
  <c r="BU171" i="10"/>
  <c r="M212" i="3" s="1"/>
  <c r="BE172" i="10"/>
  <c r="BF172" i="10"/>
  <c r="Q213" i="3" s="1"/>
  <c r="BH172" i="10"/>
  <c r="Z213" i="3" s="1"/>
  <c r="BI172" i="10"/>
  <c r="W213" i="3" s="1"/>
  <c r="BJ172" i="10"/>
  <c r="U213" i="3" s="1"/>
  <c r="BK172" i="10"/>
  <c r="AB213" i="3" s="1"/>
  <c r="BL172" i="10"/>
  <c r="AD213" i="3" s="1"/>
  <c r="BM172" i="10"/>
  <c r="AI213" i="3" s="1"/>
  <c r="BN172" i="10"/>
  <c r="AK213" i="3" s="1"/>
  <c r="BO172" i="10"/>
  <c r="BP172" i="10"/>
  <c r="BS172" i="10"/>
  <c r="BT172" i="10" s="1"/>
  <c r="E213" i="9" s="1"/>
  <c r="BU172" i="10"/>
  <c r="M213" i="3" s="1"/>
  <c r="Q223" i="3"/>
  <c r="Z223" i="3"/>
  <c r="W223" i="3"/>
  <c r="U223" i="3"/>
  <c r="AB223" i="3"/>
  <c r="AD223" i="3"/>
  <c r="AI223" i="3"/>
  <c r="AK223" i="3"/>
  <c r="M223" i="3"/>
  <c r="BE173" i="10"/>
  <c r="BF173" i="10"/>
  <c r="Q224" i="3" s="1"/>
  <c r="BH173" i="10"/>
  <c r="Z224" i="3" s="1"/>
  <c r="BI173" i="10"/>
  <c r="W224" i="3" s="1"/>
  <c r="BJ173" i="10"/>
  <c r="U224" i="3" s="1"/>
  <c r="BK173" i="10"/>
  <c r="AB224" i="3" s="1"/>
  <c r="BL173" i="10"/>
  <c r="AD224" i="3" s="1"/>
  <c r="BM173" i="10"/>
  <c r="AI224" i="3" s="1"/>
  <c r="BN173" i="10"/>
  <c r="AK224" i="3" s="1"/>
  <c r="BO173" i="10"/>
  <c r="BP173" i="10"/>
  <c r="BS173" i="10"/>
  <c r="BT173" i="10" s="1"/>
  <c r="E224" i="9" s="1"/>
  <c r="BU173" i="10"/>
  <c r="M224" i="3" s="1"/>
  <c r="BE174" i="10"/>
  <c r="BF174" i="10"/>
  <c r="Q234" i="3" s="1"/>
  <c r="BH174" i="10"/>
  <c r="Z234" i="3" s="1"/>
  <c r="BI174" i="10"/>
  <c r="W234" i="3" s="1"/>
  <c r="BJ174" i="10"/>
  <c r="U234" i="3" s="1"/>
  <c r="BK174" i="10"/>
  <c r="AB234" i="3" s="1"/>
  <c r="BL174" i="10"/>
  <c r="AD234" i="3" s="1"/>
  <c r="BM174" i="10"/>
  <c r="AI234" i="3" s="1"/>
  <c r="BN174" i="10"/>
  <c r="AK234" i="3" s="1"/>
  <c r="BO174" i="10"/>
  <c r="BP174" i="10"/>
  <c r="BS174" i="10"/>
  <c r="BT174" i="10" s="1"/>
  <c r="E234" i="9" s="1"/>
  <c r="BU174" i="10"/>
  <c r="M234" i="3" s="1"/>
  <c r="Q241" i="3"/>
  <c r="Z241" i="3"/>
  <c r="W241" i="3"/>
  <c r="U241" i="3"/>
  <c r="AB241" i="3"/>
  <c r="AD241" i="3"/>
  <c r="AI241" i="3"/>
  <c r="AK241" i="3"/>
  <c r="M241" i="3"/>
  <c r="Q242" i="3"/>
  <c r="Z242" i="3"/>
  <c r="W242" i="3"/>
  <c r="U242" i="3"/>
  <c r="AB242" i="3"/>
  <c r="AD242" i="3"/>
  <c r="AI242" i="3"/>
  <c r="AK242" i="3"/>
  <c r="M242" i="3"/>
  <c r="BE175" i="10"/>
  <c r="BF175" i="10"/>
  <c r="Q244" i="3" s="1"/>
  <c r="BH175" i="10"/>
  <c r="Z244" i="3" s="1"/>
  <c r="BI175" i="10"/>
  <c r="W244" i="3" s="1"/>
  <c r="BJ175" i="10"/>
  <c r="U244" i="3" s="1"/>
  <c r="BK175" i="10"/>
  <c r="AB244" i="3" s="1"/>
  <c r="BL175" i="10"/>
  <c r="AD244" i="3" s="1"/>
  <c r="BM175" i="10"/>
  <c r="AI244" i="3" s="1"/>
  <c r="BN175" i="10"/>
  <c r="AK244" i="3" s="1"/>
  <c r="BO175" i="10"/>
  <c r="BP175" i="10"/>
  <c r="BS175" i="10"/>
  <c r="BT175" i="10" s="1"/>
  <c r="E244" i="9" s="1"/>
  <c r="BU175" i="10"/>
  <c r="M244" i="3" s="1"/>
  <c r="BE176" i="10"/>
  <c r="BF176" i="10"/>
  <c r="Q246" i="3" s="1"/>
  <c r="BH176" i="10"/>
  <c r="Z246" i="3" s="1"/>
  <c r="BI176" i="10"/>
  <c r="W246" i="3" s="1"/>
  <c r="BJ176" i="10"/>
  <c r="U246" i="3" s="1"/>
  <c r="BK176" i="10"/>
  <c r="AB246" i="3" s="1"/>
  <c r="BL176" i="10"/>
  <c r="AD246" i="3" s="1"/>
  <c r="BM176" i="10"/>
  <c r="AI246" i="3" s="1"/>
  <c r="BN176" i="10"/>
  <c r="AK246" i="3" s="1"/>
  <c r="BO176" i="10"/>
  <c r="BP176" i="10"/>
  <c r="BS176" i="10"/>
  <c r="BT176" i="10" s="1"/>
  <c r="E246" i="9" s="1"/>
  <c r="BU176" i="10"/>
  <c r="M246" i="3" s="1"/>
  <c r="Q252" i="3"/>
  <c r="Z252" i="3"/>
  <c r="W252" i="3"/>
  <c r="U252" i="3"/>
  <c r="AB252" i="3"/>
  <c r="AD252" i="3"/>
  <c r="AI252" i="3"/>
  <c r="AK252" i="3"/>
  <c r="M252" i="3"/>
  <c r="BE177" i="10"/>
  <c r="BF177" i="10"/>
  <c r="Q255" i="3" s="1"/>
  <c r="BH177" i="10"/>
  <c r="Z255" i="3" s="1"/>
  <c r="BI177" i="10"/>
  <c r="W255" i="3" s="1"/>
  <c r="BJ177" i="10"/>
  <c r="U255" i="3" s="1"/>
  <c r="BK177" i="10"/>
  <c r="AB255" i="3" s="1"/>
  <c r="BL177" i="10"/>
  <c r="AD255" i="3" s="1"/>
  <c r="BM177" i="10"/>
  <c r="AI255" i="3" s="1"/>
  <c r="BN177" i="10"/>
  <c r="AK255" i="3" s="1"/>
  <c r="BO177" i="10"/>
  <c r="BP177" i="10"/>
  <c r="BS177" i="10"/>
  <c r="BT177" i="10" s="1"/>
  <c r="E255" i="9" s="1"/>
  <c r="BU177" i="10"/>
  <c r="M255" i="3" s="1"/>
  <c r="BE178" i="10"/>
  <c r="BF178" i="10"/>
  <c r="Q257" i="3" s="1"/>
  <c r="BH178" i="10"/>
  <c r="Z257" i="3" s="1"/>
  <c r="BI178" i="10"/>
  <c r="W257" i="3" s="1"/>
  <c r="BJ178" i="10"/>
  <c r="U257" i="3" s="1"/>
  <c r="BK178" i="10"/>
  <c r="AB257" i="3" s="1"/>
  <c r="BL178" i="10"/>
  <c r="AD257" i="3" s="1"/>
  <c r="BM178" i="10"/>
  <c r="AI257" i="3" s="1"/>
  <c r="BN178" i="10"/>
  <c r="AK257" i="3" s="1"/>
  <c r="BO178" i="10"/>
  <c r="BP178" i="10"/>
  <c r="BS178" i="10"/>
  <c r="BT178" i="10" s="1"/>
  <c r="E257" i="9" s="1"/>
  <c r="BU178" i="10"/>
  <c r="M257" i="3" s="1"/>
  <c r="BE179" i="10"/>
  <c r="BF179" i="10"/>
  <c r="Q289" i="3" s="1"/>
  <c r="BH179" i="10"/>
  <c r="Z289" i="3" s="1"/>
  <c r="BI179" i="10"/>
  <c r="W289" i="3" s="1"/>
  <c r="BJ179" i="10"/>
  <c r="U289" i="3" s="1"/>
  <c r="BK179" i="10"/>
  <c r="AB289" i="3" s="1"/>
  <c r="BL179" i="10"/>
  <c r="AD289" i="3" s="1"/>
  <c r="BM179" i="10"/>
  <c r="AI289" i="3" s="1"/>
  <c r="BN179" i="10"/>
  <c r="AK289" i="3" s="1"/>
  <c r="BO179" i="10"/>
  <c r="BP179" i="10"/>
  <c r="BS179" i="10"/>
  <c r="BT179" i="10" s="1"/>
  <c r="E289" i="9" s="1"/>
  <c r="BU179" i="10"/>
  <c r="M289" i="3" s="1"/>
  <c r="O708" i="17" l="1"/>
  <c r="Q708" i="17" s="1"/>
  <c r="P707" i="17"/>
  <c r="Q707" i="17" s="1"/>
  <c r="N642" i="17"/>
  <c r="P642" i="17" s="1"/>
  <c r="N679" i="17"/>
  <c r="P679" i="17" s="1"/>
  <c r="N645" i="17"/>
  <c r="O645" i="17" s="1"/>
  <c r="N621" i="17"/>
  <c r="O621" i="17" s="1"/>
  <c r="N694" i="17"/>
  <c r="P694" i="17" s="1"/>
  <c r="N684" i="17"/>
  <c r="O684" i="17" s="1"/>
  <c r="N622" i="17"/>
  <c r="O622" i="17" s="1"/>
  <c r="N649" i="17"/>
  <c r="O649" i="17" s="1"/>
  <c r="N683" i="17"/>
  <c r="O683" i="17" s="1"/>
  <c r="N590" i="17"/>
  <c r="O590" i="17" s="1"/>
  <c r="N663" i="17"/>
  <c r="P663" i="17" s="1"/>
  <c r="N697" i="17"/>
  <c r="O697" i="17" s="1"/>
  <c r="N690" i="17"/>
  <c r="P690" i="17" s="1"/>
  <c r="N676" i="17"/>
  <c r="O676" i="17" s="1"/>
  <c r="N702" i="17"/>
  <c r="O702" i="17" s="1"/>
  <c r="N699" i="17"/>
  <c r="O699" i="17" s="1"/>
  <c r="N619" i="17"/>
  <c r="P619" i="17" s="1"/>
  <c r="N651" i="17"/>
  <c r="P651" i="17" s="1"/>
  <c r="N643" i="17"/>
  <c r="O643" i="17" s="1"/>
  <c r="N637" i="17"/>
  <c r="O637" i="17" s="1"/>
  <c r="N630" i="17"/>
  <c r="P630" i="17" s="1"/>
  <c r="N662" i="17"/>
  <c r="O662" i="17" s="1"/>
  <c r="N647" i="17"/>
  <c r="O647" i="17" s="1"/>
  <c r="N693" i="17"/>
  <c r="O693" i="17" s="1"/>
  <c r="N660" i="17"/>
  <c r="O660" i="17" s="1"/>
  <c r="N628" i="17"/>
  <c r="O628" i="17" s="1"/>
  <c r="N611" i="17"/>
  <c r="O611" i="17" s="1"/>
  <c r="N605" i="17"/>
  <c r="O605" i="17" s="1"/>
  <c r="N589" i="17"/>
  <c r="P589" i="17" s="1"/>
  <c r="N700" i="17"/>
  <c r="O700" i="17" s="1"/>
  <c r="N618" i="17"/>
  <c r="O618" i="17" s="1"/>
  <c r="N609" i="17"/>
  <c r="O609" i="17" s="1"/>
  <c r="N687" i="17"/>
  <c r="O687" i="17" s="1"/>
  <c r="N674" i="17"/>
  <c r="O674" i="17" s="1"/>
  <c r="N667" i="17"/>
  <c r="O667" i="17" s="1"/>
  <c r="N653" i="17"/>
  <c r="P653" i="17" s="1"/>
  <c r="N631" i="17"/>
  <c r="P631" i="17" s="1"/>
  <c r="N625" i="17"/>
  <c r="P625" i="17" s="1"/>
  <c r="N706" i="17"/>
  <c r="P706" i="17" s="1"/>
  <c r="N703" i="17"/>
  <c r="P703" i="17" s="1"/>
  <c r="N678" i="17"/>
  <c r="P678" i="17" s="1"/>
  <c r="N608" i="17"/>
  <c r="O608" i="17" s="1"/>
  <c r="N602" i="17"/>
  <c r="O602" i="17" s="1"/>
  <c r="N599" i="17"/>
  <c r="O599" i="17" s="1"/>
  <c r="N596" i="17"/>
  <c r="O596" i="17" s="1"/>
  <c r="N669" i="17"/>
  <c r="P669" i="17" s="1"/>
  <c r="N641" i="17"/>
  <c r="O641" i="17" s="1"/>
  <c r="N639" i="17"/>
  <c r="P639" i="17" s="1"/>
  <c r="N633" i="17"/>
  <c r="P633" i="17" s="1"/>
  <c r="N657" i="17"/>
  <c r="P657" i="17" s="1"/>
  <c r="N616" i="17"/>
  <c r="O616" i="17" s="1"/>
  <c r="N587" i="17"/>
  <c r="P587" i="17" s="1"/>
  <c r="N614" i="17"/>
  <c r="P614" i="17" s="1"/>
  <c r="N705" i="17"/>
  <c r="O705" i="17" s="1"/>
  <c r="N686" i="17"/>
  <c r="P686" i="17" s="1"/>
  <c r="N672" i="17"/>
  <c r="O672" i="17" s="1"/>
  <c r="N652" i="17"/>
  <c r="O652" i="17" s="1"/>
  <c r="N593" i="17"/>
  <c r="O593" i="17" s="1"/>
  <c r="N682" i="17"/>
  <c r="P682" i="17" s="1"/>
  <c r="N670" i="17"/>
  <c r="O670" i="17" s="1"/>
  <c r="N646" i="17"/>
  <c r="P646" i="17" s="1"/>
  <c r="N634" i="17"/>
  <c r="P634" i="17" s="1"/>
  <c r="N629" i="17"/>
  <c r="O629" i="17" s="1"/>
  <c r="N626" i="17"/>
  <c r="O626" i="17" s="1"/>
  <c r="N620" i="17"/>
  <c r="P620" i="17" s="1"/>
  <c r="N586" i="17"/>
  <c r="P586" i="17" s="1"/>
  <c r="N704" i="17"/>
  <c r="O704" i="17" s="1"/>
  <c r="N685" i="17"/>
  <c r="O685" i="17" s="1"/>
  <c r="N666" i="17"/>
  <c r="O666" i="17" s="1"/>
  <c r="N658" i="17"/>
  <c r="O658" i="17" s="1"/>
  <c r="N627" i="17"/>
  <c r="P627" i="17" s="1"/>
  <c r="N613" i="17"/>
  <c r="P613" i="17" s="1"/>
  <c r="N607" i="17"/>
  <c r="P607" i="17" s="1"/>
  <c r="N601" i="17"/>
  <c r="P601" i="17" s="1"/>
  <c r="N598" i="17"/>
  <c r="P598" i="17" s="1"/>
  <c r="N595" i="17"/>
  <c r="P595" i="17" s="1"/>
  <c r="N695" i="17"/>
  <c r="P695" i="17" s="1"/>
  <c r="N692" i="17"/>
  <c r="P692" i="17" s="1"/>
  <c r="N688" i="17"/>
  <c r="O688" i="17" s="1"/>
  <c r="N681" i="17"/>
  <c r="P681" i="17" s="1"/>
  <c r="N671" i="17"/>
  <c r="P671" i="17" s="1"/>
  <c r="N654" i="17"/>
  <c r="O654" i="17" s="1"/>
  <c r="N648" i="17"/>
  <c r="O648" i="17" s="1"/>
  <c r="N640" i="17"/>
  <c r="N632" i="17"/>
  <c r="P632" i="17" s="1"/>
  <c r="N624" i="17"/>
  <c r="O624" i="17" s="1"/>
  <c r="N610" i="17"/>
  <c r="O610" i="17" s="1"/>
  <c r="N603" i="17"/>
  <c r="O603" i="17" s="1"/>
  <c r="N597" i="17"/>
  <c r="P597" i="17" s="1"/>
  <c r="N588" i="17"/>
  <c r="P588" i="17" s="1"/>
  <c r="N675" i="17"/>
  <c r="O675" i="17" s="1"/>
  <c r="N665" i="17"/>
  <c r="O665" i="17" s="1"/>
  <c r="N635" i="17"/>
  <c r="O635" i="17" s="1"/>
  <c r="N604" i="17"/>
  <c r="P604" i="17" s="1"/>
  <c r="N591" i="17"/>
  <c r="O591" i="17" s="1"/>
  <c r="N691" i="17"/>
  <c r="O691" i="17" s="1"/>
  <c r="N673" i="17"/>
  <c r="N664" i="17"/>
  <c r="O664" i="17" s="1"/>
  <c r="N661" i="17"/>
  <c r="P661" i="17" s="1"/>
  <c r="N638" i="17"/>
  <c r="O638" i="17" s="1"/>
  <c r="N615" i="17"/>
  <c r="O615" i="17" s="1"/>
  <c r="N600" i="17"/>
  <c r="O600" i="17" s="1"/>
  <c r="N594" i="17"/>
  <c r="P594" i="17" s="1"/>
  <c r="N701" i="17"/>
  <c r="O701" i="17" s="1"/>
  <c r="N698" i="17"/>
  <c r="O698" i="17" s="1"/>
  <c r="N696" i="17"/>
  <c r="O696" i="17" s="1"/>
  <c r="N689" i="17"/>
  <c r="O689" i="17" s="1"/>
  <c r="N659" i="17"/>
  <c r="O659" i="17" s="1"/>
  <c r="N656" i="17"/>
  <c r="O656" i="17" s="1"/>
  <c r="N650" i="17"/>
  <c r="O650" i="17" s="1"/>
  <c r="N636" i="17"/>
  <c r="O636" i="17" s="1"/>
  <c r="N612" i="17"/>
  <c r="P612" i="17" s="1"/>
  <c r="N592" i="17"/>
  <c r="P592" i="17" s="1"/>
  <c r="N668" i="17"/>
  <c r="P668" i="17" s="1"/>
  <c r="N655" i="17"/>
  <c r="N606" i="17"/>
  <c r="N680" i="17"/>
  <c r="N677" i="17"/>
  <c r="N644" i="17"/>
  <c r="N623" i="17"/>
  <c r="N617" i="17"/>
  <c r="AZ82" i="10"/>
  <c r="AZ83" i="10"/>
  <c r="AZ84" i="10"/>
  <c r="AZ85" i="10"/>
  <c r="AZ86" i="10"/>
  <c r="AZ87" i="10"/>
  <c r="AZ88" i="10"/>
  <c r="AZ89" i="10"/>
  <c r="AZ90" i="10"/>
  <c r="AZ91" i="10"/>
  <c r="AZ92" i="10"/>
  <c r="AZ93" i="10"/>
  <c r="AZ94" i="10"/>
  <c r="AZ95" i="10"/>
  <c r="AZ96" i="10"/>
  <c r="AZ97" i="10"/>
  <c r="AZ98" i="10"/>
  <c r="AZ99" i="10"/>
  <c r="AZ100" i="10"/>
  <c r="AZ101" i="10"/>
  <c r="AZ102" i="10"/>
  <c r="AZ103" i="10"/>
  <c r="AZ104" i="10"/>
  <c r="AZ105" i="10"/>
  <c r="AZ106" i="10"/>
  <c r="AZ107" i="10"/>
  <c r="AZ108" i="10"/>
  <c r="AZ109" i="10"/>
  <c r="AZ110" i="10"/>
  <c r="AZ111" i="10"/>
  <c r="AZ112" i="10"/>
  <c r="AZ113" i="10"/>
  <c r="AZ114" i="10"/>
  <c r="AZ115" i="10"/>
  <c r="AZ116" i="10"/>
  <c r="AZ117" i="10"/>
  <c r="AZ118" i="10"/>
  <c r="AZ119" i="10"/>
  <c r="AZ120" i="10"/>
  <c r="AZ121" i="10"/>
  <c r="AZ122" i="10"/>
  <c r="AZ123" i="10"/>
  <c r="AZ124" i="10"/>
  <c r="AZ125" i="10"/>
  <c r="AZ126" i="10"/>
  <c r="AZ127" i="10"/>
  <c r="AZ128" i="10"/>
  <c r="AZ129" i="10"/>
  <c r="AZ130" i="10"/>
  <c r="AZ131" i="10"/>
  <c r="AZ132" i="10"/>
  <c r="AZ133" i="10"/>
  <c r="AZ134" i="10"/>
  <c r="O679" i="17" l="1"/>
  <c r="Q679" i="17" s="1"/>
  <c r="O690" i="17"/>
  <c r="Q690" i="17" s="1"/>
  <c r="O694" i="17"/>
  <c r="Q694" i="17" s="1"/>
  <c r="O642" i="17"/>
  <c r="Q642" i="17" s="1"/>
  <c r="P676" i="17"/>
  <c r="Q676" i="17" s="1"/>
  <c r="P645" i="17"/>
  <c r="Q645" i="17" s="1"/>
  <c r="O639" i="17"/>
  <c r="Q639" i="17" s="1"/>
  <c r="P602" i="17"/>
  <c r="Q602" i="17" s="1"/>
  <c r="P637" i="17"/>
  <c r="Q637" i="17" s="1"/>
  <c r="P662" i="17"/>
  <c r="Q662" i="17" s="1"/>
  <c r="P621" i="17"/>
  <c r="Q621" i="17" s="1"/>
  <c r="P648" i="17"/>
  <c r="Q648" i="17" s="1"/>
  <c r="P699" i="17"/>
  <c r="Q699" i="17" s="1"/>
  <c r="P643" i="17"/>
  <c r="Q643" i="17" s="1"/>
  <c r="P649" i="17"/>
  <c r="Q649" i="17" s="1"/>
  <c r="P670" i="17"/>
  <c r="Q670" i="17" s="1"/>
  <c r="P650" i="17"/>
  <c r="Q650" i="17" s="1"/>
  <c r="O653" i="17"/>
  <c r="Q653" i="17" s="1"/>
  <c r="P683" i="17"/>
  <c r="Q683" i="17" s="1"/>
  <c r="P697" i="17"/>
  <c r="Q697" i="17" s="1"/>
  <c r="P611" i="17"/>
  <c r="Q611" i="17" s="1"/>
  <c r="O598" i="17"/>
  <c r="Q598" i="17" s="1"/>
  <c r="P647" i="17"/>
  <c r="Q647" i="17" s="1"/>
  <c r="O669" i="17"/>
  <c r="Q669" i="17" s="1"/>
  <c r="O703" i="17"/>
  <c r="Q703" i="17" s="1"/>
  <c r="O613" i="17"/>
  <c r="Q613" i="17" s="1"/>
  <c r="P672" i="17"/>
  <c r="Q672" i="17" s="1"/>
  <c r="O597" i="17"/>
  <c r="Q597" i="17" s="1"/>
  <c r="O619" i="17"/>
  <c r="Q619" i="17" s="1"/>
  <c r="O631" i="17"/>
  <c r="Q631" i="17" s="1"/>
  <c r="O651" i="17"/>
  <c r="Q651" i="17" s="1"/>
  <c r="P629" i="17"/>
  <c r="Q629" i="17" s="1"/>
  <c r="O633" i="17"/>
  <c r="Q633" i="17" s="1"/>
  <c r="O587" i="17"/>
  <c r="Q587" i="17" s="1"/>
  <c r="P666" i="17"/>
  <c r="Q666" i="17" s="1"/>
  <c r="P684" i="17"/>
  <c r="Q684" i="17" s="1"/>
  <c r="P605" i="17"/>
  <c r="Q605" i="17" s="1"/>
  <c r="P593" i="17"/>
  <c r="Q593" i="17" s="1"/>
  <c r="P609" i="17"/>
  <c r="Q609" i="17" s="1"/>
  <c r="O604" i="17"/>
  <c r="Q604" i="17" s="1"/>
  <c r="P660" i="17"/>
  <c r="Q660" i="17" s="1"/>
  <c r="P704" i="17"/>
  <c r="Q704" i="17" s="1"/>
  <c r="P615" i="17"/>
  <c r="Q615" i="17" s="1"/>
  <c r="O627" i="17"/>
  <c r="Q627" i="17" s="1"/>
  <c r="P590" i="17"/>
  <c r="Q590" i="17" s="1"/>
  <c r="P688" i="17"/>
  <c r="Q688" i="17" s="1"/>
  <c r="O663" i="17"/>
  <c r="Q663" i="17" s="1"/>
  <c r="P654" i="17"/>
  <c r="Q654" i="17" s="1"/>
  <c r="O657" i="17"/>
  <c r="Q657" i="17" s="1"/>
  <c r="P610" i="17"/>
  <c r="Q610" i="17" s="1"/>
  <c r="P599" i="17"/>
  <c r="Q599" i="17" s="1"/>
  <c r="P674" i="17"/>
  <c r="Q674" i="17" s="1"/>
  <c r="O632" i="17"/>
  <c r="Q632" i="17" s="1"/>
  <c r="O625" i="17"/>
  <c r="Q625" i="17" s="1"/>
  <c r="P700" i="17"/>
  <c r="Q700" i="17" s="1"/>
  <c r="P635" i="17"/>
  <c r="Q635" i="17" s="1"/>
  <c r="O601" i="17"/>
  <c r="Q601" i="17" s="1"/>
  <c r="P622" i="17"/>
  <c r="Q622" i="17" s="1"/>
  <c r="P596" i="17"/>
  <c r="Q596" i="17" s="1"/>
  <c r="O681" i="17"/>
  <c r="Q681" i="17" s="1"/>
  <c r="O678" i="17"/>
  <c r="Q678" i="17" s="1"/>
  <c r="O614" i="17"/>
  <c r="Q614" i="17" s="1"/>
  <c r="O686" i="17"/>
  <c r="Q686" i="17" s="1"/>
  <c r="P689" i="17"/>
  <c r="Q689" i="17" s="1"/>
  <c r="P624" i="17"/>
  <c r="Q624" i="17" s="1"/>
  <c r="O612" i="17"/>
  <c r="Q612" i="17" s="1"/>
  <c r="P701" i="17"/>
  <c r="Q701" i="17" s="1"/>
  <c r="O706" i="17"/>
  <c r="Q706" i="17" s="1"/>
  <c r="P603" i="17"/>
  <c r="Q603" i="17" s="1"/>
  <c r="P616" i="17"/>
  <c r="Q616" i="17" s="1"/>
  <c r="O607" i="17"/>
  <c r="Q607" i="17" s="1"/>
  <c r="P591" i="17"/>
  <c r="Q591" i="17" s="1"/>
  <c r="O620" i="17"/>
  <c r="Q620" i="17" s="1"/>
  <c r="P667" i="17"/>
  <c r="Q667" i="17" s="1"/>
  <c r="O630" i="17"/>
  <c r="Q630" i="17" s="1"/>
  <c r="P693" i="17"/>
  <c r="Q693" i="17" s="1"/>
  <c r="P659" i="17"/>
  <c r="Q659" i="17" s="1"/>
  <c r="O589" i="17"/>
  <c r="Q589" i="17" s="1"/>
  <c r="P702" i="17"/>
  <c r="Q702" i="17" s="1"/>
  <c r="P685" i="17"/>
  <c r="Q685" i="17" s="1"/>
  <c r="P608" i="17"/>
  <c r="Q608" i="17" s="1"/>
  <c r="P652" i="17"/>
  <c r="Q652" i="17" s="1"/>
  <c r="P618" i="17"/>
  <c r="Q618" i="17" s="1"/>
  <c r="O634" i="17"/>
  <c r="Q634" i="17" s="1"/>
  <c r="P656" i="17"/>
  <c r="Q656" i="17" s="1"/>
  <c r="P664" i="17"/>
  <c r="Q664" i="17" s="1"/>
  <c r="P687" i="17"/>
  <c r="Q687" i="17" s="1"/>
  <c r="O586" i="17"/>
  <c r="Q586" i="17" s="1"/>
  <c r="O661" i="17"/>
  <c r="Q661" i="17" s="1"/>
  <c r="O646" i="17"/>
  <c r="Q646" i="17" s="1"/>
  <c r="P628" i="17"/>
  <c r="Q628" i="17" s="1"/>
  <c r="O595" i="17"/>
  <c r="Q595" i="17" s="1"/>
  <c r="O594" i="17"/>
  <c r="Q594" i="17" s="1"/>
  <c r="O668" i="17"/>
  <c r="Q668" i="17" s="1"/>
  <c r="P626" i="17"/>
  <c r="Q626" i="17" s="1"/>
  <c r="O692" i="17"/>
  <c r="Q692" i="17" s="1"/>
  <c r="P641" i="17"/>
  <c r="Q641" i="17" s="1"/>
  <c r="P675" i="17"/>
  <c r="Q675" i="17" s="1"/>
  <c r="P658" i="17"/>
  <c r="Q658" i="17" s="1"/>
  <c r="O695" i="17"/>
  <c r="Q695" i="17" s="1"/>
  <c r="P638" i="17"/>
  <c r="Q638" i="17" s="1"/>
  <c r="P691" i="17"/>
  <c r="Q691" i="17" s="1"/>
  <c r="P696" i="17"/>
  <c r="Q696" i="17" s="1"/>
  <c r="O682" i="17"/>
  <c r="Q682" i="17" s="1"/>
  <c r="P705" i="17"/>
  <c r="Q705" i="17" s="1"/>
  <c r="O588" i="17"/>
  <c r="Q588" i="17" s="1"/>
  <c r="O592" i="17"/>
  <c r="Q592" i="17" s="1"/>
  <c r="O673" i="17"/>
  <c r="P673" i="17"/>
  <c r="P600" i="17"/>
  <c r="Q600" i="17" s="1"/>
  <c r="P698" i="17"/>
  <c r="Q698" i="17" s="1"/>
  <c r="P665" i="17"/>
  <c r="Q665" i="17" s="1"/>
  <c r="P636" i="17"/>
  <c r="Q636" i="17" s="1"/>
  <c r="O671" i="17"/>
  <c r="Q671" i="17" s="1"/>
  <c r="O640" i="17"/>
  <c r="P640" i="17"/>
  <c r="O644" i="17"/>
  <c r="P644" i="17"/>
  <c r="P677" i="17"/>
  <c r="O677" i="17"/>
  <c r="O617" i="17"/>
  <c r="P617" i="17"/>
  <c r="O623" i="17"/>
  <c r="P623" i="17"/>
  <c r="P680" i="17"/>
  <c r="O680" i="17"/>
  <c r="O655" i="17"/>
  <c r="P655" i="17"/>
  <c r="O606" i="17"/>
  <c r="P606" i="17"/>
  <c r="L545" i="17"/>
  <c r="M545" i="17"/>
  <c r="S545" i="17"/>
  <c r="L546" i="17"/>
  <c r="M546" i="17"/>
  <c r="S546" i="17"/>
  <c r="L547" i="17"/>
  <c r="M547" i="17"/>
  <c r="S547" i="17"/>
  <c r="L548" i="17"/>
  <c r="M548" i="17"/>
  <c r="S548" i="17"/>
  <c r="L549" i="17"/>
  <c r="M549" i="17"/>
  <c r="S549" i="17"/>
  <c r="L550" i="17"/>
  <c r="M550" i="17"/>
  <c r="S550" i="17"/>
  <c r="L551" i="17"/>
  <c r="M551" i="17"/>
  <c r="S551" i="17"/>
  <c r="L552" i="17"/>
  <c r="M552" i="17"/>
  <c r="S552" i="17"/>
  <c r="L553" i="17"/>
  <c r="M553" i="17"/>
  <c r="S553" i="17"/>
  <c r="L554" i="17"/>
  <c r="M554" i="17"/>
  <c r="S554" i="17"/>
  <c r="L555" i="17"/>
  <c r="M555" i="17"/>
  <c r="S555" i="17"/>
  <c r="L556" i="17"/>
  <c r="M556" i="17"/>
  <c r="S556" i="17"/>
  <c r="L557" i="17"/>
  <c r="M557" i="17"/>
  <c r="S557" i="17"/>
  <c r="L558" i="17"/>
  <c r="M558" i="17"/>
  <c r="S558" i="17"/>
  <c r="L559" i="17"/>
  <c r="M559" i="17"/>
  <c r="S559" i="17"/>
  <c r="L560" i="17"/>
  <c r="M560" i="17"/>
  <c r="S560" i="17"/>
  <c r="L561" i="17"/>
  <c r="M561" i="17"/>
  <c r="S561" i="17"/>
  <c r="L562" i="17"/>
  <c r="M562" i="17"/>
  <c r="S562" i="17"/>
  <c r="L563" i="17"/>
  <c r="M563" i="17"/>
  <c r="S563" i="17"/>
  <c r="L564" i="17"/>
  <c r="M564" i="17"/>
  <c r="S564" i="17"/>
  <c r="L565" i="17"/>
  <c r="M565" i="17"/>
  <c r="S565" i="17"/>
  <c r="L566" i="17"/>
  <c r="M566" i="17"/>
  <c r="S566" i="17"/>
  <c r="L567" i="17"/>
  <c r="M567" i="17"/>
  <c r="S567" i="17"/>
  <c r="L568" i="17"/>
  <c r="M568" i="17"/>
  <c r="S568" i="17"/>
  <c r="L569" i="17"/>
  <c r="M569" i="17"/>
  <c r="S569" i="17"/>
  <c r="L570" i="17"/>
  <c r="M570" i="17"/>
  <c r="S570" i="17"/>
  <c r="L571" i="17"/>
  <c r="M571" i="17"/>
  <c r="S571" i="17"/>
  <c r="L572" i="17"/>
  <c r="M572" i="17"/>
  <c r="S572" i="17"/>
  <c r="L573" i="17"/>
  <c r="M573" i="17"/>
  <c r="S573" i="17"/>
  <c r="L574" i="17"/>
  <c r="M574" i="17"/>
  <c r="S574" i="17"/>
  <c r="L575" i="17"/>
  <c r="M575" i="17"/>
  <c r="S575" i="17"/>
  <c r="L576" i="17"/>
  <c r="M576" i="17"/>
  <c r="S576" i="17"/>
  <c r="L577" i="17"/>
  <c r="M577" i="17"/>
  <c r="S577" i="17"/>
  <c r="L578" i="17"/>
  <c r="M578" i="17"/>
  <c r="S578" i="17"/>
  <c r="L579" i="17"/>
  <c r="M579" i="17"/>
  <c r="S579" i="17"/>
  <c r="L580" i="17"/>
  <c r="M580" i="17"/>
  <c r="S580" i="17"/>
  <c r="L581" i="17"/>
  <c r="M581" i="17"/>
  <c r="S581" i="17"/>
  <c r="L582" i="17"/>
  <c r="M582" i="17"/>
  <c r="S582" i="17"/>
  <c r="L583" i="17"/>
  <c r="M583" i="17"/>
  <c r="S583" i="17"/>
  <c r="L584" i="17"/>
  <c r="M584" i="17"/>
  <c r="S584" i="17"/>
  <c r="L585" i="17"/>
  <c r="M585" i="17"/>
  <c r="S585" i="17"/>
  <c r="B545" i="17"/>
  <c r="B546" i="17"/>
  <c r="B547" i="17"/>
  <c r="B548" i="17"/>
  <c r="B549" i="17"/>
  <c r="B550" i="17"/>
  <c r="B551" i="17"/>
  <c r="B552" i="17"/>
  <c r="B553" i="17"/>
  <c r="B554" i="17"/>
  <c r="B555" i="17"/>
  <c r="B556" i="17"/>
  <c r="B557" i="17"/>
  <c r="B558" i="17"/>
  <c r="B559" i="17"/>
  <c r="B560" i="17"/>
  <c r="B561" i="17"/>
  <c r="B562" i="17"/>
  <c r="B563" i="17"/>
  <c r="B564" i="17"/>
  <c r="B565" i="17"/>
  <c r="B566" i="17"/>
  <c r="B567" i="17"/>
  <c r="B568" i="17"/>
  <c r="B569" i="17"/>
  <c r="B570" i="17"/>
  <c r="B571" i="17"/>
  <c r="B572" i="17"/>
  <c r="B573" i="17"/>
  <c r="B574" i="17"/>
  <c r="B575" i="17"/>
  <c r="B576" i="17"/>
  <c r="B577" i="17"/>
  <c r="B578" i="17"/>
  <c r="B579" i="17"/>
  <c r="B580" i="17"/>
  <c r="B581" i="17"/>
  <c r="B582" i="17"/>
  <c r="B583" i="17"/>
  <c r="B584" i="17"/>
  <c r="B585" i="17"/>
  <c r="BE122" i="10"/>
  <c r="BF122" i="10"/>
  <c r="Q7" i="3" s="1"/>
  <c r="BH122" i="10"/>
  <c r="Z7" i="3" s="1"/>
  <c r="BI122" i="10"/>
  <c r="W7" i="3" s="1"/>
  <c r="BJ122" i="10"/>
  <c r="U7" i="3" s="1"/>
  <c r="BK122" i="10"/>
  <c r="AB7" i="3" s="1"/>
  <c r="BL122" i="10"/>
  <c r="AD7" i="3" s="1"/>
  <c r="BM122" i="10"/>
  <c r="AI7" i="3" s="1"/>
  <c r="BN122" i="10"/>
  <c r="AK7" i="3" s="1"/>
  <c r="BO122" i="10"/>
  <c r="BP122" i="10"/>
  <c r="BS122" i="10"/>
  <c r="BT122" i="10" s="1"/>
  <c r="E7" i="9" s="1"/>
  <c r="BU122" i="10"/>
  <c r="M7" i="3" s="1"/>
  <c r="BE123" i="10"/>
  <c r="BF123" i="10"/>
  <c r="Q45" i="3" s="1"/>
  <c r="BH123" i="10"/>
  <c r="Z45" i="3" s="1"/>
  <c r="BI123" i="10"/>
  <c r="W45" i="3" s="1"/>
  <c r="BJ123" i="10"/>
  <c r="U45" i="3" s="1"/>
  <c r="BK123" i="10"/>
  <c r="AB45" i="3" s="1"/>
  <c r="BL123" i="10"/>
  <c r="AD45" i="3" s="1"/>
  <c r="BM123" i="10"/>
  <c r="AI45" i="3" s="1"/>
  <c r="BN123" i="10"/>
  <c r="AK45" i="3" s="1"/>
  <c r="BO123" i="10"/>
  <c r="BP123" i="10"/>
  <c r="BS123" i="10"/>
  <c r="BT123" i="10" s="1"/>
  <c r="E45" i="9" s="1"/>
  <c r="BU123" i="10"/>
  <c r="M45" i="3" s="1"/>
  <c r="BE124" i="10"/>
  <c r="BF124" i="10"/>
  <c r="Q53" i="3" s="1"/>
  <c r="BH124" i="10"/>
  <c r="Z53" i="3" s="1"/>
  <c r="BI124" i="10"/>
  <c r="W53" i="3" s="1"/>
  <c r="BJ124" i="10"/>
  <c r="U53" i="3" s="1"/>
  <c r="BK124" i="10"/>
  <c r="AB53" i="3" s="1"/>
  <c r="BL124" i="10"/>
  <c r="AD53" i="3" s="1"/>
  <c r="BM124" i="10"/>
  <c r="AI53" i="3" s="1"/>
  <c r="BN124" i="10"/>
  <c r="AK53" i="3" s="1"/>
  <c r="BO124" i="10"/>
  <c r="BP124" i="10"/>
  <c r="BS124" i="10"/>
  <c r="BT124" i="10" s="1"/>
  <c r="E53" i="9" s="1"/>
  <c r="BU124" i="10"/>
  <c r="M53" i="3" s="1"/>
  <c r="BE125" i="10"/>
  <c r="BF125" i="10"/>
  <c r="Q54" i="3" s="1"/>
  <c r="BH125" i="10"/>
  <c r="Z54" i="3" s="1"/>
  <c r="BI125" i="10"/>
  <c r="W54" i="3" s="1"/>
  <c r="BJ125" i="10"/>
  <c r="U54" i="3" s="1"/>
  <c r="BK125" i="10"/>
  <c r="AB54" i="3" s="1"/>
  <c r="BL125" i="10"/>
  <c r="AD54" i="3" s="1"/>
  <c r="BM125" i="10"/>
  <c r="AI54" i="3" s="1"/>
  <c r="BN125" i="10"/>
  <c r="AK54" i="3" s="1"/>
  <c r="BO125" i="10"/>
  <c r="BP125" i="10"/>
  <c r="BS125" i="10"/>
  <c r="BT125" i="10" s="1"/>
  <c r="E54" i="9" s="1"/>
  <c r="BU125" i="10"/>
  <c r="M54" i="3" s="1"/>
  <c r="BE126" i="10"/>
  <c r="BF126" i="10"/>
  <c r="Q55" i="3" s="1"/>
  <c r="BH126" i="10"/>
  <c r="Z55" i="3" s="1"/>
  <c r="BI126" i="10"/>
  <c r="W55" i="3" s="1"/>
  <c r="BJ126" i="10"/>
  <c r="U55" i="3" s="1"/>
  <c r="BK126" i="10"/>
  <c r="AB55" i="3" s="1"/>
  <c r="BL126" i="10"/>
  <c r="AD55" i="3" s="1"/>
  <c r="BM126" i="10"/>
  <c r="AI55" i="3" s="1"/>
  <c r="BN126" i="10"/>
  <c r="AK55" i="3" s="1"/>
  <c r="BO126" i="10"/>
  <c r="BP126" i="10"/>
  <c r="BS126" i="10"/>
  <c r="BT126" i="10" s="1"/>
  <c r="E55" i="9" s="1"/>
  <c r="BU126" i="10"/>
  <c r="M55" i="3" s="1"/>
  <c r="BE127" i="10"/>
  <c r="BF127" i="10"/>
  <c r="Q57" i="3" s="1"/>
  <c r="BH127" i="10"/>
  <c r="Z57" i="3" s="1"/>
  <c r="BI127" i="10"/>
  <c r="W57" i="3" s="1"/>
  <c r="BJ127" i="10"/>
  <c r="U57" i="3" s="1"/>
  <c r="BK127" i="10"/>
  <c r="AB57" i="3" s="1"/>
  <c r="BL127" i="10"/>
  <c r="AD57" i="3" s="1"/>
  <c r="BM127" i="10"/>
  <c r="AI57" i="3" s="1"/>
  <c r="BN127" i="10"/>
  <c r="AK57" i="3" s="1"/>
  <c r="BO127" i="10"/>
  <c r="BP127" i="10"/>
  <c r="BS127" i="10"/>
  <c r="BT127" i="10" s="1"/>
  <c r="E57" i="9" s="1"/>
  <c r="BU127" i="10"/>
  <c r="M57" i="3" s="1"/>
  <c r="BE128" i="10"/>
  <c r="BF128" i="10"/>
  <c r="Q98" i="3" s="1"/>
  <c r="BH128" i="10"/>
  <c r="Z98" i="3" s="1"/>
  <c r="BI128" i="10"/>
  <c r="W98" i="3" s="1"/>
  <c r="BJ128" i="10"/>
  <c r="U98" i="3" s="1"/>
  <c r="BK128" i="10"/>
  <c r="AB98" i="3" s="1"/>
  <c r="BL128" i="10"/>
  <c r="AD98" i="3" s="1"/>
  <c r="BM128" i="10"/>
  <c r="AI98" i="3" s="1"/>
  <c r="BN128" i="10"/>
  <c r="AK98" i="3" s="1"/>
  <c r="BO128" i="10"/>
  <c r="BP128" i="10"/>
  <c r="BS128" i="10"/>
  <c r="BT128" i="10" s="1"/>
  <c r="E98" i="9" s="1"/>
  <c r="BU128" i="10"/>
  <c r="M98" i="3" s="1"/>
  <c r="Q99" i="3"/>
  <c r="Z99" i="3"/>
  <c r="W99" i="3"/>
  <c r="U99" i="3"/>
  <c r="AB99" i="3"/>
  <c r="AD99" i="3"/>
  <c r="AI99" i="3"/>
  <c r="AK99" i="3"/>
  <c r="M99" i="3"/>
  <c r="BE129" i="10"/>
  <c r="BF129" i="10"/>
  <c r="Q100" i="3" s="1"/>
  <c r="BH129" i="10"/>
  <c r="Z100" i="3" s="1"/>
  <c r="BI129" i="10"/>
  <c r="W100" i="3" s="1"/>
  <c r="BJ129" i="10"/>
  <c r="U100" i="3" s="1"/>
  <c r="BK129" i="10"/>
  <c r="AB100" i="3" s="1"/>
  <c r="BL129" i="10"/>
  <c r="AD100" i="3" s="1"/>
  <c r="BM129" i="10"/>
  <c r="AI100" i="3" s="1"/>
  <c r="BN129" i="10"/>
  <c r="AK100" i="3" s="1"/>
  <c r="BO129" i="10"/>
  <c r="BP129" i="10"/>
  <c r="BS129" i="10"/>
  <c r="BT129" i="10" s="1"/>
  <c r="E100" i="9" s="1"/>
  <c r="BU129" i="10"/>
  <c r="M100" i="3" s="1"/>
  <c r="BE130" i="10"/>
  <c r="BF130" i="10"/>
  <c r="Q101" i="3" s="1"/>
  <c r="BH130" i="10"/>
  <c r="Z101" i="3" s="1"/>
  <c r="BI130" i="10"/>
  <c r="W101" i="3" s="1"/>
  <c r="BJ130" i="10"/>
  <c r="U101" i="3" s="1"/>
  <c r="BK130" i="10"/>
  <c r="AB101" i="3" s="1"/>
  <c r="BL130" i="10"/>
  <c r="AD101" i="3" s="1"/>
  <c r="BM130" i="10"/>
  <c r="AI101" i="3" s="1"/>
  <c r="BN130" i="10"/>
  <c r="AK101" i="3" s="1"/>
  <c r="BO130" i="10"/>
  <c r="BP130" i="10"/>
  <c r="BS130" i="10"/>
  <c r="BT130" i="10" s="1"/>
  <c r="E101" i="9" s="1"/>
  <c r="BU130" i="10"/>
  <c r="M101" i="3" s="1"/>
  <c r="BE131" i="10"/>
  <c r="BF131" i="10"/>
  <c r="Q179" i="3" s="1"/>
  <c r="BH131" i="10"/>
  <c r="Z179" i="3" s="1"/>
  <c r="BI131" i="10"/>
  <c r="W179" i="3" s="1"/>
  <c r="BJ131" i="10"/>
  <c r="U179" i="3" s="1"/>
  <c r="BK131" i="10"/>
  <c r="AB179" i="3" s="1"/>
  <c r="BL131" i="10"/>
  <c r="AD179" i="3" s="1"/>
  <c r="BM131" i="10"/>
  <c r="AI179" i="3" s="1"/>
  <c r="BN131" i="10"/>
  <c r="AK179" i="3" s="1"/>
  <c r="BO131" i="10"/>
  <c r="BP131" i="10"/>
  <c r="BS131" i="10"/>
  <c r="BT131" i="10" s="1"/>
  <c r="E179" i="9" s="1"/>
  <c r="BU131" i="10"/>
  <c r="M179" i="3" s="1"/>
  <c r="BE132" i="10"/>
  <c r="BF132" i="10"/>
  <c r="Q221" i="3" s="1"/>
  <c r="BH132" i="10"/>
  <c r="Z221" i="3" s="1"/>
  <c r="BI132" i="10"/>
  <c r="W221" i="3" s="1"/>
  <c r="BJ132" i="10"/>
  <c r="U221" i="3" s="1"/>
  <c r="BK132" i="10"/>
  <c r="AB221" i="3" s="1"/>
  <c r="BL132" i="10"/>
  <c r="AD221" i="3" s="1"/>
  <c r="BM132" i="10"/>
  <c r="AI221" i="3" s="1"/>
  <c r="BN132" i="10"/>
  <c r="AK221" i="3" s="1"/>
  <c r="BO132" i="10"/>
  <c r="BP132" i="10"/>
  <c r="BS132" i="10"/>
  <c r="BT132" i="10" s="1"/>
  <c r="E221" i="9" s="1"/>
  <c r="BU132" i="10"/>
  <c r="M221" i="3" s="1"/>
  <c r="BE133" i="10"/>
  <c r="BF133" i="10"/>
  <c r="Q227" i="3" s="1"/>
  <c r="BH133" i="10"/>
  <c r="Z227" i="3" s="1"/>
  <c r="BI133" i="10"/>
  <c r="W227" i="3" s="1"/>
  <c r="BJ133" i="10"/>
  <c r="U227" i="3" s="1"/>
  <c r="BK133" i="10"/>
  <c r="AB227" i="3" s="1"/>
  <c r="BL133" i="10"/>
  <c r="AD227" i="3" s="1"/>
  <c r="BM133" i="10"/>
  <c r="AI227" i="3" s="1"/>
  <c r="BN133" i="10"/>
  <c r="AK227" i="3" s="1"/>
  <c r="BO133" i="10"/>
  <c r="BP133" i="10"/>
  <c r="BS133" i="10"/>
  <c r="BT133" i="10" s="1"/>
  <c r="E227" i="9" s="1"/>
  <c r="BU133" i="10"/>
  <c r="M227" i="3" s="1"/>
  <c r="BE134" i="10"/>
  <c r="BF134" i="10"/>
  <c r="Q266" i="3" s="1"/>
  <c r="BH134" i="10"/>
  <c r="Z266" i="3" s="1"/>
  <c r="BI134" i="10"/>
  <c r="W266" i="3" s="1"/>
  <c r="BJ134" i="10"/>
  <c r="U266" i="3" s="1"/>
  <c r="BK134" i="10"/>
  <c r="AB266" i="3" s="1"/>
  <c r="BL134" i="10"/>
  <c r="AD266" i="3" s="1"/>
  <c r="BM134" i="10"/>
  <c r="AI266" i="3" s="1"/>
  <c r="BN134" i="10"/>
  <c r="AK266" i="3" s="1"/>
  <c r="BO134" i="10"/>
  <c r="BP134" i="10"/>
  <c r="BS134" i="10"/>
  <c r="BT134" i="10" s="1"/>
  <c r="E266" i="9" s="1"/>
  <c r="BU134" i="10"/>
  <c r="M266" i="3" s="1"/>
  <c r="Q623" i="17" l="1"/>
  <c r="Q640" i="17"/>
  <c r="Q606" i="17"/>
  <c r="Q673" i="17"/>
  <c r="Q680" i="17"/>
  <c r="Q677" i="17"/>
  <c r="Q617" i="17"/>
  <c r="Q644" i="17"/>
  <c r="Q655" i="17"/>
  <c r="N548" i="17"/>
  <c r="O548" i="17" s="1"/>
  <c r="N563" i="17"/>
  <c r="O563" i="17" s="1"/>
  <c r="N547" i="17"/>
  <c r="P547" i="17" s="1"/>
  <c r="N571" i="17"/>
  <c r="O571" i="17" s="1"/>
  <c r="N584" i="17"/>
  <c r="O584" i="17" s="1"/>
  <c r="N576" i="17"/>
  <c r="O576" i="17" s="1"/>
  <c r="N553" i="17"/>
  <c r="O553" i="17" s="1"/>
  <c r="N570" i="17"/>
  <c r="O570" i="17" s="1"/>
  <c r="N546" i="17"/>
  <c r="O546" i="17" s="1"/>
  <c r="N575" i="17"/>
  <c r="O575" i="17" s="1"/>
  <c r="N568" i="17"/>
  <c r="P568" i="17" s="1"/>
  <c r="N552" i="17"/>
  <c r="O552" i="17" s="1"/>
  <c r="N569" i="17"/>
  <c r="O569" i="17" s="1"/>
  <c r="N585" i="17"/>
  <c r="O585" i="17" s="1"/>
  <c r="N572" i="17"/>
  <c r="O572" i="17" s="1"/>
  <c r="N566" i="17"/>
  <c r="O566" i="17" s="1"/>
  <c r="N550" i="17"/>
  <c r="O550" i="17" s="1"/>
  <c r="N581" i="17"/>
  <c r="O581" i="17" s="1"/>
  <c r="N560" i="17"/>
  <c r="P560" i="17" s="1"/>
  <c r="N583" i="17"/>
  <c r="O583" i="17" s="1"/>
  <c r="N578" i="17"/>
  <c r="O578" i="17" s="1"/>
  <c r="N562" i="17"/>
  <c r="O562" i="17" s="1"/>
  <c r="N580" i="17"/>
  <c r="O580" i="17" s="1"/>
  <c r="N564" i="17"/>
  <c r="O564" i="17" s="1"/>
  <c r="N556" i="17"/>
  <c r="O556" i="17" s="1"/>
  <c r="N577" i="17"/>
  <c r="O577" i="17" s="1"/>
  <c r="N561" i="17"/>
  <c r="O561" i="17" s="1"/>
  <c r="N579" i="17"/>
  <c r="P579" i="17" s="1"/>
  <c r="N558" i="17"/>
  <c r="O558" i="17" s="1"/>
  <c r="N555" i="17"/>
  <c r="P555" i="17" s="1"/>
  <c r="N582" i="17"/>
  <c r="O582" i="17" s="1"/>
  <c r="N567" i="17"/>
  <c r="P567" i="17" s="1"/>
  <c r="N565" i="17"/>
  <c r="P565" i="17" s="1"/>
  <c r="N551" i="17"/>
  <c r="O551" i="17" s="1"/>
  <c r="N549" i="17"/>
  <c r="O549" i="17" s="1"/>
  <c r="N574" i="17"/>
  <c r="P574" i="17" s="1"/>
  <c r="N559" i="17"/>
  <c r="O559" i="17" s="1"/>
  <c r="N557" i="17"/>
  <c r="P557" i="17" s="1"/>
  <c r="N573" i="17"/>
  <c r="O573" i="17" s="1"/>
  <c r="N554" i="17"/>
  <c r="P554" i="17" s="1"/>
  <c r="N545" i="17"/>
  <c r="O545" i="17" s="1"/>
  <c r="L467" i="17"/>
  <c r="M467" i="17"/>
  <c r="S467" i="17"/>
  <c r="L468" i="17"/>
  <c r="M468" i="17"/>
  <c r="S468" i="17"/>
  <c r="L469" i="17"/>
  <c r="M469" i="17"/>
  <c r="S469" i="17"/>
  <c r="L470" i="17"/>
  <c r="M470" i="17"/>
  <c r="S470" i="17"/>
  <c r="L471" i="17"/>
  <c r="M471" i="17"/>
  <c r="S471" i="17"/>
  <c r="L472" i="17"/>
  <c r="M472" i="17"/>
  <c r="S472" i="17"/>
  <c r="L473" i="17"/>
  <c r="M473" i="17"/>
  <c r="S473" i="17"/>
  <c r="L474" i="17"/>
  <c r="M474" i="17"/>
  <c r="S474" i="17"/>
  <c r="L475" i="17"/>
  <c r="M475" i="17"/>
  <c r="S475" i="17"/>
  <c r="L476" i="17"/>
  <c r="M476" i="17"/>
  <c r="S476" i="17"/>
  <c r="L477" i="17"/>
  <c r="M477" i="17"/>
  <c r="S477" i="17"/>
  <c r="L478" i="17"/>
  <c r="M478" i="17"/>
  <c r="S478" i="17"/>
  <c r="L479" i="17"/>
  <c r="M479" i="17"/>
  <c r="S479" i="17"/>
  <c r="L480" i="17"/>
  <c r="M480" i="17"/>
  <c r="S480" i="17"/>
  <c r="L481" i="17"/>
  <c r="M481" i="17"/>
  <c r="S481" i="17"/>
  <c r="L482" i="17"/>
  <c r="M482" i="17"/>
  <c r="S482" i="17"/>
  <c r="L483" i="17"/>
  <c r="M483" i="17"/>
  <c r="S483" i="17"/>
  <c r="L484" i="17"/>
  <c r="M484" i="17"/>
  <c r="S484" i="17"/>
  <c r="L485" i="17"/>
  <c r="M485" i="17"/>
  <c r="S485" i="17"/>
  <c r="L486" i="17"/>
  <c r="M486" i="17"/>
  <c r="S486" i="17"/>
  <c r="L487" i="17"/>
  <c r="M487" i="17"/>
  <c r="S487" i="17"/>
  <c r="L488" i="17"/>
  <c r="M488" i="17"/>
  <c r="S488" i="17"/>
  <c r="L489" i="17"/>
  <c r="M489" i="17"/>
  <c r="S489" i="17"/>
  <c r="L490" i="17"/>
  <c r="M490" i="17"/>
  <c r="S490" i="17"/>
  <c r="L491" i="17"/>
  <c r="M491" i="17"/>
  <c r="S491" i="17"/>
  <c r="L492" i="17"/>
  <c r="M492" i="17"/>
  <c r="S492" i="17"/>
  <c r="L493" i="17"/>
  <c r="M493" i="17"/>
  <c r="S493" i="17"/>
  <c r="L494" i="17"/>
  <c r="M494" i="17"/>
  <c r="S494" i="17"/>
  <c r="L495" i="17"/>
  <c r="M495" i="17"/>
  <c r="S495" i="17"/>
  <c r="L496" i="17"/>
  <c r="M496" i="17"/>
  <c r="S496" i="17"/>
  <c r="L497" i="17"/>
  <c r="M497" i="17"/>
  <c r="S497" i="17"/>
  <c r="L498" i="17"/>
  <c r="M498" i="17"/>
  <c r="S498" i="17"/>
  <c r="L499" i="17"/>
  <c r="M499" i="17"/>
  <c r="S499" i="17"/>
  <c r="L500" i="17"/>
  <c r="M500" i="17"/>
  <c r="S500" i="17"/>
  <c r="L501" i="17"/>
  <c r="M501" i="17"/>
  <c r="S501" i="17"/>
  <c r="L502" i="17"/>
  <c r="M502" i="17"/>
  <c r="S502" i="17"/>
  <c r="L503" i="17"/>
  <c r="M503" i="17"/>
  <c r="S503" i="17"/>
  <c r="L504" i="17"/>
  <c r="M504" i="17"/>
  <c r="S504" i="17"/>
  <c r="L505" i="17"/>
  <c r="M505" i="17"/>
  <c r="S505" i="17"/>
  <c r="L506" i="17"/>
  <c r="M506" i="17"/>
  <c r="S506" i="17"/>
  <c r="L507" i="17"/>
  <c r="M507" i="17"/>
  <c r="S507" i="17"/>
  <c r="L508" i="17"/>
  <c r="M508" i="17"/>
  <c r="S508" i="17"/>
  <c r="L509" i="17"/>
  <c r="M509" i="17"/>
  <c r="S509" i="17"/>
  <c r="L510" i="17"/>
  <c r="M510" i="17"/>
  <c r="S510" i="17"/>
  <c r="L511" i="17"/>
  <c r="M511" i="17"/>
  <c r="S511" i="17"/>
  <c r="L512" i="17"/>
  <c r="M512" i="17"/>
  <c r="S512" i="17"/>
  <c r="L513" i="17"/>
  <c r="M513" i="17"/>
  <c r="S513" i="17"/>
  <c r="L514" i="17"/>
  <c r="M514" i="17"/>
  <c r="S514" i="17"/>
  <c r="L515" i="17"/>
  <c r="M515" i="17"/>
  <c r="S515" i="17"/>
  <c r="L516" i="17"/>
  <c r="M516" i="17"/>
  <c r="S516" i="17"/>
  <c r="L517" i="17"/>
  <c r="M517" i="17"/>
  <c r="S517" i="17"/>
  <c r="L518" i="17"/>
  <c r="M518" i="17"/>
  <c r="S518" i="17"/>
  <c r="L519" i="17"/>
  <c r="M519" i="17"/>
  <c r="S519" i="17"/>
  <c r="L520" i="17"/>
  <c r="M520" i="17"/>
  <c r="S520" i="17"/>
  <c r="L521" i="17"/>
  <c r="M521" i="17"/>
  <c r="S521" i="17"/>
  <c r="L522" i="17"/>
  <c r="M522" i="17"/>
  <c r="S522" i="17"/>
  <c r="L523" i="17"/>
  <c r="M523" i="17"/>
  <c r="S523" i="17"/>
  <c r="L524" i="17"/>
  <c r="M524" i="17"/>
  <c r="S524" i="17"/>
  <c r="L525" i="17"/>
  <c r="M525" i="17"/>
  <c r="S525" i="17"/>
  <c r="L526" i="17"/>
  <c r="M526" i="17"/>
  <c r="S526" i="17"/>
  <c r="L527" i="17"/>
  <c r="M527" i="17"/>
  <c r="S527" i="17"/>
  <c r="L528" i="17"/>
  <c r="M528" i="17"/>
  <c r="S528" i="17"/>
  <c r="L529" i="17"/>
  <c r="M529" i="17"/>
  <c r="S529" i="17"/>
  <c r="L530" i="17"/>
  <c r="M530" i="17"/>
  <c r="S530" i="17"/>
  <c r="L531" i="17"/>
  <c r="M531" i="17"/>
  <c r="S531" i="17"/>
  <c r="L532" i="17"/>
  <c r="M532" i="17"/>
  <c r="S532" i="17"/>
  <c r="L533" i="17"/>
  <c r="M533" i="17"/>
  <c r="S533" i="17"/>
  <c r="L534" i="17"/>
  <c r="M534" i="17"/>
  <c r="S534" i="17"/>
  <c r="L535" i="17"/>
  <c r="M535" i="17"/>
  <c r="S535" i="17"/>
  <c r="L536" i="17"/>
  <c r="M536" i="17"/>
  <c r="S536" i="17"/>
  <c r="L537" i="17"/>
  <c r="M537" i="17"/>
  <c r="S537" i="17"/>
  <c r="L538" i="17"/>
  <c r="M538" i="17"/>
  <c r="S538" i="17"/>
  <c r="L539" i="17"/>
  <c r="M539" i="17"/>
  <c r="S539" i="17"/>
  <c r="L540" i="17"/>
  <c r="M540" i="17"/>
  <c r="S540" i="17"/>
  <c r="L541" i="17"/>
  <c r="M541" i="17"/>
  <c r="S541" i="17"/>
  <c r="L542" i="17"/>
  <c r="M542" i="17"/>
  <c r="S542" i="17"/>
  <c r="L543" i="17"/>
  <c r="M543" i="17"/>
  <c r="S543" i="17"/>
  <c r="L544" i="17"/>
  <c r="M544" i="17"/>
  <c r="S544" i="17"/>
  <c r="B467" i="17"/>
  <c r="B468" i="17"/>
  <c r="B469" i="17"/>
  <c r="B470" i="17"/>
  <c r="B471" i="17"/>
  <c r="B472" i="17"/>
  <c r="B473" i="17"/>
  <c r="B474" i="17"/>
  <c r="B475" i="17"/>
  <c r="B476" i="17"/>
  <c r="B477" i="17"/>
  <c r="B478" i="17"/>
  <c r="B479" i="17"/>
  <c r="B480" i="17"/>
  <c r="B481" i="17"/>
  <c r="B482" i="17"/>
  <c r="B483" i="17"/>
  <c r="B484" i="17"/>
  <c r="B485" i="17"/>
  <c r="B486" i="17"/>
  <c r="B487" i="17"/>
  <c r="B488" i="17"/>
  <c r="B489" i="17"/>
  <c r="B490" i="17"/>
  <c r="B491" i="17"/>
  <c r="B492" i="17"/>
  <c r="B493" i="17"/>
  <c r="B494" i="17"/>
  <c r="B495" i="17"/>
  <c r="B496" i="17"/>
  <c r="B497" i="17"/>
  <c r="B498" i="17"/>
  <c r="B499" i="17"/>
  <c r="B500" i="17"/>
  <c r="B501" i="17"/>
  <c r="B502" i="17"/>
  <c r="B503" i="17"/>
  <c r="B504" i="17"/>
  <c r="B505" i="17"/>
  <c r="B506" i="17"/>
  <c r="B507" i="17"/>
  <c r="B508" i="17"/>
  <c r="B509" i="17"/>
  <c r="B510" i="17"/>
  <c r="B511" i="17"/>
  <c r="B512" i="17"/>
  <c r="B513" i="17"/>
  <c r="B514" i="17"/>
  <c r="B515" i="17"/>
  <c r="B516" i="17"/>
  <c r="B517" i="17"/>
  <c r="B518" i="17"/>
  <c r="B519" i="17"/>
  <c r="B520" i="17"/>
  <c r="B521" i="17"/>
  <c r="B522" i="17"/>
  <c r="B523" i="17"/>
  <c r="B524" i="17"/>
  <c r="B525" i="17"/>
  <c r="B526" i="17"/>
  <c r="B527" i="17"/>
  <c r="B528" i="17"/>
  <c r="B529" i="17"/>
  <c r="B530" i="17"/>
  <c r="B531" i="17"/>
  <c r="B532" i="17"/>
  <c r="B533" i="17"/>
  <c r="B534" i="17"/>
  <c r="B535" i="17"/>
  <c r="B536" i="17"/>
  <c r="B537" i="17"/>
  <c r="B538" i="17"/>
  <c r="B539" i="17"/>
  <c r="B540" i="17"/>
  <c r="B541" i="17"/>
  <c r="B542" i="17"/>
  <c r="B543" i="17"/>
  <c r="B544" i="17"/>
  <c r="BE97" i="10"/>
  <c r="BF97" i="10"/>
  <c r="Q19" i="3" s="1"/>
  <c r="BH97" i="10"/>
  <c r="Z19" i="3" s="1"/>
  <c r="BI97" i="10"/>
  <c r="W19" i="3" s="1"/>
  <c r="BJ97" i="10"/>
  <c r="U19" i="3" s="1"/>
  <c r="BK97" i="10"/>
  <c r="AB19" i="3" s="1"/>
  <c r="BL97" i="10"/>
  <c r="AD19" i="3" s="1"/>
  <c r="BM97" i="10"/>
  <c r="AI19" i="3" s="1"/>
  <c r="BN97" i="10"/>
  <c r="AK19" i="3" s="1"/>
  <c r="BO97" i="10"/>
  <c r="BP97" i="10"/>
  <c r="BS97" i="10"/>
  <c r="BT97" i="10" s="1"/>
  <c r="E19" i="9" s="1"/>
  <c r="BU97" i="10"/>
  <c r="M19" i="3" s="1"/>
  <c r="BE98" i="10"/>
  <c r="BF98" i="10"/>
  <c r="Q20" i="3" s="1"/>
  <c r="BH98" i="10"/>
  <c r="Z20" i="3" s="1"/>
  <c r="BI98" i="10"/>
  <c r="W20" i="3" s="1"/>
  <c r="BJ98" i="10"/>
  <c r="U20" i="3" s="1"/>
  <c r="BK98" i="10"/>
  <c r="AB20" i="3" s="1"/>
  <c r="BL98" i="10"/>
  <c r="AD20" i="3" s="1"/>
  <c r="BM98" i="10"/>
  <c r="AI20" i="3" s="1"/>
  <c r="BN98" i="10"/>
  <c r="AK20" i="3" s="1"/>
  <c r="BO98" i="10"/>
  <c r="BP98" i="10"/>
  <c r="BS98" i="10"/>
  <c r="BT98" i="10" s="1"/>
  <c r="E20" i="9" s="1"/>
  <c r="BU98" i="10"/>
  <c r="M20" i="3" s="1"/>
  <c r="BE99" i="10"/>
  <c r="BF99" i="10"/>
  <c r="Q23" i="3" s="1"/>
  <c r="BH99" i="10"/>
  <c r="Z23" i="3" s="1"/>
  <c r="BI99" i="10"/>
  <c r="W23" i="3" s="1"/>
  <c r="BJ99" i="10"/>
  <c r="U23" i="3" s="1"/>
  <c r="BK99" i="10"/>
  <c r="AB23" i="3" s="1"/>
  <c r="BL99" i="10"/>
  <c r="AD23" i="3" s="1"/>
  <c r="BM99" i="10"/>
  <c r="AI23" i="3" s="1"/>
  <c r="BN99" i="10"/>
  <c r="AK23" i="3" s="1"/>
  <c r="BO99" i="10"/>
  <c r="BP99" i="10"/>
  <c r="BS99" i="10"/>
  <c r="BT99" i="10" s="1"/>
  <c r="E23" i="9" s="1"/>
  <c r="BU99" i="10"/>
  <c r="M23" i="3" s="1"/>
  <c r="BE100" i="10"/>
  <c r="BF100" i="10"/>
  <c r="Q27" i="3" s="1"/>
  <c r="BH100" i="10"/>
  <c r="Z27" i="3" s="1"/>
  <c r="BI100" i="10"/>
  <c r="W27" i="3" s="1"/>
  <c r="BJ100" i="10"/>
  <c r="U27" i="3" s="1"/>
  <c r="BK100" i="10"/>
  <c r="AB27" i="3" s="1"/>
  <c r="BL100" i="10"/>
  <c r="AD27" i="3" s="1"/>
  <c r="BM100" i="10"/>
  <c r="AI27" i="3" s="1"/>
  <c r="BN100" i="10"/>
  <c r="AK27" i="3" s="1"/>
  <c r="BO100" i="10"/>
  <c r="BP100" i="10"/>
  <c r="BS100" i="10"/>
  <c r="BT100" i="10" s="1"/>
  <c r="E27" i="9" s="1"/>
  <c r="BU100" i="10"/>
  <c r="M27" i="3" s="1"/>
  <c r="BE101" i="10"/>
  <c r="BF101" i="10"/>
  <c r="Q32" i="3" s="1"/>
  <c r="BH101" i="10"/>
  <c r="Z32" i="3" s="1"/>
  <c r="BI101" i="10"/>
  <c r="W32" i="3" s="1"/>
  <c r="BJ101" i="10"/>
  <c r="U32" i="3" s="1"/>
  <c r="BK101" i="10"/>
  <c r="AB32" i="3" s="1"/>
  <c r="BL101" i="10"/>
  <c r="AD32" i="3" s="1"/>
  <c r="BM101" i="10"/>
  <c r="AI32" i="3" s="1"/>
  <c r="BN101" i="10"/>
  <c r="AK32" i="3" s="1"/>
  <c r="BO101" i="10"/>
  <c r="BP101" i="10"/>
  <c r="BS101" i="10"/>
  <c r="BT101" i="10" s="1"/>
  <c r="E32" i="9" s="1"/>
  <c r="BU101" i="10"/>
  <c r="M32" i="3" s="1"/>
  <c r="BE102" i="10"/>
  <c r="BF102" i="10"/>
  <c r="Q56" i="3" s="1"/>
  <c r="BH102" i="10"/>
  <c r="Z56" i="3" s="1"/>
  <c r="BI102" i="10"/>
  <c r="W56" i="3" s="1"/>
  <c r="BJ102" i="10"/>
  <c r="U56" i="3" s="1"/>
  <c r="BK102" i="10"/>
  <c r="AB56" i="3" s="1"/>
  <c r="BL102" i="10"/>
  <c r="AD56" i="3" s="1"/>
  <c r="BM102" i="10"/>
  <c r="AI56" i="3" s="1"/>
  <c r="BN102" i="10"/>
  <c r="AK56" i="3" s="1"/>
  <c r="BO102" i="10"/>
  <c r="BP102" i="10"/>
  <c r="BS102" i="10"/>
  <c r="BT102" i="10" s="1"/>
  <c r="E56" i="9" s="1"/>
  <c r="BU102" i="10"/>
  <c r="M56" i="3" s="1"/>
  <c r="Q62" i="3"/>
  <c r="Z62" i="3"/>
  <c r="W62" i="3"/>
  <c r="U62" i="3"/>
  <c r="AB62" i="3"/>
  <c r="AD62" i="3"/>
  <c r="AI62" i="3"/>
  <c r="AK62" i="3"/>
  <c r="M62" i="3"/>
  <c r="BE103" i="10"/>
  <c r="BF103" i="10"/>
  <c r="Q94" i="3" s="1"/>
  <c r="BH103" i="10"/>
  <c r="Z94" i="3" s="1"/>
  <c r="BI103" i="10"/>
  <c r="W94" i="3" s="1"/>
  <c r="BJ103" i="10"/>
  <c r="U94" i="3" s="1"/>
  <c r="BK103" i="10"/>
  <c r="AB94" i="3" s="1"/>
  <c r="BL103" i="10"/>
  <c r="AD94" i="3" s="1"/>
  <c r="BM103" i="10"/>
  <c r="AI94" i="3" s="1"/>
  <c r="BN103" i="10"/>
  <c r="AK94" i="3" s="1"/>
  <c r="BO103" i="10"/>
  <c r="BP103" i="10"/>
  <c r="BS103" i="10"/>
  <c r="BT103" i="10" s="1"/>
  <c r="E94" i="9" s="1"/>
  <c r="BU103" i="10"/>
  <c r="M94" i="3" s="1"/>
  <c r="BE104" i="10"/>
  <c r="BF104" i="10"/>
  <c r="Q137" i="3" s="1"/>
  <c r="BH104" i="10"/>
  <c r="Z137" i="3" s="1"/>
  <c r="BI104" i="10"/>
  <c r="W137" i="3" s="1"/>
  <c r="BJ104" i="10"/>
  <c r="U137" i="3" s="1"/>
  <c r="BK104" i="10"/>
  <c r="AB137" i="3" s="1"/>
  <c r="BL104" i="10"/>
  <c r="AD137" i="3" s="1"/>
  <c r="BM104" i="10"/>
  <c r="AI137" i="3" s="1"/>
  <c r="BN104" i="10"/>
  <c r="AK137" i="3" s="1"/>
  <c r="BO104" i="10"/>
  <c r="BP104" i="10"/>
  <c r="BS104" i="10"/>
  <c r="BT104" i="10" s="1"/>
  <c r="E137" i="9" s="1"/>
  <c r="BU104" i="10"/>
  <c r="M137" i="3" s="1"/>
  <c r="BE105" i="10"/>
  <c r="BF105" i="10"/>
  <c r="Q144" i="3" s="1"/>
  <c r="BH105" i="10"/>
  <c r="Z144" i="3" s="1"/>
  <c r="BI105" i="10"/>
  <c r="W144" i="3" s="1"/>
  <c r="BJ105" i="10"/>
  <c r="U144" i="3" s="1"/>
  <c r="BK105" i="10"/>
  <c r="AB144" i="3" s="1"/>
  <c r="BL105" i="10"/>
  <c r="AD144" i="3" s="1"/>
  <c r="BM105" i="10"/>
  <c r="AI144" i="3" s="1"/>
  <c r="BN105" i="10"/>
  <c r="AK144" i="3" s="1"/>
  <c r="BO105" i="10"/>
  <c r="BP105" i="10"/>
  <c r="BS105" i="10"/>
  <c r="BT105" i="10" s="1"/>
  <c r="E144" i="9" s="1"/>
  <c r="BU105" i="10"/>
  <c r="M144" i="3" s="1"/>
  <c r="BE106" i="10"/>
  <c r="BF106" i="10"/>
  <c r="Q151" i="3" s="1"/>
  <c r="BH106" i="10"/>
  <c r="Z151" i="3" s="1"/>
  <c r="BI106" i="10"/>
  <c r="W151" i="3" s="1"/>
  <c r="BJ106" i="10"/>
  <c r="U151" i="3" s="1"/>
  <c r="BK106" i="10"/>
  <c r="AB151" i="3" s="1"/>
  <c r="BL106" i="10"/>
  <c r="AD151" i="3" s="1"/>
  <c r="BM106" i="10"/>
  <c r="AI151" i="3" s="1"/>
  <c r="BN106" i="10"/>
  <c r="AK151" i="3" s="1"/>
  <c r="BO106" i="10"/>
  <c r="BP106" i="10"/>
  <c r="BS106" i="10"/>
  <c r="BT106" i="10" s="1"/>
  <c r="E151" i="9" s="1"/>
  <c r="BU106" i="10"/>
  <c r="M151" i="3" s="1"/>
  <c r="BE107" i="10"/>
  <c r="BF107" i="10"/>
  <c r="Q159" i="3" s="1"/>
  <c r="BH107" i="10"/>
  <c r="Z159" i="3" s="1"/>
  <c r="BI107" i="10"/>
  <c r="W159" i="3" s="1"/>
  <c r="BJ107" i="10"/>
  <c r="U159" i="3" s="1"/>
  <c r="BK107" i="10"/>
  <c r="AB159" i="3" s="1"/>
  <c r="BL107" i="10"/>
  <c r="AD159" i="3" s="1"/>
  <c r="BM107" i="10"/>
  <c r="AI159" i="3" s="1"/>
  <c r="BN107" i="10"/>
  <c r="AK159" i="3" s="1"/>
  <c r="BO107" i="10"/>
  <c r="BP107" i="10"/>
  <c r="BS107" i="10"/>
  <c r="BT107" i="10" s="1"/>
  <c r="E159" i="9" s="1"/>
  <c r="BU107" i="10"/>
  <c r="M159" i="3" s="1"/>
  <c r="BE108" i="10"/>
  <c r="BF108" i="10"/>
  <c r="Q168" i="3" s="1"/>
  <c r="BH108" i="10"/>
  <c r="Z168" i="3" s="1"/>
  <c r="BI108" i="10"/>
  <c r="W168" i="3" s="1"/>
  <c r="BJ108" i="10"/>
  <c r="U168" i="3" s="1"/>
  <c r="BK108" i="10"/>
  <c r="AB168" i="3" s="1"/>
  <c r="BL108" i="10"/>
  <c r="AD168" i="3" s="1"/>
  <c r="BM108" i="10"/>
  <c r="AI168" i="3" s="1"/>
  <c r="BN108" i="10"/>
  <c r="AK168" i="3" s="1"/>
  <c r="BO108" i="10"/>
  <c r="BP108" i="10"/>
  <c r="BS108" i="10"/>
  <c r="BT108" i="10" s="1"/>
  <c r="E168" i="9" s="1"/>
  <c r="BU108" i="10"/>
  <c r="M168" i="3" s="1"/>
  <c r="BE109" i="10"/>
  <c r="BF109" i="10"/>
  <c r="Q181" i="3" s="1"/>
  <c r="BH109" i="10"/>
  <c r="Z181" i="3" s="1"/>
  <c r="BI109" i="10"/>
  <c r="W181" i="3" s="1"/>
  <c r="BJ109" i="10"/>
  <c r="U181" i="3" s="1"/>
  <c r="BK109" i="10"/>
  <c r="AB181" i="3" s="1"/>
  <c r="BL109" i="10"/>
  <c r="AD181" i="3" s="1"/>
  <c r="BM109" i="10"/>
  <c r="AI181" i="3" s="1"/>
  <c r="BN109" i="10"/>
  <c r="AK181" i="3" s="1"/>
  <c r="BO109" i="10"/>
  <c r="BP109" i="10"/>
  <c r="BS109" i="10"/>
  <c r="BT109" i="10" s="1"/>
  <c r="E181" i="9" s="1"/>
  <c r="BU109" i="10"/>
  <c r="M181" i="3" s="1"/>
  <c r="BE110" i="10"/>
  <c r="BF110" i="10"/>
  <c r="Q185" i="3" s="1"/>
  <c r="BH110" i="10"/>
  <c r="Z185" i="3" s="1"/>
  <c r="BI110" i="10"/>
  <c r="W185" i="3" s="1"/>
  <c r="BJ110" i="10"/>
  <c r="U185" i="3" s="1"/>
  <c r="BK110" i="10"/>
  <c r="AB185" i="3" s="1"/>
  <c r="BL110" i="10"/>
  <c r="AD185" i="3" s="1"/>
  <c r="BM110" i="10"/>
  <c r="AI185" i="3" s="1"/>
  <c r="BN110" i="10"/>
  <c r="AK185" i="3" s="1"/>
  <c r="BO110" i="10"/>
  <c r="BP110" i="10"/>
  <c r="BS110" i="10"/>
  <c r="BT110" i="10" s="1"/>
  <c r="E185" i="9" s="1"/>
  <c r="BU110" i="10"/>
  <c r="M185" i="3" s="1"/>
  <c r="BE111" i="10"/>
  <c r="BF111" i="10"/>
  <c r="Q186" i="3" s="1"/>
  <c r="BH111" i="10"/>
  <c r="Z186" i="3" s="1"/>
  <c r="BI111" i="10"/>
  <c r="W186" i="3" s="1"/>
  <c r="BJ111" i="10"/>
  <c r="U186" i="3" s="1"/>
  <c r="BK111" i="10"/>
  <c r="AB186" i="3" s="1"/>
  <c r="BL111" i="10"/>
  <c r="AD186" i="3" s="1"/>
  <c r="BM111" i="10"/>
  <c r="AI186" i="3" s="1"/>
  <c r="BN111" i="10"/>
  <c r="AK186" i="3" s="1"/>
  <c r="BO111" i="10"/>
  <c r="BP111" i="10"/>
  <c r="BS111" i="10"/>
  <c r="BT111" i="10" s="1"/>
  <c r="E186" i="9" s="1"/>
  <c r="BU111" i="10"/>
  <c r="M186" i="3" s="1"/>
  <c r="Q187" i="3"/>
  <c r="Z187" i="3"/>
  <c r="W187" i="3"/>
  <c r="U187" i="3"/>
  <c r="AB187" i="3"/>
  <c r="AD187" i="3"/>
  <c r="AI187" i="3"/>
  <c r="AK187" i="3"/>
  <c r="M187" i="3"/>
  <c r="BE112" i="10"/>
  <c r="BF112" i="10"/>
  <c r="Q202" i="3" s="1"/>
  <c r="BH112" i="10"/>
  <c r="Z202" i="3" s="1"/>
  <c r="BI112" i="10"/>
  <c r="W202" i="3" s="1"/>
  <c r="BJ112" i="10"/>
  <c r="U202" i="3" s="1"/>
  <c r="BK112" i="10"/>
  <c r="AB202" i="3" s="1"/>
  <c r="BL112" i="10"/>
  <c r="AD202" i="3" s="1"/>
  <c r="BM112" i="10"/>
  <c r="AI202" i="3" s="1"/>
  <c r="BN112" i="10"/>
  <c r="AK202" i="3" s="1"/>
  <c r="BO112" i="10"/>
  <c r="BP112" i="10"/>
  <c r="BS112" i="10"/>
  <c r="BT112" i="10" s="1"/>
  <c r="E202" i="9" s="1"/>
  <c r="BU112" i="10"/>
  <c r="M202" i="3" s="1"/>
  <c r="Q206" i="3"/>
  <c r="Z206" i="3"/>
  <c r="W206" i="3"/>
  <c r="U206" i="3"/>
  <c r="AB206" i="3"/>
  <c r="AD206" i="3"/>
  <c r="AI206" i="3"/>
  <c r="AK206" i="3"/>
  <c r="M206" i="3"/>
  <c r="BE113" i="10"/>
  <c r="BF113" i="10"/>
  <c r="Q218" i="3" s="1"/>
  <c r="BH113" i="10"/>
  <c r="Z218" i="3" s="1"/>
  <c r="BI113" i="10"/>
  <c r="W218" i="3" s="1"/>
  <c r="BJ113" i="10"/>
  <c r="U218" i="3" s="1"/>
  <c r="BK113" i="10"/>
  <c r="AB218" i="3" s="1"/>
  <c r="BL113" i="10"/>
  <c r="AD218" i="3" s="1"/>
  <c r="BM113" i="10"/>
  <c r="AI218" i="3" s="1"/>
  <c r="BN113" i="10"/>
  <c r="AK218" i="3" s="1"/>
  <c r="BO113" i="10"/>
  <c r="BP113" i="10"/>
  <c r="BS113" i="10"/>
  <c r="BT113" i="10" s="1"/>
  <c r="E218" i="9" s="1"/>
  <c r="BU113" i="10"/>
  <c r="M218" i="3" s="1"/>
  <c r="BE114" i="10"/>
  <c r="BF114" i="10"/>
  <c r="Q220" i="3" s="1"/>
  <c r="BH114" i="10"/>
  <c r="Z220" i="3" s="1"/>
  <c r="BI114" i="10"/>
  <c r="W220" i="3" s="1"/>
  <c r="BJ114" i="10"/>
  <c r="U220" i="3" s="1"/>
  <c r="BK114" i="10"/>
  <c r="AB220" i="3" s="1"/>
  <c r="BL114" i="10"/>
  <c r="AD220" i="3" s="1"/>
  <c r="BM114" i="10"/>
  <c r="AI220" i="3" s="1"/>
  <c r="BN114" i="10"/>
  <c r="AK220" i="3" s="1"/>
  <c r="BO114" i="10"/>
  <c r="BP114" i="10"/>
  <c r="BS114" i="10"/>
  <c r="BT114" i="10" s="1"/>
  <c r="E220" i="9" s="1"/>
  <c r="BU114" i="10"/>
  <c r="M220" i="3" s="1"/>
  <c r="BE115" i="10"/>
  <c r="BF115" i="10"/>
  <c r="Q222" i="3" s="1"/>
  <c r="BH115" i="10"/>
  <c r="Z222" i="3" s="1"/>
  <c r="BI115" i="10"/>
  <c r="W222" i="3" s="1"/>
  <c r="BJ115" i="10"/>
  <c r="U222" i="3" s="1"/>
  <c r="BK115" i="10"/>
  <c r="AB222" i="3" s="1"/>
  <c r="BL115" i="10"/>
  <c r="AD222" i="3" s="1"/>
  <c r="BM115" i="10"/>
  <c r="AI222" i="3" s="1"/>
  <c r="BN115" i="10"/>
  <c r="AK222" i="3" s="1"/>
  <c r="BO115" i="10"/>
  <c r="BP115" i="10"/>
  <c r="BS115" i="10"/>
  <c r="BT115" i="10" s="1"/>
  <c r="E222" i="9" s="1"/>
  <c r="BU115" i="10"/>
  <c r="M222" i="3" s="1"/>
  <c r="BE116" i="10"/>
  <c r="BF116" i="10"/>
  <c r="Q230" i="3" s="1"/>
  <c r="BH116" i="10"/>
  <c r="Z230" i="3" s="1"/>
  <c r="BI116" i="10"/>
  <c r="W230" i="3" s="1"/>
  <c r="BJ116" i="10"/>
  <c r="U230" i="3" s="1"/>
  <c r="BK116" i="10"/>
  <c r="AB230" i="3" s="1"/>
  <c r="BL116" i="10"/>
  <c r="AD230" i="3" s="1"/>
  <c r="BM116" i="10"/>
  <c r="AI230" i="3" s="1"/>
  <c r="BN116" i="10"/>
  <c r="AK230" i="3" s="1"/>
  <c r="BO116" i="10"/>
  <c r="BP116" i="10"/>
  <c r="BS116" i="10"/>
  <c r="BT116" i="10" s="1"/>
  <c r="E230" i="9" s="1"/>
  <c r="BU116" i="10"/>
  <c r="M230" i="3" s="1"/>
  <c r="BE117" i="10"/>
  <c r="BF117" i="10"/>
  <c r="Q239" i="3" s="1"/>
  <c r="BH117" i="10"/>
  <c r="Z239" i="3" s="1"/>
  <c r="BI117" i="10"/>
  <c r="W239" i="3" s="1"/>
  <c r="BJ117" i="10"/>
  <c r="U239" i="3" s="1"/>
  <c r="BK117" i="10"/>
  <c r="AB239" i="3" s="1"/>
  <c r="BL117" i="10"/>
  <c r="AD239" i="3" s="1"/>
  <c r="BM117" i="10"/>
  <c r="AI239" i="3" s="1"/>
  <c r="BN117" i="10"/>
  <c r="AK239" i="3" s="1"/>
  <c r="BO117" i="10"/>
  <c r="BP117" i="10"/>
  <c r="BS117" i="10"/>
  <c r="BT117" i="10" s="1"/>
  <c r="E239" i="9" s="1"/>
  <c r="BU117" i="10"/>
  <c r="M239" i="3" s="1"/>
  <c r="BE118" i="10"/>
  <c r="BF118" i="10"/>
  <c r="Q248" i="3" s="1"/>
  <c r="BH118" i="10"/>
  <c r="Z248" i="3" s="1"/>
  <c r="BI118" i="10"/>
  <c r="W248" i="3" s="1"/>
  <c r="BJ118" i="10"/>
  <c r="U248" i="3" s="1"/>
  <c r="BK118" i="10"/>
  <c r="AB248" i="3" s="1"/>
  <c r="BL118" i="10"/>
  <c r="AD248" i="3" s="1"/>
  <c r="BM118" i="10"/>
  <c r="AI248" i="3" s="1"/>
  <c r="BN118" i="10"/>
  <c r="AK248" i="3" s="1"/>
  <c r="BO118" i="10"/>
  <c r="BP118" i="10"/>
  <c r="BS118" i="10"/>
  <c r="BT118" i="10" s="1"/>
  <c r="E248" i="9" s="1"/>
  <c r="BU118" i="10"/>
  <c r="M248" i="3" s="1"/>
  <c r="BE119" i="10"/>
  <c r="BF119" i="10"/>
  <c r="Q250" i="3" s="1"/>
  <c r="BH119" i="10"/>
  <c r="Z250" i="3" s="1"/>
  <c r="BI119" i="10"/>
  <c r="W250" i="3" s="1"/>
  <c r="BJ119" i="10"/>
  <c r="U250" i="3" s="1"/>
  <c r="BK119" i="10"/>
  <c r="AB250" i="3" s="1"/>
  <c r="BL119" i="10"/>
  <c r="AD250" i="3" s="1"/>
  <c r="BM119" i="10"/>
  <c r="AI250" i="3" s="1"/>
  <c r="BN119" i="10"/>
  <c r="AK250" i="3" s="1"/>
  <c r="BO119" i="10"/>
  <c r="BP119" i="10"/>
  <c r="BS119" i="10"/>
  <c r="BT119" i="10" s="1"/>
  <c r="E250" i="9" s="1"/>
  <c r="BU119" i="10"/>
  <c r="M250" i="3" s="1"/>
  <c r="BE120" i="10"/>
  <c r="BF120" i="10"/>
  <c r="Q251" i="3" s="1"/>
  <c r="BH120" i="10"/>
  <c r="Z251" i="3" s="1"/>
  <c r="BI120" i="10"/>
  <c r="W251" i="3" s="1"/>
  <c r="BJ120" i="10"/>
  <c r="U251" i="3" s="1"/>
  <c r="BK120" i="10"/>
  <c r="AB251" i="3" s="1"/>
  <c r="BL120" i="10"/>
  <c r="AD251" i="3" s="1"/>
  <c r="BM120" i="10"/>
  <c r="AI251" i="3" s="1"/>
  <c r="BN120" i="10"/>
  <c r="AK251" i="3" s="1"/>
  <c r="BO120" i="10"/>
  <c r="BP120" i="10"/>
  <c r="BS120" i="10"/>
  <c r="BT120" i="10" s="1"/>
  <c r="E251" i="9" s="1"/>
  <c r="BU120" i="10"/>
  <c r="M251" i="3" s="1"/>
  <c r="BE121" i="10"/>
  <c r="BF121" i="10"/>
  <c r="Q283" i="3" s="1"/>
  <c r="BH121" i="10"/>
  <c r="Z283" i="3" s="1"/>
  <c r="BI121" i="10"/>
  <c r="W283" i="3" s="1"/>
  <c r="BJ121" i="10"/>
  <c r="U283" i="3" s="1"/>
  <c r="BK121" i="10"/>
  <c r="AB283" i="3" s="1"/>
  <c r="BL121" i="10"/>
  <c r="AD283" i="3" s="1"/>
  <c r="BM121" i="10"/>
  <c r="AI283" i="3" s="1"/>
  <c r="BN121" i="10"/>
  <c r="AK283" i="3" s="1"/>
  <c r="BO121" i="10"/>
  <c r="BP121" i="10"/>
  <c r="BS121" i="10"/>
  <c r="BT121" i="10" s="1"/>
  <c r="E283" i="9" s="1"/>
  <c r="BU121" i="10"/>
  <c r="M283" i="3" s="1"/>
  <c r="O547" i="17" l="1"/>
  <c r="Q547" i="17" s="1"/>
  <c r="P548" i="17"/>
  <c r="Q548" i="17" s="1"/>
  <c r="P563" i="17"/>
  <c r="Q563" i="17" s="1"/>
  <c r="P569" i="17"/>
  <c r="Q569" i="17" s="1"/>
  <c r="O565" i="17"/>
  <c r="Q565" i="17" s="1"/>
  <c r="P566" i="17"/>
  <c r="Q566" i="17" s="1"/>
  <c r="P571" i="17"/>
  <c r="Q571" i="17" s="1"/>
  <c r="P546" i="17"/>
  <c r="Q546" i="17" s="1"/>
  <c r="P576" i="17"/>
  <c r="Q576" i="17" s="1"/>
  <c r="P584" i="17"/>
  <c r="Q584" i="17" s="1"/>
  <c r="P553" i="17"/>
  <c r="Q553" i="17" s="1"/>
  <c r="O574" i="17"/>
  <c r="Q574" i="17" s="1"/>
  <c r="O568" i="17"/>
  <c r="Q568" i="17" s="1"/>
  <c r="P570" i="17"/>
  <c r="Q570" i="17" s="1"/>
  <c r="P577" i="17"/>
  <c r="Q577" i="17" s="1"/>
  <c r="O560" i="17"/>
  <c r="Q560" i="17" s="1"/>
  <c r="P549" i="17"/>
  <c r="Q549" i="17" s="1"/>
  <c r="P550" i="17"/>
  <c r="Q550" i="17" s="1"/>
  <c r="P575" i="17"/>
  <c r="Q575" i="17" s="1"/>
  <c r="P552" i="17"/>
  <c r="Q552" i="17" s="1"/>
  <c r="P578" i="17"/>
  <c r="Q578" i="17" s="1"/>
  <c r="P585" i="17"/>
  <c r="Q585" i="17" s="1"/>
  <c r="O555" i="17"/>
  <c r="Q555" i="17" s="1"/>
  <c r="P562" i="17"/>
  <c r="Q562" i="17" s="1"/>
  <c r="P545" i="17"/>
  <c r="Q545" i="17" s="1"/>
  <c r="P556" i="17"/>
  <c r="Q556" i="17" s="1"/>
  <c r="P581" i="17"/>
  <c r="Q581" i="17" s="1"/>
  <c r="P572" i="17"/>
  <c r="Q572" i="17" s="1"/>
  <c r="O554" i="17"/>
  <c r="Q554" i="17" s="1"/>
  <c r="P561" i="17"/>
  <c r="Q561" i="17" s="1"/>
  <c r="P583" i="17"/>
  <c r="Q583" i="17" s="1"/>
  <c r="P551" i="17"/>
  <c r="Q551" i="17" s="1"/>
  <c r="O567" i="17"/>
  <c r="Q567" i="17" s="1"/>
  <c r="O557" i="17"/>
  <c r="Q557" i="17" s="1"/>
  <c r="P558" i="17"/>
  <c r="Q558" i="17" s="1"/>
  <c r="P573" i="17"/>
  <c r="Q573" i="17" s="1"/>
  <c r="O579" i="17"/>
  <c r="Q579" i="17" s="1"/>
  <c r="P580" i="17"/>
  <c r="Q580" i="17" s="1"/>
  <c r="P564" i="17"/>
  <c r="Q564" i="17" s="1"/>
  <c r="P559" i="17"/>
  <c r="Q559" i="17" s="1"/>
  <c r="P582" i="17"/>
  <c r="Q582" i="17" s="1"/>
  <c r="N493" i="17"/>
  <c r="O493" i="17" s="1"/>
  <c r="N470" i="17"/>
  <c r="O470" i="17" s="1"/>
  <c r="N469" i="17"/>
  <c r="O469" i="17" s="1"/>
  <c r="N525" i="17"/>
  <c r="O525" i="17" s="1"/>
  <c r="N514" i="17"/>
  <c r="P514" i="17" s="1"/>
  <c r="N498" i="17"/>
  <c r="O498" i="17" s="1"/>
  <c r="N537" i="17"/>
  <c r="P537" i="17" s="1"/>
  <c r="N529" i="17"/>
  <c r="P529" i="17" s="1"/>
  <c r="N516" i="17"/>
  <c r="P516" i="17" s="1"/>
  <c r="N510" i="17"/>
  <c r="P510" i="17" s="1"/>
  <c r="N502" i="17"/>
  <c r="P502" i="17" s="1"/>
  <c r="N486" i="17"/>
  <c r="P486" i="17" s="1"/>
  <c r="N471" i="17"/>
  <c r="P471" i="17" s="1"/>
  <c r="N479" i="17"/>
  <c r="O479" i="17" s="1"/>
  <c r="N544" i="17"/>
  <c r="O544" i="17" s="1"/>
  <c r="N467" i="17"/>
  <c r="O467" i="17" s="1"/>
  <c r="N489" i="17"/>
  <c r="O489" i="17" s="1"/>
  <c r="N474" i="17"/>
  <c r="O474" i="17" s="1"/>
  <c r="N543" i="17"/>
  <c r="P543" i="17" s="1"/>
  <c r="N518" i="17"/>
  <c r="O518" i="17" s="1"/>
  <c r="N484" i="17"/>
  <c r="O484" i="17" s="1"/>
  <c r="N481" i="17"/>
  <c r="O481" i="17" s="1"/>
  <c r="N542" i="17"/>
  <c r="P542" i="17" s="1"/>
  <c r="N541" i="17"/>
  <c r="P541" i="17" s="1"/>
  <c r="N509" i="17"/>
  <c r="O509" i="17" s="1"/>
  <c r="N495" i="17"/>
  <c r="P495" i="17" s="1"/>
  <c r="N499" i="17"/>
  <c r="O499" i="17" s="1"/>
  <c r="N521" i="17"/>
  <c r="P521" i="17" s="1"/>
  <c r="N520" i="17"/>
  <c r="O520" i="17" s="1"/>
  <c r="N501" i="17"/>
  <c r="O501" i="17" s="1"/>
  <c r="N491" i="17"/>
  <c r="O491" i="17" s="1"/>
  <c r="N468" i="17"/>
  <c r="O468" i="17" s="1"/>
  <c r="N535" i="17"/>
  <c r="O535" i="17" s="1"/>
  <c r="N527" i="17"/>
  <c r="P527" i="17" s="1"/>
  <c r="N508" i="17"/>
  <c r="O508" i="17" s="1"/>
  <c r="N500" i="17"/>
  <c r="P500" i="17" s="1"/>
  <c r="N487" i="17"/>
  <c r="P487" i="17" s="1"/>
  <c r="N540" i="17"/>
  <c r="O540" i="17" s="1"/>
  <c r="N532" i="17"/>
  <c r="O532" i="17" s="1"/>
  <c r="N519" i="17"/>
  <c r="O519" i="17" s="1"/>
  <c r="N513" i="17"/>
  <c r="O513" i="17" s="1"/>
  <c r="N505" i="17"/>
  <c r="O505" i="17" s="1"/>
  <c r="N538" i="17"/>
  <c r="O538" i="17" s="1"/>
  <c r="N536" i="17"/>
  <c r="O536" i="17" s="1"/>
  <c r="N533" i="17"/>
  <c r="O533" i="17" s="1"/>
  <c r="N528" i="17"/>
  <c r="O528" i="17" s="1"/>
  <c r="N478" i="17"/>
  <c r="O478" i="17" s="1"/>
  <c r="N522" i="17"/>
  <c r="P522" i="17" s="1"/>
  <c r="N515" i="17"/>
  <c r="P515" i="17" s="1"/>
  <c r="N497" i="17"/>
  <c r="O497" i="17" s="1"/>
  <c r="N492" i="17"/>
  <c r="O492" i="17" s="1"/>
  <c r="N475" i="17"/>
  <c r="P475" i="17" s="1"/>
  <c r="N524" i="17"/>
  <c r="O524" i="17" s="1"/>
  <c r="N517" i="17"/>
  <c r="P517" i="17" s="1"/>
  <c r="N494" i="17"/>
  <c r="P494" i="17" s="1"/>
  <c r="N485" i="17"/>
  <c r="O485" i="17" s="1"/>
  <c r="N511" i="17"/>
  <c r="P511" i="17" s="1"/>
  <c r="N506" i="17"/>
  <c r="P506" i="17" s="1"/>
  <c r="N482" i="17"/>
  <c r="O482" i="17" s="1"/>
  <c r="N531" i="17"/>
  <c r="P531" i="17" s="1"/>
  <c r="N504" i="17"/>
  <c r="O504" i="17" s="1"/>
  <c r="N473" i="17"/>
  <c r="O473" i="17" s="1"/>
  <c r="N477" i="17"/>
  <c r="O477" i="17" s="1"/>
  <c r="N539" i="17"/>
  <c r="O539" i="17" s="1"/>
  <c r="N526" i="17"/>
  <c r="P526" i="17" s="1"/>
  <c r="N512" i="17"/>
  <c r="O512" i="17" s="1"/>
  <c r="N488" i="17"/>
  <c r="O488" i="17" s="1"/>
  <c r="N530" i="17"/>
  <c r="P530" i="17" s="1"/>
  <c r="N503" i="17"/>
  <c r="O503" i="17" s="1"/>
  <c r="N490" i="17"/>
  <c r="O490" i="17" s="1"/>
  <c r="N483" i="17"/>
  <c r="O483" i="17" s="1"/>
  <c r="N472" i="17"/>
  <c r="P472" i="17" s="1"/>
  <c r="N534" i="17"/>
  <c r="P534" i="17" s="1"/>
  <c r="N507" i="17"/>
  <c r="O507" i="17" s="1"/>
  <c r="N480" i="17"/>
  <c r="O480" i="17" s="1"/>
  <c r="N476" i="17"/>
  <c r="O476" i="17" s="1"/>
  <c r="N523" i="17"/>
  <c r="O523" i="17" s="1"/>
  <c r="N496" i="17"/>
  <c r="O496" i="17" s="1"/>
  <c r="L461" i="17"/>
  <c r="M461" i="17"/>
  <c r="S461" i="17"/>
  <c r="L462" i="17"/>
  <c r="M462" i="17"/>
  <c r="S462" i="17"/>
  <c r="L463" i="17"/>
  <c r="M463" i="17"/>
  <c r="S463" i="17"/>
  <c r="L464" i="17"/>
  <c r="M464" i="17"/>
  <c r="S464" i="17"/>
  <c r="L465" i="17"/>
  <c r="M465" i="17"/>
  <c r="S465" i="17"/>
  <c r="L466" i="17"/>
  <c r="M466" i="17"/>
  <c r="S466" i="17"/>
  <c r="B461" i="17"/>
  <c r="B462" i="17"/>
  <c r="B463" i="17"/>
  <c r="B464" i="17"/>
  <c r="B465" i="17"/>
  <c r="B466" i="17"/>
  <c r="O514" i="17" l="1"/>
  <c r="Q514" i="17" s="1"/>
  <c r="P469" i="17"/>
  <c r="Q469" i="17" s="1"/>
  <c r="P493" i="17"/>
  <c r="Q493" i="17" s="1"/>
  <c r="P470" i="17"/>
  <c r="Q470" i="17" s="1"/>
  <c r="O471" i="17"/>
  <c r="Q471" i="17" s="1"/>
  <c r="P498" i="17"/>
  <c r="Q498" i="17" s="1"/>
  <c r="P525" i="17"/>
  <c r="Q525" i="17" s="1"/>
  <c r="P479" i="17"/>
  <c r="Q479" i="17" s="1"/>
  <c r="O529" i="17"/>
  <c r="Q529" i="17" s="1"/>
  <c r="P544" i="17"/>
  <c r="Q544" i="17" s="1"/>
  <c r="O537" i="17"/>
  <c r="Q537" i="17" s="1"/>
  <c r="P539" i="17"/>
  <c r="Q539" i="17" s="1"/>
  <c r="O521" i="17"/>
  <c r="Q521" i="17" s="1"/>
  <c r="P536" i="17"/>
  <c r="Q536" i="17" s="1"/>
  <c r="O530" i="17"/>
  <c r="Q530" i="17" s="1"/>
  <c r="O502" i="17"/>
  <c r="Q502" i="17" s="1"/>
  <c r="P467" i="17"/>
  <c r="Q467" i="17" s="1"/>
  <c r="O517" i="17"/>
  <c r="Q517" i="17" s="1"/>
  <c r="P468" i="17"/>
  <c r="Q468" i="17" s="1"/>
  <c r="P474" i="17"/>
  <c r="Q474" i="17" s="1"/>
  <c r="O486" i="17"/>
  <c r="Q486" i="17" s="1"/>
  <c r="P538" i="17"/>
  <c r="Q538" i="17" s="1"/>
  <c r="O516" i="17"/>
  <c r="Q516" i="17" s="1"/>
  <c r="O487" i="17"/>
  <c r="Q487" i="17" s="1"/>
  <c r="O515" i="17"/>
  <c r="Q515" i="17" s="1"/>
  <c r="O510" i="17"/>
  <c r="Q510" i="17" s="1"/>
  <c r="O543" i="17"/>
  <c r="Q543" i="17" s="1"/>
  <c r="P540" i="17"/>
  <c r="Q540" i="17" s="1"/>
  <c r="P535" i="17"/>
  <c r="Q535" i="17" s="1"/>
  <c r="P519" i="17"/>
  <c r="Q519" i="17" s="1"/>
  <c r="P481" i="17"/>
  <c r="Q481" i="17" s="1"/>
  <c r="P518" i="17"/>
  <c r="Q518" i="17" s="1"/>
  <c r="P501" i="17"/>
  <c r="Q501" i="17" s="1"/>
  <c r="P524" i="17"/>
  <c r="Q524" i="17" s="1"/>
  <c r="P520" i="17"/>
  <c r="Q520" i="17" s="1"/>
  <c r="P528" i="17"/>
  <c r="Q528" i="17" s="1"/>
  <c r="P507" i="17"/>
  <c r="Q507" i="17" s="1"/>
  <c r="P508" i="17"/>
  <c r="Q508" i="17" s="1"/>
  <c r="P489" i="17"/>
  <c r="Q489" i="17" s="1"/>
  <c r="O511" i="17"/>
  <c r="Q511" i="17" s="1"/>
  <c r="P533" i="17"/>
  <c r="Q533" i="17" s="1"/>
  <c r="P509" i="17"/>
  <c r="Q509" i="17" s="1"/>
  <c r="P497" i="17"/>
  <c r="Q497" i="17" s="1"/>
  <c r="O475" i="17"/>
  <c r="Q475" i="17" s="1"/>
  <c r="O522" i="17"/>
  <c r="Q522" i="17" s="1"/>
  <c r="P478" i="17"/>
  <c r="Q478" i="17" s="1"/>
  <c r="O534" i="17"/>
  <c r="Q534" i="17" s="1"/>
  <c r="O542" i="17"/>
  <c r="Q542" i="17" s="1"/>
  <c r="O527" i="17"/>
  <c r="Q527" i="17" s="1"/>
  <c r="O541" i="17"/>
  <c r="Q541" i="17" s="1"/>
  <c r="P484" i="17"/>
  <c r="Q484" i="17" s="1"/>
  <c r="O500" i="17"/>
  <c r="Q500" i="17" s="1"/>
  <c r="O506" i="17"/>
  <c r="Q506" i="17" s="1"/>
  <c r="P523" i="17"/>
  <c r="Q523" i="17" s="1"/>
  <c r="O526" i="17"/>
  <c r="Q526" i="17" s="1"/>
  <c r="P491" i="17"/>
  <c r="Q491" i="17" s="1"/>
  <c r="O495" i="17"/>
  <c r="Q495" i="17" s="1"/>
  <c r="P513" i="17"/>
  <c r="Q513" i="17" s="1"/>
  <c r="P504" i="17"/>
  <c r="Q504" i="17" s="1"/>
  <c r="P482" i="17"/>
  <c r="Q482" i="17" s="1"/>
  <c r="P532" i="17"/>
  <c r="Q532" i="17" s="1"/>
  <c r="P503" i="17"/>
  <c r="Q503" i="17" s="1"/>
  <c r="P476" i="17"/>
  <c r="Q476" i="17" s="1"/>
  <c r="P505" i="17"/>
  <c r="Q505" i="17" s="1"/>
  <c r="P499" i="17"/>
  <c r="Q499" i="17" s="1"/>
  <c r="P512" i="17"/>
  <c r="Q512" i="17" s="1"/>
  <c r="P477" i="17"/>
  <c r="Q477" i="17" s="1"/>
  <c r="O494" i="17"/>
  <c r="Q494" i="17" s="1"/>
  <c r="P485" i="17"/>
  <c r="Q485" i="17" s="1"/>
  <c r="O531" i="17"/>
  <c r="Q531" i="17" s="1"/>
  <c r="P490" i="17"/>
  <c r="Q490" i="17" s="1"/>
  <c r="P496" i="17"/>
  <c r="Q496" i="17" s="1"/>
  <c r="P480" i="17"/>
  <c r="Q480" i="17" s="1"/>
  <c r="P492" i="17"/>
  <c r="Q492" i="17" s="1"/>
  <c r="P488" i="17"/>
  <c r="Q488" i="17" s="1"/>
  <c r="P473" i="17"/>
  <c r="Q473" i="17" s="1"/>
  <c r="O472" i="17"/>
  <c r="Q472" i="17" s="1"/>
  <c r="P483" i="17"/>
  <c r="Q483" i="17" s="1"/>
  <c r="N464" i="17"/>
  <c r="O464" i="17" s="1"/>
  <c r="N461" i="17"/>
  <c r="P461" i="17" s="1"/>
  <c r="N463" i="17"/>
  <c r="O463" i="17" s="1"/>
  <c r="N465" i="17"/>
  <c r="P465" i="17" s="1"/>
  <c r="N462" i="17"/>
  <c r="O462" i="17" s="1"/>
  <c r="N466" i="17"/>
  <c r="O466" i="17" s="1"/>
  <c r="BE96" i="10"/>
  <c r="BF96" i="10"/>
  <c r="Q249" i="3" s="1"/>
  <c r="BH96" i="10"/>
  <c r="Z249" i="3" s="1"/>
  <c r="BI96" i="10"/>
  <c r="W249" i="3" s="1"/>
  <c r="BJ96" i="10"/>
  <c r="U249" i="3" s="1"/>
  <c r="BK96" i="10"/>
  <c r="AB249" i="3" s="1"/>
  <c r="BL96" i="10"/>
  <c r="AD249" i="3" s="1"/>
  <c r="BM96" i="10"/>
  <c r="AI249" i="3" s="1"/>
  <c r="BN96" i="10"/>
  <c r="AK249" i="3" s="1"/>
  <c r="BO96" i="10"/>
  <c r="BP96" i="10"/>
  <c r="BS96" i="10"/>
  <c r="BT96" i="10" s="1"/>
  <c r="E249" i="9" s="1"/>
  <c r="BU96" i="10"/>
  <c r="M249" i="3" s="1"/>
  <c r="P464" i="17" l="1"/>
  <c r="Q464" i="17" s="1"/>
  <c r="P463" i="17"/>
  <c r="Q463" i="17" s="1"/>
  <c r="O465" i="17"/>
  <c r="Q465" i="17" s="1"/>
  <c r="O461" i="17"/>
  <c r="Q461" i="17" s="1"/>
  <c r="P466" i="17"/>
  <c r="Q466" i="17" s="1"/>
  <c r="P462" i="17"/>
  <c r="Q462" i="17" s="1"/>
  <c r="L381" i="17"/>
  <c r="M381" i="17"/>
  <c r="S381" i="17"/>
  <c r="L382" i="17"/>
  <c r="M382" i="17"/>
  <c r="S382" i="17"/>
  <c r="L383" i="17"/>
  <c r="M383" i="17"/>
  <c r="S383" i="17"/>
  <c r="L384" i="17"/>
  <c r="M384" i="17"/>
  <c r="S384" i="17"/>
  <c r="L385" i="17"/>
  <c r="M385" i="17"/>
  <c r="S385" i="17"/>
  <c r="L386" i="17"/>
  <c r="M386" i="17"/>
  <c r="S386" i="17"/>
  <c r="L387" i="17"/>
  <c r="M387" i="17"/>
  <c r="S387" i="17"/>
  <c r="L388" i="17"/>
  <c r="M388" i="17"/>
  <c r="S388" i="17"/>
  <c r="L389" i="17"/>
  <c r="M389" i="17"/>
  <c r="S389" i="17"/>
  <c r="L390" i="17"/>
  <c r="M390" i="17"/>
  <c r="S390" i="17"/>
  <c r="L391" i="17"/>
  <c r="M391" i="17"/>
  <c r="S391" i="17"/>
  <c r="L392" i="17"/>
  <c r="M392" i="17"/>
  <c r="S392" i="17"/>
  <c r="L393" i="17"/>
  <c r="M393" i="17"/>
  <c r="S393" i="17"/>
  <c r="L394" i="17"/>
  <c r="M394" i="17"/>
  <c r="S394" i="17"/>
  <c r="L395" i="17"/>
  <c r="M395" i="17"/>
  <c r="S395" i="17"/>
  <c r="L396" i="17"/>
  <c r="M396" i="17"/>
  <c r="S396" i="17"/>
  <c r="L397" i="17"/>
  <c r="M397" i="17"/>
  <c r="S397" i="17"/>
  <c r="L398" i="17"/>
  <c r="M398" i="17"/>
  <c r="S398" i="17"/>
  <c r="L399" i="17"/>
  <c r="M399" i="17"/>
  <c r="S399" i="17"/>
  <c r="L400" i="17"/>
  <c r="M400" i="17"/>
  <c r="S400" i="17"/>
  <c r="L401" i="17"/>
  <c r="M401" i="17"/>
  <c r="S401" i="17"/>
  <c r="L402" i="17"/>
  <c r="M402" i="17"/>
  <c r="S402" i="17"/>
  <c r="L403" i="17"/>
  <c r="M403" i="17"/>
  <c r="S403" i="17"/>
  <c r="L404" i="17"/>
  <c r="M404" i="17"/>
  <c r="S404" i="17"/>
  <c r="L405" i="17"/>
  <c r="M405" i="17"/>
  <c r="S405" i="17"/>
  <c r="L406" i="17"/>
  <c r="M406" i="17"/>
  <c r="S406" i="17"/>
  <c r="L407" i="17"/>
  <c r="M407" i="17"/>
  <c r="S407" i="17"/>
  <c r="L408" i="17"/>
  <c r="M408" i="17"/>
  <c r="S408" i="17"/>
  <c r="L409" i="17"/>
  <c r="M409" i="17"/>
  <c r="S409" i="17"/>
  <c r="L410" i="17"/>
  <c r="M410" i="17"/>
  <c r="S410" i="17"/>
  <c r="L411" i="17"/>
  <c r="M411" i="17"/>
  <c r="S411" i="17"/>
  <c r="L412" i="17"/>
  <c r="M412" i="17"/>
  <c r="S412" i="17"/>
  <c r="L413" i="17"/>
  <c r="M413" i="17"/>
  <c r="S413" i="17"/>
  <c r="L414" i="17"/>
  <c r="M414" i="17"/>
  <c r="S414" i="17"/>
  <c r="L415" i="17"/>
  <c r="M415" i="17"/>
  <c r="S415" i="17"/>
  <c r="L416" i="17"/>
  <c r="M416" i="17"/>
  <c r="S416" i="17"/>
  <c r="L417" i="17"/>
  <c r="M417" i="17"/>
  <c r="S417" i="17"/>
  <c r="L418" i="17"/>
  <c r="M418" i="17"/>
  <c r="S418" i="17"/>
  <c r="L419" i="17"/>
  <c r="M419" i="17"/>
  <c r="S419" i="17"/>
  <c r="L420" i="17"/>
  <c r="M420" i="17"/>
  <c r="S420" i="17"/>
  <c r="L421" i="17"/>
  <c r="M421" i="17"/>
  <c r="S421" i="17"/>
  <c r="L422" i="17"/>
  <c r="M422" i="17"/>
  <c r="S422" i="17"/>
  <c r="L423" i="17"/>
  <c r="M423" i="17"/>
  <c r="S423" i="17"/>
  <c r="L424" i="17"/>
  <c r="M424" i="17"/>
  <c r="S424" i="17"/>
  <c r="L425" i="17"/>
  <c r="M425" i="17"/>
  <c r="S425" i="17"/>
  <c r="L426" i="17"/>
  <c r="M426" i="17"/>
  <c r="S426" i="17"/>
  <c r="L427" i="17"/>
  <c r="M427" i="17"/>
  <c r="S427" i="17"/>
  <c r="L428" i="17"/>
  <c r="M428" i="17"/>
  <c r="S428" i="17"/>
  <c r="L429" i="17"/>
  <c r="M429" i="17"/>
  <c r="S429" i="17"/>
  <c r="L430" i="17"/>
  <c r="M430" i="17"/>
  <c r="S430" i="17"/>
  <c r="L431" i="17"/>
  <c r="M431" i="17"/>
  <c r="S431" i="17"/>
  <c r="L432" i="17"/>
  <c r="M432" i="17"/>
  <c r="S432" i="17"/>
  <c r="L433" i="17"/>
  <c r="M433" i="17"/>
  <c r="S433" i="17"/>
  <c r="L434" i="17"/>
  <c r="M434" i="17"/>
  <c r="S434" i="17"/>
  <c r="L435" i="17"/>
  <c r="M435" i="17"/>
  <c r="S435" i="17"/>
  <c r="L436" i="17"/>
  <c r="M436" i="17"/>
  <c r="S436" i="17"/>
  <c r="L437" i="17"/>
  <c r="M437" i="17"/>
  <c r="S437" i="17"/>
  <c r="L438" i="17"/>
  <c r="M438" i="17"/>
  <c r="S438" i="17"/>
  <c r="L439" i="17"/>
  <c r="M439" i="17"/>
  <c r="S439" i="17"/>
  <c r="L440" i="17"/>
  <c r="M440" i="17"/>
  <c r="S440" i="17"/>
  <c r="L441" i="17"/>
  <c r="M441" i="17"/>
  <c r="S441" i="17"/>
  <c r="L442" i="17"/>
  <c r="M442" i="17"/>
  <c r="S442" i="17"/>
  <c r="L443" i="17"/>
  <c r="M443" i="17"/>
  <c r="S443" i="17"/>
  <c r="L444" i="17"/>
  <c r="M444" i="17"/>
  <c r="S444" i="17"/>
  <c r="L445" i="17"/>
  <c r="M445" i="17"/>
  <c r="S445" i="17"/>
  <c r="L446" i="17"/>
  <c r="M446" i="17"/>
  <c r="S446" i="17"/>
  <c r="L447" i="17"/>
  <c r="M447" i="17"/>
  <c r="S447" i="17"/>
  <c r="L448" i="17"/>
  <c r="M448" i="17"/>
  <c r="S448" i="17"/>
  <c r="L449" i="17"/>
  <c r="M449" i="17"/>
  <c r="S449" i="17"/>
  <c r="L450" i="17"/>
  <c r="M450" i="17"/>
  <c r="S450" i="17"/>
  <c r="L451" i="17"/>
  <c r="M451" i="17"/>
  <c r="S451" i="17"/>
  <c r="L452" i="17"/>
  <c r="M452" i="17"/>
  <c r="S452" i="17"/>
  <c r="L453" i="17"/>
  <c r="M453" i="17"/>
  <c r="S453" i="17"/>
  <c r="L454" i="17"/>
  <c r="M454" i="17"/>
  <c r="S454" i="17"/>
  <c r="L455" i="17"/>
  <c r="M455" i="17"/>
  <c r="S455" i="17"/>
  <c r="L456" i="17"/>
  <c r="M456" i="17"/>
  <c r="S456" i="17"/>
  <c r="L457" i="17"/>
  <c r="M457" i="17"/>
  <c r="S457" i="17"/>
  <c r="L458" i="17"/>
  <c r="M458" i="17"/>
  <c r="S458" i="17"/>
  <c r="L459" i="17"/>
  <c r="M459" i="17"/>
  <c r="S459" i="17"/>
  <c r="L460" i="17"/>
  <c r="M460" i="17"/>
  <c r="S460" i="17"/>
  <c r="B383" i="17"/>
  <c r="B384" i="17"/>
  <c r="B385" i="17"/>
  <c r="B386" i="17"/>
  <c r="B387" i="17"/>
  <c r="B388" i="17"/>
  <c r="B389" i="17"/>
  <c r="B390" i="17"/>
  <c r="B391" i="17"/>
  <c r="B392" i="17"/>
  <c r="B393" i="17"/>
  <c r="B394" i="17"/>
  <c r="B395" i="17"/>
  <c r="B396" i="17"/>
  <c r="B397" i="17"/>
  <c r="B398" i="17"/>
  <c r="B399" i="17"/>
  <c r="B400" i="17"/>
  <c r="B401" i="17"/>
  <c r="B402" i="17"/>
  <c r="B403" i="17"/>
  <c r="B404" i="17"/>
  <c r="B405" i="17"/>
  <c r="B406" i="17"/>
  <c r="B407" i="17"/>
  <c r="B408" i="17"/>
  <c r="B409" i="17"/>
  <c r="B410" i="17"/>
  <c r="B411" i="17"/>
  <c r="B412" i="17"/>
  <c r="B413" i="17"/>
  <c r="B414" i="17"/>
  <c r="B415" i="17"/>
  <c r="B416" i="17"/>
  <c r="B417" i="17"/>
  <c r="B418" i="17"/>
  <c r="B419" i="17"/>
  <c r="B420" i="17"/>
  <c r="B421" i="17"/>
  <c r="B422" i="17"/>
  <c r="B423" i="17"/>
  <c r="B424" i="17"/>
  <c r="B425" i="17"/>
  <c r="B426" i="17"/>
  <c r="B427" i="17"/>
  <c r="B428" i="17"/>
  <c r="B429" i="17"/>
  <c r="B430" i="17"/>
  <c r="B431" i="17"/>
  <c r="B432" i="17"/>
  <c r="B433" i="17"/>
  <c r="B434" i="17"/>
  <c r="B435" i="17"/>
  <c r="B436" i="17"/>
  <c r="B437" i="17"/>
  <c r="B438" i="17"/>
  <c r="B439" i="17"/>
  <c r="B440" i="17"/>
  <c r="B441" i="17"/>
  <c r="B442" i="17"/>
  <c r="B443" i="17"/>
  <c r="B444" i="17"/>
  <c r="B445" i="17"/>
  <c r="B446" i="17"/>
  <c r="B447" i="17"/>
  <c r="B448" i="17"/>
  <c r="B449" i="17"/>
  <c r="B450" i="17"/>
  <c r="B451" i="17"/>
  <c r="B452" i="17"/>
  <c r="B453" i="17"/>
  <c r="B454" i="17"/>
  <c r="B455" i="17"/>
  <c r="B456" i="17"/>
  <c r="B457" i="17"/>
  <c r="B458" i="17"/>
  <c r="B459" i="17"/>
  <c r="B460" i="17"/>
  <c r="BE86" i="10"/>
  <c r="BF86" i="10"/>
  <c r="Q15" i="3" s="1"/>
  <c r="BH86" i="10"/>
  <c r="Z15" i="3" s="1"/>
  <c r="BI86" i="10"/>
  <c r="W15" i="3" s="1"/>
  <c r="BJ86" i="10"/>
  <c r="U15" i="3" s="1"/>
  <c r="BK86" i="10"/>
  <c r="AB15" i="3" s="1"/>
  <c r="BL86" i="10"/>
  <c r="AD15" i="3" s="1"/>
  <c r="BM86" i="10"/>
  <c r="AI15" i="3" s="1"/>
  <c r="BN86" i="10"/>
  <c r="AK15" i="3" s="1"/>
  <c r="BO86" i="10"/>
  <c r="BP86" i="10"/>
  <c r="BS86" i="10"/>
  <c r="BT86" i="10" s="1"/>
  <c r="E15" i="9" s="1"/>
  <c r="BU86" i="10"/>
  <c r="M15" i="3" s="1"/>
  <c r="BE87" i="10"/>
  <c r="BF87" i="10"/>
  <c r="Q70" i="3" s="1"/>
  <c r="BH87" i="10"/>
  <c r="Z70" i="3" s="1"/>
  <c r="BI87" i="10"/>
  <c r="W70" i="3" s="1"/>
  <c r="BJ87" i="10"/>
  <c r="U70" i="3" s="1"/>
  <c r="BK87" i="10"/>
  <c r="AB70" i="3" s="1"/>
  <c r="BL87" i="10"/>
  <c r="AD70" i="3" s="1"/>
  <c r="BM87" i="10"/>
  <c r="AI70" i="3" s="1"/>
  <c r="BN87" i="10"/>
  <c r="AK70" i="3" s="1"/>
  <c r="BO87" i="10"/>
  <c r="BP87" i="10"/>
  <c r="BS87" i="10"/>
  <c r="BT87" i="10" s="1"/>
  <c r="E70" i="9" s="1"/>
  <c r="BU87" i="10"/>
  <c r="M70" i="3" s="1"/>
  <c r="BE88" i="10"/>
  <c r="BF88" i="10"/>
  <c r="Q84" i="3" s="1"/>
  <c r="BH88" i="10"/>
  <c r="Z84" i="3" s="1"/>
  <c r="BI88" i="10"/>
  <c r="W84" i="3" s="1"/>
  <c r="BJ88" i="10"/>
  <c r="U84" i="3" s="1"/>
  <c r="BK88" i="10"/>
  <c r="AB84" i="3" s="1"/>
  <c r="BL88" i="10"/>
  <c r="AD84" i="3" s="1"/>
  <c r="BM88" i="10"/>
  <c r="AI84" i="3" s="1"/>
  <c r="BN88" i="10"/>
  <c r="AK84" i="3" s="1"/>
  <c r="BO88" i="10"/>
  <c r="BP88" i="10"/>
  <c r="BS88" i="10"/>
  <c r="BT88" i="10" s="1"/>
  <c r="E84" i="9" s="1"/>
  <c r="BU88" i="10"/>
  <c r="M84" i="3" s="1"/>
  <c r="BE89" i="10"/>
  <c r="BF89" i="10"/>
  <c r="Q119" i="3" s="1"/>
  <c r="BH89" i="10"/>
  <c r="Z119" i="3" s="1"/>
  <c r="BI89" i="10"/>
  <c r="W119" i="3" s="1"/>
  <c r="BJ89" i="10"/>
  <c r="U119" i="3" s="1"/>
  <c r="BK89" i="10"/>
  <c r="AB119" i="3" s="1"/>
  <c r="BL89" i="10"/>
  <c r="AD119" i="3" s="1"/>
  <c r="BM89" i="10"/>
  <c r="AI119" i="3" s="1"/>
  <c r="BN89" i="10"/>
  <c r="AK119" i="3" s="1"/>
  <c r="BO89" i="10"/>
  <c r="BP89" i="10"/>
  <c r="BS89" i="10"/>
  <c r="BT89" i="10" s="1"/>
  <c r="E119" i="9" s="1"/>
  <c r="BU89" i="10"/>
  <c r="M119" i="3" s="1"/>
  <c r="BE90" i="10"/>
  <c r="BF90" i="10"/>
  <c r="Q120" i="3" s="1"/>
  <c r="BH90" i="10"/>
  <c r="Z120" i="3" s="1"/>
  <c r="BI90" i="10"/>
  <c r="W120" i="3" s="1"/>
  <c r="BJ90" i="10"/>
  <c r="U120" i="3" s="1"/>
  <c r="BK90" i="10"/>
  <c r="AB120" i="3" s="1"/>
  <c r="BL90" i="10"/>
  <c r="AD120" i="3" s="1"/>
  <c r="BM90" i="10"/>
  <c r="AI120" i="3" s="1"/>
  <c r="BN90" i="10"/>
  <c r="AK120" i="3" s="1"/>
  <c r="BO90" i="10"/>
  <c r="BP90" i="10"/>
  <c r="BS90" i="10"/>
  <c r="BT90" i="10" s="1"/>
  <c r="E120" i="9" s="1"/>
  <c r="BU90" i="10"/>
  <c r="M120" i="3" s="1"/>
  <c r="BE91" i="10"/>
  <c r="BF91" i="10"/>
  <c r="Q163" i="3" s="1"/>
  <c r="BH91" i="10"/>
  <c r="Z163" i="3" s="1"/>
  <c r="BI91" i="10"/>
  <c r="W163" i="3" s="1"/>
  <c r="BJ91" i="10"/>
  <c r="U163" i="3" s="1"/>
  <c r="BK91" i="10"/>
  <c r="AB163" i="3" s="1"/>
  <c r="BL91" i="10"/>
  <c r="AD163" i="3" s="1"/>
  <c r="BM91" i="10"/>
  <c r="AI163" i="3" s="1"/>
  <c r="BN91" i="10"/>
  <c r="AK163" i="3" s="1"/>
  <c r="BO91" i="10"/>
  <c r="BP91" i="10"/>
  <c r="BS91" i="10"/>
  <c r="BT91" i="10" s="1"/>
  <c r="E163" i="9" s="1"/>
  <c r="BU91" i="10"/>
  <c r="M163" i="3" s="1"/>
  <c r="BE92" i="10"/>
  <c r="BF92" i="10"/>
  <c r="Q183" i="3" s="1"/>
  <c r="BH92" i="10"/>
  <c r="Z183" i="3" s="1"/>
  <c r="BI92" i="10"/>
  <c r="W183" i="3" s="1"/>
  <c r="BJ92" i="10"/>
  <c r="U183" i="3" s="1"/>
  <c r="BK92" i="10"/>
  <c r="AB183" i="3" s="1"/>
  <c r="BL92" i="10"/>
  <c r="AD183" i="3" s="1"/>
  <c r="BM92" i="10"/>
  <c r="AI183" i="3" s="1"/>
  <c r="BN92" i="10"/>
  <c r="AK183" i="3" s="1"/>
  <c r="BO92" i="10"/>
  <c r="BP92" i="10"/>
  <c r="BS92" i="10"/>
  <c r="BT92" i="10" s="1"/>
  <c r="E183" i="9" s="1"/>
  <c r="BU92" i="10"/>
  <c r="M183" i="3" s="1"/>
  <c r="BE93" i="10"/>
  <c r="BF93" i="10"/>
  <c r="Q184" i="3" s="1"/>
  <c r="BH93" i="10"/>
  <c r="Z184" i="3" s="1"/>
  <c r="BI93" i="10"/>
  <c r="W184" i="3" s="1"/>
  <c r="BJ93" i="10"/>
  <c r="U184" i="3" s="1"/>
  <c r="BK93" i="10"/>
  <c r="AB184" i="3" s="1"/>
  <c r="BL93" i="10"/>
  <c r="AD184" i="3" s="1"/>
  <c r="BM93" i="10"/>
  <c r="AI184" i="3" s="1"/>
  <c r="BN93" i="10"/>
  <c r="AK184" i="3" s="1"/>
  <c r="BO93" i="10"/>
  <c r="BP93" i="10"/>
  <c r="BS93" i="10"/>
  <c r="BT93" i="10" s="1"/>
  <c r="E184" i="9" s="1"/>
  <c r="BU93" i="10"/>
  <c r="M184" i="3" s="1"/>
  <c r="BE94" i="10"/>
  <c r="BF94" i="10"/>
  <c r="Q217" i="3" s="1"/>
  <c r="BH94" i="10"/>
  <c r="Z217" i="3" s="1"/>
  <c r="BI94" i="10"/>
  <c r="W217" i="3" s="1"/>
  <c r="BJ94" i="10"/>
  <c r="U217" i="3" s="1"/>
  <c r="BK94" i="10"/>
  <c r="AB217" i="3" s="1"/>
  <c r="BL94" i="10"/>
  <c r="AD217" i="3" s="1"/>
  <c r="BM94" i="10"/>
  <c r="AI217" i="3" s="1"/>
  <c r="BN94" i="10"/>
  <c r="AK217" i="3" s="1"/>
  <c r="BO94" i="10"/>
  <c r="BP94" i="10"/>
  <c r="BS94" i="10"/>
  <c r="BT94" i="10" s="1"/>
  <c r="E217" i="9" s="1"/>
  <c r="BU94" i="10"/>
  <c r="M217" i="3" s="1"/>
  <c r="Q270" i="3"/>
  <c r="Z270" i="3"/>
  <c r="W270" i="3"/>
  <c r="U270" i="3"/>
  <c r="AB270" i="3"/>
  <c r="AD270" i="3"/>
  <c r="AI270" i="3"/>
  <c r="AK270" i="3"/>
  <c r="M270" i="3"/>
  <c r="BE95" i="10"/>
  <c r="BF95" i="10"/>
  <c r="Q290" i="3" s="1"/>
  <c r="BH95" i="10"/>
  <c r="Z290" i="3" s="1"/>
  <c r="BI95" i="10"/>
  <c r="W290" i="3" s="1"/>
  <c r="BJ95" i="10"/>
  <c r="U290" i="3" s="1"/>
  <c r="BK95" i="10"/>
  <c r="AB290" i="3" s="1"/>
  <c r="BL95" i="10"/>
  <c r="AD290" i="3" s="1"/>
  <c r="BM95" i="10"/>
  <c r="AI290" i="3" s="1"/>
  <c r="BN95" i="10"/>
  <c r="AK290" i="3" s="1"/>
  <c r="BO95" i="10"/>
  <c r="BP95" i="10"/>
  <c r="BS95" i="10"/>
  <c r="BT95" i="10" s="1"/>
  <c r="E290" i="9" s="1"/>
  <c r="BU95" i="10"/>
  <c r="M290" i="3" s="1"/>
  <c r="N390" i="17" l="1"/>
  <c r="P390" i="17" s="1"/>
  <c r="N456" i="17"/>
  <c r="O456" i="17" s="1"/>
  <c r="N411" i="17"/>
  <c r="O411" i="17" s="1"/>
  <c r="N399" i="17"/>
  <c r="P399" i="17" s="1"/>
  <c r="N417" i="17"/>
  <c r="O417" i="17" s="1"/>
  <c r="N412" i="17"/>
  <c r="O412" i="17" s="1"/>
  <c r="N398" i="17"/>
  <c r="P398" i="17" s="1"/>
  <c r="N382" i="17"/>
  <c r="O382" i="17" s="1"/>
  <c r="N392" i="17"/>
  <c r="O392" i="17" s="1"/>
  <c r="N384" i="17"/>
  <c r="O384" i="17" s="1"/>
  <c r="N457" i="17"/>
  <c r="O457" i="17" s="1"/>
  <c r="N449" i="17"/>
  <c r="O449" i="17" s="1"/>
  <c r="N441" i="17"/>
  <c r="O441" i="17" s="1"/>
  <c r="N433" i="17"/>
  <c r="O433" i="17" s="1"/>
  <c r="N425" i="17"/>
  <c r="O425" i="17" s="1"/>
  <c r="N422" i="17"/>
  <c r="O422" i="17" s="1"/>
  <c r="N388" i="17"/>
  <c r="O388" i="17" s="1"/>
  <c r="N453" i="17"/>
  <c r="O453" i="17" s="1"/>
  <c r="N445" i="17"/>
  <c r="O445" i="17" s="1"/>
  <c r="N437" i="17"/>
  <c r="O437" i="17" s="1"/>
  <c r="N429" i="17"/>
  <c r="O429" i="17" s="1"/>
  <c r="N421" i="17"/>
  <c r="O421" i="17" s="1"/>
  <c r="N416" i="17"/>
  <c r="O416" i="17" s="1"/>
  <c r="N408" i="17"/>
  <c r="O408" i="17" s="1"/>
  <c r="N404" i="17"/>
  <c r="O404" i="17" s="1"/>
  <c r="N396" i="17"/>
  <c r="O396" i="17" s="1"/>
  <c r="N413" i="17"/>
  <c r="P413" i="17" s="1"/>
  <c r="N410" i="17"/>
  <c r="P410" i="17" s="1"/>
  <c r="N386" i="17"/>
  <c r="O386" i="17" s="1"/>
  <c r="N458" i="17"/>
  <c r="O458" i="17" s="1"/>
  <c r="N455" i="17"/>
  <c r="P455" i="17" s="1"/>
  <c r="N450" i="17"/>
  <c r="P450" i="17" s="1"/>
  <c r="N447" i="17"/>
  <c r="O447" i="17" s="1"/>
  <c r="N442" i="17"/>
  <c r="O442" i="17" s="1"/>
  <c r="N439" i="17"/>
  <c r="O439" i="17" s="1"/>
  <c r="N434" i="17"/>
  <c r="P434" i="17" s="1"/>
  <c r="N431" i="17"/>
  <c r="O431" i="17" s="1"/>
  <c r="N426" i="17"/>
  <c r="P426" i="17" s="1"/>
  <c r="N423" i="17"/>
  <c r="P423" i="17" s="1"/>
  <c r="N418" i="17"/>
  <c r="O418" i="17" s="1"/>
  <c r="N401" i="17"/>
  <c r="P401" i="17" s="1"/>
  <c r="N389" i="17"/>
  <c r="P389" i="17" s="1"/>
  <c r="N459" i="17"/>
  <c r="O459" i="17" s="1"/>
  <c r="N451" i="17"/>
  <c r="P451" i="17" s="1"/>
  <c r="N446" i="17"/>
  <c r="P446" i="17" s="1"/>
  <c r="N443" i="17"/>
  <c r="O443" i="17" s="1"/>
  <c r="N435" i="17"/>
  <c r="O435" i="17" s="1"/>
  <c r="N430" i="17"/>
  <c r="P430" i="17" s="1"/>
  <c r="N427" i="17"/>
  <c r="O427" i="17" s="1"/>
  <c r="N419" i="17"/>
  <c r="O419" i="17" s="1"/>
  <c r="N409" i="17"/>
  <c r="O409" i="17" s="1"/>
  <c r="N400" i="17"/>
  <c r="O400" i="17" s="1"/>
  <c r="N381" i="17"/>
  <c r="P381" i="17" s="1"/>
  <c r="N448" i="17"/>
  <c r="P448" i="17" s="1"/>
  <c r="N440" i="17"/>
  <c r="P440" i="17" s="1"/>
  <c r="N432" i="17"/>
  <c r="P432" i="17" s="1"/>
  <c r="N424" i="17"/>
  <c r="O424" i="17" s="1"/>
  <c r="N406" i="17"/>
  <c r="O406" i="17" s="1"/>
  <c r="N397" i="17"/>
  <c r="P397" i="17" s="1"/>
  <c r="N393" i="17"/>
  <c r="P393" i="17" s="1"/>
  <c r="N414" i="17"/>
  <c r="O414" i="17" s="1"/>
  <c r="N402" i="17"/>
  <c r="O402" i="17" s="1"/>
  <c r="N383" i="17"/>
  <c r="O383" i="17" s="1"/>
  <c r="N452" i="17"/>
  <c r="O452" i="17" s="1"/>
  <c r="N436" i="17"/>
  <c r="O436" i="17" s="1"/>
  <c r="N420" i="17"/>
  <c r="O420" i="17" s="1"/>
  <c r="N407" i="17"/>
  <c r="O407" i="17" s="1"/>
  <c r="N395" i="17"/>
  <c r="P395" i="17" s="1"/>
  <c r="N391" i="17"/>
  <c r="P391" i="17" s="1"/>
  <c r="N387" i="17"/>
  <c r="P387" i="17" s="1"/>
  <c r="N385" i="17"/>
  <c r="P385" i="17" s="1"/>
  <c r="N454" i="17"/>
  <c r="P454" i="17" s="1"/>
  <c r="N438" i="17"/>
  <c r="P438" i="17" s="1"/>
  <c r="N394" i="17"/>
  <c r="P394" i="17" s="1"/>
  <c r="N460" i="17"/>
  <c r="P460" i="17" s="1"/>
  <c r="N444" i="17"/>
  <c r="P444" i="17" s="1"/>
  <c r="N428" i="17"/>
  <c r="O428" i="17" s="1"/>
  <c r="N415" i="17"/>
  <c r="O415" i="17" s="1"/>
  <c r="N403" i="17"/>
  <c r="P403" i="17" s="1"/>
  <c r="N405" i="17"/>
  <c r="P405" i="17" s="1"/>
  <c r="B381" i="17"/>
  <c r="B382" i="17"/>
  <c r="BE85" i="10"/>
  <c r="BF85" i="10"/>
  <c r="Q92" i="3" s="1"/>
  <c r="BH85" i="10"/>
  <c r="Z92" i="3" s="1"/>
  <c r="BI85" i="10"/>
  <c r="W92" i="3" s="1"/>
  <c r="BJ85" i="10"/>
  <c r="U92" i="3" s="1"/>
  <c r="BK85" i="10"/>
  <c r="AB92" i="3" s="1"/>
  <c r="BL85" i="10"/>
  <c r="AD92" i="3" s="1"/>
  <c r="BM85" i="10"/>
  <c r="AI92" i="3" s="1"/>
  <c r="BN85" i="10"/>
  <c r="AK92" i="3" s="1"/>
  <c r="BO85" i="10"/>
  <c r="BP85" i="10"/>
  <c r="BS85" i="10"/>
  <c r="BT85" i="10" s="1"/>
  <c r="E92" i="9" s="1"/>
  <c r="BU85" i="10"/>
  <c r="M92" i="3" s="1"/>
  <c r="P458" i="17" l="1"/>
  <c r="Q458" i="17" s="1"/>
  <c r="P447" i="17"/>
  <c r="Q447" i="17" s="1"/>
  <c r="O430" i="17"/>
  <c r="Q430" i="17" s="1"/>
  <c r="P427" i="17"/>
  <c r="Q427" i="17" s="1"/>
  <c r="P408" i="17"/>
  <c r="Q408" i="17" s="1"/>
  <c r="P442" i="17"/>
  <c r="Q442" i="17" s="1"/>
  <c r="O390" i="17"/>
  <c r="Q390" i="17" s="1"/>
  <c r="P415" i="17"/>
  <c r="Q415" i="17" s="1"/>
  <c r="P416" i="17"/>
  <c r="Q416" i="17" s="1"/>
  <c r="P382" i="17"/>
  <c r="Q382" i="17" s="1"/>
  <c r="P386" i="17"/>
  <c r="Q386" i="17" s="1"/>
  <c r="P449" i="17"/>
  <c r="Q449" i="17" s="1"/>
  <c r="P431" i="17"/>
  <c r="Q431" i="17" s="1"/>
  <c r="P422" i="17"/>
  <c r="Q422" i="17" s="1"/>
  <c r="O399" i="17"/>
  <c r="Q399" i="17" s="1"/>
  <c r="P407" i="17"/>
  <c r="Q407" i="17" s="1"/>
  <c r="O403" i="17"/>
  <c r="Q403" i="17" s="1"/>
  <c r="P412" i="17"/>
  <c r="Q412" i="17" s="1"/>
  <c r="P417" i="17"/>
  <c r="Q417" i="17" s="1"/>
  <c r="P445" i="17"/>
  <c r="Q445" i="17" s="1"/>
  <c r="P456" i="17"/>
  <c r="Q456" i="17" s="1"/>
  <c r="O394" i="17"/>
  <c r="Q394" i="17" s="1"/>
  <c r="O432" i="17"/>
  <c r="Q432" i="17" s="1"/>
  <c r="P437" i="17"/>
  <c r="Q437" i="17" s="1"/>
  <c r="P384" i="17"/>
  <c r="Q384" i="17" s="1"/>
  <c r="P411" i="17"/>
  <c r="Q411" i="17" s="1"/>
  <c r="O398" i="17"/>
  <c r="Q398" i="17" s="1"/>
  <c r="P392" i="17"/>
  <c r="Q392" i="17" s="1"/>
  <c r="O448" i="17"/>
  <c r="Q448" i="17" s="1"/>
  <c r="P433" i="17"/>
  <c r="Q433" i="17" s="1"/>
  <c r="P420" i="17"/>
  <c r="Q420" i="17" s="1"/>
  <c r="P414" i="17"/>
  <c r="Q414" i="17" s="1"/>
  <c r="P429" i="17"/>
  <c r="Q429" i="17" s="1"/>
  <c r="O391" i="17"/>
  <c r="Q391" i="17" s="1"/>
  <c r="P425" i="17"/>
  <c r="Q425" i="17" s="1"/>
  <c r="P459" i="17"/>
  <c r="Q459" i="17" s="1"/>
  <c r="O410" i="17"/>
  <c r="Q410" i="17" s="1"/>
  <c r="P428" i="17"/>
  <c r="Q428" i="17" s="1"/>
  <c r="O440" i="17"/>
  <c r="Q440" i="17" s="1"/>
  <c r="P439" i="17"/>
  <c r="Q439" i="17" s="1"/>
  <c r="P435" i="17"/>
  <c r="Q435" i="17" s="1"/>
  <c r="O387" i="17"/>
  <c r="Q387" i="17" s="1"/>
  <c r="P453" i="17"/>
  <c r="Q453" i="17" s="1"/>
  <c r="O395" i="17"/>
  <c r="Q395" i="17" s="1"/>
  <c r="P402" i="17"/>
  <c r="Q402" i="17" s="1"/>
  <c r="P457" i="17"/>
  <c r="Q457" i="17" s="1"/>
  <c r="O450" i="17"/>
  <c r="Q450" i="17" s="1"/>
  <c r="P396" i="17"/>
  <c r="Q396" i="17" s="1"/>
  <c r="P418" i="17"/>
  <c r="Q418" i="17" s="1"/>
  <c r="P400" i="17"/>
  <c r="Q400" i="17" s="1"/>
  <c r="P421" i="17"/>
  <c r="Q421" i="17" s="1"/>
  <c r="P424" i="17"/>
  <c r="Q424" i="17" s="1"/>
  <c r="P409" i="17"/>
  <c r="Q409" i="17" s="1"/>
  <c r="O413" i="17"/>
  <c r="Q413" i="17" s="1"/>
  <c r="P441" i="17"/>
  <c r="Q441" i="17" s="1"/>
  <c r="O381" i="17"/>
  <c r="Q381" i="17" s="1"/>
  <c r="O434" i="17"/>
  <c r="Q434" i="17" s="1"/>
  <c r="O446" i="17"/>
  <c r="Q446" i="17" s="1"/>
  <c r="P388" i="17"/>
  <c r="Q388" i="17" s="1"/>
  <c r="O426" i="17"/>
  <c r="Q426" i="17" s="1"/>
  <c r="O460" i="17"/>
  <c r="Q460" i="17" s="1"/>
  <c r="P443" i="17"/>
  <c r="Q443" i="17" s="1"/>
  <c r="O423" i="17"/>
  <c r="Q423" i="17" s="1"/>
  <c r="O455" i="17"/>
  <c r="Q455" i="17" s="1"/>
  <c r="P404" i="17"/>
  <c r="Q404" i="17" s="1"/>
  <c r="O405" i="17"/>
  <c r="Q405" i="17" s="1"/>
  <c r="O451" i="17"/>
  <c r="Q451" i="17" s="1"/>
  <c r="O393" i="17"/>
  <c r="Q393" i="17" s="1"/>
  <c r="P406" i="17"/>
  <c r="Q406" i="17" s="1"/>
  <c r="O454" i="17"/>
  <c r="Q454" i="17" s="1"/>
  <c r="O389" i="17"/>
  <c r="Q389" i="17" s="1"/>
  <c r="O397" i="17"/>
  <c r="Q397" i="17" s="1"/>
  <c r="P452" i="17"/>
  <c r="Q452" i="17" s="1"/>
  <c r="O444" i="17"/>
  <c r="Q444" i="17" s="1"/>
  <c r="P419" i="17"/>
  <c r="Q419" i="17" s="1"/>
  <c r="P383" i="17"/>
  <c r="Q383" i="17" s="1"/>
  <c r="O401" i="17"/>
  <c r="Q401" i="17" s="1"/>
  <c r="P436" i="17"/>
  <c r="Q436" i="17" s="1"/>
  <c r="O385" i="17"/>
  <c r="Q385" i="17" s="1"/>
  <c r="O438" i="17"/>
  <c r="Q438" i="17" s="1"/>
  <c r="Q134" i="3"/>
  <c r="Z134" i="3"/>
  <c r="W134" i="3"/>
  <c r="U134" i="3"/>
  <c r="AB134" i="3"/>
  <c r="AD134" i="3"/>
  <c r="AI134" i="3"/>
  <c r="AK134" i="3"/>
  <c r="M134" i="3"/>
  <c r="L322" i="17" l="1"/>
  <c r="M322" i="17"/>
  <c r="S322" i="17"/>
  <c r="L323" i="17"/>
  <c r="M323" i="17"/>
  <c r="S323" i="17"/>
  <c r="L324" i="17"/>
  <c r="M324" i="17"/>
  <c r="S324" i="17"/>
  <c r="L325" i="17"/>
  <c r="M325" i="17"/>
  <c r="S325" i="17"/>
  <c r="L326" i="17"/>
  <c r="M326" i="17"/>
  <c r="S326" i="17"/>
  <c r="L327" i="17"/>
  <c r="M327" i="17"/>
  <c r="S327" i="17"/>
  <c r="L328" i="17"/>
  <c r="M328" i="17"/>
  <c r="S328" i="17"/>
  <c r="L329" i="17"/>
  <c r="M329" i="17"/>
  <c r="S329" i="17"/>
  <c r="L330" i="17"/>
  <c r="M330" i="17"/>
  <c r="S330" i="17"/>
  <c r="L331" i="17"/>
  <c r="M331" i="17"/>
  <c r="S331" i="17"/>
  <c r="L332" i="17"/>
  <c r="M332" i="17"/>
  <c r="S332" i="17"/>
  <c r="L333" i="17"/>
  <c r="M333" i="17"/>
  <c r="S333" i="17"/>
  <c r="L334" i="17"/>
  <c r="M334" i="17"/>
  <c r="S334" i="17"/>
  <c r="L335" i="17"/>
  <c r="M335" i="17"/>
  <c r="S335" i="17"/>
  <c r="L336" i="17"/>
  <c r="M336" i="17"/>
  <c r="S336" i="17"/>
  <c r="L337" i="17"/>
  <c r="M337" i="17"/>
  <c r="S337" i="17"/>
  <c r="L338" i="17"/>
  <c r="M338" i="17"/>
  <c r="S338" i="17"/>
  <c r="L339" i="17"/>
  <c r="M339" i="17"/>
  <c r="S339" i="17"/>
  <c r="L340" i="17"/>
  <c r="M340" i="17"/>
  <c r="S340" i="17"/>
  <c r="L341" i="17"/>
  <c r="M341" i="17"/>
  <c r="S341" i="17"/>
  <c r="L342" i="17"/>
  <c r="M342" i="17"/>
  <c r="S342" i="17"/>
  <c r="L343" i="17"/>
  <c r="M343" i="17"/>
  <c r="S343" i="17"/>
  <c r="L344" i="17"/>
  <c r="M344" i="17"/>
  <c r="S344" i="17"/>
  <c r="L345" i="17"/>
  <c r="M345" i="17"/>
  <c r="S345" i="17"/>
  <c r="L346" i="17"/>
  <c r="M346" i="17"/>
  <c r="S346" i="17"/>
  <c r="L347" i="17"/>
  <c r="M347" i="17"/>
  <c r="S347" i="17"/>
  <c r="L348" i="17"/>
  <c r="M348" i="17"/>
  <c r="S348" i="17"/>
  <c r="L349" i="17"/>
  <c r="M349" i="17"/>
  <c r="S349" i="17"/>
  <c r="L350" i="17"/>
  <c r="M350" i="17"/>
  <c r="S350" i="17"/>
  <c r="L351" i="17"/>
  <c r="M351" i="17"/>
  <c r="S351" i="17"/>
  <c r="L352" i="17"/>
  <c r="M352" i="17"/>
  <c r="S352" i="17"/>
  <c r="L353" i="17"/>
  <c r="M353" i="17"/>
  <c r="S353" i="17"/>
  <c r="L354" i="17"/>
  <c r="M354" i="17"/>
  <c r="S354" i="17"/>
  <c r="L355" i="17"/>
  <c r="M355" i="17"/>
  <c r="S355" i="17"/>
  <c r="L356" i="17"/>
  <c r="M356" i="17"/>
  <c r="S356" i="17"/>
  <c r="L357" i="17"/>
  <c r="M357" i="17"/>
  <c r="S357" i="17"/>
  <c r="L358" i="17"/>
  <c r="M358" i="17"/>
  <c r="S358" i="17"/>
  <c r="L359" i="17"/>
  <c r="M359" i="17"/>
  <c r="S359" i="17"/>
  <c r="L360" i="17"/>
  <c r="M360" i="17"/>
  <c r="S360" i="17"/>
  <c r="L361" i="17"/>
  <c r="M361" i="17"/>
  <c r="S361" i="17"/>
  <c r="L362" i="17"/>
  <c r="M362" i="17"/>
  <c r="S362" i="17"/>
  <c r="L363" i="17"/>
  <c r="M363" i="17"/>
  <c r="S363" i="17"/>
  <c r="L364" i="17"/>
  <c r="M364" i="17"/>
  <c r="S364" i="17"/>
  <c r="L365" i="17"/>
  <c r="M365" i="17"/>
  <c r="S365" i="17"/>
  <c r="L366" i="17"/>
  <c r="M366" i="17"/>
  <c r="S366" i="17"/>
  <c r="L367" i="17"/>
  <c r="M367" i="17"/>
  <c r="S367" i="17"/>
  <c r="L368" i="17"/>
  <c r="M368" i="17"/>
  <c r="S368" i="17"/>
  <c r="L369" i="17"/>
  <c r="M369" i="17"/>
  <c r="S369" i="17"/>
  <c r="L370" i="17"/>
  <c r="M370" i="17"/>
  <c r="S370" i="17"/>
  <c r="L371" i="17"/>
  <c r="M371" i="17"/>
  <c r="S371" i="17"/>
  <c r="L372" i="17"/>
  <c r="M372" i="17"/>
  <c r="S372" i="17"/>
  <c r="L373" i="17"/>
  <c r="M373" i="17"/>
  <c r="S373" i="17"/>
  <c r="L374" i="17"/>
  <c r="M374" i="17"/>
  <c r="S374" i="17"/>
  <c r="L375" i="17"/>
  <c r="M375" i="17"/>
  <c r="S375" i="17"/>
  <c r="L376" i="17"/>
  <c r="M376" i="17"/>
  <c r="S376" i="17"/>
  <c r="L377" i="17"/>
  <c r="M377" i="17"/>
  <c r="S377" i="17"/>
  <c r="L378" i="17"/>
  <c r="M378" i="17"/>
  <c r="S378" i="17"/>
  <c r="L379" i="17"/>
  <c r="M379" i="17"/>
  <c r="S379" i="17"/>
  <c r="L380" i="17"/>
  <c r="M380" i="17"/>
  <c r="S380" i="17"/>
  <c r="B322" i="17"/>
  <c r="B323" i="17"/>
  <c r="B324" i="17"/>
  <c r="B325" i="17"/>
  <c r="B326" i="17"/>
  <c r="B327" i="17"/>
  <c r="B328" i="17"/>
  <c r="B329" i="17"/>
  <c r="B330" i="17"/>
  <c r="B331" i="17"/>
  <c r="B332" i="17"/>
  <c r="B333" i="17"/>
  <c r="B334" i="17"/>
  <c r="B335" i="17"/>
  <c r="B336" i="17"/>
  <c r="B337" i="17"/>
  <c r="B338" i="17"/>
  <c r="B339" i="17"/>
  <c r="B340" i="17"/>
  <c r="B341" i="17"/>
  <c r="B342" i="17"/>
  <c r="B343" i="17"/>
  <c r="B344" i="17"/>
  <c r="B345" i="17"/>
  <c r="B346" i="17"/>
  <c r="B347" i="17"/>
  <c r="B348" i="17"/>
  <c r="B349" i="17"/>
  <c r="B350" i="17"/>
  <c r="B351" i="17"/>
  <c r="B352" i="17"/>
  <c r="B353" i="17"/>
  <c r="B354" i="17"/>
  <c r="B355" i="17"/>
  <c r="B356" i="17"/>
  <c r="B357" i="17"/>
  <c r="B358" i="17"/>
  <c r="B359" i="17"/>
  <c r="B360" i="17"/>
  <c r="B361" i="17"/>
  <c r="B362" i="17"/>
  <c r="B363" i="17"/>
  <c r="B364" i="17"/>
  <c r="B365" i="17"/>
  <c r="B366" i="17"/>
  <c r="B367" i="17"/>
  <c r="B368" i="17"/>
  <c r="B369" i="17"/>
  <c r="B370" i="17"/>
  <c r="B371" i="17"/>
  <c r="B372" i="17"/>
  <c r="B373" i="17"/>
  <c r="B374" i="17"/>
  <c r="B375" i="17"/>
  <c r="B376" i="17"/>
  <c r="B377" i="17"/>
  <c r="B378" i="17"/>
  <c r="B379" i="17"/>
  <c r="B380" i="17"/>
  <c r="AZ80" i="10"/>
  <c r="BE80" i="10"/>
  <c r="BF80" i="10"/>
  <c r="Q6" i="3" s="1"/>
  <c r="BH80" i="10"/>
  <c r="Z6" i="3" s="1"/>
  <c r="BI80" i="10"/>
  <c r="W6" i="3" s="1"/>
  <c r="BJ80" i="10"/>
  <c r="U6" i="3" s="1"/>
  <c r="BK80" i="10"/>
  <c r="AB6" i="3" s="1"/>
  <c r="BL80" i="10"/>
  <c r="AD6" i="3" s="1"/>
  <c r="BM80" i="10"/>
  <c r="AI6" i="3" s="1"/>
  <c r="BN80" i="10"/>
  <c r="AK6" i="3" s="1"/>
  <c r="BO80" i="10"/>
  <c r="BP80" i="10"/>
  <c r="BS80" i="10"/>
  <c r="BT80" i="10" s="1"/>
  <c r="E6" i="9" s="1"/>
  <c r="BU80" i="10"/>
  <c r="M6" i="3" s="1"/>
  <c r="AZ81" i="10"/>
  <c r="BE81" i="10"/>
  <c r="BF81" i="10"/>
  <c r="Q47" i="3" s="1"/>
  <c r="BH81" i="10"/>
  <c r="Z47" i="3" s="1"/>
  <c r="BI81" i="10"/>
  <c r="W47" i="3" s="1"/>
  <c r="BJ81" i="10"/>
  <c r="U47" i="3" s="1"/>
  <c r="BK81" i="10"/>
  <c r="AB47" i="3" s="1"/>
  <c r="BL81" i="10"/>
  <c r="AD47" i="3" s="1"/>
  <c r="BM81" i="10"/>
  <c r="AI47" i="3" s="1"/>
  <c r="BN81" i="10"/>
  <c r="AK47" i="3" s="1"/>
  <c r="BO81" i="10"/>
  <c r="BP81" i="10"/>
  <c r="BS81" i="10"/>
  <c r="BT81" i="10" s="1"/>
  <c r="E47" i="9" s="1"/>
  <c r="BU81" i="10"/>
  <c r="M47" i="3" s="1"/>
  <c r="BE82" i="10"/>
  <c r="BF82" i="10"/>
  <c r="Q91" i="3" s="1"/>
  <c r="BH82" i="10"/>
  <c r="Z91" i="3" s="1"/>
  <c r="BI82" i="10"/>
  <c r="W91" i="3" s="1"/>
  <c r="BJ82" i="10"/>
  <c r="U91" i="3" s="1"/>
  <c r="BK82" i="10"/>
  <c r="AB91" i="3" s="1"/>
  <c r="BL82" i="10"/>
  <c r="AD91" i="3" s="1"/>
  <c r="BM82" i="10"/>
  <c r="AI91" i="3" s="1"/>
  <c r="BN82" i="10"/>
  <c r="AK91" i="3" s="1"/>
  <c r="BO82" i="10"/>
  <c r="BP82" i="10"/>
  <c r="BS82" i="10"/>
  <c r="BT82" i="10" s="1"/>
  <c r="E91" i="9" s="1"/>
  <c r="BU82" i="10"/>
  <c r="M91" i="3" s="1"/>
  <c r="BE83" i="10"/>
  <c r="BF83" i="10"/>
  <c r="Q93" i="3" s="1"/>
  <c r="BH83" i="10"/>
  <c r="Z93" i="3" s="1"/>
  <c r="BI83" i="10"/>
  <c r="W93" i="3" s="1"/>
  <c r="BJ83" i="10"/>
  <c r="U93" i="3" s="1"/>
  <c r="BK83" i="10"/>
  <c r="AB93" i="3" s="1"/>
  <c r="BL83" i="10"/>
  <c r="AD93" i="3" s="1"/>
  <c r="BM83" i="10"/>
  <c r="AI93" i="3" s="1"/>
  <c r="BN83" i="10"/>
  <c r="AK93" i="3" s="1"/>
  <c r="BO83" i="10"/>
  <c r="BP83" i="10"/>
  <c r="BS83" i="10"/>
  <c r="BT83" i="10" s="1"/>
  <c r="E93" i="9" s="1"/>
  <c r="BU83" i="10"/>
  <c r="M93" i="3" s="1"/>
  <c r="BE84" i="10"/>
  <c r="BF84" i="10"/>
  <c r="Q240" i="3" s="1"/>
  <c r="BH84" i="10"/>
  <c r="Z240" i="3" s="1"/>
  <c r="BI84" i="10"/>
  <c r="W240" i="3" s="1"/>
  <c r="BJ84" i="10"/>
  <c r="U240" i="3" s="1"/>
  <c r="BK84" i="10"/>
  <c r="AB240" i="3" s="1"/>
  <c r="BL84" i="10"/>
  <c r="AD240" i="3" s="1"/>
  <c r="BM84" i="10"/>
  <c r="AI240" i="3" s="1"/>
  <c r="BN84" i="10"/>
  <c r="AK240" i="3" s="1"/>
  <c r="BO84" i="10"/>
  <c r="BP84" i="10"/>
  <c r="BS84" i="10"/>
  <c r="BT84" i="10" s="1"/>
  <c r="E240" i="9" s="1"/>
  <c r="BU84" i="10"/>
  <c r="M240" i="3" s="1"/>
  <c r="N325" i="17" l="1"/>
  <c r="O325" i="17" s="1"/>
  <c r="N373" i="17"/>
  <c r="O373" i="17" s="1"/>
  <c r="N365" i="17"/>
  <c r="O365" i="17" s="1"/>
  <c r="N357" i="17"/>
  <c r="O357" i="17" s="1"/>
  <c r="N349" i="17"/>
  <c r="O349" i="17" s="1"/>
  <c r="N341" i="17"/>
  <c r="O341" i="17" s="1"/>
  <c r="N333" i="17"/>
  <c r="O333" i="17" s="1"/>
  <c r="N337" i="17"/>
  <c r="O337" i="17" s="1"/>
  <c r="N374" i="17"/>
  <c r="O374" i="17" s="1"/>
  <c r="N364" i="17"/>
  <c r="O364" i="17" s="1"/>
  <c r="N339" i="17"/>
  <c r="O339" i="17" s="1"/>
  <c r="N336" i="17"/>
  <c r="O336" i="17" s="1"/>
  <c r="N328" i="17"/>
  <c r="P328" i="17" s="1"/>
  <c r="N322" i="17"/>
  <c r="O322" i="17" s="1"/>
  <c r="N377" i="17"/>
  <c r="O377" i="17" s="1"/>
  <c r="N369" i="17"/>
  <c r="O369" i="17" s="1"/>
  <c r="N353" i="17"/>
  <c r="O353" i="17" s="1"/>
  <c r="N345" i="17"/>
  <c r="O345" i="17" s="1"/>
  <c r="N368" i="17"/>
  <c r="O368" i="17" s="1"/>
  <c r="N360" i="17"/>
  <c r="O360" i="17" s="1"/>
  <c r="N347" i="17"/>
  <c r="O347" i="17" s="1"/>
  <c r="N342" i="17"/>
  <c r="P342" i="17" s="1"/>
  <c r="N329" i="17"/>
  <c r="O329" i="17" s="1"/>
  <c r="N379" i="17"/>
  <c r="P379" i="17" s="1"/>
  <c r="N334" i="17"/>
  <c r="O334" i="17" s="1"/>
  <c r="N378" i="17"/>
  <c r="O378" i="17" s="1"/>
  <c r="N361" i="17"/>
  <c r="O361" i="17" s="1"/>
  <c r="N371" i="17"/>
  <c r="O371" i="17" s="1"/>
  <c r="N366" i="17"/>
  <c r="P366" i="17" s="1"/>
  <c r="N356" i="17"/>
  <c r="P356" i="17" s="1"/>
  <c r="N351" i="17"/>
  <c r="O351" i="17" s="1"/>
  <c r="N346" i="17"/>
  <c r="P346" i="17" s="1"/>
  <c r="N324" i="17"/>
  <c r="O324" i="17" s="1"/>
  <c r="N376" i="17"/>
  <c r="O376" i="17" s="1"/>
  <c r="N370" i="17"/>
  <c r="P370" i="17" s="1"/>
  <c r="N363" i="17"/>
  <c r="O363" i="17" s="1"/>
  <c r="N358" i="17"/>
  <c r="O358" i="17" s="1"/>
  <c r="N348" i="17"/>
  <c r="O348" i="17" s="1"/>
  <c r="N343" i="17"/>
  <c r="O343" i="17" s="1"/>
  <c r="N338" i="17"/>
  <c r="O338" i="17" s="1"/>
  <c r="N331" i="17"/>
  <c r="P331" i="17" s="1"/>
  <c r="N326" i="17"/>
  <c r="O326" i="17" s="1"/>
  <c r="N380" i="17"/>
  <c r="P380" i="17" s="1"/>
  <c r="N375" i="17"/>
  <c r="P375" i="17" s="1"/>
  <c r="N372" i="17"/>
  <c r="O372" i="17" s="1"/>
  <c r="N367" i="17"/>
  <c r="P367" i="17" s="1"/>
  <c r="N362" i="17"/>
  <c r="O362" i="17" s="1"/>
  <c r="N355" i="17"/>
  <c r="P355" i="17" s="1"/>
  <c r="N350" i="17"/>
  <c r="P350" i="17" s="1"/>
  <c r="N340" i="17"/>
  <c r="O340" i="17" s="1"/>
  <c r="N335" i="17"/>
  <c r="O335" i="17" s="1"/>
  <c r="N330" i="17"/>
  <c r="O330" i="17" s="1"/>
  <c r="N323" i="17"/>
  <c r="O323" i="17" s="1"/>
  <c r="N352" i="17"/>
  <c r="O352" i="17" s="1"/>
  <c r="N359" i="17"/>
  <c r="P359" i="17" s="1"/>
  <c r="N354" i="17"/>
  <c r="P354" i="17" s="1"/>
  <c r="N332" i="17"/>
  <c r="O332" i="17" s="1"/>
  <c r="N327" i="17"/>
  <c r="O327" i="17" s="1"/>
  <c r="N344" i="17"/>
  <c r="O344" i="17" s="1"/>
  <c r="P325" i="17" l="1"/>
  <c r="Q325" i="17" s="1"/>
  <c r="P339" i="17"/>
  <c r="Q339" i="17" s="1"/>
  <c r="P373" i="17"/>
  <c r="Q373" i="17" s="1"/>
  <c r="P365" i="17"/>
  <c r="Q365" i="17" s="1"/>
  <c r="O346" i="17"/>
  <c r="Q346" i="17" s="1"/>
  <c r="O328" i="17"/>
  <c r="Q328" i="17" s="1"/>
  <c r="P357" i="17"/>
  <c r="Q357" i="17" s="1"/>
  <c r="P361" i="17"/>
  <c r="Q361" i="17" s="1"/>
  <c r="P368" i="17"/>
  <c r="Q368" i="17" s="1"/>
  <c r="P358" i="17"/>
  <c r="Q358" i="17" s="1"/>
  <c r="P341" i="17"/>
  <c r="Q341" i="17" s="1"/>
  <c r="P333" i="17"/>
  <c r="Q333" i="17" s="1"/>
  <c r="P349" i="17"/>
  <c r="Q349" i="17" s="1"/>
  <c r="P378" i="17"/>
  <c r="Q378" i="17" s="1"/>
  <c r="P364" i="17"/>
  <c r="Q364" i="17" s="1"/>
  <c r="P335" i="17"/>
  <c r="Q335" i="17" s="1"/>
  <c r="P337" i="17"/>
  <c r="Q337" i="17" s="1"/>
  <c r="P377" i="17"/>
  <c r="Q377" i="17" s="1"/>
  <c r="P336" i="17"/>
  <c r="Q336" i="17" s="1"/>
  <c r="P323" i="17"/>
  <c r="Q323" i="17" s="1"/>
  <c r="O375" i="17"/>
  <c r="Q375" i="17" s="1"/>
  <c r="P345" i="17"/>
  <c r="Q345" i="17" s="1"/>
  <c r="P322" i="17"/>
  <c r="Q322" i="17" s="1"/>
  <c r="P340" i="17"/>
  <c r="Q340" i="17" s="1"/>
  <c r="P374" i="17"/>
  <c r="Q374" i="17" s="1"/>
  <c r="O355" i="17"/>
  <c r="Q355" i="17" s="1"/>
  <c r="P326" i="17"/>
  <c r="Q326" i="17" s="1"/>
  <c r="P334" i="17"/>
  <c r="Q334" i="17" s="1"/>
  <c r="P347" i="17"/>
  <c r="Q347" i="17" s="1"/>
  <c r="P372" i="17"/>
  <c r="Q372" i="17" s="1"/>
  <c r="P360" i="17"/>
  <c r="Q360" i="17" s="1"/>
  <c r="P348" i="17"/>
  <c r="Q348" i="17" s="1"/>
  <c r="O354" i="17"/>
  <c r="Q354" i="17" s="1"/>
  <c r="P369" i="17"/>
  <c r="Q369" i="17" s="1"/>
  <c r="O359" i="17"/>
  <c r="Q359" i="17" s="1"/>
  <c r="P362" i="17"/>
  <c r="Q362" i="17" s="1"/>
  <c r="P351" i="17"/>
  <c r="Q351" i="17" s="1"/>
  <c r="P329" i="17"/>
  <c r="Q329" i="17" s="1"/>
  <c r="P343" i="17"/>
  <c r="Q343" i="17" s="1"/>
  <c r="O342" i="17"/>
  <c r="Q342" i="17" s="1"/>
  <c r="P376" i="17"/>
  <c r="Q376" i="17" s="1"/>
  <c r="O370" i="17"/>
  <c r="Q370" i="17" s="1"/>
  <c r="P324" i="17"/>
  <c r="Q324" i="17" s="1"/>
  <c r="O367" i="17"/>
  <c r="Q367" i="17" s="1"/>
  <c r="P344" i="17"/>
  <c r="Q344" i="17" s="1"/>
  <c r="O356" i="17"/>
  <c r="Q356" i="17" s="1"/>
  <c r="P353" i="17"/>
  <c r="Q353" i="17" s="1"/>
  <c r="P352" i="17"/>
  <c r="Q352" i="17" s="1"/>
  <c r="O331" i="17"/>
  <c r="Q331" i="17" s="1"/>
  <c r="O379" i="17"/>
  <c r="Q379" i="17" s="1"/>
  <c r="P330" i="17"/>
  <c r="Q330" i="17" s="1"/>
  <c r="P338" i="17"/>
  <c r="Q338" i="17" s="1"/>
  <c r="P363" i="17"/>
  <c r="Q363" i="17" s="1"/>
  <c r="O366" i="17"/>
  <c r="Q366" i="17" s="1"/>
  <c r="P327" i="17"/>
  <c r="Q327" i="17" s="1"/>
  <c r="P371" i="17"/>
  <c r="Q371" i="17" s="1"/>
  <c r="P332" i="17"/>
  <c r="Q332" i="17" s="1"/>
  <c r="O350" i="17"/>
  <c r="Q350" i="17" s="1"/>
  <c r="O380" i="17"/>
  <c r="Q380" i="17" s="1"/>
  <c r="L257" i="17"/>
  <c r="M257" i="17"/>
  <c r="S257" i="17"/>
  <c r="L258" i="17"/>
  <c r="M258" i="17"/>
  <c r="S258" i="17"/>
  <c r="L259" i="17"/>
  <c r="M259" i="17"/>
  <c r="S259" i="17"/>
  <c r="L260" i="17"/>
  <c r="M260" i="17"/>
  <c r="S260" i="17"/>
  <c r="L261" i="17"/>
  <c r="M261" i="17"/>
  <c r="S261" i="17"/>
  <c r="L262" i="17"/>
  <c r="M262" i="17"/>
  <c r="S262" i="17"/>
  <c r="L263" i="17"/>
  <c r="M263" i="17"/>
  <c r="S263" i="17"/>
  <c r="L264" i="17"/>
  <c r="M264" i="17"/>
  <c r="S264" i="17"/>
  <c r="L265" i="17"/>
  <c r="M265" i="17"/>
  <c r="S265" i="17"/>
  <c r="L266" i="17"/>
  <c r="M266" i="17"/>
  <c r="S266" i="17"/>
  <c r="L267" i="17"/>
  <c r="M267" i="17"/>
  <c r="S267" i="17"/>
  <c r="L268" i="17"/>
  <c r="M268" i="17"/>
  <c r="S268" i="17"/>
  <c r="L269" i="17"/>
  <c r="M269" i="17"/>
  <c r="S269" i="17"/>
  <c r="L270" i="17"/>
  <c r="M270" i="17"/>
  <c r="S270" i="17"/>
  <c r="L271" i="17"/>
  <c r="M271" i="17"/>
  <c r="S271" i="17"/>
  <c r="L272" i="17"/>
  <c r="M272" i="17"/>
  <c r="S272" i="17"/>
  <c r="L273" i="17"/>
  <c r="M273" i="17"/>
  <c r="S273" i="17"/>
  <c r="L274" i="17"/>
  <c r="M274" i="17"/>
  <c r="S274" i="17"/>
  <c r="L275" i="17"/>
  <c r="M275" i="17"/>
  <c r="S275" i="17"/>
  <c r="L276" i="17"/>
  <c r="M276" i="17"/>
  <c r="S276" i="17"/>
  <c r="L277" i="17"/>
  <c r="M277" i="17"/>
  <c r="S277" i="17"/>
  <c r="L278" i="17"/>
  <c r="M278" i="17"/>
  <c r="S278" i="17"/>
  <c r="L279" i="17"/>
  <c r="M279" i="17"/>
  <c r="S279" i="17"/>
  <c r="L280" i="17"/>
  <c r="M280" i="17"/>
  <c r="S280" i="17"/>
  <c r="L281" i="17"/>
  <c r="M281" i="17"/>
  <c r="S281" i="17"/>
  <c r="L282" i="17"/>
  <c r="M282" i="17"/>
  <c r="S282" i="17"/>
  <c r="L283" i="17"/>
  <c r="M283" i="17"/>
  <c r="S283" i="17"/>
  <c r="L284" i="17"/>
  <c r="M284" i="17"/>
  <c r="S284" i="17"/>
  <c r="L285" i="17"/>
  <c r="M285" i="17"/>
  <c r="S285" i="17"/>
  <c r="L286" i="17"/>
  <c r="M286" i="17"/>
  <c r="S286" i="17"/>
  <c r="L287" i="17"/>
  <c r="M287" i="17"/>
  <c r="S287" i="17"/>
  <c r="L288" i="17"/>
  <c r="M288" i="17"/>
  <c r="S288" i="17"/>
  <c r="L289" i="17"/>
  <c r="M289" i="17"/>
  <c r="S289" i="17"/>
  <c r="L290" i="17"/>
  <c r="M290" i="17"/>
  <c r="S290" i="17"/>
  <c r="L291" i="17"/>
  <c r="M291" i="17"/>
  <c r="S291" i="17"/>
  <c r="L292" i="17"/>
  <c r="M292" i="17"/>
  <c r="S292" i="17"/>
  <c r="L293" i="17"/>
  <c r="M293" i="17"/>
  <c r="S293" i="17"/>
  <c r="L294" i="17"/>
  <c r="M294" i="17"/>
  <c r="S294" i="17"/>
  <c r="L295" i="17"/>
  <c r="M295" i="17"/>
  <c r="S295" i="17"/>
  <c r="L296" i="17"/>
  <c r="M296" i="17"/>
  <c r="S296" i="17"/>
  <c r="L297" i="17"/>
  <c r="M297" i="17"/>
  <c r="S297" i="17"/>
  <c r="L298" i="17"/>
  <c r="M298" i="17"/>
  <c r="S298" i="17"/>
  <c r="L299" i="17"/>
  <c r="M299" i="17"/>
  <c r="S299" i="17"/>
  <c r="L300" i="17"/>
  <c r="M300" i="17"/>
  <c r="S300" i="17"/>
  <c r="L301" i="17"/>
  <c r="M301" i="17"/>
  <c r="S301" i="17"/>
  <c r="L302" i="17"/>
  <c r="M302" i="17"/>
  <c r="S302" i="17"/>
  <c r="L303" i="17"/>
  <c r="M303" i="17"/>
  <c r="S303" i="17"/>
  <c r="L304" i="17"/>
  <c r="M304" i="17"/>
  <c r="S304" i="17"/>
  <c r="L305" i="17"/>
  <c r="M305" i="17"/>
  <c r="S305" i="17"/>
  <c r="L306" i="17"/>
  <c r="M306" i="17"/>
  <c r="S306" i="17"/>
  <c r="L307" i="17"/>
  <c r="M307" i="17"/>
  <c r="S307" i="17"/>
  <c r="L308" i="17"/>
  <c r="M308" i="17"/>
  <c r="S308" i="17"/>
  <c r="L309" i="17"/>
  <c r="M309" i="17"/>
  <c r="S309" i="17"/>
  <c r="L310" i="17"/>
  <c r="M310" i="17"/>
  <c r="S310" i="17"/>
  <c r="L311" i="17"/>
  <c r="M311" i="17"/>
  <c r="S311" i="17"/>
  <c r="L312" i="17"/>
  <c r="M312" i="17"/>
  <c r="S312" i="17"/>
  <c r="L313" i="17"/>
  <c r="M313" i="17"/>
  <c r="S313" i="17"/>
  <c r="L314" i="17"/>
  <c r="M314" i="17"/>
  <c r="S314" i="17"/>
  <c r="L315" i="17"/>
  <c r="M315" i="17"/>
  <c r="S315" i="17"/>
  <c r="L316" i="17"/>
  <c r="M316" i="17"/>
  <c r="S316" i="17"/>
  <c r="L317" i="17"/>
  <c r="M317" i="17"/>
  <c r="S317" i="17"/>
  <c r="L318" i="17"/>
  <c r="M318" i="17"/>
  <c r="S318" i="17"/>
  <c r="L319" i="17"/>
  <c r="M319" i="17"/>
  <c r="S319" i="17"/>
  <c r="L320" i="17"/>
  <c r="M320" i="17"/>
  <c r="S320" i="17"/>
  <c r="L321" i="17"/>
  <c r="M321" i="17"/>
  <c r="S321" i="17"/>
  <c r="B257" i="17"/>
  <c r="B258" i="17"/>
  <c r="B259" i="17"/>
  <c r="B260" i="17"/>
  <c r="B261" i="17"/>
  <c r="B262" i="17"/>
  <c r="B263" i="17"/>
  <c r="B264" i="17"/>
  <c r="B265" i="17"/>
  <c r="B266" i="17"/>
  <c r="B267" i="17"/>
  <c r="B268" i="17"/>
  <c r="B269" i="17"/>
  <c r="B270" i="17"/>
  <c r="B271" i="17"/>
  <c r="B272" i="17"/>
  <c r="B273" i="17"/>
  <c r="B274" i="17"/>
  <c r="B275" i="17"/>
  <c r="B276" i="17"/>
  <c r="B277" i="17"/>
  <c r="B278" i="17"/>
  <c r="B279" i="17"/>
  <c r="B280" i="17"/>
  <c r="B281" i="17"/>
  <c r="B282" i="17"/>
  <c r="B283" i="17"/>
  <c r="B284" i="17"/>
  <c r="B285" i="17"/>
  <c r="B286" i="17"/>
  <c r="B287" i="17"/>
  <c r="B288" i="17"/>
  <c r="B289" i="17"/>
  <c r="B290" i="17"/>
  <c r="B291" i="17"/>
  <c r="B292" i="17"/>
  <c r="B293" i="17"/>
  <c r="B294" i="17"/>
  <c r="B295" i="17"/>
  <c r="B296" i="17"/>
  <c r="B297" i="17"/>
  <c r="B298" i="17"/>
  <c r="B299" i="17"/>
  <c r="B300" i="17"/>
  <c r="B301" i="17"/>
  <c r="B302" i="17"/>
  <c r="B303" i="17"/>
  <c r="B304" i="17"/>
  <c r="B305" i="17"/>
  <c r="B306" i="17"/>
  <c r="B307" i="17"/>
  <c r="B308" i="17"/>
  <c r="B309" i="17"/>
  <c r="B310" i="17"/>
  <c r="B311" i="17"/>
  <c r="B312" i="17"/>
  <c r="B313" i="17"/>
  <c r="B314" i="17"/>
  <c r="B315" i="17"/>
  <c r="B316" i="17"/>
  <c r="B317" i="17"/>
  <c r="B318" i="17"/>
  <c r="B319" i="17"/>
  <c r="B320" i="17"/>
  <c r="B321" i="17"/>
  <c r="AZ61" i="10"/>
  <c r="BE61" i="10"/>
  <c r="BF61" i="10"/>
  <c r="Q36" i="3" s="1"/>
  <c r="BH61" i="10"/>
  <c r="Z36" i="3" s="1"/>
  <c r="BI61" i="10"/>
  <c r="W36" i="3" s="1"/>
  <c r="BJ61" i="10"/>
  <c r="U36" i="3" s="1"/>
  <c r="BK61" i="10"/>
  <c r="AB36" i="3" s="1"/>
  <c r="BL61" i="10"/>
  <c r="AD36" i="3" s="1"/>
  <c r="BM61" i="10"/>
  <c r="AI36" i="3" s="1"/>
  <c r="BN61" i="10"/>
  <c r="AK36" i="3" s="1"/>
  <c r="BO61" i="10"/>
  <c r="BP61" i="10"/>
  <c r="BS61" i="10"/>
  <c r="BT61" i="10" s="1"/>
  <c r="E36" i="9" s="1"/>
  <c r="BU61" i="10"/>
  <c r="M36" i="3" s="1"/>
  <c r="AZ62" i="10"/>
  <c r="BE62" i="10"/>
  <c r="BF62" i="10"/>
  <c r="Q40" i="3" s="1"/>
  <c r="BH62" i="10"/>
  <c r="Z40" i="3" s="1"/>
  <c r="BI62" i="10"/>
  <c r="W40" i="3" s="1"/>
  <c r="BJ62" i="10"/>
  <c r="U40" i="3" s="1"/>
  <c r="BK62" i="10"/>
  <c r="AB40" i="3" s="1"/>
  <c r="BL62" i="10"/>
  <c r="AD40" i="3" s="1"/>
  <c r="BM62" i="10"/>
  <c r="AI40" i="3" s="1"/>
  <c r="BN62" i="10"/>
  <c r="AK40" i="3" s="1"/>
  <c r="BO62" i="10"/>
  <c r="BP62" i="10"/>
  <c r="BS62" i="10"/>
  <c r="BT62" i="10" s="1"/>
  <c r="E40" i="9" s="1"/>
  <c r="BU62" i="10"/>
  <c r="M40" i="3" s="1"/>
  <c r="AZ63" i="10"/>
  <c r="BE63" i="10"/>
  <c r="BF63" i="10"/>
  <c r="Q46" i="3" s="1"/>
  <c r="BH63" i="10"/>
  <c r="Z46" i="3" s="1"/>
  <c r="BI63" i="10"/>
  <c r="W46" i="3" s="1"/>
  <c r="BJ63" i="10"/>
  <c r="U46" i="3" s="1"/>
  <c r="BK63" i="10"/>
  <c r="AB46" i="3" s="1"/>
  <c r="BL63" i="10"/>
  <c r="AD46" i="3" s="1"/>
  <c r="BM63" i="10"/>
  <c r="AI46" i="3" s="1"/>
  <c r="BN63" i="10"/>
  <c r="AK46" i="3" s="1"/>
  <c r="BO63" i="10"/>
  <c r="BP63" i="10"/>
  <c r="BS63" i="10"/>
  <c r="BT63" i="10" s="1"/>
  <c r="E46" i="9" s="1"/>
  <c r="BU63" i="10"/>
  <c r="M46" i="3" s="1"/>
  <c r="AZ64" i="10"/>
  <c r="BE64" i="10"/>
  <c r="BF64" i="10"/>
  <c r="Q58" i="3" s="1"/>
  <c r="BH64" i="10"/>
  <c r="Z58" i="3" s="1"/>
  <c r="BI64" i="10"/>
  <c r="W58" i="3" s="1"/>
  <c r="BJ64" i="10"/>
  <c r="U58" i="3" s="1"/>
  <c r="BK64" i="10"/>
  <c r="AB58" i="3" s="1"/>
  <c r="BL64" i="10"/>
  <c r="AD58" i="3" s="1"/>
  <c r="BM64" i="10"/>
  <c r="AI58" i="3" s="1"/>
  <c r="BN64" i="10"/>
  <c r="AK58" i="3" s="1"/>
  <c r="BO64" i="10"/>
  <c r="BP64" i="10"/>
  <c r="BS64" i="10"/>
  <c r="BT64" i="10" s="1"/>
  <c r="E58" i="9" s="1"/>
  <c r="BU64" i="10"/>
  <c r="M58" i="3" s="1"/>
  <c r="AZ65" i="10"/>
  <c r="BE65" i="10"/>
  <c r="BF65" i="10"/>
  <c r="Q59" i="3" s="1"/>
  <c r="BH65" i="10"/>
  <c r="Z59" i="3" s="1"/>
  <c r="BI65" i="10"/>
  <c r="W59" i="3" s="1"/>
  <c r="BJ65" i="10"/>
  <c r="U59" i="3" s="1"/>
  <c r="BK65" i="10"/>
  <c r="AB59" i="3" s="1"/>
  <c r="BL65" i="10"/>
  <c r="AD59" i="3" s="1"/>
  <c r="BM65" i="10"/>
  <c r="AI59" i="3" s="1"/>
  <c r="BN65" i="10"/>
  <c r="AK59" i="3" s="1"/>
  <c r="BO65" i="10"/>
  <c r="BP65" i="10"/>
  <c r="BS65" i="10"/>
  <c r="BT65" i="10" s="1"/>
  <c r="E59" i="9" s="1"/>
  <c r="BU65" i="10"/>
  <c r="M59" i="3" s="1"/>
  <c r="AZ66" i="10"/>
  <c r="BE66" i="10"/>
  <c r="BF66" i="10"/>
  <c r="Q60" i="3" s="1"/>
  <c r="BH66" i="10"/>
  <c r="Z60" i="3" s="1"/>
  <c r="BI66" i="10"/>
  <c r="W60" i="3" s="1"/>
  <c r="BJ66" i="10"/>
  <c r="U60" i="3" s="1"/>
  <c r="BK66" i="10"/>
  <c r="AB60" i="3" s="1"/>
  <c r="BL66" i="10"/>
  <c r="AD60" i="3" s="1"/>
  <c r="BM66" i="10"/>
  <c r="AI60" i="3" s="1"/>
  <c r="BN66" i="10"/>
  <c r="AK60" i="3" s="1"/>
  <c r="BO66" i="10"/>
  <c r="BP66" i="10"/>
  <c r="BS66" i="10"/>
  <c r="BT66" i="10" s="1"/>
  <c r="E60" i="9" s="1"/>
  <c r="BU66" i="10"/>
  <c r="M60" i="3" s="1"/>
  <c r="AZ67" i="10"/>
  <c r="BE67" i="10"/>
  <c r="BF67" i="10"/>
  <c r="Q64" i="3" s="1"/>
  <c r="BH67" i="10"/>
  <c r="Z64" i="3" s="1"/>
  <c r="BI67" i="10"/>
  <c r="W64" i="3" s="1"/>
  <c r="BJ67" i="10"/>
  <c r="U64" i="3" s="1"/>
  <c r="BK67" i="10"/>
  <c r="AB64" i="3" s="1"/>
  <c r="BL67" i="10"/>
  <c r="AD64" i="3" s="1"/>
  <c r="BM67" i="10"/>
  <c r="AI64" i="3" s="1"/>
  <c r="BN67" i="10"/>
  <c r="AK64" i="3" s="1"/>
  <c r="BO67" i="10"/>
  <c r="BP67" i="10"/>
  <c r="BS67" i="10"/>
  <c r="BT67" i="10" s="1"/>
  <c r="E64" i="9" s="1"/>
  <c r="BU67" i="10"/>
  <c r="M64" i="3" s="1"/>
  <c r="AZ68" i="10"/>
  <c r="BE68" i="10"/>
  <c r="BF68" i="10"/>
  <c r="Q66" i="3" s="1"/>
  <c r="BH68" i="10"/>
  <c r="Z66" i="3" s="1"/>
  <c r="BI68" i="10"/>
  <c r="W66" i="3" s="1"/>
  <c r="BJ68" i="10"/>
  <c r="U66" i="3" s="1"/>
  <c r="BK68" i="10"/>
  <c r="AB66" i="3" s="1"/>
  <c r="BL68" i="10"/>
  <c r="AD66" i="3" s="1"/>
  <c r="BM68" i="10"/>
  <c r="AI66" i="3" s="1"/>
  <c r="BN68" i="10"/>
  <c r="AK66" i="3" s="1"/>
  <c r="BO68" i="10"/>
  <c r="BP68" i="10"/>
  <c r="BS68" i="10"/>
  <c r="BT68" i="10" s="1"/>
  <c r="E66" i="9" s="1"/>
  <c r="BU68" i="10"/>
  <c r="M66" i="3" s="1"/>
  <c r="AZ69" i="10"/>
  <c r="BE69" i="10"/>
  <c r="BF69" i="10"/>
  <c r="Q80" i="3" s="1"/>
  <c r="BH69" i="10"/>
  <c r="Z80" i="3" s="1"/>
  <c r="BI69" i="10"/>
  <c r="W80" i="3" s="1"/>
  <c r="BJ69" i="10"/>
  <c r="U80" i="3" s="1"/>
  <c r="BK69" i="10"/>
  <c r="AB80" i="3" s="1"/>
  <c r="BL69" i="10"/>
  <c r="AD80" i="3" s="1"/>
  <c r="BM69" i="10"/>
  <c r="AI80" i="3" s="1"/>
  <c r="BN69" i="10"/>
  <c r="AK80" i="3" s="1"/>
  <c r="BO69" i="10"/>
  <c r="BP69" i="10"/>
  <c r="BS69" i="10"/>
  <c r="BT69" i="10" s="1"/>
  <c r="E80" i="9" s="1"/>
  <c r="BU69" i="10"/>
  <c r="M80" i="3" s="1"/>
  <c r="Z95" i="3"/>
  <c r="U95" i="3"/>
  <c r="M95" i="3"/>
  <c r="AZ70" i="10"/>
  <c r="BE70" i="10"/>
  <c r="BF70" i="10"/>
  <c r="Q129" i="3" s="1"/>
  <c r="BH70" i="10"/>
  <c r="Z129" i="3" s="1"/>
  <c r="BI70" i="10"/>
  <c r="W129" i="3" s="1"/>
  <c r="BJ70" i="10"/>
  <c r="U129" i="3" s="1"/>
  <c r="BK70" i="10"/>
  <c r="AB129" i="3" s="1"/>
  <c r="BL70" i="10"/>
  <c r="AD129" i="3" s="1"/>
  <c r="BM70" i="10"/>
  <c r="AI129" i="3" s="1"/>
  <c r="BN70" i="10"/>
  <c r="AK129" i="3" s="1"/>
  <c r="BO70" i="10"/>
  <c r="BP70" i="10"/>
  <c r="BS70" i="10"/>
  <c r="BT70" i="10" s="1"/>
  <c r="E129" i="9" s="1"/>
  <c r="BU70" i="10"/>
  <c r="M129" i="3" s="1"/>
  <c r="AZ71" i="10"/>
  <c r="BE71" i="10"/>
  <c r="BF71" i="10"/>
  <c r="Q133" i="3" s="1"/>
  <c r="BH71" i="10"/>
  <c r="Z133" i="3" s="1"/>
  <c r="BI71" i="10"/>
  <c r="W133" i="3" s="1"/>
  <c r="BJ71" i="10"/>
  <c r="U133" i="3" s="1"/>
  <c r="BK71" i="10"/>
  <c r="AB133" i="3" s="1"/>
  <c r="BL71" i="10"/>
  <c r="AD133" i="3" s="1"/>
  <c r="BM71" i="10"/>
  <c r="AI133" i="3" s="1"/>
  <c r="BN71" i="10"/>
  <c r="AK133" i="3" s="1"/>
  <c r="BO71" i="10"/>
  <c r="BP71" i="10"/>
  <c r="BS71" i="10"/>
  <c r="BT71" i="10" s="1"/>
  <c r="E133" i="9" s="1"/>
  <c r="BU71" i="10"/>
  <c r="M133" i="3" s="1"/>
  <c r="AZ72" i="10"/>
  <c r="BE72" i="10"/>
  <c r="BF72" i="10"/>
  <c r="Q138" i="3" s="1"/>
  <c r="BH72" i="10"/>
  <c r="Z138" i="3" s="1"/>
  <c r="BI72" i="10"/>
  <c r="W138" i="3" s="1"/>
  <c r="BJ72" i="10"/>
  <c r="U138" i="3" s="1"/>
  <c r="BK72" i="10"/>
  <c r="AB138" i="3" s="1"/>
  <c r="BL72" i="10"/>
  <c r="AD138" i="3" s="1"/>
  <c r="BM72" i="10"/>
  <c r="AI138" i="3" s="1"/>
  <c r="BN72" i="10"/>
  <c r="AK138" i="3" s="1"/>
  <c r="BO72" i="10"/>
  <c r="BP72" i="10"/>
  <c r="BS72" i="10"/>
  <c r="BT72" i="10" s="1"/>
  <c r="E138" i="9" s="1"/>
  <c r="BU72" i="10"/>
  <c r="M138" i="3" s="1"/>
  <c r="AZ73" i="10"/>
  <c r="BE73" i="10"/>
  <c r="BF73" i="10"/>
  <c r="Q142" i="3" s="1"/>
  <c r="BH73" i="10"/>
  <c r="Z142" i="3" s="1"/>
  <c r="BI73" i="10"/>
  <c r="W142" i="3" s="1"/>
  <c r="BJ73" i="10"/>
  <c r="U142" i="3" s="1"/>
  <c r="BK73" i="10"/>
  <c r="AB142" i="3" s="1"/>
  <c r="BL73" i="10"/>
  <c r="AD142" i="3" s="1"/>
  <c r="BM73" i="10"/>
  <c r="AI142" i="3" s="1"/>
  <c r="BN73" i="10"/>
  <c r="AK142" i="3" s="1"/>
  <c r="BO73" i="10"/>
  <c r="BP73" i="10"/>
  <c r="BS73" i="10"/>
  <c r="BT73" i="10" s="1"/>
  <c r="E142" i="9" s="1"/>
  <c r="BU73" i="10"/>
  <c r="M142" i="3" s="1"/>
  <c r="Q154" i="3"/>
  <c r="Z154" i="3"/>
  <c r="W154" i="3"/>
  <c r="U154" i="3"/>
  <c r="AB154" i="3"/>
  <c r="AD154" i="3"/>
  <c r="AI154" i="3"/>
  <c r="AK154" i="3"/>
  <c r="M154" i="3"/>
  <c r="AZ74" i="10"/>
  <c r="BE74" i="10"/>
  <c r="BF74" i="10"/>
  <c r="Q158" i="3" s="1"/>
  <c r="BH74" i="10"/>
  <c r="Z158" i="3" s="1"/>
  <c r="BI74" i="10"/>
  <c r="W158" i="3" s="1"/>
  <c r="BJ74" i="10"/>
  <c r="U158" i="3" s="1"/>
  <c r="BK74" i="10"/>
  <c r="AB158" i="3" s="1"/>
  <c r="BL74" i="10"/>
  <c r="AD158" i="3" s="1"/>
  <c r="BM74" i="10"/>
  <c r="AI158" i="3" s="1"/>
  <c r="BN74" i="10"/>
  <c r="AK158" i="3" s="1"/>
  <c r="BO74" i="10"/>
  <c r="BP74" i="10"/>
  <c r="BS74" i="10"/>
  <c r="BT74" i="10" s="1"/>
  <c r="E158" i="9" s="1"/>
  <c r="BU74" i="10"/>
  <c r="M158" i="3" s="1"/>
  <c r="AZ75" i="10"/>
  <c r="BE75" i="10"/>
  <c r="BF75" i="10"/>
  <c r="Q161" i="3" s="1"/>
  <c r="BH75" i="10"/>
  <c r="Z161" i="3" s="1"/>
  <c r="BI75" i="10"/>
  <c r="W161" i="3" s="1"/>
  <c r="BJ75" i="10"/>
  <c r="U161" i="3" s="1"/>
  <c r="BK75" i="10"/>
  <c r="AB161" i="3" s="1"/>
  <c r="BL75" i="10"/>
  <c r="AD161" i="3" s="1"/>
  <c r="BM75" i="10"/>
  <c r="AI161" i="3" s="1"/>
  <c r="BN75" i="10"/>
  <c r="AK161" i="3" s="1"/>
  <c r="BO75" i="10"/>
  <c r="BP75" i="10"/>
  <c r="BS75" i="10"/>
  <c r="BT75" i="10" s="1"/>
  <c r="E161" i="9" s="1"/>
  <c r="BU75" i="10"/>
  <c r="M161" i="3" s="1"/>
  <c r="AZ76" i="10"/>
  <c r="BE76" i="10"/>
  <c r="BF76" i="10"/>
  <c r="Q182" i="3" s="1"/>
  <c r="BH76" i="10"/>
  <c r="Z182" i="3" s="1"/>
  <c r="BI76" i="10"/>
  <c r="W182" i="3" s="1"/>
  <c r="BJ76" i="10"/>
  <c r="U182" i="3" s="1"/>
  <c r="BK76" i="10"/>
  <c r="AB182" i="3" s="1"/>
  <c r="BL76" i="10"/>
  <c r="AD182" i="3" s="1"/>
  <c r="BM76" i="10"/>
  <c r="AI182" i="3" s="1"/>
  <c r="BN76" i="10"/>
  <c r="AK182" i="3" s="1"/>
  <c r="BO76" i="10"/>
  <c r="BP76" i="10"/>
  <c r="BS76" i="10"/>
  <c r="BT76" i="10" s="1"/>
  <c r="E182" i="9" s="1"/>
  <c r="BU76" i="10"/>
  <c r="M182" i="3" s="1"/>
  <c r="AZ77" i="10"/>
  <c r="BE77" i="10"/>
  <c r="BF77" i="10"/>
  <c r="Q208" i="3" s="1"/>
  <c r="BH77" i="10"/>
  <c r="Z208" i="3" s="1"/>
  <c r="BI77" i="10"/>
  <c r="W208" i="3" s="1"/>
  <c r="BJ77" i="10"/>
  <c r="U208" i="3" s="1"/>
  <c r="BK77" i="10"/>
  <c r="AB208" i="3" s="1"/>
  <c r="BL77" i="10"/>
  <c r="AD208" i="3" s="1"/>
  <c r="BM77" i="10"/>
  <c r="AI208" i="3" s="1"/>
  <c r="BN77" i="10"/>
  <c r="AK208" i="3" s="1"/>
  <c r="BO77" i="10"/>
  <c r="BP77" i="10"/>
  <c r="BS77" i="10"/>
  <c r="BT77" i="10" s="1"/>
  <c r="E208" i="9" s="1"/>
  <c r="BU77" i="10"/>
  <c r="M208" i="3" s="1"/>
  <c r="Q214" i="3"/>
  <c r="Z214" i="3"/>
  <c r="W214" i="3"/>
  <c r="U214" i="3"/>
  <c r="AB214" i="3"/>
  <c r="AD214" i="3"/>
  <c r="AI214" i="3"/>
  <c r="AK214" i="3"/>
  <c r="M214" i="3"/>
  <c r="AZ78" i="10"/>
  <c r="BE78" i="10"/>
  <c r="BF78" i="10"/>
  <c r="Q233" i="3" s="1"/>
  <c r="BH78" i="10"/>
  <c r="Z233" i="3" s="1"/>
  <c r="BI78" i="10"/>
  <c r="W233" i="3" s="1"/>
  <c r="BJ78" i="10"/>
  <c r="U233" i="3" s="1"/>
  <c r="BK78" i="10"/>
  <c r="AB233" i="3" s="1"/>
  <c r="BL78" i="10"/>
  <c r="AD233" i="3" s="1"/>
  <c r="BM78" i="10"/>
  <c r="AI233" i="3" s="1"/>
  <c r="BN78" i="10"/>
  <c r="AK233" i="3" s="1"/>
  <c r="BO78" i="10"/>
  <c r="BP78" i="10"/>
  <c r="BS78" i="10"/>
  <c r="BT78" i="10" s="1"/>
  <c r="E233" i="9" s="1"/>
  <c r="BU78" i="10"/>
  <c r="M233" i="3" s="1"/>
  <c r="Q236" i="3"/>
  <c r="Z236" i="3"/>
  <c r="W236" i="3"/>
  <c r="U236" i="3"/>
  <c r="AB236" i="3"/>
  <c r="AD236" i="3"/>
  <c r="AI236" i="3"/>
  <c r="AK236" i="3"/>
  <c r="M236" i="3"/>
  <c r="AZ79" i="10"/>
  <c r="BE79" i="10"/>
  <c r="BF79" i="10"/>
  <c r="Q243" i="3" s="1"/>
  <c r="BH79" i="10"/>
  <c r="Z243" i="3" s="1"/>
  <c r="BI79" i="10"/>
  <c r="W243" i="3" s="1"/>
  <c r="BJ79" i="10"/>
  <c r="U243" i="3" s="1"/>
  <c r="BK79" i="10"/>
  <c r="AB243" i="3" s="1"/>
  <c r="BL79" i="10"/>
  <c r="AD243" i="3" s="1"/>
  <c r="BM79" i="10"/>
  <c r="AI243" i="3" s="1"/>
  <c r="BN79" i="10"/>
  <c r="AK243" i="3" s="1"/>
  <c r="BO79" i="10"/>
  <c r="BP79" i="10"/>
  <c r="BS79" i="10"/>
  <c r="BT79" i="10" s="1"/>
  <c r="E243" i="9" s="1"/>
  <c r="BU79" i="10"/>
  <c r="M243" i="3" s="1"/>
  <c r="N281" i="17" l="1"/>
  <c r="O281" i="17" s="1"/>
  <c r="N265" i="17"/>
  <c r="O265" i="17" s="1"/>
  <c r="N257" i="17"/>
  <c r="O257" i="17" s="1"/>
  <c r="N274" i="17"/>
  <c r="P274" i="17" s="1"/>
  <c r="N266" i="17"/>
  <c r="O266" i="17" s="1"/>
  <c r="N258" i="17"/>
  <c r="P258" i="17" s="1"/>
  <c r="N285" i="17"/>
  <c r="O285" i="17" s="1"/>
  <c r="N277" i="17"/>
  <c r="O277" i="17" s="1"/>
  <c r="N261" i="17"/>
  <c r="O261" i="17" s="1"/>
  <c r="N320" i="17"/>
  <c r="O320" i="17" s="1"/>
  <c r="N313" i="17"/>
  <c r="O313" i="17" s="1"/>
  <c r="N299" i="17"/>
  <c r="O299" i="17" s="1"/>
  <c r="N321" i="17"/>
  <c r="P321" i="17" s="1"/>
  <c r="N314" i="17"/>
  <c r="P314" i="17" s="1"/>
  <c r="N300" i="17"/>
  <c r="P300" i="17" s="1"/>
  <c r="N312" i="17"/>
  <c r="O312" i="17" s="1"/>
  <c r="N298" i="17"/>
  <c r="O298" i="17" s="1"/>
  <c r="N282" i="17"/>
  <c r="O282" i="17" s="1"/>
  <c r="N318" i="17"/>
  <c r="O318" i="17" s="1"/>
  <c r="N305" i="17"/>
  <c r="O305" i="17" s="1"/>
  <c r="N291" i="17"/>
  <c r="O291" i="17" s="1"/>
  <c r="N295" i="17"/>
  <c r="O295" i="17" s="1"/>
  <c r="N288" i="17"/>
  <c r="O288" i="17" s="1"/>
  <c r="N280" i="17"/>
  <c r="O280" i="17" s="1"/>
  <c r="N259" i="17"/>
  <c r="O259" i="17" s="1"/>
  <c r="N319" i="17"/>
  <c r="P319" i="17" s="1"/>
  <c r="N309" i="17"/>
  <c r="O309" i="17" s="1"/>
  <c r="N304" i="17"/>
  <c r="P304" i="17" s="1"/>
  <c r="N279" i="17"/>
  <c r="P279" i="17" s="1"/>
  <c r="N306" i="17"/>
  <c r="O306" i="17" s="1"/>
  <c r="N290" i="17"/>
  <c r="O290" i="17" s="1"/>
  <c r="N273" i="17"/>
  <c r="O273" i="17" s="1"/>
  <c r="N263" i="17"/>
  <c r="O263" i="17" s="1"/>
  <c r="N303" i="17"/>
  <c r="P303" i="17" s="1"/>
  <c r="N292" i="17"/>
  <c r="O292" i="17" s="1"/>
  <c r="N275" i="17"/>
  <c r="P275" i="17" s="1"/>
  <c r="N272" i="17"/>
  <c r="O272" i="17" s="1"/>
  <c r="N317" i="17"/>
  <c r="O317" i="17" s="1"/>
  <c r="N289" i="17"/>
  <c r="O289" i="17" s="1"/>
  <c r="N269" i="17"/>
  <c r="O269" i="17" s="1"/>
  <c r="N316" i="17"/>
  <c r="O316" i="17" s="1"/>
  <c r="N307" i="17"/>
  <c r="O307" i="17" s="1"/>
  <c r="N302" i="17"/>
  <c r="O302" i="17" s="1"/>
  <c r="N293" i="17"/>
  <c r="P293" i="17" s="1"/>
  <c r="N283" i="17"/>
  <c r="P283" i="17" s="1"/>
  <c r="N276" i="17"/>
  <c r="O276" i="17" s="1"/>
  <c r="N267" i="17"/>
  <c r="P267" i="17" s="1"/>
  <c r="N260" i="17"/>
  <c r="O260" i="17" s="1"/>
  <c r="N278" i="17"/>
  <c r="P278" i="17" s="1"/>
  <c r="N262" i="17"/>
  <c r="O262" i="17" s="1"/>
  <c r="N311" i="17"/>
  <c r="O311" i="17" s="1"/>
  <c r="N297" i="17"/>
  <c r="O297" i="17" s="1"/>
  <c r="N287" i="17"/>
  <c r="O287" i="17" s="1"/>
  <c r="N271" i="17"/>
  <c r="O271" i="17" s="1"/>
  <c r="N264" i="17"/>
  <c r="O264" i="17" s="1"/>
  <c r="N315" i="17"/>
  <c r="P315" i="17" s="1"/>
  <c r="N308" i="17"/>
  <c r="O308" i="17" s="1"/>
  <c r="N301" i="17"/>
  <c r="P301" i="17" s="1"/>
  <c r="N294" i="17"/>
  <c r="P294" i="17" s="1"/>
  <c r="N284" i="17"/>
  <c r="O284" i="17" s="1"/>
  <c r="N268" i="17"/>
  <c r="O268" i="17" s="1"/>
  <c r="N310" i="17"/>
  <c r="P310" i="17" s="1"/>
  <c r="N296" i="17"/>
  <c r="P296" i="17" s="1"/>
  <c r="N286" i="17"/>
  <c r="O286" i="17" s="1"/>
  <c r="N270" i="17"/>
  <c r="O270" i="17" s="1"/>
  <c r="L234" i="17"/>
  <c r="M234" i="17"/>
  <c r="S234" i="17"/>
  <c r="L235" i="17"/>
  <c r="M235" i="17"/>
  <c r="S235" i="17"/>
  <c r="L236" i="17"/>
  <c r="M236" i="17"/>
  <c r="S236" i="17"/>
  <c r="L237" i="17"/>
  <c r="M237" i="17"/>
  <c r="S237" i="17"/>
  <c r="L238" i="17"/>
  <c r="M238" i="17"/>
  <c r="S238" i="17"/>
  <c r="L239" i="17"/>
  <c r="M239" i="17"/>
  <c r="S239" i="17"/>
  <c r="L240" i="17"/>
  <c r="M240" i="17"/>
  <c r="S240" i="17"/>
  <c r="L241" i="17"/>
  <c r="M241" i="17"/>
  <c r="S241" i="17"/>
  <c r="L242" i="17"/>
  <c r="M242" i="17"/>
  <c r="S242" i="17"/>
  <c r="L243" i="17"/>
  <c r="M243" i="17"/>
  <c r="S243" i="17"/>
  <c r="L244" i="17"/>
  <c r="M244" i="17"/>
  <c r="S244" i="17"/>
  <c r="L245" i="17"/>
  <c r="M245" i="17"/>
  <c r="S245" i="17"/>
  <c r="L246" i="17"/>
  <c r="M246" i="17"/>
  <c r="S246" i="17"/>
  <c r="L247" i="17"/>
  <c r="M247" i="17"/>
  <c r="S247" i="17"/>
  <c r="L248" i="17"/>
  <c r="M248" i="17"/>
  <c r="S248" i="17"/>
  <c r="L249" i="17"/>
  <c r="M249" i="17"/>
  <c r="S249" i="17"/>
  <c r="L250" i="17"/>
  <c r="M250" i="17"/>
  <c r="S250" i="17"/>
  <c r="L251" i="17"/>
  <c r="M251" i="17"/>
  <c r="S251" i="17"/>
  <c r="L252" i="17"/>
  <c r="M252" i="17"/>
  <c r="S252" i="17"/>
  <c r="L253" i="17"/>
  <c r="M253" i="17"/>
  <c r="S253" i="17"/>
  <c r="L254" i="17"/>
  <c r="M254" i="17"/>
  <c r="S254" i="17"/>
  <c r="L255" i="17"/>
  <c r="M255" i="17"/>
  <c r="S255" i="17"/>
  <c r="L256" i="17"/>
  <c r="M256" i="17"/>
  <c r="S256" i="17"/>
  <c r="B234" i="17"/>
  <c r="B235" i="17"/>
  <c r="B236" i="17"/>
  <c r="B237" i="17"/>
  <c r="B238" i="17"/>
  <c r="B239" i="17"/>
  <c r="B240" i="17"/>
  <c r="B241" i="17"/>
  <c r="B242" i="17"/>
  <c r="B243" i="17"/>
  <c r="B244" i="17"/>
  <c r="B245" i="17"/>
  <c r="B246" i="17"/>
  <c r="B247" i="17"/>
  <c r="B248" i="17"/>
  <c r="B249" i="17"/>
  <c r="B250" i="17"/>
  <c r="B251" i="17"/>
  <c r="B252" i="17"/>
  <c r="B253" i="17"/>
  <c r="B254" i="17"/>
  <c r="B255" i="17"/>
  <c r="B256" i="17"/>
  <c r="AZ60" i="10"/>
  <c r="BE60" i="10"/>
  <c r="BF60" i="10"/>
  <c r="Q245" i="3" s="1"/>
  <c r="BH60" i="10"/>
  <c r="Z245" i="3" s="1"/>
  <c r="BI60" i="10"/>
  <c r="W245" i="3" s="1"/>
  <c r="BJ60" i="10"/>
  <c r="U245" i="3" s="1"/>
  <c r="BK60" i="10"/>
  <c r="AB245" i="3" s="1"/>
  <c r="BL60" i="10"/>
  <c r="AD245" i="3" s="1"/>
  <c r="BM60" i="10"/>
  <c r="AI245" i="3" s="1"/>
  <c r="BN60" i="10"/>
  <c r="AK245" i="3" s="1"/>
  <c r="BO60" i="10"/>
  <c r="BP60" i="10"/>
  <c r="BS60" i="10"/>
  <c r="BT60" i="10" s="1"/>
  <c r="E245" i="9" s="1"/>
  <c r="BU60" i="10"/>
  <c r="M245" i="3" s="1"/>
  <c r="AZ56" i="10"/>
  <c r="BE56" i="10"/>
  <c r="BF56" i="10"/>
  <c r="Q16" i="3" s="1"/>
  <c r="BH56" i="10"/>
  <c r="Z16" i="3" s="1"/>
  <c r="BI56" i="10"/>
  <c r="W16" i="3" s="1"/>
  <c r="BJ56" i="10"/>
  <c r="U16" i="3" s="1"/>
  <c r="BK56" i="10"/>
  <c r="AB16" i="3" s="1"/>
  <c r="BL56" i="10"/>
  <c r="AD16" i="3" s="1"/>
  <c r="BM56" i="10"/>
  <c r="AI16" i="3" s="1"/>
  <c r="BN56" i="10"/>
  <c r="AK16" i="3" s="1"/>
  <c r="BO56" i="10"/>
  <c r="BP56" i="10"/>
  <c r="BS56" i="10"/>
  <c r="BT56" i="10" s="1"/>
  <c r="E16" i="9" s="1"/>
  <c r="BU56" i="10"/>
  <c r="M16" i="3" s="1"/>
  <c r="AZ57" i="10"/>
  <c r="BE57" i="10"/>
  <c r="BF57" i="10"/>
  <c r="Q22" i="3" s="1"/>
  <c r="BH57" i="10"/>
  <c r="Z22" i="3" s="1"/>
  <c r="BI57" i="10"/>
  <c r="W22" i="3" s="1"/>
  <c r="BJ57" i="10"/>
  <c r="U22" i="3" s="1"/>
  <c r="BK57" i="10"/>
  <c r="AB22" i="3" s="1"/>
  <c r="BL57" i="10"/>
  <c r="AD22" i="3" s="1"/>
  <c r="BM57" i="10"/>
  <c r="AI22" i="3" s="1"/>
  <c r="BN57" i="10"/>
  <c r="AK22" i="3" s="1"/>
  <c r="BO57" i="10"/>
  <c r="BP57" i="10"/>
  <c r="BS57" i="10"/>
  <c r="BT57" i="10" s="1"/>
  <c r="E22" i="9" s="1"/>
  <c r="BU57" i="10"/>
  <c r="M22" i="3" s="1"/>
  <c r="AZ58" i="10"/>
  <c r="BE58" i="10"/>
  <c r="BF58" i="10"/>
  <c r="Q49" i="3" s="1"/>
  <c r="BH58" i="10"/>
  <c r="Z49" i="3" s="1"/>
  <c r="BI58" i="10"/>
  <c r="W49" i="3" s="1"/>
  <c r="BJ58" i="10"/>
  <c r="U49" i="3" s="1"/>
  <c r="BK58" i="10"/>
  <c r="AB49" i="3" s="1"/>
  <c r="BL58" i="10"/>
  <c r="AD49" i="3" s="1"/>
  <c r="BM58" i="10"/>
  <c r="AI49" i="3" s="1"/>
  <c r="BN58" i="10"/>
  <c r="AK49" i="3" s="1"/>
  <c r="BO58" i="10"/>
  <c r="BP58" i="10"/>
  <c r="BS58" i="10"/>
  <c r="BT58" i="10" s="1"/>
  <c r="E49" i="9" s="1"/>
  <c r="BU58" i="10"/>
  <c r="M49" i="3" s="1"/>
  <c r="AZ59" i="10"/>
  <c r="BE59" i="10"/>
  <c r="BF59" i="10"/>
  <c r="Q174" i="3" s="1"/>
  <c r="BH59" i="10"/>
  <c r="Z174" i="3" s="1"/>
  <c r="BI59" i="10"/>
  <c r="W174" i="3" s="1"/>
  <c r="BJ59" i="10"/>
  <c r="U174" i="3" s="1"/>
  <c r="BK59" i="10"/>
  <c r="AB174" i="3" s="1"/>
  <c r="BL59" i="10"/>
  <c r="AD174" i="3" s="1"/>
  <c r="BM59" i="10"/>
  <c r="AI174" i="3" s="1"/>
  <c r="BN59" i="10"/>
  <c r="AK174" i="3" s="1"/>
  <c r="BO59" i="10"/>
  <c r="BP59" i="10"/>
  <c r="BS59" i="10"/>
  <c r="BT59" i="10" s="1"/>
  <c r="E174" i="9" s="1"/>
  <c r="BU59" i="10"/>
  <c r="M174" i="3" s="1"/>
  <c r="Q225" i="3"/>
  <c r="Z225" i="3"/>
  <c r="W225" i="3"/>
  <c r="U225" i="3"/>
  <c r="AB225" i="3"/>
  <c r="AD225" i="3"/>
  <c r="AI225" i="3"/>
  <c r="AK225" i="3"/>
  <c r="M225" i="3"/>
  <c r="P266" i="17" l="1"/>
  <c r="Q266" i="17" s="1"/>
  <c r="P281" i="17"/>
  <c r="Q281" i="17" s="1"/>
  <c r="P277" i="17"/>
  <c r="Q277" i="17" s="1"/>
  <c r="P305" i="17"/>
  <c r="Q305" i="17" s="1"/>
  <c r="P288" i="17"/>
  <c r="Q288" i="17" s="1"/>
  <c r="P309" i="17"/>
  <c r="Q309" i="17" s="1"/>
  <c r="P257" i="17"/>
  <c r="Q257" i="17" s="1"/>
  <c r="P265" i="17"/>
  <c r="Q265" i="17" s="1"/>
  <c r="P313" i="17"/>
  <c r="Q313" i="17" s="1"/>
  <c r="O304" i="17"/>
  <c r="Q304" i="17" s="1"/>
  <c r="O275" i="17"/>
  <c r="Q275" i="17" s="1"/>
  <c r="P285" i="17"/>
  <c r="Q285" i="17" s="1"/>
  <c r="O274" i="17"/>
  <c r="Q274" i="17" s="1"/>
  <c r="P286" i="17"/>
  <c r="Q286" i="17" s="1"/>
  <c r="P270" i="17"/>
  <c r="Q270" i="17" s="1"/>
  <c r="O321" i="17"/>
  <c r="Q321" i="17" s="1"/>
  <c r="P268" i="17"/>
  <c r="Q268" i="17" s="1"/>
  <c r="P261" i="17"/>
  <c r="Q261" i="17" s="1"/>
  <c r="O283" i="17"/>
  <c r="Q283" i="17" s="1"/>
  <c r="P259" i="17"/>
  <c r="Q259" i="17" s="1"/>
  <c r="O258" i="17"/>
  <c r="Q258" i="17" s="1"/>
  <c r="P292" i="17"/>
  <c r="Q292" i="17" s="1"/>
  <c r="P307" i="17"/>
  <c r="Q307" i="17" s="1"/>
  <c r="O300" i="17"/>
  <c r="Q300" i="17" s="1"/>
  <c r="O319" i="17"/>
  <c r="Q319" i="17" s="1"/>
  <c r="O278" i="17"/>
  <c r="Q278" i="17" s="1"/>
  <c r="P289" i="17"/>
  <c r="Q289" i="17" s="1"/>
  <c r="P320" i="17"/>
  <c r="Q320" i="17" s="1"/>
  <c r="P318" i="17"/>
  <c r="Q318" i="17" s="1"/>
  <c r="O314" i="17"/>
  <c r="Q314" i="17" s="1"/>
  <c r="P273" i="17"/>
  <c r="Q273" i="17" s="1"/>
  <c r="P280" i="17"/>
  <c r="Q280" i="17" s="1"/>
  <c r="P263" i="17"/>
  <c r="Q263" i="17" s="1"/>
  <c r="P299" i="17"/>
  <c r="Q299" i="17" s="1"/>
  <c r="P295" i="17"/>
  <c r="Q295" i="17" s="1"/>
  <c r="P282" i="17"/>
  <c r="Q282" i="17" s="1"/>
  <c r="P297" i="17"/>
  <c r="Q297" i="17" s="1"/>
  <c r="P306" i="17"/>
  <c r="Q306" i="17" s="1"/>
  <c r="O296" i="17"/>
  <c r="Q296" i="17" s="1"/>
  <c r="P311" i="17"/>
  <c r="Q311" i="17" s="1"/>
  <c r="P272" i="17"/>
  <c r="Q272" i="17" s="1"/>
  <c r="P308" i="17"/>
  <c r="Q308" i="17" s="1"/>
  <c r="P298" i="17"/>
  <c r="Q298" i="17" s="1"/>
  <c r="O315" i="17"/>
  <c r="Q315" i="17" s="1"/>
  <c r="P312" i="17"/>
  <c r="Q312" i="17" s="1"/>
  <c r="O310" i="17"/>
  <c r="Q310" i="17" s="1"/>
  <c r="P291" i="17"/>
  <c r="Q291" i="17" s="1"/>
  <c r="P317" i="17"/>
  <c r="Q317" i="17" s="1"/>
  <c r="P316" i="17"/>
  <c r="Q316" i="17" s="1"/>
  <c r="P260" i="17"/>
  <c r="Q260" i="17" s="1"/>
  <c r="P276" i="17"/>
  <c r="Q276" i="17" s="1"/>
  <c r="P290" i="17"/>
  <c r="Q290" i="17" s="1"/>
  <c r="P262" i="17"/>
  <c r="Q262" i="17" s="1"/>
  <c r="P287" i="17"/>
  <c r="Q287" i="17" s="1"/>
  <c r="O279" i="17"/>
  <c r="Q279" i="17" s="1"/>
  <c r="O303" i="17"/>
  <c r="Q303" i="17" s="1"/>
  <c r="P269" i="17"/>
  <c r="Q269" i="17" s="1"/>
  <c r="O294" i="17"/>
  <c r="Q294" i="17" s="1"/>
  <c r="O301" i="17"/>
  <c r="Q301" i="17" s="1"/>
  <c r="P264" i="17"/>
  <c r="Q264" i="17" s="1"/>
  <c r="O267" i="17"/>
  <c r="Q267" i="17" s="1"/>
  <c r="O293" i="17"/>
  <c r="Q293" i="17" s="1"/>
  <c r="P284" i="17"/>
  <c r="Q284" i="17" s="1"/>
  <c r="P302" i="17"/>
  <c r="Q302" i="17" s="1"/>
  <c r="P271" i="17"/>
  <c r="Q271" i="17" s="1"/>
  <c r="N237" i="17"/>
  <c r="O237" i="17" s="1"/>
  <c r="N236" i="17"/>
  <c r="O236" i="17" s="1"/>
  <c r="N253" i="17"/>
  <c r="O253" i="17" s="1"/>
  <c r="N245" i="17"/>
  <c r="O245" i="17" s="1"/>
  <c r="N246" i="17"/>
  <c r="P246" i="17" s="1"/>
  <c r="N250" i="17"/>
  <c r="O250" i="17" s="1"/>
  <c r="N234" i="17"/>
  <c r="O234" i="17" s="1"/>
  <c r="N243" i="17"/>
  <c r="O243" i="17" s="1"/>
  <c r="N241" i="17"/>
  <c r="P241" i="17" s="1"/>
  <c r="N238" i="17"/>
  <c r="O238" i="17" s="1"/>
  <c r="N240" i="17"/>
  <c r="O240" i="17" s="1"/>
  <c r="N235" i="17"/>
  <c r="O235" i="17" s="1"/>
  <c r="N247" i="17"/>
  <c r="P247" i="17" s="1"/>
  <c r="N242" i="17"/>
  <c r="O242" i="17" s="1"/>
  <c r="N254" i="17"/>
  <c r="P254" i="17" s="1"/>
  <c r="N252" i="17"/>
  <c r="P252" i="17" s="1"/>
  <c r="N256" i="17"/>
  <c r="P256" i="17" s="1"/>
  <c r="N249" i="17"/>
  <c r="O249" i="17" s="1"/>
  <c r="N251" i="17"/>
  <c r="O251" i="17" s="1"/>
  <c r="N244" i="17"/>
  <c r="O244" i="17" s="1"/>
  <c r="N239" i="17"/>
  <c r="P239" i="17" s="1"/>
  <c r="N255" i="17"/>
  <c r="O255" i="17" s="1"/>
  <c r="N248" i="17"/>
  <c r="O248" i="17" s="1"/>
  <c r="L231" i="17"/>
  <c r="M231" i="17"/>
  <c r="S231" i="17"/>
  <c r="L232" i="17"/>
  <c r="M232" i="17"/>
  <c r="S232" i="17"/>
  <c r="L233" i="17"/>
  <c r="M233" i="17"/>
  <c r="S233" i="17"/>
  <c r="B231" i="17"/>
  <c r="B232" i="17"/>
  <c r="B233" i="17"/>
  <c r="AZ55" i="10"/>
  <c r="BE55" i="10"/>
  <c r="BF55" i="10"/>
  <c r="Q277" i="3" s="1"/>
  <c r="BH55" i="10"/>
  <c r="Z277" i="3" s="1"/>
  <c r="BI55" i="10"/>
  <c r="W277" i="3" s="1"/>
  <c r="BJ55" i="10"/>
  <c r="U277" i="3" s="1"/>
  <c r="BK55" i="10"/>
  <c r="AB277" i="3" s="1"/>
  <c r="BL55" i="10"/>
  <c r="AD277" i="3" s="1"/>
  <c r="BM55" i="10"/>
  <c r="AI277" i="3" s="1"/>
  <c r="BN55" i="10"/>
  <c r="AK277" i="3" s="1"/>
  <c r="BO55" i="10"/>
  <c r="BP55" i="10"/>
  <c r="BS55" i="10"/>
  <c r="BT55" i="10" s="1"/>
  <c r="E277" i="9" s="1"/>
  <c r="BU55" i="10"/>
  <c r="M277" i="3" s="1"/>
  <c r="P237" i="17" l="1"/>
  <c r="Q237" i="17" s="1"/>
  <c r="P236" i="17"/>
  <c r="Q236" i="17" s="1"/>
  <c r="P253" i="17"/>
  <c r="Q253" i="17" s="1"/>
  <c r="P245" i="17"/>
  <c r="Q245" i="17" s="1"/>
  <c r="P250" i="17"/>
  <c r="Q250" i="17" s="1"/>
  <c r="O246" i="17"/>
  <c r="Q246" i="17" s="1"/>
  <c r="O241" i="17"/>
  <c r="Q241" i="17" s="1"/>
  <c r="O256" i="17"/>
  <c r="Q256" i="17" s="1"/>
  <c r="P248" i="17"/>
  <c r="Q248" i="17" s="1"/>
  <c r="P238" i="17"/>
  <c r="Q238" i="17" s="1"/>
  <c r="P240" i="17"/>
  <c r="Q240" i="17" s="1"/>
  <c r="P243" i="17"/>
  <c r="Q243" i="17" s="1"/>
  <c r="P234" i="17"/>
  <c r="Q234" i="17" s="1"/>
  <c r="O247" i="17"/>
  <c r="Q247" i="17" s="1"/>
  <c r="P235" i="17"/>
  <c r="Q235" i="17" s="1"/>
  <c r="P249" i="17"/>
  <c r="Q249" i="17" s="1"/>
  <c r="O254" i="17"/>
  <c r="Q254" i="17" s="1"/>
  <c r="P242" i="17"/>
  <c r="Q242" i="17" s="1"/>
  <c r="P255" i="17"/>
  <c r="Q255" i="17" s="1"/>
  <c r="P244" i="17"/>
  <c r="Q244" i="17" s="1"/>
  <c r="O252" i="17"/>
  <c r="Q252" i="17" s="1"/>
  <c r="P251" i="17"/>
  <c r="Q251" i="17" s="1"/>
  <c r="O239" i="17"/>
  <c r="Q239" i="17" s="1"/>
  <c r="N231" i="17"/>
  <c r="P231" i="17" s="1"/>
  <c r="N232" i="17"/>
  <c r="O232" i="17" s="1"/>
  <c r="N233" i="17"/>
  <c r="O233" i="17" s="1"/>
  <c r="L230" i="17"/>
  <c r="M230" i="17"/>
  <c r="S230" i="17"/>
  <c r="B230" i="17"/>
  <c r="AZ54" i="10"/>
  <c r="BE54" i="10"/>
  <c r="BF54" i="10"/>
  <c r="Q89" i="3" s="1"/>
  <c r="BH54" i="10"/>
  <c r="Z89" i="3" s="1"/>
  <c r="BI54" i="10"/>
  <c r="W89" i="3" s="1"/>
  <c r="BJ54" i="10"/>
  <c r="U89" i="3" s="1"/>
  <c r="BK54" i="10"/>
  <c r="AB89" i="3" s="1"/>
  <c r="BL54" i="10"/>
  <c r="AD89" i="3" s="1"/>
  <c r="BM54" i="10"/>
  <c r="AI89" i="3" s="1"/>
  <c r="BN54" i="10"/>
  <c r="AK89" i="3" s="1"/>
  <c r="BO54" i="10"/>
  <c r="BP54" i="10"/>
  <c r="BS54" i="10"/>
  <c r="BT54" i="10" s="1"/>
  <c r="E89" i="9" s="1"/>
  <c r="BU54" i="10"/>
  <c r="M89" i="3" s="1"/>
  <c r="O231" i="17" l="1"/>
  <c r="Q231" i="17" s="1"/>
  <c r="P232" i="17"/>
  <c r="Q232" i="17" s="1"/>
  <c r="P233" i="17"/>
  <c r="Q233" i="17" s="1"/>
  <c r="N230" i="17"/>
  <c r="O230" i="17" s="1"/>
  <c r="L226" i="17"/>
  <c r="M226" i="17"/>
  <c r="S226" i="17"/>
  <c r="L227" i="17"/>
  <c r="M227" i="17"/>
  <c r="S227" i="17"/>
  <c r="L228" i="17"/>
  <c r="M228" i="17"/>
  <c r="S228" i="17"/>
  <c r="L229" i="17"/>
  <c r="M229" i="17"/>
  <c r="S229" i="17"/>
  <c r="B226" i="17"/>
  <c r="B227" i="17"/>
  <c r="B228" i="17"/>
  <c r="B229" i="17"/>
  <c r="AZ52" i="10"/>
  <c r="BE52" i="10"/>
  <c r="BF52" i="10"/>
  <c r="Q127" i="3" s="1"/>
  <c r="BH52" i="10"/>
  <c r="Z127" i="3" s="1"/>
  <c r="BI52" i="10"/>
  <c r="W127" i="3" s="1"/>
  <c r="BJ52" i="10"/>
  <c r="U127" i="3" s="1"/>
  <c r="BK52" i="10"/>
  <c r="AB127" i="3" s="1"/>
  <c r="BL52" i="10"/>
  <c r="AD127" i="3" s="1"/>
  <c r="BM52" i="10"/>
  <c r="AI127" i="3" s="1"/>
  <c r="BN52" i="10"/>
  <c r="AK127" i="3" s="1"/>
  <c r="BO52" i="10"/>
  <c r="BP52" i="10"/>
  <c r="BS52" i="10"/>
  <c r="BT52" i="10" s="1"/>
  <c r="E127" i="9" s="1"/>
  <c r="BU52" i="10"/>
  <c r="M127" i="3" s="1"/>
  <c r="AZ53" i="10"/>
  <c r="BE53" i="10"/>
  <c r="BF53" i="10"/>
  <c r="Q173" i="3" s="1"/>
  <c r="BH53" i="10"/>
  <c r="Z173" i="3" s="1"/>
  <c r="BI53" i="10"/>
  <c r="W173" i="3" s="1"/>
  <c r="BJ53" i="10"/>
  <c r="U173" i="3" s="1"/>
  <c r="BK53" i="10"/>
  <c r="AB173" i="3" s="1"/>
  <c r="BL53" i="10"/>
  <c r="AD173" i="3" s="1"/>
  <c r="BM53" i="10"/>
  <c r="AI173" i="3" s="1"/>
  <c r="BN53" i="10"/>
  <c r="AK173" i="3" s="1"/>
  <c r="BO53" i="10"/>
  <c r="BP53" i="10"/>
  <c r="BS53" i="10"/>
  <c r="BT53" i="10" s="1"/>
  <c r="E173" i="9" s="1"/>
  <c r="BU53" i="10"/>
  <c r="M173" i="3" s="1"/>
  <c r="P230" i="17" l="1"/>
  <c r="Q230" i="17" s="1"/>
  <c r="N226" i="17"/>
  <c r="O226" i="17" s="1"/>
  <c r="N229" i="17"/>
  <c r="P229" i="17" s="1"/>
  <c r="N227" i="17"/>
  <c r="O227" i="17" s="1"/>
  <c r="N228" i="17"/>
  <c r="P228" i="17" s="1"/>
  <c r="B213" i="17"/>
  <c r="B214" i="17"/>
  <c r="B215" i="17"/>
  <c r="B216" i="17"/>
  <c r="B217" i="17"/>
  <c r="B218" i="17"/>
  <c r="B219" i="17"/>
  <c r="B220" i="17"/>
  <c r="B221" i="17"/>
  <c r="B222" i="17"/>
  <c r="B223" i="17"/>
  <c r="B224" i="17"/>
  <c r="B225" i="17"/>
  <c r="L213" i="17"/>
  <c r="M213" i="17"/>
  <c r="S213" i="17"/>
  <c r="L214" i="17"/>
  <c r="M214" i="17"/>
  <c r="S214" i="17"/>
  <c r="L215" i="17"/>
  <c r="M215" i="17"/>
  <c r="S215" i="17"/>
  <c r="L216" i="17"/>
  <c r="M216" i="17"/>
  <c r="S216" i="17"/>
  <c r="L217" i="17"/>
  <c r="M217" i="17"/>
  <c r="S217" i="17"/>
  <c r="L218" i="17"/>
  <c r="M218" i="17"/>
  <c r="S218" i="17"/>
  <c r="L219" i="17"/>
  <c r="M219" i="17"/>
  <c r="S219" i="17"/>
  <c r="L220" i="17"/>
  <c r="M220" i="17"/>
  <c r="S220" i="17"/>
  <c r="L221" i="17"/>
  <c r="M221" i="17"/>
  <c r="S221" i="17"/>
  <c r="L222" i="17"/>
  <c r="M222" i="17"/>
  <c r="S222" i="17"/>
  <c r="L223" i="17"/>
  <c r="M223" i="17"/>
  <c r="S223" i="17"/>
  <c r="L224" i="17"/>
  <c r="M224" i="17"/>
  <c r="S224" i="17"/>
  <c r="L225" i="17"/>
  <c r="M225" i="17"/>
  <c r="S225" i="17"/>
  <c r="AZ49" i="10"/>
  <c r="BE49" i="10"/>
  <c r="BF49" i="10"/>
  <c r="Q65" i="3" s="1"/>
  <c r="BH49" i="10"/>
  <c r="Z65" i="3" s="1"/>
  <c r="BI49" i="10"/>
  <c r="W65" i="3" s="1"/>
  <c r="BJ49" i="10"/>
  <c r="U65" i="3" s="1"/>
  <c r="BK49" i="10"/>
  <c r="AB65" i="3" s="1"/>
  <c r="BL49" i="10"/>
  <c r="AD65" i="3" s="1"/>
  <c r="BM49" i="10"/>
  <c r="AI65" i="3" s="1"/>
  <c r="BN49" i="10"/>
  <c r="AK65" i="3" s="1"/>
  <c r="BO49" i="10"/>
  <c r="BP49" i="10"/>
  <c r="BS49" i="10"/>
  <c r="BT49" i="10" s="1"/>
  <c r="E65" i="9" s="1"/>
  <c r="BU49" i="10"/>
  <c r="M65" i="3" s="1"/>
  <c r="Q75" i="3"/>
  <c r="Z75" i="3"/>
  <c r="W75" i="3"/>
  <c r="U75" i="3"/>
  <c r="AB75" i="3"/>
  <c r="AD75" i="3"/>
  <c r="AI75" i="3"/>
  <c r="AK75" i="3"/>
  <c r="M75" i="3"/>
  <c r="AZ50" i="10"/>
  <c r="BE50" i="10"/>
  <c r="BF50" i="10"/>
  <c r="Q83" i="3" s="1"/>
  <c r="BH50" i="10"/>
  <c r="Z83" i="3" s="1"/>
  <c r="BI50" i="10"/>
  <c r="W83" i="3" s="1"/>
  <c r="BJ50" i="10"/>
  <c r="U83" i="3" s="1"/>
  <c r="BK50" i="10"/>
  <c r="AB83" i="3" s="1"/>
  <c r="BL50" i="10"/>
  <c r="AD83" i="3" s="1"/>
  <c r="BM50" i="10"/>
  <c r="AI83" i="3" s="1"/>
  <c r="BN50" i="10"/>
  <c r="AK83" i="3" s="1"/>
  <c r="BO50" i="10"/>
  <c r="BP50" i="10"/>
  <c r="BS50" i="10"/>
  <c r="BT50" i="10" s="1"/>
  <c r="E83" i="9" s="1"/>
  <c r="BU50" i="10"/>
  <c r="M83" i="3" s="1"/>
  <c r="AZ51" i="10"/>
  <c r="BE51" i="10"/>
  <c r="BF51" i="10"/>
  <c r="Q130" i="3" s="1"/>
  <c r="BH51" i="10"/>
  <c r="Z130" i="3" s="1"/>
  <c r="BI51" i="10"/>
  <c r="W130" i="3" s="1"/>
  <c r="BJ51" i="10"/>
  <c r="U130" i="3" s="1"/>
  <c r="BK51" i="10"/>
  <c r="AB130" i="3" s="1"/>
  <c r="BL51" i="10"/>
  <c r="AD130" i="3" s="1"/>
  <c r="BM51" i="10"/>
  <c r="AI130" i="3" s="1"/>
  <c r="BN51" i="10"/>
  <c r="AK130" i="3" s="1"/>
  <c r="BO51" i="10"/>
  <c r="BP51" i="10"/>
  <c r="BS51" i="10"/>
  <c r="BT51" i="10" s="1"/>
  <c r="E130" i="9" s="1"/>
  <c r="BU51" i="10"/>
  <c r="M130" i="3" s="1"/>
  <c r="Q285" i="3"/>
  <c r="Z285" i="3"/>
  <c r="W285" i="3"/>
  <c r="U285" i="3"/>
  <c r="AB285" i="3"/>
  <c r="AD285" i="3"/>
  <c r="AI285" i="3"/>
  <c r="AK285" i="3"/>
  <c r="M285" i="3"/>
  <c r="P226" i="17" l="1"/>
  <c r="Q226" i="17" s="1"/>
  <c r="O229" i="17"/>
  <c r="Q229" i="17" s="1"/>
  <c r="P227" i="17"/>
  <c r="Q227" i="17" s="1"/>
  <c r="O228" i="17"/>
  <c r="Q228" i="17" s="1"/>
  <c r="N219" i="17"/>
  <c r="O219" i="17" s="1"/>
  <c r="N216" i="17"/>
  <c r="O216" i="17" s="1"/>
  <c r="N215" i="17"/>
  <c r="O215" i="17" s="1"/>
  <c r="N218" i="17"/>
  <c r="O218" i="17" s="1"/>
  <c r="N223" i="17"/>
  <c r="P223" i="17" s="1"/>
  <c r="N217" i="17"/>
  <c r="O217" i="17" s="1"/>
  <c r="N225" i="17"/>
  <c r="O225" i="17" s="1"/>
  <c r="N222" i="17"/>
  <c r="O222" i="17" s="1"/>
  <c r="N214" i="17"/>
  <c r="O214" i="17" s="1"/>
  <c r="N224" i="17"/>
  <c r="P224" i="17" s="1"/>
  <c r="N221" i="17"/>
  <c r="P221" i="17" s="1"/>
  <c r="N220" i="17"/>
  <c r="O220" i="17" s="1"/>
  <c r="N213" i="17"/>
  <c r="P213" i="17" s="1"/>
  <c r="L204" i="17"/>
  <c r="M204" i="17"/>
  <c r="S204" i="17"/>
  <c r="L205" i="17"/>
  <c r="M205" i="17"/>
  <c r="S205" i="17"/>
  <c r="L206" i="17"/>
  <c r="M206" i="17"/>
  <c r="S206" i="17"/>
  <c r="L207" i="17"/>
  <c r="M207" i="17"/>
  <c r="S207" i="17"/>
  <c r="L208" i="17"/>
  <c r="M208" i="17"/>
  <c r="S208" i="17"/>
  <c r="L209" i="17"/>
  <c r="M209" i="17"/>
  <c r="S209" i="17"/>
  <c r="L210" i="17"/>
  <c r="M210" i="17"/>
  <c r="S210" i="17"/>
  <c r="L211" i="17"/>
  <c r="M211" i="17"/>
  <c r="S211" i="17"/>
  <c r="L212" i="17"/>
  <c r="M212" i="17"/>
  <c r="S212" i="17"/>
  <c r="B204" i="17"/>
  <c r="B205" i="17"/>
  <c r="B206" i="17"/>
  <c r="B207" i="17"/>
  <c r="B208" i="17"/>
  <c r="B209" i="17"/>
  <c r="B210" i="17"/>
  <c r="B211" i="17"/>
  <c r="B212" i="17"/>
  <c r="AZ46" i="10"/>
  <c r="BE46" i="10"/>
  <c r="BF46" i="10"/>
  <c r="Q90" i="3" s="1"/>
  <c r="BH46" i="10"/>
  <c r="Z90" i="3" s="1"/>
  <c r="BI46" i="10"/>
  <c r="W90" i="3" s="1"/>
  <c r="BJ46" i="10"/>
  <c r="U90" i="3" s="1"/>
  <c r="BK46" i="10"/>
  <c r="AB90" i="3" s="1"/>
  <c r="BL46" i="10"/>
  <c r="AD90" i="3" s="1"/>
  <c r="BM46" i="10"/>
  <c r="AI90" i="3" s="1"/>
  <c r="BN46" i="10"/>
  <c r="AK90" i="3" s="1"/>
  <c r="BO46" i="10"/>
  <c r="BP46" i="10"/>
  <c r="BS46" i="10"/>
  <c r="BT46" i="10" s="1"/>
  <c r="E90" i="9" s="1"/>
  <c r="BU46" i="10"/>
  <c r="M90" i="3" s="1"/>
  <c r="AZ47" i="10"/>
  <c r="BE47" i="10"/>
  <c r="BF47" i="10"/>
  <c r="Q198" i="3" s="1"/>
  <c r="BH47" i="10"/>
  <c r="Z198" i="3" s="1"/>
  <c r="BI47" i="10"/>
  <c r="W198" i="3" s="1"/>
  <c r="BJ47" i="10"/>
  <c r="U198" i="3" s="1"/>
  <c r="BK47" i="10"/>
  <c r="AB198" i="3" s="1"/>
  <c r="BL47" i="10"/>
  <c r="AD198" i="3" s="1"/>
  <c r="BM47" i="10"/>
  <c r="AI198" i="3" s="1"/>
  <c r="BN47" i="10"/>
  <c r="AK198" i="3" s="1"/>
  <c r="BO47" i="10"/>
  <c r="BP47" i="10"/>
  <c r="BS47" i="10"/>
  <c r="BT47" i="10" s="1"/>
  <c r="E198" i="9" s="1"/>
  <c r="BU47" i="10"/>
  <c r="M198" i="3" s="1"/>
  <c r="AZ48" i="10"/>
  <c r="BE48" i="10"/>
  <c r="BF48" i="10"/>
  <c r="Q269" i="3" s="1"/>
  <c r="BH48" i="10"/>
  <c r="Z269" i="3" s="1"/>
  <c r="BI48" i="10"/>
  <c r="W269" i="3" s="1"/>
  <c r="BJ48" i="10"/>
  <c r="U269" i="3" s="1"/>
  <c r="BK48" i="10"/>
  <c r="AB269" i="3" s="1"/>
  <c r="BL48" i="10"/>
  <c r="AD269" i="3" s="1"/>
  <c r="BM48" i="10"/>
  <c r="AI269" i="3" s="1"/>
  <c r="BN48" i="10"/>
  <c r="AK269" i="3" s="1"/>
  <c r="BO48" i="10"/>
  <c r="BP48" i="10"/>
  <c r="BS48" i="10"/>
  <c r="BT48" i="10" s="1"/>
  <c r="E269" i="9" s="1"/>
  <c r="BU48" i="10"/>
  <c r="M269" i="3" s="1"/>
  <c r="P219" i="17" l="1"/>
  <c r="Q219" i="17" s="1"/>
  <c r="O223" i="17"/>
  <c r="Q223" i="17" s="1"/>
  <c r="P216" i="17"/>
  <c r="Q216" i="17" s="1"/>
  <c r="P215" i="17"/>
  <c r="Q215" i="17" s="1"/>
  <c r="O213" i="17"/>
  <c r="Q213" i="17" s="1"/>
  <c r="P222" i="17"/>
  <c r="Q222" i="17" s="1"/>
  <c r="O221" i="17"/>
  <c r="Q221" i="17" s="1"/>
  <c r="O224" i="17"/>
  <c r="Q224" i="17" s="1"/>
  <c r="P218" i="17"/>
  <c r="Q218" i="17" s="1"/>
  <c r="P217" i="17"/>
  <c r="Q217" i="17" s="1"/>
  <c r="P214" i="17"/>
  <c r="Q214" i="17" s="1"/>
  <c r="P225" i="17"/>
  <c r="Q225" i="17" s="1"/>
  <c r="P220" i="17"/>
  <c r="Q220" i="17" s="1"/>
  <c r="N207" i="17"/>
  <c r="O207" i="17" s="1"/>
  <c r="N211" i="17"/>
  <c r="P211" i="17" s="1"/>
  <c r="N210" i="17"/>
  <c r="O210" i="17" s="1"/>
  <c r="N212" i="17"/>
  <c r="O212" i="17" s="1"/>
  <c r="N204" i="17"/>
  <c r="O204" i="17" s="1"/>
  <c r="N206" i="17"/>
  <c r="P206" i="17" s="1"/>
  <c r="N205" i="17"/>
  <c r="O205" i="17" s="1"/>
  <c r="N208" i="17"/>
  <c r="P208" i="17" s="1"/>
  <c r="N209" i="17"/>
  <c r="O209" i="17" s="1"/>
  <c r="L195" i="17"/>
  <c r="M195" i="17"/>
  <c r="S195" i="17"/>
  <c r="L196" i="17"/>
  <c r="M196" i="17"/>
  <c r="S196" i="17"/>
  <c r="L197" i="17"/>
  <c r="M197" i="17"/>
  <c r="S197" i="17"/>
  <c r="L198" i="17"/>
  <c r="M198" i="17"/>
  <c r="S198" i="17"/>
  <c r="L199" i="17"/>
  <c r="M199" i="17"/>
  <c r="S199" i="17"/>
  <c r="L200" i="17"/>
  <c r="M200" i="17"/>
  <c r="S200" i="17"/>
  <c r="L201" i="17"/>
  <c r="M201" i="17"/>
  <c r="S201" i="17"/>
  <c r="L202" i="17"/>
  <c r="M202" i="17"/>
  <c r="S202" i="17"/>
  <c r="L203" i="17"/>
  <c r="M203" i="17"/>
  <c r="S203" i="17"/>
  <c r="B195" i="17"/>
  <c r="B196" i="17"/>
  <c r="B197" i="17"/>
  <c r="B198" i="17"/>
  <c r="B199" i="17"/>
  <c r="B200" i="17"/>
  <c r="B201" i="17"/>
  <c r="B202" i="17"/>
  <c r="B203" i="17"/>
  <c r="AZ44" i="10"/>
  <c r="BE44" i="10"/>
  <c r="BF44" i="10"/>
  <c r="Q272" i="3" s="1"/>
  <c r="BH44" i="10"/>
  <c r="Z272" i="3" s="1"/>
  <c r="BI44" i="10"/>
  <c r="W272" i="3" s="1"/>
  <c r="BJ44" i="10"/>
  <c r="U272" i="3" s="1"/>
  <c r="BK44" i="10"/>
  <c r="AB272" i="3" s="1"/>
  <c r="BL44" i="10"/>
  <c r="AD272" i="3" s="1"/>
  <c r="BM44" i="10"/>
  <c r="AI272" i="3" s="1"/>
  <c r="BN44" i="10"/>
  <c r="AK272" i="3" s="1"/>
  <c r="BO44" i="10"/>
  <c r="BP44" i="10"/>
  <c r="BS44" i="10"/>
  <c r="BT44" i="10" s="1"/>
  <c r="E272" i="9" s="1"/>
  <c r="BU44" i="10"/>
  <c r="M272" i="3" s="1"/>
  <c r="AZ45" i="10"/>
  <c r="BE45" i="10"/>
  <c r="BF45" i="10"/>
  <c r="Q282" i="3" s="1"/>
  <c r="BH45" i="10"/>
  <c r="Z282" i="3" s="1"/>
  <c r="BI45" i="10"/>
  <c r="W282" i="3" s="1"/>
  <c r="BJ45" i="10"/>
  <c r="U282" i="3" s="1"/>
  <c r="BK45" i="10"/>
  <c r="AB282" i="3" s="1"/>
  <c r="BL45" i="10"/>
  <c r="AD282" i="3" s="1"/>
  <c r="BM45" i="10"/>
  <c r="AI282" i="3" s="1"/>
  <c r="BN45" i="10"/>
  <c r="AK282" i="3" s="1"/>
  <c r="BO45" i="10"/>
  <c r="BP45" i="10"/>
  <c r="BS45" i="10"/>
  <c r="BT45" i="10" s="1"/>
  <c r="E282" i="9" s="1"/>
  <c r="BU45" i="10"/>
  <c r="M282" i="3" s="1"/>
  <c r="P207" i="17" l="1"/>
  <c r="Q207" i="17" s="1"/>
  <c r="P210" i="17"/>
  <c r="Q210" i="17" s="1"/>
  <c r="O211" i="17"/>
  <c r="Q211" i="17" s="1"/>
  <c r="P212" i="17"/>
  <c r="Q212" i="17" s="1"/>
  <c r="P204" i="17"/>
  <c r="Q204" i="17" s="1"/>
  <c r="O206" i="17"/>
  <c r="Q206" i="17" s="1"/>
  <c r="P209" i="17"/>
  <c r="Q209" i="17" s="1"/>
  <c r="O208" i="17"/>
  <c r="Q208" i="17" s="1"/>
  <c r="P205" i="17"/>
  <c r="Q205" i="17" s="1"/>
  <c r="N197" i="17"/>
  <c r="P197" i="17" s="1"/>
  <c r="N199" i="17"/>
  <c r="O199" i="17" s="1"/>
  <c r="N196" i="17"/>
  <c r="O196" i="17" s="1"/>
  <c r="N198" i="17"/>
  <c r="O198" i="17" s="1"/>
  <c r="N202" i="17"/>
  <c r="P202" i="17" s="1"/>
  <c r="N201" i="17"/>
  <c r="P201" i="17" s="1"/>
  <c r="N195" i="17"/>
  <c r="P195" i="17" s="1"/>
  <c r="N203" i="17"/>
  <c r="P203" i="17" s="1"/>
  <c r="N200" i="17"/>
  <c r="O200" i="17" s="1"/>
  <c r="L170" i="17"/>
  <c r="M170" i="17"/>
  <c r="S170" i="17"/>
  <c r="L171" i="17"/>
  <c r="M171" i="17"/>
  <c r="S171" i="17"/>
  <c r="L172" i="17"/>
  <c r="M172" i="17"/>
  <c r="S172" i="17"/>
  <c r="L173" i="17"/>
  <c r="M173" i="17"/>
  <c r="S173" i="17"/>
  <c r="L174" i="17"/>
  <c r="M174" i="17"/>
  <c r="S174" i="17"/>
  <c r="L175" i="17"/>
  <c r="M175" i="17"/>
  <c r="S175" i="17"/>
  <c r="L176" i="17"/>
  <c r="M176" i="17"/>
  <c r="S176" i="17"/>
  <c r="L177" i="17"/>
  <c r="M177" i="17"/>
  <c r="S177" i="17"/>
  <c r="L178" i="17"/>
  <c r="M178" i="17"/>
  <c r="S178" i="17"/>
  <c r="L179" i="17"/>
  <c r="M179" i="17"/>
  <c r="S179" i="17"/>
  <c r="L180" i="17"/>
  <c r="M180" i="17"/>
  <c r="S180" i="17"/>
  <c r="L181" i="17"/>
  <c r="M181" i="17"/>
  <c r="S181" i="17"/>
  <c r="L182" i="17"/>
  <c r="M182" i="17"/>
  <c r="S182" i="17"/>
  <c r="L183" i="17"/>
  <c r="M183" i="17"/>
  <c r="S183" i="17"/>
  <c r="L184" i="17"/>
  <c r="M184" i="17"/>
  <c r="S184" i="17"/>
  <c r="L185" i="17"/>
  <c r="M185" i="17"/>
  <c r="S185" i="17"/>
  <c r="L186" i="17"/>
  <c r="M186" i="17"/>
  <c r="S186" i="17"/>
  <c r="L187" i="17"/>
  <c r="M187" i="17"/>
  <c r="S187" i="17"/>
  <c r="L188" i="17"/>
  <c r="M188" i="17"/>
  <c r="S188" i="17"/>
  <c r="L189" i="17"/>
  <c r="M189" i="17"/>
  <c r="S189" i="17"/>
  <c r="L190" i="17"/>
  <c r="M190" i="17"/>
  <c r="S190" i="17"/>
  <c r="L191" i="17"/>
  <c r="M191" i="17"/>
  <c r="S191" i="17"/>
  <c r="L192" i="17"/>
  <c r="M192" i="17"/>
  <c r="S192" i="17"/>
  <c r="L193" i="17"/>
  <c r="M193" i="17"/>
  <c r="S193" i="17"/>
  <c r="L194" i="17"/>
  <c r="M194" i="17"/>
  <c r="S194" i="17"/>
  <c r="B170" i="17"/>
  <c r="B171" i="17"/>
  <c r="B172" i="17"/>
  <c r="B173" i="17"/>
  <c r="B174" i="17"/>
  <c r="B175" i="17"/>
  <c r="B176" i="17"/>
  <c r="B177" i="17"/>
  <c r="B178" i="17"/>
  <c r="B179" i="17"/>
  <c r="B180" i="17"/>
  <c r="B181" i="17"/>
  <c r="B182" i="17"/>
  <c r="B183" i="17"/>
  <c r="B184" i="17"/>
  <c r="B185" i="17"/>
  <c r="B186" i="17"/>
  <c r="B187" i="17"/>
  <c r="B188" i="17"/>
  <c r="B189" i="17"/>
  <c r="B190" i="17"/>
  <c r="B191" i="17"/>
  <c r="B192" i="17"/>
  <c r="B193" i="17"/>
  <c r="B194" i="17"/>
  <c r="AZ35" i="10"/>
  <c r="BE35" i="10"/>
  <c r="BF35" i="10"/>
  <c r="Q33" i="3" s="1"/>
  <c r="BH35" i="10"/>
  <c r="Z33" i="3" s="1"/>
  <c r="BI35" i="10"/>
  <c r="W33" i="3" s="1"/>
  <c r="BJ35" i="10"/>
  <c r="U33" i="3" s="1"/>
  <c r="BK35" i="10"/>
  <c r="AB33" i="3" s="1"/>
  <c r="BL35" i="10"/>
  <c r="AD33" i="3" s="1"/>
  <c r="BM35" i="10"/>
  <c r="AI33" i="3" s="1"/>
  <c r="BN35" i="10"/>
  <c r="AK33" i="3" s="1"/>
  <c r="BO35" i="10"/>
  <c r="BP35" i="10"/>
  <c r="BS35" i="10"/>
  <c r="BT35" i="10" s="1"/>
  <c r="E33" i="9" s="1"/>
  <c r="BU35" i="10"/>
  <c r="M33" i="3" s="1"/>
  <c r="AZ36" i="10"/>
  <c r="BE36" i="10"/>
  <c r="BF36" i="10"/>
  <c r="Q41" i="3" s="1"/>
  <c r="BH36" i="10"/>
  <c r="Z41" i="3" s="1"/>
  <c r="BI36" i="10"/>
  <c r="W41" i="3" s="1"/>
  <c r="BJ36" i="10"/>
  <c r="U41" i="3" s="1"/>
  <c r="BK36" i="10"/>
  <c r="AB41" i="3" s="1"/>
  <c r="BL36" i="10"/>
  <c r="AD41" i="3" s="1"/>
  <c r="BM36" i="10"/>
  <c r="AI41" i="3" s="1"/>
  <c r="BN36" i="10"/>
  <c r="AK41" i="3" s="1"/>
  <c r="BO36" i="10"/>
  <c r="BP36" i="10"/>
  <c r="BS36" i="10"/>
  <c r="BT36" i="10" s="1"/>
  <c r="E41" i="9" s="1"/>
  <c r="BU36" i="10"/>
  <c r="M41" i="3" s="1"/>
  <c r="AZ37" i="10"/>
  <c r="BE37" i="10"/>
  <c r="BF37" i="10"/>
  <c r="Q61" i="3" s="1"/>
  <c r="BH37" i="10"/>
  <c r="Z61" i="3" s="1"/>
  <c r="BI37" i="10"/>
  <c r="W61" i="3" s="1"/>
  <c r="BJ37" i="10"/>
  <c r="U61" i="3" s="1"/>
  <c r="BK37" i="10"/>
  <c r="AB61" i="3" s="1"/>
  <c r="BL37" i="10"/>
  <c r="AD61" i="3" s="1"/>
  <c r="BM37" i="10"/>
  <c r="AI61" i="3" s="1"/>
  <c r="BN37" i="10"/>
  <c r="AK61" i="3" s="1"/>
  <c r="BO37" i="10"/>
  <c r="BP37" i="10"/>
  <c r="BS37" i="10"/>
  <c r="BT37" i="10" s="1"/>
  <c r="E61" i="9" s="1"/>
  <c r="BU37" i="10"/>
  <c r="M61" i="3" s="1"/>
  <c r="AZ38" i="10"/>
  <c r="BE38" i="10"/>
  <c r="BF38" i="10"/>
  <c r="Q68" i="3" s="1"/>
  <c r="BH38" i="10"/>
  <c r="Z68" i="3" s="1"/>
  <c r="BI38" i="10"/>
  <c r="W68" i="3" s="1"/>
  <c r="BJ38" i="10"/>
  <c r="U68" i="3" s="1"/>
  <c r="BK38" i="10"/>
  <c r="AB68" i="3" s="1"/>
  <c r="BL38" i="10"/>
  <c r="AD68" i="3" s="1"/>
  <c r="BM38" i="10"/>
  <c r="AI68" i="3" s="1"/>
  <c r="BN38" i="10"/>
  <c r="AK68" i="3" s="1"/>
  <c r="BO38" i="10"/>
  <c r="BP38" i="10"/>
  <c r="BS38" i="10"/>
  <c r="BT38" i="10" s="1"/>
  <c r="E68" i="9" s="1"/>
  <c r="BU38" i="10"/>
  <c r="M68" i="3" s="1"/>
  <c r="AZ39" i="10"/>
  <c r="BE39" i="10"/>
  <c r="BF39" i="10"/>
  <c r="Q113" i="3" s="1"/>
  <c r="BH39" i="10"/>
  <c r="Z113" i="3" s="1"/>
  <c r="BI39" i="10"/>
  <c r="W113" i="3" s="1"/>
  <c r="BJ39" i="10"/>
  <c r="U113" i="3" s="1"/>
  <c r="BK39" i="10"/>
  <c r="AB113" i="3" s="1"/>
  <c r="BL39" i="10"/>
  <c r="AD113" i="3" s="1"/>
  <c r="BM39" i="10"/>
  <c r="AI113" i="3" s="1"/>
  <c r="BN39" i="10"/>
  <c r="AK113" i="3" s="1"/>
  <c r="BO39" i="10"/>
  <c r="BP39" i="10"/>
  <c r="BS39" i="10"/>
  <c r="BT39" i="10" s="1"/>
  <c r="E113" i="9" s="1"/>
  <c r="BU39" i="10"/>
  <c r="M113" i="3" s="1"/>
  <c r="AZ40" i="10"/>
  <c r="BE40" i="10"/>
  <c r="BF40" i="10"/>
  <c r="Q149" i="3" s="1"/>
  <c r="BH40" i="10"/>
  <c r="Z149" i="3" s="1"/>
  <c r="BI40" i="10"/>
  <c r="W149" i="3" s="1"/>
  <c r="BJ40" i="10"/>
  <c r="U149" i="3" s="1"/>
  <c r="BK40" i="10"/>
  <c r="AB149" i="3" s="1"/>
  <c r="BL40" i="10"/>
  <c r="AD149" i="3" s="1"/>
  <c r="BM40" i="10"/>
  <c r="AI149" i="3" s="1"/>
  <c r="BN40" i="10"/>
  <c r="AK149" i="3" s="1"/>
  <c r="BO40" i="10"/>
  <c r="BP40" i="10"/>
  <c r="BS40" i="10"/>
  <c r="BT40" i="10" s="1"/>
  <c r="E149" i="9" s="1"/>
  <c r="BU40" i="10"/>
  <c r="M149" i="3" s="1"/>
  <c r="Q167" i="3"/>
  <c r="Z167" i="3"/>
  <c r="W167" i="3"/>
  <c r="U167" i="3"/>
  <c r="AB167" i="3"/>
  <c r="AD167" i="3"/>
  <c r="AI167" i="3"/>
  <c r="AK167" i="3"/>
  <c r="M167" i="3"/>
  <c r="AZ41" i="10"/>
  <c r="BE41" i="10"/>
  <c r="BF41" i="10"/>
  <c r="Q170" i="3" s="1"/>
  <c r="BH41" i="10"/>
  <c r="Z170" i="3" s="1"/>
  <c r="BI41" i="10"/>
  <c r="W170" i="3" s="1"/>
  <c r="BJ41" i="10"/>
  <c r="U170" i="3" s="1"/>
  <c r="BK41" i="10"/>
  <c r="AB170" i="3" s="1"/>
  <c r="BL41" i="10"/>
  <c r="AD170" i="3" s="1"/>
  <c r="BM41" i="10"/>
  <c r="AI170" i="3" s="1"/>
  <c r="BN41" i="10"/>
  <c r="AK170" i="3" s="1"/>
  <c r="BO41" i="10"/>
  <c r="BP41" i="10"/>
  <c r="BS41" i="10"/>
  <c r="BT41" i="10" s="1"/>
  <c r="E170" i="9" s="1"/>
  <c r="BU41" i="10"/>
  <c r="M170" i="3" s="1"/>
  <c r="AZ42" i="10"/>
  <c r="BE42" i="10"/>
  <c r="BF42" i="10"/>
  <c r="Q211" i="3" s="1"/>
  <c r="BH42" i="10"/>
  <c r="Z211" i="3" s="1"/>
  <c r="BI42" i="10"/>
  <c r="W211" i="3" s="1"/>
  <c r="BJ42" i="10"/>
  <c r="U211" i="3" s="1"/>
  <c r="BK42" i="10"/>
  <c r="AB211" i="3" s="1"/>
  <c r="BL42" i="10"/>
  <c r="AD211" i="3" s="1"/>
  <c r="BM42" i="10"/>
  <c r="AI211" i="3" s="1"/>
  <c r="BN42" i="10"/>
  <c r="AK211" i="3" s="1"/>
  <c r="BO42" i="10"/>
  <c r="BP42" i="10"/>
  <c r="BS42" i="10"/>
  <c r="BT42" i="10" s="1"/>
  <c r="E211" i="9" s="1"/>
  <c r="BU42" i="10"/>
  <c r="M211" i="3" s="1"/>
  <c r="AZ43" i="10"/>
  <c r="BE43" i="10"/>
  <c r="BF43" i="10"/>
  <c r="Q275" i="3" s="1"/>
  <c r="BH43" i="10"/>
  <c r="Z275" i="3" s="1"/>
  <c r="BI43" i="10"/>
  <c r="W275" i="3" s="1"/>
  <c r="BJ43" i="10"/>
  <c r="U275" i="3" s="1"/>
  <c r="BK43" i="10"/>
  <c r="AB275" i="3" s="1"/>
  <c r="BL43" i="10"/>
  <c r="AD275" i="3" s="1"/>
  <c r="BM43" i="10"/>
  <c r="AI275" i="3" s="1"/>
  <c r="BN43" i="10"/>
  <c r="AK275" i="3" s="1"/>
  <c r="BO43" i="10"/>
  <c r="BP43" i="10"/>
  <c r="BS43" i="10"/>
  <c r="BT43" i="10" s="1"/>
  <c r="E275" i="9" s="1"/>
  <c r="BU43" i="10"/>
  <c r="M275" i="3" s="1"/>
  <c r="O197" i="17" l="1"/>
  <c r="Q197" i="17" s="1"/>
  <c r="P199" i="17"/>
  <c r="Q199" i="17" s="1"/>
  <c r="P198" i="17"/>
  <c r="Q198" i="17" s="1"/>
  <c r="O195" i="17"/>
  <c r="Q195" i="17" s="1"/>
  <c r="O202" i="17"/>
  <c r="Q202" i="17" s="1"/>
  <c r="O201" i="17"/>
  <c r="Q201" i="17" s="1"/>
  <c r="O203" i="17"/>
  <c r="Q203" i="17" s="1"/>
  <c r="P196" i="17"/>
  <c r="Q196" i="17" s="1"/>
  <c r="P200" i="17"/>
  <c r="Q200" i="17" s="1"/>
  <c r="N173" i="17"/>
  <c r="O173" i="17" s="1"/>
  <c r="N174" i="17"/>
  <c r="P174" i="17" s="1"/>
  <c r="N191" i="17"/>
  <c r="O191" i="17" s="1"/>
  <c r="N185" i="17"/>
  <c r="O185" i="17" s="1"/>
  <c r="N172" i="17"/>
  <c r="P172" i="17" s="1"/>
  <c r="N171" i="17"/>
  <c r="P171" i="17" s="1"/>
  <c r="N182" i="17"/>
  <c r="O182" i="17" s="1"/>
  <c r="N193" i="17"/>
  <c r="P193" i="17" s="1"/>
  <c r="N192" i="17"/>
  <c r="O192" i="17" s="1"/>
  <c r="N178" i="17"/>
  <c r="O178" i="17" s="1"/>
  <c r="N170" i="17"/>
  <c r="P170" i="17" s="1"/>
  <c r="N177" i="17"/>
  <c r="O177" i="17" s="1"/>
  <c r="N179" i="17"/>
  <c r="P179" i="17" s="1"/>
  <c r="N176" i="17"/>
  <c r="O176" i="17" s="1"/>
  <c r="N188" i="17"/>
  <c r="O188" i="17" s="1"/>
  <c r="N194" i="17"/>
  <c r="O194" i="17" s="1"/>
  <c r="N187" i="17"/>
  <c r="P187" i="17" s="1"/>
  <c r="N180" i="17"/>
  <c r="P180" i="17" s="1"/>
  <c r="N189" i="17"/>
  <c r="O189" i="17" s="1"/>
  <c r="N175" i="17"/>
  <c r="O175" i="17" s="1"/>
  <c r="N184" i="17"/>
  <c r="O184" i="17" s="1"/>
  <c r="N190" i="17"/>
  <c r="O190" i="17" s="1"/>
  <c r="N186" i="17"/>
  <c r="O186" i="17" s="1"/>
  <c r="N181" i="17"/>
  <c r="O181" i="17" s="1"/>
  <c r="N183" i="17"/>
  <c r="O183" i="17" s="1"/>
  <c r="P173" i="17" l="1"/>
  <c r="Q173" i="17" s="1"/>
  <c r="O172" i="17"/>
  <c r="Q172" i="17" s="1"/>
  <c r="O171" i="17"/>
  <c r="Q171" i="17" s="1"/>
  <c r="P176" i="17"/>
  <c r="Q176" i="17" s="1"/>
  <c r="P191" i="17"/>
  <c r="Q191" i="17" s="1"/>
  <c r="O174" i="17"/>
  <c r="Q174" i="17" s="1"/>
  <c r="O170" i="17"/>
  <c r="Q170" i="17" s="1"/>
  <c r="P182" i="17"/>
  <c r="Q182" i="17" s="1"/>
  <c r="P188" i="17"/>
  <c r="Q188" i="17" s="1"/>
  <c r="P185" i="17"/>
  <c r="Q185" i="17" s="1"/>
  <c r="P175" i="17"/>
  <c r="Q175" i="17" s="1"/>
  <c r="O193" i="17"/>
  <c r="Q193" i="17" s="1"/>
  <c r="P181" i="17"/>
  <c r="Q181" i="17" s="1"/>
  <c r="O187" i="17"/>
  <c r="Q187" i="17" s="1"/>
  <c r="P194" i="17"/>
  <c r="Q194" i="17" s="1"/>
  <c r="P183" i="17"/>
  <c r="Q183" i="17" s="1"/>
  <c r="P189" i="17"/>
  <c r="Q189" i="17" s="1"/>
  <c r="O179" i="17"/>
  <c r="Q179" i="17" s="1"/>
  <c r="P177" i="17"/>
  <c r="Q177" i="17" s="1"/>
  <c r="P178" i="17"/>
  <c r="Q178" i="17" s="1"/>
  <c r="O180" i="17"/>
  <c r="Q180" i="17" s="1"/>
  <c r="P192" i="17"/>
  <c r="Q192" i="17" s="1"/>
  <c r="P186" i="17"/>
  <c r="Q186" i="17" s="1"/>
  <c r="P184" i="17"/>
  <c r="Q184" i="17" s="1"/>
  <c r="P190" i="17"/>
  <c r="Q190" i="17" s="1"/>
  <c r="L152" i="17" l="1"/>
  <c r="M152" i="17"/>
  <c r="S152" i="17"/>
  <c r="L153" i="17"/>
  <c r="M153" i="17"/>
  <c r="S153" i="17"/>
  <c r="L154" i="17"/>
  <c r="M154" i="17"/>
  <c r="S154" i="17"/>
  <c r="L155" i="17"/>
  <c r="M155" i="17"/>
  <c r="S155" i="17"/>
  <c r="L156" i="17"/>
  <c r="M156" i="17"/>
  <c r="S156" i="17"/>
  <c r="L157" i="17"/>
  <c r="M157" i="17"/>
  <c r="S157" i="17"/>
  <c r="L158" i="17"/>
  <c r="M158" i="17"/>
  <c r="S158" i="17"/>
  <c r="L159" i="17"/>
  <c r="M159" i="17"/>
  <c r="S159" i="17"/>
  <c r="L160" i="17"/>
  <c r="M160" i="17"/>
  <c r="S160" i="17"/>
  <c r="L161" i="17"/>
  <c r="M161" i="17"/>
  <c r="S161" i="17"/>
  <c r="L162" i="17"/>
  <c r="M162" i="17"/>
  <c r="S162" i="17"/>
  <c r="L163" i="17"/>
  <c r="M163" i="17"/>
  <c r="S163" i="17"/>
  <c r="L164" i="17"/>
  <c r="M164" i="17"/>
  <c r="S164" i="17"/>
  <c r="L165" i="17"/>
  <c r="M165" i="17"/>
  <c r="S165" i="17"/>
  <c r="L166" i="17"/>
  <c r="M166" i="17"/>
  <c r="S166" i="17"/>
  <c r="L167" i="17"/>
  <c r="M167" i="17"/>
  <c r="S167" i="17"/>
  <c r="L168" i="17"/>
  <c r="M168" i="17"/>
  <c r="S168" i="17"/>
  <c r="L169" i="17"/>
  <c r="M169" i="17"/>
  <c r="S169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AZ29" i="10"/>
  <c r="BE29" i="10"/>
  <c r="BF29" i="10"/>
  <c r="Q39" i="3" s="1"/>
  <c r="BH29" i="10"/>
  <c r="Z39" i="3" s="1"/>
  <c r="BI29" i="10"/>
  <c r="W39" i="3" s="1"/>
  <c r="BJ29" i="10"/>
  <c r="U39" i="3" s="1"/>
  <c r="BK29" i="10"/>
  <c r="AB39" i="3" s="1"/>
  <c r="BL29" i="10"/>
  <c r="AD39" i="3" s="1"/>
  <c r="BM29" i="10"/>
  <c r="AI39" i="3" s="1"/>
  <c r="BN29" i="10"/>
  <c r="AK39" i="3" s="1"/>
  <c r="BO29" i="10"/>
  <c r="BP29" i="10"/>
  <c r="BS29" i="10"/>
  <c r="BT29" i="10" s="1"/>
  <c r="E39" i="9" s="1"/>
  <c r="BU29" i="10"/>
  <c r="M39" i="3" s="1"/>
  <c r="AZ30" i="10"/>
  <c r="BE30" i="10"/>
  <c r="BF30" i="10"/>
  <c r="Q103" i="3" s="1"/>
  <c r="BH30" i="10"/>
  <c r="Z103" i="3" s="1"/>
  <c r="BI30" i="10"/>
  <c r="W103" i="3" s="1"/>
  <c r="BJ30" i="10"/>
  <c r="U103" i="3" s="1"/>
  <c r="BK30" i="10"/>
  <c r="AB103" i="3" s="1"/>
  <c r="BL30" i="10"/>
  <c r="AD103" i="3" s="1"/>
  <c r="BM30" i="10"/>
  <c r="AI103" i="3" s="1"/>
  <c r="BN30" i="10"/>
  <c r="AK103" i="3" s="1"/>
  <c r="BO30" i="10"/>
  <c r="BP30" i="10"/>
  <c r="BS30" i="10"/>
  <c r="BT30" i="10" s="1"/>
  <c r="E103" i="9" s="1"/>
  <c r="BU30" i="10"/>
  <c r="M103" i="3" s="1"/>
  <c r="AZ31" i="10"/>
  <c r="BE31" i="10"/>
  <c r="BF31" i="10"/>
  <c r="Q111" i="3" s="1"/>
  <c r="BH31" i="10"/>
  <c r="Z111" i="3" s="1"/>
  <c r="BI31" i="10"/>
  <c r="W111" i="3" s="1"/>
  <c r="BJ31" i="10"/>
  <c r="U111" i="3" s="1"/>
  <c r="BK31" i="10"/>
  <c r="AB111" i="3" s="1"/>
  <c r="BL31" i="10"/>
  <c r="AD111" i="3" s="1"/>
  <c r="BM31" i="10"/>
  <c r="AI111" i="3" s="1"/>
  <c r="BN31" i="10"/>
  <c r="AK111" i="3" s="1"/>
  <c r="BO31" i="10"/>
  <c r="BP31" i="10"/>
  <c r="BS31" i="10"/>
  <c r="BT31" i="10" s="1"/>
  <c r="E111" i="9" s="1"/>
  <c r="BU31" i="10"/>
  <c r="M111" i="3" s="1"/>
  <c r="AZ32" i="10"/>
  <c r="BE32" i="10"/>
  <c r="BF32" i="10"/>
  <c r="Q139" i="3" s="1"/>
  <c r="BH32" i="10"/>
  <c r="Z139" i="3" s="1"/>
  <c r="BI32" i="10"/>
  <c r="W139" i="3" s="1"/>
  <c r="BJ32" i="10"/>
  <c r="U139" i="3" s="1"/>
  <c r="BK32" i="10"/>
  <c r="AB139" i="3" s="1"/>
  <c r="BL32" i="10"/>
  <c r="AD139" i="3" s="1"/>
  <c r="BM32" i="10"/>
  <c r="AI139" i="3" s="1"/>
  <c r="BN32" i="10"/>
  <c r="AK139" i="3" s="1"/>
  <c r="BO32" i="10"/>
  <c r="BP32" i="10"/>
  <c r="BS32" i="10"/>
  <c r="BT32" i="10" s="1"/>
  <c r="E139" i="9" s="1"/>
  <c r="BU32" i="10"/>
  <c r="M139" i="3" s="1"/>
  <c r="AZ33" i="10"/>
  <c r="BE33" i="10"/>
  <c r="BF33" i="10"/>
  <c r="Q177" i="3" s="1"/>
  <c r="BH33" i="10"/>
  <c r="Z177" i="3" s="1"/>
  <c r="BI33" i="10"/>
  <c r="W177" i="3" s="1"/>
  <c r="BJ33" i="10"/>
  <c r="U177" i="3" s="1"/>
  <c r="BK33" i="10"/>
  <c r="AB177" i="3" s="1"/>
  <c r="BL33" i="10"/>
  <c r="AD177" i="3" s="1"/>
  <c r="BM33" i="10"/>
  <c r="AI177" i="3" s="1"/>
  <c r="BN33" i="10"/>
  <c r="AK177" i="3" s="1"/>
  <c r="BO33" i="10"/>
  <c r="BP33" i="10"/>
  <c r="BS33" i="10"/>
  <c r="BT33" i="10" s="1"/>
  <c r="E177" i="9" s="1"/>
  <c r="BU33" i="10"/>
  <c r="M177" i="3" s="1"/>
  <c r="AZ34" i="10"/>
  <c r="BE34" i="10"/>
  <c r="BF34" i="10"/>
  <c r="Q207" i="3" s="1"/>
  <c r="BH34" i="10"/>
  <c r="Z207" i="3" s="1"/>
  <c r="BI34" i="10"/>
  <c r="W207" i="3" s="1"/>
  <c r="BJ34" i="10"/>
  <c r="U207" i="3" s="1"/>
  <c r="BK34" i="10"/>
  <c r="AB207" i="3" s="1"/>
  <c r="BL34" i="10"/>
  <c r="AD207" i="3" s="1"/>
  <c r="BM34" i="10"/>
  <c r="AI207" i="3" s="1"/>
  <c r="BN34" i="10"/>
  <c r="AK207" i="3" s="1"/>
  <c r="BO34" i="10"/>
  <c r="BP34" i="10"/>
  <c r="BS34" i="10"/>
  <c r="BT34" i="10" s="1"/>
  <c r="E207" i="9" s="1"/>
  <c r="BU34" i="10"/>
  <c r="M207" i="3" s="1"/>
  <c r="Q280" i="3"/>
  <c r="Z280" i="3"/>
  <c r="W280" i="3"/>
  <c r="U280" i="3"/>
  <c r="AB280" i="3"/>
  <c r="AD280" i="3"/>
  <c r="AI280" i="3"/>
  <c r="AK280" i="3"/>
  <c r="E280" i="9"/>
  <c r="M280" i="3"/>
  <c r="N165" i="17" l="1"/>
  <c r="O165" i="17" s="1"/>
  <c r="N156" i="17"/>
  <c r="P156" i="17" s="1"/>
  <c r="N158" i="17"/>
  <c r="P158" i="17" s="1"/>
  <c r="N166" i="17"/>
  <c r="O166" i="17" s="1"/>
  <c r="N159" i="17"/>
  <c r="O159" i="17" s="1"/>
  <c r="N154" i="17"/>
  <c r="P154" i="17" s="1"/>
  <c r="N167" i="17"/>
  <c r="O167" i="17" s="1"/>
  <c r="N153" i="17"/>
  <c r="O153" i="17" s="1"/>
  <c r="N152" i="17"/>
  <c r="O152" i="17" s="1"/>
  <c r="N157" i="17"/>
  <c r="P157" i="17" s="1"/>
  <c r="N161" i="17"/>
  <c r="P161" i="17" s="1"/>
  <c r="N160" i="17"/>
  <c r="O160" i="17" s="1"/>
  <c r="N169" i="17"/>
  <c r="P169" i="17" s="1"/>
  <c r="N162" i="17"/>
  <c r="O162" i="17" s="1"/>
  <c r="N155" i="17"/>
  <c r="P155" i="17" s="1"/>
  <c r="N164" i="17"/>
  <c r="O164" i="17" s="1"/>
  <c r="N168" i="17"/>
  <c r="P168" i="17" s="1"/>
  <c r="N163" i="17"/>
  <c r="O163" i="17" s="1"/>
  <c r="L36" i="17"/>
  <c r="M36" i="17"/>
  <c r="S36" i="17"/>
  <c r="L37" i="17"/>
  <c r="M37" i="17"/>
  <c r="S37" i="17"/>
  <c r="L38" i="17"/>
  <c r="M38" i="17"/>
  <c r="S38" i="17"/>
  <c r="L39" i="17"/>
  <c r="M39" i="17"/>
  <c r="S39" i="17"/>
  <c r="L40" i="17"/>
  <c r="M40" i="17"/>
  <c r="S40" i="17"/>
  <c r="L41" i="17"/>
  <c r="M41" i="17"/>
  <c r="S41" i="17"/>
  <c r="L42" i="17"/>
  <c r="M42" i="17"/>
  <c r="S42" i="17"/>
  <c r="L43" i="17"/>
  <c r="M43" i="17"/>
  <c r="S43" i="17"/>
  <c r="L44" i="17"/>
  <c r="M44" i="17"/>
  <c r="S44" i="17"/>
  <c r="L45" i="17"/>
  <c r="M45" i="17"/>
  <c r="S45" i="17"/>
  <c r="L46" i="17"/>
  <c r="M46" i="17"/>
  <c r="S46" i="17"/>
  <c r="L47" i="17"/>
  <c r="M47" i="17"/>
  <c r="S47" i="17"/>
  <c r="L48" i="17"/>
  <c r="M48" i="17"/>
  <c r="S48" i="17"/>
  <c r="L49" i="17"/>
  <c r="M49" i="17"/>
  <c r="S49" i="17"/>
  <c r="L50" i="17"/>
  <c r="M50" i="17"/>
  <c r="S50" i="17"/>
  <c r="L51" i="17"/>
  <c r="M51" i="17"/>
  <c r="S51" i="17"/>
  <c r="L52" i="17"/>
  <c r="M52" i="17"/>
  <c r="S52" i="17"/>
  <c r="L53" i="17"/>
  <c r="M53" i="17"/>
  <c r="S53" i="17"/>
  <c r="L54" i="17"/>
  <c r="M54" i="17"/>
  <c r="S54" i="17"/>
  <c r="L55" i="17"/>
  <c r="M55" i="17"/>
  <c r="S55" i="17"/>
  <c r="L56" i="17"/>
  <c r="M56" i="17"/>
  <c r="S56" i="17"/>
  <c r="L57" i="17"/>
  <c r="M57" i="17"/>
  <c r="S57" i="17"/>
  <c r="L58" i="17"/>
  <c r="M58" i="17"/>
  <c r="S58" i="17"/>
  <c r="L59" i="17"/>
  <c r="M59" i="17"/>
  <c r="S59" i="17"/>
  <c r="L60" i="17"/>
  <c r="M60" i="17"/>
  <c r="S60" i="17"/>
  <c r="L61" i="17"/>
  <c r="M61" i="17"/>
  <c r="S61" i="17"/>
  <c r="L62" i="17"/>
  <c r="M62" i="17"/>
  <c r="S62" i="17"/>
  <c r="L63" i="17"/>
  <c r="M63" i="17"/>
  <c r="S63" i="17"/>
  <c r="L64" i="17"/>
  <c r="M64" i="17"/>
  <c r="S64" i="17"/>
  <c r="L65" i="17"/>
  <c r="M65" i="17"/>
  <c r="S65" i="17"/>
  <c r="L66" i="17"/>
  <c r="M66" i="17"/>
  <c r="S66" i="17"/>
  <c r="L67" i="17"/>
  <c r="M67" i="17"/>
  <c r="S67" i="17"/>
  <c r="L68" i="17"/>
  <c r="M68" i="17"/>
  <c r="S68" i="17"/>
  <c r="L69" i="17"/>
  <c r="M69" i="17"/>
  <c r="S69" i="17"/>
  <c r="L70" i="17"/>
  <c r="M70" i="17"/>
  <c r="S70" i="17"/>
  <c r="L71" i="17"/>
  <c r="M71" i="17"/>
  <c r="S71" i="17"/>
  <c r="L72" i="17"/>
  <c r="M72" i="17"/>
  <c r="S72" i="17"/>
  <c r="L73" i="17"/>
  <c r="M73" i="17"/>
  <c r="S73" i="17"/>
  <c r="L74" i="17"/>
  <c r="M74" i="17"/>
  <c r="S74" i="17"/>
  <c r="L75" i="17"/>
  <c r="M75" i="17"/>
  <c r="S75" i="17"/>
  <c r="L76" i="17"/>
  <c r="M76" i="17"/>
  <c r="S76" i="17"/>
  <c r="L77" i="17"/>
  <c r="M77" i="17"/>
  <c r="S77" i="17"/>
  <c r="L78" i="17"/>
  <c r="M78" i="17"/>
  <c r="S78" i="17"/>
  <c r="L79" i="17"/>
  <c r="M79" i="17"/>
  <c r="S79" i="17"/>
  <c r="L80" i="17"/>
  <c r="M80" i="17"/>
  <c r="S80" i="17"/>
  <c r="L81" i="17"/>
  <c r="M81" i="17"/>
  <c r="S81" i="17"/>
  <c r="L82" i="17"/>
  <c r="M82" i="17"/>
  <c r="S82" i="17"/>
  <c r="L83" i="17"/>
  <c r="M83" i="17"/>
  <c r="S83" i="17"/>
  <c r="L84" i="17"/>
  <c r="M84" i="17"/>
  <c r="S84" i="17"/>
  <c r="L85" i="17"/>
  <c r="M85" i="17"/>
  <c r="S85" i="17"/>
  <c r="L86" i="17"/>
  <c r="M86" i="17"/>
  <c r="S86" i="17"/>
  <c r="L87" i="17"/>
  <c r="M87" i="17"/>
  <c r="S87" i="17"/>
  <c r="L88" i="17"/>
  <c r="M88" i="17"/>
  <c r="S88" i="17"/>
  <c r="L89" i="17"/>
  <c r="M89" i="17"/>
  <c r="S89" i="17"/>
  <c r="L90" i="17"/>
  <c r="M90" i="17"/>
  <c r="S90" i="17"/>
  <c r="L91" i="17"/>
  <c r="M91" i="17"/>
  <c r="S91" i="17"/>
  <c r="L92" i="17"/>
  <c r="M92" i="17"/>
  <c r="S92" i="17"/>
  <c r="L93" i="17"/>
  <c r="M93" i="17"/>
  <c r="S93" i="17"/>
  <c r="L94" i="17"/>
  <c r="M94" i="17"/>
  <c r="S94" i="17"/>
  <c r="L95" i="17"/>
  <c r="M95" i="17"/>
  <c r="S95" i="17"/>
  <c r="L96" i="17"/>
  <c r="M96" i="17"/>
  <c r="S96" i="17"/>
  <c r="L97" i="17"/>
  <c r="M97" i="17"/>
  <c r="S97" i="17"/>
  <c r="L98" i="17"/>
  <c r="M98" i="17"/>
  <c r="S98" i="17"/>
  <c r="L99" i="17"/>
  <c r="M99" i="17"/>
  <c r="S99" i="17"/>
  <c r="L100" i="17"/>
  <c r="M100" i="17"/>
  <c r="S100" i="17"/>
  <c r="L101" i="17"/>
  <c r="M101" i="17"/>
  <c r="S101" i="17"/>
  <c r="L102" i="17"/>
  <c r="M102" i="17"/>
  <c r="S102" i="17"/>
  <c r="L103" i="17"/>
  <c r="M103" i="17"/>
  <c r="S103" i="17"/>
  <c r="L104" i="17"/>
  <c r="M104" i="17"/>
  <c r="S104" i="17"/>
  <c r="L105" i="17"/>
  <c r="M105" i="17"/>
  <c r="S105" i="17"/>
  <c r="L106" i="17"/>
  <c r="M106" i="17"/>
  <c r="S106" i="17"/>
  <c r="L107" i="17"/>
  <c r="M107" i="17"/>
  <c r="S107" i="17"/>
  <c r="L108" i="17"/>
  <c r="M108" i="17"/>
  <c r="S108" i="17"/>
  <c r="L109" i="17"/>
  <c r="M109" i="17"/>
  <c r="S109" i="17"/>
  <c r="L110" i="17"/>
  <c r="M110" i="17"/>
  <c r="S110" i="17"/>
  <c r="L111" i="17"/>
  <c r="M111" i="17"/>
  <c r="S111" i="17"/>
  <c r="L112" i="17"/>
  <c r="M112" i="17"/>
  <c r="S112" i="17"/>
  <c r="L113" i="17"/>
  <c r="M113" i="17"/>
  <c r="S113" i="17"/>
  <c r="L114" i="17"/>
  <c r="M114" i="17"/>
  <c r="S114" i="17"/>
  <c r="L115" i="17"/>
  <c r="M115" i="17"/>
  <c r="S115" i="17"/>
  <c r="L116" i="17"/>
  <c r="M116" i="17"/>
  <c r="S116" i="17"/>
  <c r="L117" i="17"/>
  <c r="M117" i="17"/>
  <c r="S117" i="17"/>
  <c r="L118" i="17"/>
  <c r="M118" i="17"/>
  <c r="S118" i="17"/>
  <c r="L119" i="17"/>
  <c r="M119" i="17"/>
  <c r="S119" i="17"/>
  <c r="L120" i="17"/>
  <c r="M120" i="17"/>
  <c r="S120" i="17"/>
  <c r="L121" i="17"/>
  <c r="M121" i="17"/>
  <c r="S121" i="17"/>
  <c r="L122" i="17"/>
  <c r="M122" i="17"/>
  <c r="S122" i="17"/>
  <c r="L123" i="17"/>
  <c r="M123" i="17"/>
  <c r="S123" i="17"/>
  <c r="L124" i="17"/>
  <c r="M124" i="17"/>
  <c r="S124" i="17"/>
  <c r="L125" i="17"/>
  <c r="M125" i="17"/>
  <c r="S125" i="17"/>
  <c r="L126" i="17"/>
  <c r="M126" i="17"/>
  <c r="S126" i="17"/>
  <c r="L127" i="17"/>
  <c r="M127" i="17"/>
  <c r="S127" i="17"/>
  <c r="L128" i="17"/>
  <c r="M128" i="17"/>
  <c r="S128" i="17"/>
  <c r="L129" i="17"/>
  <c r="M129" i="17"/>
  <c r="S129" i="17"/>
  <c r="L130" i="17"/>
  <c r="M130" i="17"/>
  <c r="S130" i="17"/>
  <c r="L131" i="17"/>
  <c r="M131" i="17"/>
  <c r="S131" i="17"/>
  <c r="L132" i="17"/>
  <c r="M132" i="17"/>
  <c r="S132" i="17"/>
  <c r="L133" i="17"/>
  <c r="M133" i="17"/>
  <c r="S133" i="17"/>
  <c r="L134" i="17"/>
  <c r="M134" i="17"/>
  <c r="S134" i="17"/>
  <c r="L135" i="17"/>
  <c r="M135" i="17"/>
  <c r="S135" i="17"/>
  <c r="L136" i="17"/>
  <c r="M136" i="17"/>
  <c r="S136" i="17"/>
  <c r="L137" i="17"/>
  <c r="M137" i="17"/>
  <c r="S137" i="17"/>
  <c r="L138" i="17"/>
  <c r="M138" i="17"/>
  <c r="S138" i="17"/>
  <c r="L139" i="17"/>
  <c r="M139" i="17"/>
  <c r="S139" i="17"/>
  <c r="L140" i="17"/>
  <c r="M140" i="17"/>
  <c r="S140" i="17"/>
  <c r="L141" i="17"/>
  <c r="M141" i="17"/>
  <c r="S141" i="17"/>
  <c r="L142" i="17"/>
  <c r="M142" i="17"/>
  <c r="S142" i="17"/>
  <c r="L143" i="17"/>
  <c r="M143" i="17"/>
  <c r="S143" i="17"/>
  <c r="L144" i="17"/>
  <c r="M144" i="17"/>
  <c r="S144" i="17"/>
  <c r="L145" i="17"/>
  <c r="M145" i="17"/>
  <c r="S145" i="17"/>
  <c r="L146" i="17"/>
  <c r="M146" i="17"/>
  <c r="S146" i="17"/>
  <c r="L147" i="17"/>
  <c r="M147" i="17"/>
  <c r="S147" i="17"/>
  <c r="L148" i="17"/>
  <c r="M148" i="17"/>
  <c r="S148" i="17"/>
  <c r="L149" i="17"/>
  <c r="M149" i="17"/>
  <c r="S149" i="17"/>
  <c r="L150" i="17"/>
  <c r="M150" i="17"/>
  <c r="S150" i="17"/>
  <c r="L151" i="17"/>
  <c r="M151" i="17"/>
  <c r="S151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AZ17" i="10"/>
  <c r="BE17" i="10"/>
  <c r="BF17" i="10"/>
  <c r="Q11" i="3" s="1"/>
  <c r="BH17" i="10"/>
  <c r="Z11" i="3" s="1"/>
  <c r="BI17" i="10"/>
  <c r="W11" i="3" s="1"/>
  <c r="BJ17" i="10"/>
  <c r="U11" i="3" s="1"/>
  <c r="BK17" i="10"/>
  <c r="AB11" i="3" s="1"/>
  <c r="BL17" i="10"/>
  <c r="AD11" i="3" s="1"/>
  <c r="BM17" i="10"/>
  <c r="AI11" i="3" s="1"/>
  <c r="BN17" i="10"/>
  <c r="AK11" i="3" s="1"/>
  <c r="BO17" i="10"/>
  <c r="BP17" i="10"/>
  <c r="BS17" i="10"/>
  <c r="BT17" i="10" s="1"/>
  <c r="E11" i="9" s="1"/>
  <c r="BU17" i="10"/>
  <c r="M11" i="3" s="1"/>
  <c r="AZ18" i="10"/>
  <c r="BE18" i="10"/>
  <c r="BF18" i="10"/>
  <c r="Q71" i="3" s="1"/>
  <c r="BH18" i="10"/>
  <c r="Z71" i="3" s="1"/>
  <c r="BI18" i="10"/>
  <c r="W71" i="3" s="1"/>
  <c r="BJ18" i="10"/>
  <c r="U71" i="3" s="1"/>
  <c r="BK18" i="10"/>
  <c r="AB71" i="3" s="1"/>
  <c r="BL18" i="10"/>
  <c r="AD71" i="3" s="1"/>
  <c r="BM18" i="10"/>
  <c r="AI71" i="3" s="1"/>
  <c r="BN18" i="10"/>
  <c r="AK71" i="3" s="1"/>
  <c r="BO18" i="10"/>
  <c r="BP18" i="10"/>
  <c r="BS18" i="10"/>
  <c r="BT18" i="10" s="1"/>
  <c r="E71" i="9" s="1"/>
  <c r="BU18" i="10"/>
  <c r="M71" i="3" s="1"/>
  <c r="AZ19" i="10"/>
  <c r="BE19" i="10"/>
  <c r="BF19" i="10"/>
  <c r="Q135" i="3" s="1"/>
  <c r="BH19" i="10"/>
  <c r="Z135" i="3" s="1"/>
  <c r="BI19" i="10"/>
  <c r="W135" i="3" s="1"/>
  <c r="BJ19" i="10"/>
  <c r="U135" i="3" s="1"/>
  <c r="BK19" i="10"/>
  <c r="AB135" i="3" s="1"/>
  <c r="BL19" i="10"/>
  <c r="AD135" i="3" s="1"/>
  <c r="BM19" i="10"/>
  <c r="AI135" i="3" s="1"/>
  <c r="BN19" i="10"/>
  <c r="AK135" i="3" s="1"/>
  <c r="BO19" i="10"/>
  <c r="BP19" i="10"/>
  <c r="BS19" i="10"/>
  <c r="BT19" i="10" s="1"/>
  <c r="E135" i="9" s="1"/>
  <c r="BU19" i="10"/>
  <c r="M135" i="3" s="1"/>
  <c r="AZ20" i="10"/>
  <c r="BE20" i="10"/>
  <c r="BF20" i="10"/>
  <c r="Q160" i="3" s="1"/>
  <c r="BH20" i="10"/>
  <c r="Z160" i="3" s="1"/>
  <c r="BI20" i="10"/>
  <c r="W160" i="3" s="1"/>
  <c r="BJ20" i="10"/>
  <c r="U160" i="3" s="1"/>
  <c r="BK20" i="10"/>
  <c r="AB160" i="3" s="1"/>
  <c r="BL20" i="10"/>
  <c r="AD160" i="3" s="1"/>
  <c r="BM20" i="10"/>
  <c r="AI160" i="3" s="1"/>
  <c r="BN20" i="10"/>
  <c r="AK160" i="3" s="1"/>
  <c r="BO20" i="10"/>
  <c r="BP20" i="10"/>
  <c r="BS20" i="10"/>
  <c r="BT20" i="10" s="1"/>
  <c r="E160" i="9" s="1"/>
  <c r="BU20" i="10"/>
  <c r="M160" i="3" s="1"/>
  <c r="AZ21" i="10"/>
  <c r="BE21" i="10"/>
  <c r="BF21" i="10"/>
  <c r="Q175" i="3" s="1"/>
  <c r="BH21" i="10"/>
  <c r="Z175" i="3" s="1"/>
  <c r="BI21" i="10"/>
  <c r="W175" i="3" s="1"/>
  <c r="BJ21" i="10"/>
  <c r="U175" i="3" s="1"/>
  <c r="BK21" i="10"/>
  <c r="AB175" i="3" s="1"/>
  <c r="BL21" i="10"/>
  <c r="AD175" i="3" s="1"/>
  <c r="BM21" i="10"/>
  <c r="AI175" i="3" s="1"/>
  <c r="BN21" i="10"/>
  <c r="AK175" i="3" s="1"/>
  <c r="BO21" i="10"/>
  <c r="BP21" i="10"/>
  <c r="BS21" i="10"/>
  <c r="BT21" i="10" s="1"/>
  <c r="E175" i="9" s="1"/>
  <c r="BU21" i="10"/>
  <c r="M175" i="3" s="1"/>
  <c r="AZ22" i="10"/>
  <c r="BE22" i="10"/>
  <c r="BF22" i="10"/>
  <c r="Q216" i="3" s="1"/>
  <c r="BH22" i="10"/>
  <c r="Z216" i="3" s="1"/>
  <c r="BI22" i="10"/>
  <c r="W216" i="3" s="1"/>
  <c r="BJ22" i="10"/>
  <c r="U216" i="3" s="1"/>
  <c r="BK22" i="10"/>
  <c r="AB216" i="3" s="1"/>
  <c r="BL22" i="10"/>
  <c r="AD216" i="3" s="1"/>
  <c r="BM22" i="10"/>
  <c r="AI216" i="3" s="1"/>
  <c r="BN22" i="10"/>
  <c r="AK216" i="3" s="1"/>
  <c r="BO22" i="10"/>
  <c r="BP22" i="10"/>
  <c r="BS22" i="10"/>
  <c r="BT22" i="10" s="1"/>
  <c r="E216" i="9" s="1"/>
  <c r="BU22" i="10"/>
  <c r="M216" i="3" s="1"/>
  <c r="AZ23" i="10"/>
  <c r="BE23" i="10"/>
  <c r="BF23" i="10"/>
  <c r="Q219" i="3" s="1"/>
  <c r="BH23" i="10"/>
  <c r="Z219" i="3" s="1"/>
  <c r="BI23" i="10"/>
  <c r="W219" i="3" s="1"/>
  <c r="BJ23" i="10"/>
  <c r="U219" i="3" s="1"/>
  <c r="BK23" i="10"/>
  <c r="AB219" i="3" s="1"/>
  <c r="BL23" i="10"/>
  <c r="AD219" i="3" s="1"/>
  <c r="BM23" i="10"/>
  <c r="AI219" i="3" s="1"/>
  <c r="BN23" i="10"/>
  <c r="AK219" i="3" s="1"/>
  <c r="BO23" i="10"/>
  <c r="BP23" i="10"/>
  <c r="BS23" i="10"/>
  <c r="BT23" i="10" s="1"/>
  <c r="E219" i="9" s="1"/>
  <c r="BU23" i="10"/>
  <c r="M219" i="3" s="1"/>
  <c r="AZ24" i="10"/>
  <c r="BE24" i="10"/>
  <c r="BF24" i="10"/>
  <c r="Q259" i="3" s="1"/>
  <c r="BH24" i="10"/>
  <c r="Z259" i="3" s="1"/>
  <c r="BI24" i="10"/>
  <c r="W259" i="3" s="1"/>
  <c r="BJ24" i="10"/>
  <c r="U259" i="3" s="1"/>
  <c r="BK24" i="10"/>
  <c r="AB259" i="3" s="1"/>
  <c r="BL24" i="10"/>
  <c r="AD259" i="3" s="1"/>
  <c r="BM24" i="10"/>
  <c r="AI259" i="3" s="1"/>
  <c r="BN24" i="10"/>
  <c r="AK259" i="3" s="1"/>
  <c r="BO24" i="10"/>
  <c r="BP24" i="10"/>
  <c r="BS24" i="10"/>
  <c r="BT24" i="10" s="1"/>
  <c r="E259" i="9" s="1"/>
  <c r="BU24" i="10"/>
  <c r="M259" i="3" s="1"/>
  <c r="AZ25" i="10"/>
  <c r="BE25" i="10"/>
  <c r="BF25" i="10"/>
  <c r="Q260" i="3" s="1"/>
  <c r="BH25" i="10"/>
  <c r="Z260" i="3" s="1"/>
  <c r="BI25" i="10"/>
  <c r="W260" i="3" s="1"/>
  <c r="BJ25" i="10"/>
  <c r="U260" i="3" s="1"/>
  <c r="BK25" i="10"/>
  <c r="AB260" i="3" s="1"/>
  <c r="BL25" i="10"/>
  <c r="AD260" i="3" s="1"/>
  <c r="BM25" i="10"/>
  <c r="AI260" i="3" s="1"/>
  <c r="BN25" i="10"/>
  <c r="AK260" i="3" s="1"/>
  <c r="BO25" i="10"/>
  <c r="BP25" i="10"/>
  <c r="BS25" i="10"/>
  <c r="BT25" i="10" s="1"/>
  <c r="E260" i="9" s="1"/>
  <c r="BU25" i="10"/>
  <c r="M260" i="3" s="1"/>
  <c r="AZ26" i="10"/>
  <c r="BE26" i="10"/>
  <c r="BF26" i="10"/>
  <c r="Q265" i="3" s="1"/>
  <c r="BH26" i="10"/>
  <c r="Z265" i="3" s="1"/>
  <c r="BI26" i="10"/>
  <c r="W265" i="3" s="1"/>
  <c r="BJ26" i="10"/>
  <c r="U265" i="3" s="1"/>
  <c r="BK26" i="10"/>
  <c r="AB265" i="3" s="1"/>
  <c r="BL26" i="10"/>
  <c r="AD265" i="3" s="1"/>
  <c r="BM26" i="10"/>
  <c r="AI265" i="3" s="1"/>
  <c r="BN26" i="10"/>
  <c r="AK265" i="3" s="1"/>
  <c r="BO26" i="10"/>
  <c r="BP26" i="10"/>
  <c r="BS26" i="10"/>
  <c r="BT26" i="10" s="1"/>
  <c r="E265" i="9" s="1"/>
  <c r="BU26" i="10"/>
  <c r="M265" i="3" s="1"/>
  <c r="AZ27" i="10"/>
  <c r="BE27" i="10"/>
  <c r="BF27" i="10"/>
  <c r="Q274" i="3" s="1"/>
  <c r="BH27" i="10"/>
  <c r="Z274" i="3" s="1"/>
  <c r="BI27" i="10"/>
  <c r="W274" i="3" s="1"/>
  <c r="BJ27" i="10"/>
  <c r="U274" i="3" s="1"/>
  <c r="BK27" i="10"/>
  <c r="AB274" i="3" s="1"/>
  <c r="BL27" i="10"/>
  <c r="AD274" i="3" s="1"/>
  <c r="BM27" i="10"/>
  <c r="AI274" i="3" s="1"/>
  <c r="BN27" i="10"/>
  <c r="AK274" i="3" s="1"/>
  <c r="BO27" i="10"/>
  <c r="BP27" i="10"/>
  <c r="BS27" i="10"/>
  <c r="BT27" i="10" s="1"/>
  <c r="E274" i="9" s="1"/>
  <c r="BU27" i="10"/>
  <c r="M274" i="3" s="1"/>
  <c r="AZ28" i="10"/>
  <c r="BE28" i="10"/>
  <c r="BF28" i="10"/>
  <c r="Q288" i="3" s="1"/>
  <c r="BH28" i="10"/>
  <c r="Z288" i="3" s="1"/>
  <c r="BI28" i="10"/>
  <c r="W288" i="3" s="1"/>
  <c r="BJ28" i="10"/>
  <c r="U288" i="3" s="1"/>
  <c r="BK28" i="10"/>
  <c r="AB288" i="3" s="1"/>
  <c r="BL28" i="10"/>
  <c r="AD288" i="3" s="1"/>
  <c r="BM28" i="10"/>
  <c r="AI288" i="3" s="1"/>
  <c r="BN28" i="10"/>
  <c r="AK288" i="3" s="1"/>
  <c r="BO28" i="10"/>
  <c r="BP28" i="10"/>
  <c r="BS28" i="10"/>
  <c r="BT28" i="10" s="1"/>
  <c r="E288" i="9" s="1"/>
  <c r="BU28" i="10"/>
  <c r="M288" i="3" s="1"/>
  <c r="O157" i="17" l="1"/>
  <c r="Q157" i="17" s="1"/>
  <c r="O156" i="17"/>
  <c r="Q156" i="17" s="1"/>
  <c r="P165" i="17"/>
  <c r="Q165" i="17" s="1"/>
  <c r="P153" i="17"/>
  <c r="Q153" i="17" s="1"/>
  <c r="P162" i="17"/>
  <c r="Q162" i="17" s="1"/>
  <c r="O158" i="17"/>
  <c r="Q158" i="17" s="1"/>
  <c r="P166" i="17"/>
  <c r="Q166" i="17" s="1"/>
  <c r="P167" i="17"/>
  <c r="Q167" i="17" s="1"/>
  <c r="O161" i="17"/>
  <c r="Q161" i="17" s="1"/>
  <c r="O154" i="17"/>
  <c r="Q154" i="17" s="1"/>
  <c r="O169" i="17"/>
  <c r="Q169" i="17" s="1"/>
  <c r="P164" i="17"/>
  <c r="Q164" i="17" s="1"/>
  <c r="O155" i="17"/>
  <c r="Q155" i="17" s="1"/>
  <c r="P159" i="17"/>
  <c r="Q159" i="17" s="1"/>
  <c r="P160" i="17"/>
  <c r="Q160" i="17" s="1"/>
  <c r="P152" i="17"/>
  <c r="Q152" i="17" s="1"/>
  <c r="O168" i="17"/>
  <c r="Q168" i="17" s="1"/>
  <c r="P163" i="17"/>
  <c r="Q163" i="17" s="1"/>
  <c r="N39" i="17"/>
  <c r="O39" i="17" s="1"/>
  <c r="N136" i="17"/>
  <c r="P136" i="17" s="1"/>
  <c r="N40" i="17"/>
  <c r="P40" i="17" s="1"/>
  <c r="N143" i="17"/>
  <c r="O143" i="17" s="1"/>
  <c r="N84" i="17"/>
  <c r="O84" i="17" s="1"/>
  <c r="N139" i="17"/>
  <c r="O139" i="17" s="1"/>
  <c r="N131" i="17"/>
  <c r="O131" i="17" s="1"/>
  <c r="N90" i="17"/>
  <c r="O90" i="17" s="1"/>
  <c r="N68" i="17"/>
  <c r="O68" i="17" s="1"/>
  <c r="N150" i="17"/>
  <c r="O150" i="17" s="1"/>
  <c r="N50" i="17"/>
  <c r="P50" i="17" s="1"/>
  <c r="N124" i="17"/>
  <c r="O124" i="17" s="1"/>
  <c r="N100" i="17"/>
  <c r="O100" i="17" s="1"/>
  <c r="N92" i="17"/>
  <c r="O92" i="17" s="1"/>
  <c r="N79" i="17"/>
  <c r="O79" i="17" s="1"/>
  <c r="N71" i="17"/>
  <c r="O71" i="17" s="1"/>
  <c r="N52" i="17"/>
  <c r="O52" i="17" s="1"/>
  <c r="N44" i="17"/>
  <c r="O44" i="17" s="1"/>
  <c r="N41" i="17"/>
  <c r="P41" i="17" s="1"/>
  <c r="N148" i="17"/>
  <c r="P148" i="17" s="1"/>
  <c r="N111" i="17"/>
  <c r="O111" i="17" s="1"/>
  <c r="N103" i="17"/>
  <c r="O103" i="17" s="1"/>
  <c r="N116" i="17"/>
  <c r="O116" i="17" s="1"/>
  <c r="N48" i="17"/>
  <c r="O48" i="17" s="1"/>
  <c r="N147" i="17"/>
  <c r="O147" i="17" s="1"/>
  <c r="N151" i="17"/>
  <c r="P151" i="17" s="1"/>
  <c r="N144" i="17"/>
  <c r="O144" i="17" s="1"/>
  <c r="N134" i="17"/>
  <c r="O134" i="17" s="1"/>
  <c r="N108" i="17"/>
  <c r="O108" i="17" s="1"/>
  <c r="N95" i="17"/>
  <c r="O95" i="17" s="1"/>
  <c r="N87" i="17"/>
  <c r="O87" i="17" s="1"/>
  <c r="N55" i="17"/>
  <c r="O55" i="17" s="1"/>
  <c r="N138" i="17"/>
  <c r="P138" i="17" s="1"/>
  <c r="N128" i="17"/>
  <c r="O128" i="17" s="1"/>
  <c r="N120" i="17"/>
  <c r="O120" i="17" s="1"/>
  <c r="N57" i="17"/>
  <c r="O57" i="17" s="1"/>
  <c r="N36" i="17"/>
  <c r="O36" i="17" s="1"/>
  <c r="N112" i="17"/>
  <c r="O112" i="17" s="1"/>
  <c r="N104" i="17"/>
  <c r="P104" i="17" s="1"/>
  <c r="N91" i="17"/>
  <c r="O91" i="17" s="1"/>
  <c r="N64" i="17"/>
  <c r="P64" i="17" s="1"/>
  <c r="N56" i="17"/>
  <c r="O56" i="17" s="1"/>
  <c r="N43" i="17"/>
  <c r="P43" i="17" s="1"/>
  <c r="N38" i="17"/>
  <c r="P38" i="17" s="1"/>
  <c r="N146" i="17"/>
  <c r="P146" i="17" s="1"/>
  <c r="N123" i="17"/>
  <c r="P123" i="17" s="1"/>
  <c r="N76" i="17"/>
  <c r="O76" i="17" s="1"/>
  <c r="N63" i="17"/>
  <c r="O63" i="17" s="1"/>
  <c r="N45" i="17"/>
  <c r="P45" i="17" s="1"/>
  <c r="N61" i="17"/>
  <c r="O61" i="17" s="1"/>
  <c r="N53" i="17"/>
  <c r="O53" i="17" s="1"/>
  <c r="N107" i="17"/>
  <c r="O107" i="17" s="1"/>
  <c r="N60" i="17"/>
  <c r="O60" i="17" s="1"/>
  <c r="N47" i="17"/>
  <c r="O47" i="17" s="1"/>
  <c r="N37" i="17"/>
  <c r="O37" i="17" s="1"/>
  <c r="N140" i="17"/>
  <c r="P140" i="17" s="1"/>
  <c r="N135" i="17"/>
  <c r="O135" i="17" s="1"/>
  <c r="N122" i="17"/>
  <c r="O122" i="17" s="1"/>
  <c r="N96" i="17"/>
  <c r="P96" i="17" s="1"/>
  <c r="N88" i="17"/>
  <c r="O88" i="17" s="1"/>
  <c r="N75" i="17"/>
  <c r="O75" i="17" s="1"/>
  <c r="N49" i="17"/>
  <c r="O49" i="17" s="1"/>
  <c r="N149" i="17"/>
  <c r="O149" i="17" s="1"/>
  <c r="N132" i="17"/>
  <c r="P132" i="17" s="1"/>
  <c r="N127" i="17"/>
  <c r="O127" i="17" s="1"/>
  <c r="N119" i="17"/>
  <c r="O119" i="17" s="1"/>
  <c r="N106" i="17"/>
  <c r="P106" i="17" s="1"/>
  <c r="N80" i="17"/>
  <c r="P80" i="17" s="1"/>
  <c r="N72" i="17"/>
  <c r="P72" i="17" s="1"/>
  <c r="N59" i="17"/>
  <c r="P59" i="17" s="1"/>
  <c r="N46" i="17"/>
  <c r="O46" i="17" s="1"/>
  <c r="N142" i="17"/>
  <c r="O142" i="17" s="1"/>
  <c r="N129" i="17"/>
  <c r="O129" i="17" s="1"/>
  <c r="N125" i="17"/>
  <c r="P125" i="17" s="1"/>
  <c r="N118" i="17"/>
  <c r="P118" i="17" s="1"/>
  <c r="N113" i="17"/>
  <c r="O113" i="17" s="1"/>
  <c r="N109" i="17"/>
  <c r="O109" i="17" s="1"/>
  <c r="N102" i="17"/>
  <c r="O102" i="17" s="1"/>
  <c r="N97" i="17"/>
  <c r="P97" i="17" s="1"/>
  <c r="N93" i="17"/>
  <c r="O93" i="17" s="1"/>
  <c r="N86" i="17"/>
  <c r="P86" i="17" s="1"/>
  <c r="N81" i="17"/>
  <c r="O81" i="17" s="1"/>
  <c r="N77" i="17"/>
  <c r="P77" i="17" s="1"/>
  <c r="N70" i="17"/>
  <c r="P70" i="17" s="1"/>
  <c r="N65" i="17"/>
  <c r="O65" i="17" s="1"/>
  <c r="N54" i="17"/>
  <c r="O54" i="17" s="1"/>
  <c r="N137" i="17"/>
  <c r="P137" i="17" s="1"/>
  <c r="N133" i="17"/>
  <c r="O133" i="17" s="1"/>
  <c r="N115" i="17"/>
  <c r="O115" i="17" s="1"/>
  <c r="N99" i="17"/>
  <c r="O99" i="17" s="1"/>
  <c r="N83" i="17"/>
  <c r="O83" i="17" s="1"/>
  <c r="N74" i="17"/>
  <c r="O74" i="17" s="1"/>
  <c r="N67" i="17"/>
  <c r="O67" i="17" s="1"/>
  <c r="N58" i="17"/>
  <c r="P58" i="17" s="1"/>
  <c r="N51" i="17"/>
  <c r="O51" i="17" s="1"/>
  <c r="N145" i="17"/>
  <c r="O145" i="17" s="1"/>
  <c r="N141" i="17"/>
  <c r="O141" i="17" s="1"/>
  <c r="N126" i="17"/>
  <c r="O126" i="17" s="1"/>
  <c r="N121" i="17"/>
  <c r="O121" i="17" s="1"/>
  <c r="N117" i="17"/>
  <c r="P117" i="17" s="1"/>
  <c r="N110" i="17"/>
  <c r="P110" i="17" s="1"/>
  <c r="N105" i="17"/>
  <c r="P105" i="17" s="1"/>
  <c r="N101" i="17"/>
  <c r="O101" i="17" s="1"/>
  <c r="N94" i="17"/>
  <c r="O94" i="17" s="1"/>
  <c r="N89" i="17"/>
  <c r="P89" i="17" s="1"/>
  <c r="N85" i="17"/>
  <c r="P85" i="17" s="1"/>
  <c r="N78" i="17"/>
  <c r="P78" i="17" s="1"/>
  <c r="N73" i="17"/>
  <c r="P73" i="17" s="1"/>
  <c r="N69" i="17"/>
  <c r="P69" i="17" s="1"/>
  <c r="N62" i="17"/>
  <c r="O62" i="17" s="1"/>
  <c r="N130" i="17"/>
  <c r="O130" i="17" s="1"/>
  <c r="N114" i="17"/>
  <c r="O114" i="17" s="1"/>
  <c r="N98" i="17"/>
  <c r="O98" i="17" s="1"/>
  <c r="N82" i="17"/>
  <c r="O82" i="17" s="1"/>
  <c r="N66" i="17"/>
  <c r="P66" i="17" s="1"/>
  <c r="N42" i="17"/>
  <c r="P42" i="17" s="1"/>
  <c r="L17" i="17"/>
  <c r="M17" i="17"/>
  <c r="S17" i="17"/>
  <c r="L18" i="17"/>
  <c r="M18" i="17"/>
  <c r="S18" i="17"/>
  <c r="L19" i="17"/>
  <c r="M19" i="17"/>
  <c r="S19" i="17"/>
  <c r="L20" i="17"/>
  <c r="M20" i="17"/>
  <c r="S20" i="17"/>
  <c r="L21" i="17"/>
  <c r="M21" i="17"/>
  <c r="S21" i="17"/>
  <c r="L22" i="17"/>
  <c r="M22" i="17"/>
  <c r="S22" i="17"/>
  <c r="L23" i="17"/>
  <c r="M23" i="17"/>
  <c r="S23" i="17"/>
  <c r="L24" i="17"/>
  <c r="M24" i="17"/>
  <c r="S24" i="17"/>
  <c r="L25" i="17"/>
  <c r="M25" i="17"/>
  <c r="S25" i="17"/>
  <c r="L26" i="17"/>
  <c r="M26" i="17"/>
  <c r="S26" i="17"/>
  <c r="L27" i="17"/>
  <c r="M27" i="17"/>
  <c r="S27" i="17"/>
  <c r="L28" i="17"/>
  <c r="M28" i="17"/>
  <c r="S28" i="17"/>
  <c r="L29" i="17"/>
  <c r="M29" i="17"/>
  <c r="S29" i="17"/>
  <c r="L30" i="17"/>
  <c r="M30" i="17"/>
  <c r="S30" i="17"/>
  <c r="L31" i="17"/>
  <c r="M31" i="17"/>
  <c r="S31" i="17"/>
  <c r="L32" i="17"/>
  <c r="M32" i="17"/>
  <c r="S32" i="17"/>
  <c r="L33" i="17"/>
  <c r="M33" i="17"/>
  <c r="S33" i="17"/>
  <c r="L34" i="17"/>
  <c r="M34" i="17"/>
  <c r="S34" i="17"/>
  <c r="L35" i="17"/>
  <c r="M35" i="17"/>
  <c r="S35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AZ9" i="10"/>
  <c r="BE9" i="10"/>
  <c r="BF9" i="10"/>
  <c r="Q88" i="3" s="1"/>
  <c r="BH9" i="10"/>
  <c r="Z88" i="3" s="1"/>
  <c r="BI9" i="10"/>
  <c r="W88" i="3" s="1"/>
  <c r="BJ9" i="10"/>
  <c r="U88" i="3" s="1"/>
  <c r="BK9" i="10"/>
  <c r="AB88" i="3" s="1"/>
  <c r="BL9" i="10"/>
  <c r="AD88" i="3" s="1"/>
  <c r="BM9" i="10"/>
  <c r="AI88" i="3" s="1"/>
  <c r="BN9" i="10"/>
  <c r="AK88" i="3" s="1"/>
  <c r="BO9" i="10"/>
  <c r="BP9" i="10"/>
  <c r="BS9" i="10"/>
  <c r="BT9" i="10" s="1"/>
  <c r="E88" i="9" s="1"/>
  <c r="BU9" i="10"/>
  <c r="M88" i="3" s="1"/>
  <c r="AZ10" i="10"/>
  <c r="BE10" i="10"/>
  <c r="BF10" i="10"/>
  <c r="Q106" i="3" s="1"/>
  <c r="BH10" i="10"/>
  <c r="Z106" i="3" s="1"/>
  <c r="BI10" i="10"/>
  <c r="W106" i="3" s="1"/>
  <c r="BJ10" i="10"/>
  <c r="U106" i="3" s="1"/>
  <c r="BK10" i="10"/>
  <c r="AB106" i="3" s="1"/>
  <c r="BL10" i="10"/>
  <c r="AD106" i="3" s="1"/>
  <c r="BM10" i="10"/>
  <c r="AI106" i="3" s="1"/>
  <c r="BN10" i="10"/>
  <c r="AK106" i="3" s="1"/>
  <c r="BO10" i="10"/>
  <c r="BP10" i="10"/>
  <c r="BS10" i="10"/>
  <c r="BT10" i="10" s="1"/>
  <c r="E106" i="9" s="1"/>
  <c r="BU10" i="10"/>
  <c r="M106" i="3" s="1"/>
  <c r="AZ11" i="10"/>
  <c r="BE11" i="10"/>
  <c r="BF11" i="10"/>
  <c r="Q140" i="3" s="1"/>
  <c r="BH11" i="10"/>
  <c r="Z140" i="3" s="1"/>
  <c r="BI11" i="10"/>
  <c r="W140" i="3" s="1"/>
  <c r="BJ11" i="10"/>
  <c r="U140" i="3" s="1"/>
  <c r="BK11" i="10"/>
  <c r="AB140" i="3" s="1"/>
  <c r="BL11" i="10"/>
  <c r="AD140" i="3" s="1"/>
  <c r="BM11" i="10"/>
  <c r="AI140" i="3" s="1"/>
  <c r="BN11" i="10"/>
  <c r="AK140" i="3" s="1"/>
  <c r="BO11" i="10"/>
  <c r="BP11" i="10"/>
  <c r="BS11" i="10"/>
  <c r="BT11" i="10" s="1"/>
  <c r="E140" i="9" s="1"/>
  <c r="BU11" i="10"/>
  <c r="M140" i="3" s="1"/>
  <c r="AZ12" i="10"/>
  <c r="BE12" i="10"/>
  <c r="BF12" i="10"/>
  <c r="Q152" i="3" s="1"/>
  <c r="BH12" i="10"/>
  <c r="Z152" i="3" s="1"/>
  <c r="BI12" i="10"/>
  <c r="W152" i="3" s="1"/>
  <c r="BJ12" i="10"/>
  <c r="U152" i="3" s="1"/>
  <c r="BK12" i="10"/>
  <c r="AB152" i="3" s="1"/>
  <c r="BL12" i="10"/>
  <c r="AD152" i="3" s="1"/>
  <c r="BM12" i="10"/>
  <c r="AI152" i="3" s="1"/>
  <c r="BN12" i="10"/>
  <c r="AK152" i="3" s="1"/>
  <c r="BO12" i="10"/>
  <c r="BP12" i="10"/>
  <c r="BS12" i="10"/>
  <c r="BT12" i="10" s="1"/>
  <c r="E152" i="9" s="1"/>
  <c r="BU12" i="10"/>
  <c r="M152" i="3" s="1"/>
  <c r="AZ13" i="10"/>
  <c r="BE13" i="10"/>
  <c r="BF13" i="10"/>
  <c r="Q155" i="3" s="1"/>
  <c r="BH13" i="10"/>
  <c r="Z155" i="3" s="1"/>
  <c r="BI13" i="10"/>
  <c r="W155" i="3" s="1"/>
  <c r="BJ13" i="10"/>
  <c r="U155" i="3" s="1"/>
  <c r="BK13" i="10"/>
  <c r="AB155" i="3" s="1"/>
  <c r="BL13" i="10"/>
  <c r="AD155" i="3" s="1"/>
  <c r="BM13" i="10"/>
  <c r="AI155" i="3" s="1"/>
  <c r="BN13" i="10"/>
  <c r="AK155" i="3" s="1"/>
  <c r="BO13" i="10"/>
  <c r="BP13" i="10"/>
  <c r="BS13" i="10"/>
  <c r="BT13" i="10" s="1"/>
  <c r="E155" i="9" s="1"/>
  <c r="BU13" i="10"/>
  <c r="M155" i="3" s="1"/>
  <c r="AZ14" i="10"/>
  <c r="BE14" i="10"/>
  <c r="BF14" i="10"/>
  <c r="Q156" i="3" s="1"/>
  <c r="BH14" i="10"/>
  <c r="Z156" i="3" s="1"/>
  <c r="BI14" i="10"/>
  <c r="W156" i="3" s="1"/>
  <c r="BJ14" i="10"/>
  <c r="U156" i="3" s="1"/>
  <c r="BK14" i="10"/>
  <c r="AB156" i="3" s="1"/>
  <c r="BL14" i="10"/>
  <c r="AD156" i="3" s="1"/>
  <c r="BM14" i="10"/>
  <c r="AI156" i="3" s="1"/>
  <c r="BN14" i="10"/>
  <c r="AK156" i="3" s="1"/>
  <c r="BO14" i="10"/>
  <c r="BP14" i="10"/>
  <c r="BS14" i="10"/>
  <c r="BT14" i="10" s="1"/>
  <c r="E156" i="9" s="1"/>
  <c r="BU14" i="10"/>
  <c r="M156" i="3" s="1"/>
  <c r="AZ15" i="10"/>
  <c r="BE15" i="10"/>
  <c r="BF15" i="10"/>
  <c r="Q193" i="3" s="1"/>
  <c r="BH15" i="10"/>
  <c r="Z193" i="3" s="1"/>
  <c r="BI15" i="10"/>
  <c r="W193" i="3" s="1"/>
  <c r="BJ15" i="10"/>
  <c r="U193" i="3" s="1"/>
  <c r="BK15" i="10"/>
  <c r="AB193" i="3" s="1"/>
  <c r="BL15" i="10"/>
  <c r="AD193" i="3" s="1"/>
  <c r="BM15" i="10"/>
  <c r="AI193" i="3" s="1"/>
  <c r="BN15" i="10"/>
  <c r="AK193" i="3" s="1"/>
  <c r="BO15" i="10"/>
  <c r="BP15" i="10"/>
  <c r="BS15" i="10"/>
  <c r="BT15" i="10" s="1"/>
  <c r="E193" i="9" s="1"/>
  <c r="BU15" i="10"/>
  <c r="M193" i="3" s="1"/>
  <c r="AZ16" i="10"/>
  <c r="BE16" i="10"/>
  <c r="BF16" i="10"/>
  <c r="Q209" i="3" s="1"/>
  <c r="BH16" i="10"/>
  <c r="Z209" i="3" s="1"/>
  <c r="BI16" i="10"/>
  <c r="W209" i="3" s="1"/>
  <c r="BJ16" i="10"/>
  <c r="U209" i="3" s="1"/>
  <c r="BK16" i="10"/>
  <c r="AB209" i="3" s="1"/>
  <c r="BL16" i="10"/>
  <c r="AD209" i="3" s="1"/>
  <c r="BM16" i="10"/>
  <c r="AI209" i="3" s="1"/>
  <c r="BN16" i="10"/>
  <c r="AK209" i="3" s="1"/>
  <c r="BO16" i="10"/>
  <c r="BP16" i="10"/>
  <c r="BS16" i="10"/>
  <c r="BT16" i="10" s="1"/>
  <c r="E209" i="9" s="1"/>
  <c r="BU16" i="10"/>
  <c r="M209" i="3" s="1"/>
  <c r="O136" i="17" l="1"/>
  <c r="Q136" i="17" s="1"/>
  <c r="O40" i="17"/>
  <c r="Q40" i="17" s="1"/>
  <c r="P39" i="17"/>
  <c r="Q39" i="17" s="1"/>
  <c r="P143" i="17"/>
  <c r="Q143" i="17" s="1"/>
  <c r="O43" i="17"/>
  <c r="Q43" i="17" s="1"/>
  <c r="P111" i="17"/>
  <c r="Q111" i="17" s="1"/>
  <c r="P84" i="17"/>
  <c r="Q84" i="17" s="1"/>
  <c r="P100" i="17"/>
  <c r="Q100" i="17" s="1"/>
  <c r="O146" i="17"/>
  <c r="Q146" i="17" s="1"/>
  <c r="O123" i="17"/>
  <c r="Q123" i="17" s="1"/>
  <c r="P101" i="17"/>
  <c r="Q101" i="17" s="1"/>
  <c r="P120" i="17"/>
  <c r="Q120" i="17" s="1"/>
  <c r="P92" i="17"/>
  <c r="Q92" i="17" s="1"/>
  <c r="O50" i="17"/>
  <c r="Q50" i="17" s="1"/>
  <c r="P53" i="17"/>
  <c r="Q53" i="17" s="1"/>
  <c r="P119" i="17"/>
  <c r="Q119" i="17" s="1"/>
  <c r="O137" i="17"/>
  <c r="Q137" i="17" s="1"/>
  <c r="O41" i="17"/>
  <c r="Q41" i="17" s="1"/>
  <c r="P144" i="17"/>
  <c r="Q144" i="17" s="1"/>
  <c r="O110" i="17"/>
  <c r="Q110" i="17" s="1"/>
  <c r="P56" i="17"/>
  <c r="Q56" i="17" s="1"/>
  <c r="P79" i="17"/>
  <c r="Q79" i="17" s="1"/>
  <c r="P150" i="17"/>
  <c r="Q150" i="17" s="1"/>
  <c r="P103" i="17"/>
  <c r="Q103" i="17" s="1"/>
  <c r="P116" i="17"/>
  <c r="Q116" i="17" s="1"/>
  <c r="P131" i="17"/>
  <c r="Q131" i="17" s="1"/>
  <c r="P122" i="17"/>
  <c r="Q122" i="17" s="1"/>
  <c r="P139" i="17"/>
  <c r="Q139" i="17" s="1"/>
  <c r="P90" i="17"/>
  <c r="Q90" i="17" s="1"/>
  <c r="P135" i="17"/>
  <c r="Q135" i="17" s="1"/>
  <c r="O45" i="17"/>
  <c r="Q45" i="17" s="1"/>
  <c r="O64" i="17"/>
  <c r="Q64" i="17" s="1"/>
  <c r="P133" i="17"/>
  <c r="Q133" i="17" s="1"/>
  <c r="O138" i="17"/>
  <c r="Q138" i="17" s="1"/>
  <c r="P71" i="17"/>
  <c r="Q71" i="17" s="1"/>
  <c r="P52" i="17"/>
  <c r="Q52" i="17" s="1"/>
  <c r="P147" i="17"/>
  <c r="Q147" i="17" s="1"/>
  <c r="P68" i="17"/>
  <c r="Q68" i="17" s="1"/>
  <c r="P112" i="17"/>
  <c r="Q112" i="17" s="1"/>
  <c r="P99" i="17"/>
  <c r="Q99" i="17" s="1"/>
  <c r="P134" i="17"/>
  <c r="Q134" i="17" s="1"/>
  <c r="P57" i="17"/>
  <c r="Q57" i="17" s="1"/>
  <c r="P124" i="17"/>
  <c r="Q124" i="17" s="1"/>
  <c r="P94" i="17"/>
  <c r="Q94" i="17" s="1"/>
  <c r="P126" i="17"/>
  <c r="Q126" i="17" s="1"/>
  <c r="O38" i="17"/>
  <c r="Q38" i="17" s="1"/>
  <c r="P88" i="17"/>
  <c r="Q88" i="17" s="1"/>
  <c r="P130" i="17"/>
  <c r="Q130" i="17" s="1"/>
  <c r="O86" i="17"/>
  <c r="Q86" i="17" s="1"/>
  <c r="P145" i="17"/>
  <c r="Q145" i="17" s="1"/>
  <c r="O96" i="17"/>
  <c r="Q96" i="17" s="1"/>
  <c r="O151" i="17"/>
  <c r="Q151" i="17" s="1"/>
  <c r="P127" i="17"/>
  <c r="Q127" i="17" s="1"/>
  <c r="O106" i="17"/>
  <c r="Q106" i="17" s="1"/>
  <c r="P93" i="17"/>
  <c r="Q93" i="17" s="1"/>
  <c r="O148" i="17"/>
  <c r="Q148" i="17" s="1"/>
  <c r="P128" i="17"/>
  <c r="Q128" i="17" s="1"/>
  <c r="P44" i="17"/>
  <c r="Q44" i="17" s="1"/>
  <c r="P142" i="17"/>
  <c r="Q142" i="17" s="1"/>
  <c r="P51" i="17"/>
  <c r="Q51" i="17" s="1"/>
  <c r="P61" i="17"/>
  <c r="Q61" i="17" s="1"/>
  <c r="P107" i="17"/>
  <c r="Q107" i="17" s="1"/>
  <c r="O132" i="17"/>
  <c r="Q132" i="17" s="1"/>
  <c r="P48" i="17"/>
  <c r="Q48" i="17" s="1"/>
  <c r="P55" i="17"/>
  <c r="Q55" i="17" s="1"/>
  <c r="P108" i="17"/>
  <c r="Q108" i="17" s="1"/>
  <c r="P98" i="17"/>
  <c r="Q98" i="17" s="1"/>
  <c r="P36" i="17"/>
  <c r="Q36" i="17" s="1"/>
  <c r="O85" i="17"/>
  <c r="Q85" i="17" s="1"/>
  <c r="O118" i="17"/>
  <c r="Q118" i="17" s="1"/>
  <c r="O77" i="17"/>
  <c r="Q77" i="17" s="1"/>
  <c r="P109" i="17"/>
  <c r="Q109" i="17" s="1"/>
  <c r="P91" i="17"/>
  <c r="Q91" i="17" s="1"/>
  <c r="O117" i="17"/>
  <c r="Q117" i="17" s="1"/>
  <c r="P74" i="17"/>
  <c r="Q74" i="17" s="1"/>
  <c r="O66" i="17"/>
  <c r="Q66" i="17" s="1"/>
  <c r="O73" i="17"/>
  <c r="Q73" i="17" s="1"/>
  <c r="P65" i="17"/>
  <c r="Q65" i="17" s="1"/>
  <c r="P82" i="17"/>
  <c r="Q82" i="17" s="1"/>
  <c r="P75" i="17"/>
  <c r="Q75" i="17" s="1"/>
  <c r="P95" i="17"/>
  <c r="Q95" i="17" s="1"/>
  <c r="O58" i="17"/>
  <c r="Q58" i="17" s="1"/>
  <c r="O59" i="17"/>
  <c r="Q59" i="17" s="1"/>
  <c r="P49" i="17"/>
  <c r="Q49" i="17" s="1"/>
  <c r="P87" i="17"/>
  <c r="Q87" i="17" s="1"/>
  <c r="P62" i="17"/>
  <c r="Q62" i="17" s="1"/>
  <c r="O97" i="17"/>
  <c r="Q97" i="17" s="1"/>
  <c r="P149" i="17"/>
  <c r="Q149" i="17" s="1"/>
  <c r="O72" i="17"/>
  <c r="Q72" i="17" s="1"/>
  <c r="P47" i="17"/>
  <c r="Q47" i="17" s="1"/>
  <c r="P76" i="17"/>
  <c r="Q76" i="17" s="1"/>
  <c r="P37" i="17"/>
  <c r="Q37" i="17" s="1"/>
  <c r="O80" i="17"/>
  <c r="Q80" i="17" s="1"/>
  <c r="O104" i="17"/>
  <c r="Q104" i="17" s="1"/>
  <c r="O105" i="17"/>
  <c r="Q105" i="17" s="1"/>
  <c r="P63" i="17"/>
  <c r="Q63" i="17" s="1"/>
  <c r="P113" i="17"/>
  <c r="Q113" i="17" s="1"/>
  <c r="P46" i="17"/>
  <c r="Q46" i="17" s="1"/>
  <c r="O42" i="17"/>
  <c r="Q42" i="17" s="1"/>
  <c r="O69" i="17"/>
  <c r="Q69" i="17" s="1"/>
  <c r="P67" i="17"/>
  <c r="Q67" i="17" s="1"/>
  <c r="P129" i="17"/>
  <c r="Q129" i="17" s="1"/>
  <c r="O70" i="17"/>
  <c r="Q70" i="17" s="1"/>
  <c r="O140" i="17"/>
  <c r="Q140" i="17" s="1"/>
  <c r="P60" i="17"/>
  <c r="Q60" i="17" s="1"/>
  <c r="O78" i="17"/>
  <c r="Q78" i="17" s="1"/>
  <c r="P83" i="17"/>
  <c r="Q83" i="17" s="1"/>
  <c r="P114" i="17"/>
  <c r="Q114" i="17" s="1"/>
  <c r="O125" i="17"/>
  <c r="Q125" i="17" s="1"/>
  <c r="P121" i="17"/>
  <c r="Q121" i="17" s="1"/>
  <c r="P102" i="17"/>
  <c r="Q102" i="17" s="1"/>
  <c r="P54" i="17"/>
  <c r="Q54" i="17" s="1"/>
  <c r="P81" i="17"/>
  <c r="Q81" i="17" s="1"/>
  <c r="O89" i="17"/>
  <c r="Q89" i="17" s="1"/>
  <c r="P115" i="17"/>
  <c r="Q115" i="17" s="1"/>
  <c r="P141" i="17"/>
  <c r="Q141" i="17" s="1"/>
  <c r="N19" i="17"/>
  <c r="P19" i="17" s="1"/>
  <c r="N33" i="17"/>
  <c r="P33" i="17" s="1"/>
  <c r="N28" i="17"/>
  <c r="O28" i="17" s="1"/>
  <c r="N18" i="17"/>
  <c r="P18" i="17" s="1"/>
  <c r="N22" i="17"/>
  <c r="O22" i="17" s="1"/>
  <c r="N32" i="17"/>
  <c r="P32" i="17" s="1"/>
  <c r="N26" i="17"/>
  <c r="P26" i="17" s="1"/>
  <c r="N25" i="17"/>
  <c r="O25" i="17" s="1"/>
  <c r="N20" i="17"/>
  <c r="O20" i="17" s="1"/>
  <c r="N34" i="17"/>
  <c r="P34" i="17" s="1"/>
  <c r="N31" i="17"/>
  <c r="O31" i="17" s="1"/>
  <c r="N23" i="17"/>
  <c r="O23" i="17" s="1"/>
  <c r="N30" i="17"/>
  <c r="O30" i="17" s="1"/>
  <c r="N29" i="17"/>
  <c r="O29" i="17" s="1"/>
  <c r="N27" i="17"/>
  <c r="P27" i="17" s="1"/>
  <c r="N24" i="17"/>
  <c r="O24" i="17" s="1"/>
  <c r="N35" i="17"/>
  <c r="P35" i="17" s="1"/>
  <c r="N21" i="17"/>
  <c r="P21" i="17" s="1"/>
  <c r="N17" i="17"/>
  <c r="P17" i="17" s="1"/>
  <c r="O19" i="17" l="1"/>
  <c r="Q19" i="17" s="1"/>
  <c r="O34" i="17"/>
  <c r="Q34" i="17" s="1"/>
  <c r="O18" i="17"/>
  <c r="Q18" i="17" s="1"/>
  <c r="O33" i="17"/>
  <c r="Q33" i="17" s="1"/>
  <c r="P22" i="17"/>
  <c r="Q22" i="17" s="1"/>
  <c r="P28" i="17"/>
  <c r="Q28" i="17" s="1"/>
  <c r="P31" i="17"/>
  <c r="Q31" i="17" s="1"/>
  <c r="P24" i="17"/>
  <c r="Q24" i="17" s="1"/>
  <c r="O35" i="17"/>
  <c r="Q35" i="17" s="1"/>
  <c r="O26" i="17"/>
  <c r="Q26" i="17" s="1"/>
  <c r="P20" i="17"/>
  <c r="Q20" i="17" s="1"/>
  <c r="P25" i="17"/>
  <c r="Q25" i="17" s="1"/>
  <c r="O32" i="17"/>
  <c r="Q32" i="17" s="1"/>
  <c r="P30" i="17"/>
  <c r="Q30" i="17" s="1"/>
  <c r="P23" i="17"/>
  <c r="Q23" i="17" s="1"/>
  <c r="O17" i="17"/>
  <c r="Q17" i="17" s="1"/>
  <c r="O21" i="17"/>
  <c r="Q21" i="17" s="1"/>
  <c r="O27" i="17"/>
  <c r="Q27" i="17" s="1"/>
  <c r="P29" i="17"/>
  <c r="Q29" i="17" s="1"/>
  <c r="L13" i="17"/>
  <c r="M13" i="17"/>
  <c r="S13" i="17"/>
  <c r="L14" i="17"/>
  <c r="M14" i="17"/>
  <c r="S14" i="17"/>
  <c r="L15" i="17"/>
  <c r="M15" i="17"/>
  <c r="S15" i="17"/>
  <c r="L16" i="17"/>
  <c r="M16" i="17"/>
  <c r="S16" i="17"/>
  <c r="B13" i="17"/>
  <c r="B14" i="17"/>
  <c r="B15" i="17"/>
  <c r="B16" i="17"/>
  <c r="B6" i="17"/>
  <c r="B7" i="17"/>
  <c r="B8" i="17"/>
  <c r="B9" i="17"/>
  <c r="B10" i="17"/>
  <c r="B11" i="17"/>
  <c r="B12" i="17"/>
  <c r="BR289" i="10" l="1"/>
  <c r="BR288" i="10"/>
  <c r="BR286" i="10"/>
  <c r="BR285" i="10"/>
  <c r="AG72" i="3" s="1"/>
  <c r="BR287" i="10"/>
  <c r="AG258" i="3" s="1"/>
  <c r="BR253" i="10"/>
  <c r="AG62" i="3" s="1"/>
  <c r="BR261" i="10"/>
  <c r="AG118" i="3" s="1"/>
  <c r="BR269" i="10"/>
  <c r="AG187" i="3" s="1"/>
  <c r="BR276" i="10"/>
  <c r="AG229" i="3" s="1"/>
  <c r="BR283" i="10"/>
  <c r="AG284" i="3" s="1"/>
  <c r="BR277" i="10"/>
  <c r="AG236" i="3" s="1"/>
  <c r="BR284" i="10"/>
  <c r="AG285" i="3" s="1"/>
  <c r="BR260" i="10"/>
  <c r="AG115" i="3" s="1"/>
  <c r="BR254" i="10"/>
  <c r="AG75" i="3" s="1"/>
  <c r="BR262" i="10"/>
  <c r="AG121" i="3" s="1"/>
  <c r="BR270" i="10"/>
  <c r="AG194" i="3" s="1"/>
  <c r="BR255" i="10"/>
  <c r="AG81" i="3" s="1"/>
  <c r="BR263" i="10"/>
  <c r="AG134" i="3" s="1"/>
  <c r="BR271" i="10"/>
  <c r="AG199" i="3" s="1"/>
  <c r="BR278" i="10"/>
  <c r="AG241" i="3" s="1"/>
  <c r="BR256" i="10"/>
  <c r="AG97" i="3" s="1"/>
  <c r="BR264" i="10"/>
  <c r="AG154" i="3" s="1"/>
  <c r="BR279" i="10"/>
  <c r="AG242" i="3" s="1"/>
  <c r="BR257" i="10"/>
  <c r="AG99" i="3" s="1"/>
  <c r="BR265" i="10"/>
  <c r="AG164" i="3" s="1"/>
  <c r="BR272" i="10"/>
  <c r="AG206" i="3" s="1"/>
  <c r="BR280" i="10"/>
  <c r="AG252" i="3" s="1"/>
  <c r="BR268" i="10"/>
  <c r="AG180" i="3" s="1"/>
  <c r="BR251" i="10"/>
  <c r="AG24" i="3" s="1"/>
  <c r="BR258" i="10"/>
  <c r="AG108" i="3" s="1"/>
  <c r="BR266" i="10"/>
  <c r="AG167" i="3" s="1"/>
  <c r="BR273" i="10"/>
  <c r="AG214" i="3" s="1"/>
  <c r="BR275" i="10"/>
  <c r="AG225" i="3" s="1"/>
  <c r="BR282" i="10"/>
  <c r="AG279" i="3" s="1"/>
  <c r="BR252" i="10"/>
  <c r="AG43" i="3" s="1"/>
  <c r="BR259" i="10"/>
  <c r="BR267" i="10"/>
  <c r="AG178" i="3" s="1"/>
  <c r="BR274" i="10"/>
  <c r="AG223" i="3" s="1"/>
  <c r="BR281" i="10"/>
  <c r="AG270" i="3" s="1"/>
  <c r="AG44" i="3"/>
  <c r="BR250" i="10"/>
  <c r="AG254" i="3" s="1"/>
  <c r="BR249" i="10"/>
  <c r="BR248" i="10"/>
  <c r="AG268" i="3" s="1"/>
  <c r="BR247" i="10"/>
  <c r="AG116" i="3" s="1"/>
  <c r="BR246" i="10"/>
  <c r="AG210" i="3" s="1"/>
  <c r="BR245" i="10"/>
  <c r="AG278" i="3" s="1"/>
  <c r="BR244" i="10"/>
  <c r="AG190" i="3" s="1"/>
  <c r="BR242" i="10"/>
  <c r="AG95" i="3" s="1"/>
  <c r="BR243" i="10"/>
  <c r="AG171" i="3" s="1"/>
  <c r="BR240" i="10"/>
  <c r="AG200" i="3" s="1"/>
  <c r="BR241" i="10"/>
  <c r="AG267" i="3" s="1"/>
  <c r="BR238" i="10"/>
  <c r="AG107" i="3" s="1"/>
  <c r="BR239" i="10"/>
  <c r="AG196" i="3" s="1"/>
  <c r="BR237" i="10"/>
  <c r="AG147" i="3" s="1"/>
  <c r="BR235" i="10"/>
  <c r="AG226" i="3" s="1"/>
  <c r="BR236" i="10"/>
  <c r="AG264" i="3" s="1"/>
  <c r="BR233" i="10"/>
  <c r="AG69" i="3" s="1"/>
  <c r="BR234" i="10"/>
  <c r="AG128" i="3" s="1"/>
  <c r="BR232" i="10"/>
  <c r="AG166" i="3" s="1"/>
  <c r="BR231" i="10"/>
  <c r="AG77" i="3" s="1"/>
  <c r="BR230" i="10"/>
  <c r="AG25" i="3" s="1"/>
  <c r="BR197" i="10"/>
  <c r="AG31" i="3" s="1"/>
  <c r="BR203" i="10"/>
  <c r="AG76" i="3" s="1"/>
  <c r="BR209" i="10"/>
  <c r="AG112" i="3" s="1"/>
  <c r="BR214" i="10"/>
  <c r="AG165" i="3" s="1"/>
  <c r="BR218" i="10"/>
  <c r="AG228" i="3" s="1"/>
  <c r="BR224" i="10"/>
  <c r="AG271" i="3" s="1"/>
  <c r="BR229" i="10"/>
  <c r="AG287" i="3" s="1"/>
  <c r="BR217" i="10"/>
  <c r="AG201" i="3" s="1"/>
  <c r="BR198" i="10"/>
  <c r="AG35" i="3" s="1"/>
  <c r="BR204" i="10"/>
  <c r="AG78" i="3" s="1"/>
  <c r="BR210" i="10"/>
  <c r="AG117" i="3" s="1"/>
  <c r="BR219" i="10"/>
  <c r="AG232" i="3" s="1"/>
  <c r="BR225" i="10"/>
  <c r="AG273" i="3" s="1"/>
  <c r="BR223" i="10"/>
  <c r="AG261" i="3" s="1"/>
  <c r="BR228" i="10"/>
  <c r="AG286" i="3" s="1"/>
  <c r="BR199" i="10"/>
  <c r="AG42" i="3" s="1"/>
  <c r="BR205" i="10"/>
  <c r="AG79" i="3" s="1"/>
  <c r="BR215" i="10"/>
  <c r="AG169" i="3" s="1"/>
  <c r="BR220" i="10"/>
  <c r="AG237" i="3" s="1"/>
  <c r="BR226" i="10"/>
  <c r="AG276" i="3" s="1"/>
  <c r="BR207" i="10"/>
  <c r="AG109" i="3" s="1"/>
  <c r="BR202" i="10"/>
  <c r="AG74" i="3" s="1"/>
  <c r="BR211" i="10"/>
  <c r="AG125" i="3" s="1"/>
  <c r="BR221" i="10"/>
  <c r="AG238" i="3" s="1"/>
  <c r="BR213" i="10"/>
  <c r="AG157" i="3" s="1"/>
  <c r="BR206" i="10"/>
  <c r="AG87" i="3" s="1"/>
  <c r="BR201" i="10"/>
  <c r="AG73" i="3" s="1"/>
  <c r="BR194" i="10"/>
  <c r="AG5" i="3" s="1"/>
  <c r="BR200" i="10"/>
  <c r="AG48" i="3" s="1"/>
  <c r="BR212" i="10"/>
  <c r="AG148" i="3" s="1"/>
  <c r="BR216" i="10"/>
  <c r="AG195" i="3" s="1"/>
  <c r="BR222" i="10"/>
  <c r="AG256" i="3" s="1"/>
  <c r="BR227" i="10"/>
  <c r="AG281" i="3" s="1"/>
  <c r="BR195" i="10"/>
  <c r="AG17" i="3" s="1"/>
  <c r="BR196" i="10"/>
  <c r="AG26" i="3" s="1"/>
  <c r="BR208" i="10"/>
  <c r="AG110" i="3" s="1"/>
  <c r="BR13" i="10"/>
  <c r="AG155" i="3" s="1"/>
  <c r="BR21" i="10"/>
  <c r="AG175" i="3" s="1"/>
  <c r="BR29" i="10"/>
  <c r="AG39" i="3" s="1"/>
  <c r="BR36" i="10"/>
  <c r="AG41" i="3" s="1"/>
  <c r="BR43" i="10"/>
  <c r="AG275" i="3" s="1"/>
  <c r="BR50" i="10"/>
  <c r="AG83" i="3" s="1"/>
  <c r="BR57" i="10"/>
  <c r="AG22" i="3" s="1"/>
  <c r="BR64" i="10"/>
  <c r="AG58" i="3" s="1"/>
  <c r="BR71" i="10"/>
  <c r="AG133" i="3" s="1"/>
  <c r="BR84" i="10"/>
  <c r="AG240" i="3" s="1"/>
  <c r="BR91" i="10"/>
  <c r="AG163" i="3" s="1"/>
  <c r="BR98" i="10"/>
  <c r="AG20" i="3" s="1"/>
  <c r="BR105" i="10"/>
  <c r="AG144" i="3" s="1"/>
  <c r="BR112" i="10"/>
  <c r="AG202" i="3" s="1"/>
  <c r="BR119" i="10"/>
  <c r="AG250" i="3" s="1"/>
  <c r="BR127" i="10"/>
  <c r="AG57" i="3" s="1"/>
  <c r="BR134" i="10"/>
  <c r="AG266" i="3" s="1"/>
  <c r="BR141" i="10"/>
  <c r="AG37" i="3" s="1"/>
  <c r="BR149" i="10"/>
  <c r="AG102" i="3" s="1"/>
  <c r="BR154" i="10"/>
  <c r="AG124" i="3" s="1"/>
  <c r="BR162" i="10"/>
  <c r="AG146" i="3" s="1"/>
  <c r="BR168" i="10"/>
  <c r="AG197" i="3" s="1"/>
  <c r="BR173" i="10"/>
  <c r="AG224" i="3" s="1"/>
  <c r="BR178" i="10"/>
  <c r="AG257" i="3" s="1"/>
  <c r="BR185" i="10"/>
  <c r="AG63" i="3" s="1"/>
  <c r="BR188" i="10"/>
  <c r="AG215" i="3" s="1"/>
  <c r="BR189" i="10"/>
  <c r="AG231" i="3" s="1"/>
  <c r="BR49" i="10"/>
  <c r="AG65" i="3" s="1"/>
  <c r="BR89" i="10"/>
  <c r="AG119" i="3" s="1"/>
  <c r="BR132" i="10"/>
  <c r="AG221" i="3" s="1"/>
  <c r="BR172" i="10"/>
  <c r="AG213" i="3" s="1"/>
  <c r="BR12" i="10"/>
  <c r="AG152" i="3" s="1"/>
  <c r="BR56" i="10"/>
  <c r="AG16" i="3" s="1"/>
  <c r="BR77" i="10"/>
  <c r="AG208" i="3" s="1"/>
  <c r="BR118" i="10"/>
  <c r="AG248" i="3" s="1"/>
  <c r="BR153" i="10"/>
  <c r="AG123" i="3" s="1"/>
  <c r="AG203" i="3"/>
  <c r="BR14" i="10"/>
  <c r="AG156" i="3" s="1"/>
  <c r="BR22" i="10"/>
  <c r="AG216" i="3" s="1"/>
  <c r="BR30" i="10"/>
  <c r="AG103" i="3" s="1"/>
  <c r="BR37" i="10"/>
  <c r="AG61" i="3" s="1"/>
  <c r="BR44" i="10"/>
  <c r="AG272" i="3" s="1"/>
  <c r="BR51" i="10"/>
  <c r="AG130" i="3" s="1"/>
  <c r="BR58" i="10"/>
  <c r="AG49" i="3" s="1"/>
  <c r="BR65" i="10"/>
  <c r="AG59" i="3" s="1"/>
  <c r="BR72" i="10"/>
  <c r="AG138" i="3" s="1"/>
  <c r="BR78" i="10"/>
  <c r="AG233" i="3" s="1"/>
  <c r="BR92" i="10"/>
  <c r="AG183" i="3" s="1"/>
  <c r="BR99" i="10"/>
  <c r="AG23" i="3" s="1"/>
  <c r="BR106" i="10"/>
  <c r="AG151" i="3" s="1"/>
  <c r="BR120" i="10"/>
  <c r="AG251" i="3" s="1"/>
  <c r="BR128" i="10"/>
  <c r="AG98" i="3" s="1"/>
  <c r="BR135" i="10"/>
  <c r="AG8" i="3" s="1"/>
  <c r="BR142" i="10"/>
  <c r="AG38" i="3" s="1"/>
  <c r="BR150" i="10"/>
  <c r="AG104" i="3" s="1"/>
  <c r="BR155" i="10"/>
  <c r="AG126" i="3" s="1"/>
  <c r="BR163" i="10"/>
  <c r="AG150" i="3" s="1"/>
  <c r="BR174" i="10"/>
  <c r="AG234" i="3" s="1"/>
  <c r="BR179" i="10"/>
  <c r="AG289" i="3" s="1"/>
  <c r="BR164" i="10"/>
  <c r="AG172" i="3" s="1"/>
  <c r="BR62" i="10"/>
  <c r="AG40" i="3" s="1"/>
  <c r="BR103" i="10"/>
  <c r="AG94" i="3" s="1"/>
  <c r="BR147" i="10"/>
  <c r="AG86" i="3" s="1"/>
  <c r="BR187" i="10"/>
  <c r="AG192" i="3" s="1"/>
  <c r="BR42" i="10"/>
  <c r="AG211" i="3" s="1"/>
  <c r="BR83" i="10"/>
  <c r="AG93" i="3" s="1"/>
  <c r="BR133" i="10"/>
  <c r="AG227" i="3" s="1"/>
  <c r="BR15" i="10"/>
  <c r="AG193" i="3" s="1"/>
  <c r="BR23" i="10"/>
  <c r="AG219" i="3" s="1"/>
  <c r="BR31" i="10"/>
  <c r="AG111" i="3" s="1"/>
  <c r="BR38" i="10"/>
  <c r="AG68" i="3" s="1"/>
  <c r="BR45" i="10"/>
  <c r="AG282" i="3" s="1"/>
  <c r="BR59" i="10"/>
  <c r="AG174" i="3" s="1"/>
  <c r="BR66" i="10"/>
  <c r="AG60" i="3" s="1"/>
  <c r="BR73" i="10"/>
  <c r="AG142" i="3" s="1"/>
  <c r="BR85" i="10"/>
  <c r="AG92" i="3" s="1"/>
  <c r="BR93" i="10"/>
  <c r="AG184" i="3" s="1"/>
  <c r="BR100" i="10"/>
  <c r="AG27" i="3" s="1"/>
  <c r="BR107" i="10"/>
  <c r="AG159" i="3" s="1"/>
  <c r="BR113" i="10"/>
  <c r="AG218" i="3" s="1"/>
  <c r="BR121" i="10"/>
  <c r="AG283" i="3" s="1"/>
  <c r="BR136" i="10"/>
  <c r="AG13" i="3" s="1"/>
  <c r="BR143" i="10"/>
  <c r="AG50" i="3" s="1"/>
  <c r="BR151" i="10"/>
  <c r="AG105" i="3" s="1"/>
  <c r="BR156" i="10"/>
  <c r="AG131" i="3" s="1"/>
  <c r="BR180" i="10"/>
  <c r="AG162" i="3" s="1"/>
  <c r="BR190" i="10"/>
  <c r="AG235" i="3" s="1"/>
  <c r="BR144" i="10"/>
  <c r="AG51" i="3" s="1"/>
  <c r="BR157" i="10"/>
  <c r="AG132" i="3" s="1"/>
  <c r="BR169" i="10"/>
  <c r="AG204" i="3" s="1"/>
  <c r="BR191" i="10"/>
  <c r="AG253" i="3" s="1"/>
  <c r="BR117" i="10"/>
  <c r="AG239" i="3" s="1"/>
  <c r="BR152" i="10"/>
  <c r="AG122" i="3" s="1"/>
  <c r="BR28" i="10"/>
  <c r="AG288" i="3" s="1"/>
  <c r="BR70" i="10"/>
  <c r="AG129" i="3" s="1"/>
  <c r="BR140" i="10"/>
  <c r="AG30" i="3" s="1"/>
  <c r="BR184" i="10"/>
  <c r="AG52" i="3" s="1"/>
  <c r="BR16" i="10"/>
  <c r="AG209" i="3" s="1"/>
  <c r="BR24" i="10"/>
  <c r="AG259" i="3" s="1"/>
  <c r="BR32" i="10"/>
  <c r="AG139" i="3" s="1"/>
  <c r="BR39" i="10"/>
  <c r="AG113" i="3" s="1"/>
  <c r="BR46" i="10"/>
  <c r="AG90" i="3" s="1"/>
  <c r="BR52" i="10"/>
  <c r="AG127" i="3" s="1"/>
  <c r="BR67" i="10"/>
  <c r="AG64" i="3" s="1"/>
  <c r="BR79" i="10"/>
  <c r="AG243" i="3" s="1"/>
  <c r="BR86" i="10"/>
  <c r="AG15" i="3" s="1"/>
  <c r="BR94" i="10"/>
  <c r="AG217" i="3" s="1"/>
  <c r="BR101" i="10"/>
  <c r="AG32" i="3" s="1"/>
  <c r="BR108" i="10"/>
  <c r="AG168" i="3" s="1"/>
  <c r="BR114" i="10"/>
  <c r="AG220" i="3" s="1"/>
  <c r="BR122" i="10"/>
  <c r="AG7" i="3" s="1"/>
  <c r="BR129" i="10"/>
  <c r="AG100" i="3" s="1"/>
  <c r="BR137" i="10"/>
  <c r="AG14" i="3" s="1"/>
  <c r="BR181" i="10"/>
  <c r="AG9" i="3" s="1"/>
  <c r="BR82" i="10"/>
  <c r="AG91" i="3" s="1"/>
  <c r="BR160" i="10"/>
  <c r="AG143" i="3" s="1"/>
  <c r="BR35" i="10"/>
  <c r="AG33" i="3" s="1"/>
  <c r="BR97" i="10"/>
  <c r="AG19" i="3" s="1"/>
  <c r="BR9" i="10"/>
  <c r="AG88" i="3" s="1"/>
  <c r="BR17" i="10"/>
  <c r="AG11" i="3" s="1"/>
  <c r="BR25" i="10"/>
  <c r="AG260" i="3" s="1"/>
  <c r="BR33" i="10"/>
  <c r="AG177" i="3" s="1"/>
  <c r="BR40" i="10"/>
  <c r="AG149" i="3" s="1"/>
  <c r="BR47" i="10"/>
  <c r="AG198" i="3" s="1"/>
  <c r="BR53" i="10"/>
  <c r="AG173" i="3" s="1"/>
  <c r="BR60" i="10"/>
  <c r="AG245" i="3" s="1"/>
  <c r="BR68" i="10"/>
  <c r="AG66" i="3" s="1"/>
  <c r="BR74" i="10"/>
  <c r="AG158" i="3" s="1"/>
  <c r="BR80" i="10"/>
  <c r="AG6" i="3" s="1"/>
  <c r="BR87" i="10"/>
  <c r="AG70" i="3" s="1"/>
  <c r="BR102" i="10"/>
  <c r="AG56" i="3" s="1"/>
  <c r="BR109" i="10"/>
  <c r="AG181" i="3" s="1"/>
  <c r="BR115" i="10"/>
  <c r="AG222" i="3" s="1"/>
  <c r="BR123" i="10"/>
  <c r="AG45" i="3" s="1"/>
  <c r="BR130" i="10"/>
  <c r="AG101" i="3" s="1"/>
  <c r="BR138" i="10"/>
  <c r="AG21" i="3" s="1"/>
  <c r="BR145" i="10"/>
  <c r="AG82" i="3" s="1"/>
  <c r="AG114" i="3"/>
  <c r="BR158" i="10"/>
  <c r="AG136" i="3" s="1"/>
  <c r="BR165" i="10"/>
  <c r="AG176" i="3" s="1"/>
  <c r="BR170" i="10"/>
  <c r="AG205" i="3" s="1"/>
  <c r="BR175" i="10"/>
  <c r="AG244" i="3" s="1"/>
  <c r="BR182" i="10"/>
  <c r="AG10" i="3" s="1"/>
  <c r="BR192" i="10"/>
  <c r="AG262" i="3" s="1"/>
  <c r="BR19" i="10"/>
  <c r="AG135" i="3" s="1"/>
  <c r="AG280" i="3"/>
  <c r="BR55" i="10"/>
  <c r="AG277" i="3" s="1"/>
  <c r="BR96" i="10"/>
  <c r="AG249" i="3" s="1"/>
  <c r="BR125" i="10"/>
  <c r="AG54" i="3" s="1"/>
  <c r="BR167" i="10"/>
  <c r="AG189" i="3" s="1"/>
  <c r="BR90" i="10"/>
  <c r="AG120" i="3" s="1"/>
  <c r="BR126" i="10"/>
  <c r="AG55" i="3" s="1"/>
  <c r="BR161" i="10"/>
  <c r="AG145" i="3" s="1"/>
  <c r="BR10" i="10"/>
  <c r="AG106" i="3" s="1"/>
  <c r="BR18" i="10"/>
  <c r="AG71" i="3" s="1"/>
  <c r="BR26" i="10"/>
  <c r="AG265" i="3" s="1"/>
  <c r="BR34" i="10"/>
  <c r="AG207" i="3" s="1"/>
  <c r="BR48" i="10"/>
  <c r="AG269" i="3" s="1"/>
  <c r="BR54" i="10"/>
  <c r="AG89" i="3" s="1"/>
  <c r="BR61" i="10"/>
  <c r="AG36" i="3" s="1"/>
  <c r="BR69" i="10"/>
  <c r="AG80" i="3" s="1"/>
  <c r="BR75" i="10"/>
  <c r="AG161" i="3" s="1"/>
  <c r="BR81" i="10"/>
  <c r="AG47" i="3" s="1"/>
  <c r="BR88" i="10"/>
  <c r="AG84" i="3" s="1"/>
  <c r="BR95" i="10"/>
  <c r="AG290" i="3" s="1"/>
  <c r="BR110" i="10"/>
  <c r="AG185" i="3" s="1"/>
  <c r="BR116" i="10"/>
  <c r="AG230" i="3" s="1"/>
  <c r="BR124" i="10"/>
  <c r="AG53" i="3" s="1"/>
  <c r="BR131" i="10"/>
  <c r="AG179" i="3" s="1"/>
  <c r="BR146" i="10"/>
  <c r="AG85" i="3" s="1"/>
  <c r="BR159" i="10"/>
  <c r="AG141" i="3" s="1"/>
  <c r="BR166" i="10"/>
  <c r="AG188" i="3" s="1"/>
  <c r="BR171" i="10"/>
  <c r="AG212" i="3" s="1"/>
  <c r="BR176" i="10"/>
  <c r="AG246" i="3" s="1"/>
  <c r="BR183" i="10"/>
  <c r="AG29" i="3" s="1"/>
  <c r="BR186" i="10"/>
  <c r="AG191" i="3" s="1"/>
  <c r="BR193" i="10"/>
  <c r="AG263" i="3" s="1"/>
  <c r="BR11" i="10"/>
  <c r="AG140" i="3" s="1"/>
  <c r="BR27" i="10"/>
  <c r="AG274" i="3" s="1"/>
  <c r="BR41" i="10"/>
  <c r="AG170" i="3" s="1"/>
  <c r="BR76" i="10"/>
  <c r="AG182" i="3" s="1"/>
  <c r="BR111" i="10"/>
  <c r="AG186" i="3" s="1"/>
  <c r="BR139" i="10"/>
  <c r="AG28" i="3" s="1"/>
  <c r="BR20" i="10"/>
  <c r="AG160" i="3" s="1"/>
  <c r="BR63" i="10"/>
  <c r="AG46" i="3" s="1"/>
  <c r="BR104" i="10"/>
  <c r="AG137" i="3" s="1"/>
  <c r="BR148" i="10"/>
  <c r="AG96" i="3" s="1"/>
  <c r="BR177" i="10"/>
  <c r="AG255" i="3" s="1"/>
  <c r="N16" i="17"/>
  <c r="O16" i="17" s="1"/>
  <c r="N15" i="17"/>
  <c r="P15" i="17" s="1"/>
  <c r="N14" i="17"/>
  <c r="O14" i="17" s="1"/>
  <c r="N13" i="17"/>
  <c r="P13" i="17" s="1"/>
  <c r="P16" i="17" l="1"/>
  <c r="Q16" i="17" s="1"/>
  <c r="O15" i="17"/>
  <c r="Q15" i="17" s="1"/>
  <c r="O13" i="17"/>
  <c r="Q13" i="17" s="1"/>
  <c r="P14" i="17"/>
  <c r="Q14" i="17" s="1"/>
  <c r="BR7" i="10" l="1"/>
  <c r="AG34" i="3" s="1"/>
  <c r="BR8" i="10"/>
  <c r="AG67" i="3" s="1"/>
  <c r="AZ7" i="10"/>
  <c r="BE7" i="10"/>
  <c r="BF7" i="10"/>
  <c r="Q34" i="3" s="1"/>
  <c r="BH7" i="10"/>
  <c r="Z34" i="3" s="1"/>
  <c r="BI7" i="10"/>
  <c r="W34" i="3" s="1"/>
  <c r="BJ7" i="10"/>
  <c r="U34" i="3" s="1"/>
  <c r="BK7" i="10"/>
  <c r="AB34" i="3" s="1"/>
  <c r="BL7" i="10"/>
  <c r="AD34" i="3" s="1"/>
  <c r="BM7" i="10"/>
  <c r="AI34" i="3" s="1"/>
  <c r="BN7" i="10"/>
  <c r="AK34" i="3" s="1"/>
  <c r="BO7" i="10"/>
  <c r="BP7" i="10"/>
  <c r="BS7" i="10"/>
  <c r="BT7" i="10" s="1"/>
  <c r="E34" i="9" s="1"/>
  <c r="BU7" i="10"/>
  <c r="M34" i="3" s="1"/>
  <c r="AZ8" i="10"/>
  <c r="BE8" i="10"/>
  <c r="BF8" i="10"/>
  <c r="Q67" i="3" s="1"/>
  <c r="BH8" i="10"/>
  <c r="Z67" i="3" s="1"/>
  <c r="BI8" i="10"/>
  <c r="W67" i="3" s="1"/>
  <c r="BJ8" i="10"/>
  <c r="U67" i="3" s="1"/>
  <c r="BK8" i="10"/>
  <c r="AB67" i="3" s="1"/>
  <c r="BL8" i="10"/>
  <c r="AD67" i="3" s="1"/>
  <c r="BM8" i="10"/>
  <c r="AI67" i="3" s="1"/>
  <c r="BN8" i="10"/>
  <c r="AK67" i="3" s="1"/>
  <c r="BO8" i="10"/>
  <c r="BP8" i="10"/>
  <c r="BS8" i="10"/>
  <c r="BT8" i="10" s="1"/>
  <c r="E67" i="9" s="1"/>
  <c r="BU8" i="10"/>
  <c r="M67" i="3" s="1"/>
  <c r="L12" i="17" l="1"/>
  <c r="M12" i="17"/>
  <c r="L7" i="17"/>
  <c r="M7" i="17"/>
  <c r="L8" i="17"/>
  <c r="M8" i="17"/>
  <c r="L9" i="17"/>
  <c r="M9" i="17"/>
  <c r="L10" i="17"/>
  <c r="M10" i="17"/>
  <c r="L11" i="17"/>
  <c r="M11" i="17"/>
  <c r="M6" i="17"/>
  <c r="L6" i="17"/>
  <c r="S6" i="17"/>
  <c r="S7" i="17"/>
  <c r="S8" i="17"/>
  <c r="S9" i="17"/>
  <c r="S10" i="17"/>
  <c r="S11" i="17"/>
  <c r="S12" i="17"/>
  <c r="AX4" i="10"/>
  <c r="AX5" i="10" l="1"/>
  <c r="BC12" i="3"/>
  <c r="N9" i="17"/>
  <c r="O9" i="17" s="1"/>
  <c r="N12" i="17"/>
  <c r="O12" i="17" s="1"/>
  <c r="N8" i="17"/>
  <c r="O8" i="17" s="1"/>
  <c r="N7" i="17"/>
  <c r="O7" i="17" s="1"/>
  <c r="N11" i="17"/>
  <c r="O11" i="17" s="1"/>
  <c r="N10" i="17"/>
  <c r="O10" i="17" s="1"/>
  <c r="N6" i="17"/>
  <c r="O6" i="17" s="1"/>
  <c r="AX6" i="10" l="1"/>
  <c r="BC18" i="3"/>
  <c r="P10" i="17"/>
  <c r="Q10" i="17" s="1"/>
  <c r="P9" i="17"/>
  <c r="Q9" i="17" s="1"/>
  <c r="P12" i="17"/>
  <c r="Q12" i="17" s="1"/>
  <c r="P8" i="17"/>
  <c r="Q8" i="17" s="1"/>
  <c r="P11" i="17"/>
  <c r="Q11" i="17" s="1"/>
  <c r="P7" i="17"/>
  <c r="Q7" i="17" s="1"/>
  <c r="P6" i="17"/>
  <c r="Q6" i="17" s="1"/>
  <c r="AX7" i="10" l="1"/>
  <c r="BC153" i="3"/>
  <c r="BR4" i="10"/>
  <c r="AG12" i="3" s="1"/>
  <c r="BR6" i="10"/>
  <c r="AG153" i="3" s="1"/>
  <c r="BR5" i="10"/>
  <c r="AG18" i="3" s="1"/>
  <c r="AZ4" i="10"/>
  <c r="BE4" i="10"/>
  <c r="BF4" i="10"/>
  <c r="Q12" i="3" s="1"/>
  <c r="BH4" i="10"/>
  <c r="Z12" i="3" s="1"/>
  <c r="BI4" i="10"/>
  <c r="W12" i="3" s="1"/>
  <c r="BJ4" i="10"/>
  <c r="U12" i="3" s="1"/>
  <c r="BK4" i="10"/>
  <c r="AB12" i="3" s="1"/>
  <c r="BL4" i="10"/>
  <c r="AD12" i="3" s="1"/>
  <c r="BM4" i="10"/>
  <c r="AI12" i="3" s="1"/>
  <c r="BN4" i="10"/>
  <c r="AK12" i="3" s="1"/>
  <c r="BO4" i="10"/>
  <c r="BP4" i="10"/>
  <c r="BS4" i="10"/>
  <c r="BT4" i="10" s="1"/>
  <c r="E12" i="9" s="1"/>
  <c r="BU4" i="10"/>
  <c r="M12" i="3" s="1"/>
  <c r="AZ5" i="10"/>
  <c r="BE5" i="10"/>
  <c r="BF5" i="10"/>
  <c r="Q18" i="3" s="1"/>
  <c r="BH5" i="10"/>
  <c r="Z18" i="3" s="1"/>
  <c r="BI5" i="10"/>
  <c r="W18" i="3" s="1"/>
  <c r="BJ5" i="10"/>
  <c r="U18" i="3" s="1"/>
  <c r="BK5" i="10"/>
  <c r="AB18" i="3" s="1"/>
  <c r="BL5" i="10"/>
  <c r="AD18" i="3" s="1"/>
  <c r="BM5" i="10"/>
  <c r="AI18" i="3" s="1"/>
  <c r="BN5" i="10"/>
  <c r="AK18" i="3" s="1"/>
  <c r="BO5" i="10"/>
  <c r="BP5" i="10"/>
  <c r="BS5" i="10"/>
  <c r="BT5" i="10" s="1"/>
  <c r="E18" i="9" s="1"/>
  <c r="BU5" i="10"/>
  <c r="M18" i="3" s="1"/>
  <c r="AZ6" i="10"/>
  <c r="BE6" i="10"/>
  <c r="BF6" i="10"/>
  <c r="Q153" i="3" s="1"/>
  <c r="BH6" i="10"/>
  <c r="Z153" i="3" s="1"/>
  <c r="BI6" i="10"/>
  <c r="W153" i="3" s="1"/>
  <c r="BJ6" i="10"/>
  <c r="U153" i="3" s="1"/>
  <c r="BK6" i="10"/>
  <c r="AB153" i="3" s="1"/>
  <c r="BL6" i="10"/>
  <c r="AD153" i="3" s="1"/>
  <c r="BM6" i="10"/>
  <c r="AI153" i="3" s="1"/>
  <c r="BN6" i="10"/>
  <c r="AK153" i="3" s="1"/>
  <c r="BO6" i="10"/>
  <c r="BP6" i="10"/>
  <c r="BS6" i="10"/>
  <c r="BT6" i="10" s="1"/>
  <c r="E153" i="9" s="1"/>
  <c r="BU6" i="10"/>
  <c r="M153" i="3" s="1"/>
  <c r="AX8" i="10" l="1"/>
  <c r="BC34" i="3"/>
  <c r="AX9" i="10" l="1"/>
  <c r="BC67" i="3"/>
  <c r="BL3" i="10"/>
  <c r="BE3" i="10"/>
  <c r="BU3" i="10"/>
  <c r="BS3" i="10"/>
  <c r="BT3" i="10" s="1"/>
  <c r="BR3" i="10"/>
  <c r="BP3" i="10"/>
  <c r="BO3" i="10"/>
  <c r="BN3" i="10"/>
  <c r="BM3" i="10"/>
  <c r="BK3" i="10"/>
  <c r="BJ3" i="10"/>
  <c r="BI3" i="10"/>
  <c r="BH3" i="10"/>
  <c r="BF3" i="10"/>
  <c r="AX10" i="10" l="1"/>
  <c r="BC88" i="3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147" i="19"/>
  <c r="K148" i="19"/>
  <c r="K149" i="19"/>
  <c r="K150" i="19"/>
  <c r="K151" i="19"/>
  <c r="K152" i="19"/>
  <c r="K153" i="19"/>
  <c r="K154" i="19"/>
  <c r="K155" i="19"/>
  <c r="K156" i="19"/>
  <c r="K157" i="19"/>
  <c r="K158" i="19"/>
  <c r="K159" i="19"/>
  <c r="K160" i="19"/>
  <c r="K161" i="19"/>
  <c r="K162" i="19"/>
  <c r="K163" i="19"/>
  <c r="K164" i="19"/>
  <c r="K165" i="19"/>
  <c r="K166" i="19"/>
  <c r="K167" i="19"/>
  <c r="K168" i="19"/>
  <c r="K169" i="19"/>
  <c r="K170" i="19"/>
  <c r="K171" i="19"/>
  <c r="K172" i="19"/>
  <c r="K173" i="19"/>
  <c r="K174" i="19"/>
  <c r="K175" i="19"/>
  <c r="K176" i="19"/>
  <c r="K177" i="19"/>
  <c r="K178" i="19"/>
  <c r="K179" i="19"/>
  <c r="K180" i="19"/>
  <c r="K181" i="19"/>
  <c r="K182" i="19"/>
  <c r="K183" i="19"/>
  <c r="K184" i="19"/>
  <c r="K185" i="19"/>
  <c r="K186" i="19"/>
  <c r="K187" i="19"/>
  <c r="K188" i="19"/>
  <c r="K189" i="19"/>
  <c r="K190" i="19"/>
  <c r="K191" i="19"/>
  <c r="K192" i="19"/>
  <c r="K193" i="19"/>
  <c r="K194" i="19"/>
  <c r="K195" i="19"/>
  <c r="K196" i="19"/>
  <c r="K197" i="19"/>
  <c r="K198" i="19"/>
  <c r="K199" i="19"/>
  <c r="K200" i="19"/>
  <c r="K201" i="19"/>
  <c r="K202" i="19"/>
  <c r="K203" i="19"/>
  <c r="K204" i="19"/>
  <c r="K205" i="19"/>
  <c r="K206" i="19"/>
  <c r="K207" i="19"/>
  <c r="K208" i="19"/>
  <c r="K209" i="19"/>
  <c r="K210" i="19"/>
  <c r="K211" i="19"/>
  <c r="K212" i="19"/>
  <c r="K213" i="19"/>
  <c r="K214" i="19"/>
  <c r="K215" i="19"/>
  <c r="K216" i="19"/>
  <c r="K217" i="19"/>
  <c r="K218" i="19"/>
  <c r="K219" i="19"/>
  <c r="K220" i="19"/>
  <c r="K221" i="19"/>
  <c r="K222" i="19"/>
  <c r="K223" i="19"/>
  <c r="K224" i="19"/>
  <c r="K225" i="19"/>
  <c r="K226" i="19"/>
  <c r="K227" i="19"/>
  <c r="K228" i="19"/>
  <c r="K229" i="19"/>
  <c r="K230" i="19"/>
  <c r="K231" i="19"/>
  <c r="K232" i="19"/>
  <c r="K233" i="19"/>
  <c r="K234" i="19"/>
  <c r="K235" i="19"/>
  <c r="K236" i="19"/>
  <c r="K237" i="19"/>
  <c r="K238" i="19"/>
  <c r="K239" i="19"/>
  <c r="K240" i="19"/>
  <c r="K241" i="19"/>
  <c r="K242" i="19"/>
  <c r="K243" i="19"/>
  <c r="K244" i="19"/>
  <c r="K245" i="19"/>
  <c r="K246" i="19"/>
  <c r="K247" i="19"/>
  <c r="K248" i="19"/>
  <c r="K249" i="19"/>
  <c r="K250" i="19"/>
  <c r="K251" i="19"/>
  <c r="K252" i="19"/>
  <c r="K253" i="19"/>
  <c r="K254" i="19"/>
  <c r="K255" i="19"/>
  <c r="K256" i="19"/>
  <c r="K257" i="19"/>
  <c r="K258" i="19"/>
  <c r="K259" i="19"/>
  <c r="K260" i="19"/>
  <c r="K261" i="19"/>
  <c r="K262" i="19"/>
  <c r="K263" i="19"/>
  <c r="K264" i="19"/>
  <c r="K265" i="19"/>
  <c r="K266" i="19"/>
  <c r="K267" i="19"/>
  <c r="K268" i="19"/>
  <c r="K269" i="19"/>
  <c r="K270" i="19"/>
  <c r="K271" i="19"/>
  <c r="K272" i="19"/>
  <c r="K273" i="19"/>
  <c r="K274" i="19"/>
  <c r="K275" i="19"/>
  <c r="K276" i="19"/>
  <c r="K277" i="19"/>
  <c r="K278" i="19"/>
  <c r="K279" i="19"/>
  <c r="K280" i="19"/>
  <c r="K281" i="19"/>
  <c r="K282" i="19"/>
  <c r="K283" i="19"/>
  <c r="K284" i="19"/>
  <c r="K285" i="19"/>
  <c r="K286" i="19"/>
  <c r="K287" i="19"/>
  <c r="K288" i="19"/>
  <c r="K289" i="19"/>
  <c r="K4" i="19"/>
  <c r="AX11" i="10" l="1"/>
  <c r="BC106" i="3"/>
  <c r="H285" i="18"/>
  <c r="H277" i="18"/>
  <c r="H269" i="18"/>
  <c r="H261" i="18"/>
  <c r="H253" i="18"/>
  <c r="H245" i="18"/>
  <c r="H237" i="18"/>
  <c r="H229" i="18"/>
  <c r="H221" i="18"/>
  <c r="H213" i="18"/>
  <c r="H205" i="18"/>
  <c r="H197" i="18"/>
  <c r="H189" i="18"/>
  <c r="H181" i="18"/>
  <c r="H173" i="18"/>
  <c r="H165" i="18"/>
  <c r="H157" i="18"/>
  <c r="H149" i="18"/>
  <c r="H141" i="18"/>
  <c r="H133" i="18"/>
  <c r="H125" i="18"/>
  <c r="H117" i="18"/>
  <c r="H109" i="18"/>
  <c r="H101" i="18"/>
  <c r="H93" i="18"/>
  <c r="H85" i="18"/>
  <c r="H77" i="18"/>
  <c r="H69" i="18"/>
  <c r="H61" i="18"/>
  <c r="H53" i="18"/>
  <c r="H45" i="18"/>
  <c r="H37" i="18"/>
  <c r="H29" i="18"/>
  <c r="H21" i="18"/>
  <c r="H13" i="18"/>
  <c r="H284" i="18"/>
  <c r="H276" i="18"/>
  <c r="H268" i="18"/>
  <c r="H260" i="18"/>
  <c r="H252" i="18"/>
  <c r="H244" i="18"/>
  <c r="H236" i="18"/>
  <c r="H228" i="18"/>
  <c r="H220" i="18"/>
  <c r="H212" i="18"/>
  <c r="H204" i="18"/>
  <c r="H196" i="18"/>
  <c r="H188" i="18"/>
  <c r="H180" i="18"/>
  <c r="H172" i="18"/>
  <c r="H164" i="18"/>
  <c r="H156" i="18"/>
  <c r="H148" i="18"/>
  <c r="H140" i="18"/>
  <c r="H132" i="18"/>
  <c r="H124" i="18"/>
  <c r="H116" i="18"/>
  <c r="H108" i="18"/>
  <c r="H100" i="18"/>
  <c r="H92" i="18"/>
  <c r="H84" i="18"/>
  <c r="H76" i="18"/>
  <c r="H68" i="18"/>
  <c r="H60" i="18"/>
  <c r="H52" i="18"/>
  <c r="H44" i="18"/>
  <c r="H36" i="18"/>
  <c r="H28" i="18"/>
  <c r="H20" i="18"/>
  <c r="H12" i="18"/>
  <c r="H5" i="18"/>
  <c r="H283" i="18"/>
  <c r="H275" i="18"/>
  <c r="H267" i="18"/>
  <c r="H259" i="18"/>
  <c r="H251" i="18"/>
  <c r="H243" i="18"/>
  <c r="H235" i="18"/>
  <c r="H227" i="18"/>
  <c r="H219" i="18"/>
  <c r="H211" i="18"/>
  <c r="H203" i="18"/>
  <c r="H195" i="18"/>
  <c r="H187" i="18"/>
  <c r="H179" i="18"/>
  <c r="H171" i="18"/>
  <c r="H163" i="18"/>
  <c r="H155" i="18"/>
  <c r="H147" i="18"/>
  <c r="H139" i="18"/>
  <c r="H131" i="18"/>
  <c r="H123" i="18"/>
  <c r="H115" i="18"/>
  <c r="H107" i="18"/>
  <c r="H99" i="18"/>
  <c r="H91" i="18"/>
  <c r="H83" i="18"/>
  <c r="H75" i="18"/>
  <c r="H67" i="18"/>
  <c r="H59" i="18"/>
  <c r="H51" i="18"/>
  <c r="H43" i="18"/>
  <c r="H35" i="18"/>
  <c r="H27" i="18"/>
  <c r="H19" i="18"/>
  <c r="H11" i="18"/>
  <c r="H290" i="18"/>
  <c r="H282" i="18"/>
  <c r="H274" i="18"/>
  <c r="H266" i="18"/>
  <c r="H258" i="18"/>
  <c r="H250" i="18"/>
  <c r="H242" i="18"/>
  <c r="H234" i="18"/>
  <c r="H226" i="18"/>
  <c r="H218" i="18"/>
  <c r="H210" i="18"/>
  <c r="H202" i="18"/>
  <c r="H194" i="18"/>
  <c r="H186" i="18"/>
  <c r="H178" i="18"/>
  <c r="H170" i="18"/>
  <c r="H162" i="18"/>
  <c r="H154" i="18"/>
  <c r="H146" i="18"/>
  <c r="H138" i="18"/>
  <c r="H130" i="18"/>
  <c r="H122" i="18"/>
  <c r="H114" i="18"/>
  <c r="H106" i="18"/>
  <c r="H98" i="18"/>
  <c r="H90" i="18"/>
  <c r="H82" i="18"/>
  <c r="H74" i="18"/>
  <c r="H66" i="18"/>
  <c r="H58" i="18"/>
  <c r="H50" i="18"/>
  <c r="H42" i="18"/>
  <c r="H34" i="18"/>
  <c r="H26" i="18"/>
  <c r="H18" i="18"/>
  <c r="H10" i="18"/>
  <c r="H289" i="18"/>
  <c r="H281" i="18"/>
  <c r="H273" i="18"/>
  <c r="H265" i="18"/>
  <c r="H257" i="18"/>
  <c r="H249" i="18"/>
  <c r="H241" i="18"/>
  <c r="H233" i="18"/>
  <c r="H225" i="18"/>
  <c r="H217" i="18"/>
  <c r="H209" i="18"/>
  <c r="H201" i="18"/>
  <c r="H193" i="18"/>
  <c r="H185" i="18"/>
  <c r="H177" i="18"/>
  <c r="H169" i="18"/>
  <c r="H161" i="18"/>
  <c r="H153" i="18"/>
  <c r="H145" i="18"/>
  <c r="H137" i="18"/>
  <c r="H129" i="18"/>
  <c r="H121" i="18"/>
  <c r="H113" i="18"/>
  <c r="H105" i="18"/>
  <c r="H97" i="18"/>
  <c r="H89" i="18"/>
  <c r="H81" i="18"/>
  <c r="H73" i="18"/>
  <c r="H65" i="18"/>
  <c r="H57" i="18"/>
  <c r="H49" i="18"/>
  <c r="H41" i="18"/>
  <c r="H33" i="18"/>
  <c r="H25" i="18"/>
  <c r="H17" i="18"/>
  <c r="H9" i="18"/>
  <c r="H288" i="18"/>
  <c r="H280" i="18"/>
  <c r="H272" i="18"/>
  <c r="H264" i="18"/>
  <c r="H256" i="18"/>
  <c r="H248" i="18"/>
  <c r="H240" i="18"/>
  <c r="H232" i="18"/>
  <c r="H224" i="18"/>
  <c r="H216" i="18"/>
  <c r="H208" i="18"/>
  <c r="H200" i="18"/>
  <c r="H192" i="18"/>
  <c r="H184" i="18"/>
  <c r="H176" i="18"/>
  <c r="H168" i="18"/>
  <c r="H160" i="18"/>
  <c r="H152" i="18"/>
  <c r="H144" i="18"/>
  <c r="H136" i="18"/>
  <c r="H128" i="18"/>
  <c r="H120" i="18"/>
  <c r="H112" i="18"/>
  <c r="H104" i="18"/>
  <c r="H96" i="18"/>
  <c r="H88" i="18"/>
  <c r="H80" i="18"/>
  <c r="H72" i="18"/>
  <c r="H64" i="18"/>
  <c r="H56" i="18"/>
  <c r="H48" i="18"/>
  <c r="H40" i="18"/>
  <c r="H32" i="18"/>
  <c r="H24" i="18"/>
  <c r="H16" i="18"/>
  <c r="H8" i="18"/>
  <c r="H287" i="18"/>
  <c r="H279" i="18"/>
  <c r="H271" i="18"/>
  <c r="H263" i="18"/>
  <c r="H255" i="18"/>
  <c r="H247" i="18"/>
  <c r="H239" i="18"/>
  <c r="H231" i="18"/>
  <c r="H223" i="18"/>
  <c r="H215" i="18"/>
  <c r="H207" i="18"/>
  <c r="H199" i="18"/>
  <c r="H191" i="18"/>
  <c r="H183" i="18"/>
  <c r="H175" i="18"/>
  <c r="H167" i="18"/>
  <c r="H159" i="18"/>
  <c r="H151" i="18"/>
  <c r="H143" i="18"/>
  <c r="H135" i="18"/>
  <c r="H127" i="18"/>
  <c r="H119" i="18"/>
  <c r="H111" i="18"/>
  <c r="H103" i="18"/>
  <c r="H95" i="18"/>
  <c r="H87" i="18"/>
  <c r="H79" i="18"/>
  <c r="H71" i="18"/>
  <c r="H63" i="18"/>
  <c r="H55" i="18"/>
  <c r="H47" i="18"/>
  <c r="H39" i="18"/>
  <c r="H31" i="18"/>
  <c r="H23" i="18"/>
  <c r="H15" i="18"/>
  <c r="H7" i="18"/>
  <c r="H286" i="18"/>
  <c r="H278" i="18"/>
  <c r="H270" i="18"/>
  <c r="H262" i="18"/>
  <c r="H254" i="18"/>
  <c r="H246" i="18"/>
  <c r="H238" i="18"/>
  <c r="H230" i="18"/>
  <c r="H222" i="18"/>
  <c r="H214" i="18"/>
  <c r="H206" i="18"/>
  <c r="H198" i="18"/>
  <c r="H190" i="18"/>
  <c r="H182" i="18"/>
  <c r="H174" i="18"/>
  <c r="H166" i="18"/>
  <c r="H158" i="18"/>
  <c r="H150" i="18"/>
  <c r="H142" i="18"/>
  <c r="H134" i="18"/>
  <c r="H126" i="18"/>
  <c r="H118" i="18"/>
  <c r="H110" i="18"/>
  <c r="H102" i="18"/>
  <c r="H94" i="18"/>
  <c r="H86" i="18"/>
  <c r="H78" i="18"/>
  <c r="H70" i="18"/>
  <c r="H62" i="18"/>
  <c r="H54" i="18"/>
  <c r="H46" i="18"/>
  <c r="H38" i="18"/>
  <c r="H30" i="18"/>
  <c r="H22" i="18"/>
  <c r="H14" i="18"/>
  <c r="H6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5" i="18"/>
  <c r="D4" i="18"/>
  <c r="AX12" i="10" l="1"/>
  <c r="BC140" i="3"/>
  <c r="E4" i="18"/>
  <c r="AX13" i="10" l="1"/>
  <c r="BC152" i="3"/>
  <c r="L5" i="9"/>
  <c r="AX14" i="10" l="1"/>
  <c r="BC155" i="3"/>
  <c r="M4" i="17"/>
  <c r="AX15" i="10" l="1"/>
  <c r="BC156" i="3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167" i="11"/>
  <c r="AY168" i="11"/>
  <c r="AY169" i="11"/>
  <c r="AY170" i="11"/>
  <c r="AY171" i="11"/>
  <c r="AY172" i="11"/>
  <c r="AY173" i="11"/>
  <c r="AY174" i="11"/>
  <c r="AY175" i="11"/>
  <c r="AY176" i="11"/>
  <c r="AY177" i="11"/>
  <c r="AY178" i="11"/>
  <c r="AY179" i="11"/>
  <c r="AY180" i="11"/>
  <c r="AY181" i="11"/>
  <c r="AY182" i="11"/>
  <c r="AY183" i="11"/>
  <c r="AY184" i="11"/>
  <c r="AY185" i="11"/>
  <c r="AY186" i="11"/>
  <c r="AY187" i="11"/>
  <c r="AY188" i="11"/>
  <c r="AY189" i="11"/>
  <c r="AY190" i="11"/>
  <c r="AY191" i="11"/>
  <c r="AY192" i="11"/>
  <c r="AY193" i="11"/>
  <c r="AY194" i="11"/>
  <c r="AY195" i="11"/>
  <c r="AY196" i="11"/>
  <c r="AY197" i="11"/>
  <c r="AY198" i="11"/>
  <c r="AY199" i="11"/>
  <c r="AY200" i="11"/>
  <c r="AY201" i="11"/>
  <c r="AY202" i="11"/>
  <c r="AY203" i="11"/>
  <c r="AY204" i="11"/>
  <c r="AY205" i="11"/>
  <c r="AY206" i="11"/>
  <c r="AY207" i="11"/>
  <c r="AY208" i="11"/>
  <c r="AY209" i="11"/>
  <c r="AY210" i="11"/>
  <c r="AY211" i="11"/>
  <c r="AY212" i="11"/>
  <c r="AY213" i="11"/>
  <c r="AY214" i="11"/>
  <c r="AY215" i="11"/>
  <c r="AY216" i="11"/>
  <c r="AY217" i="11"/>
  <c r="AY218" i="11"/>
  <c r="AY219" i="11"/>
  <c r="AY220" i="11"/>
  <c r="AY221" i="11"/>
  <c r="AY222" i="11"/>
  <c r="AY223" i="11"/>
  <c r="AY224" i="11"/>
  <c r="AY225" i="11"/>
  <c r="AY226" i="11"/>
  <c r="AY227" i="11"/>
  <c r="AY228" i="11"/>
  <c r="AY229" i="11"/>
  <c r="AY230" i="11"/>
  <c r="AY231" i="11"/>
  <c r="AY232" i="11"/>
  <c r="AY233" i="11"/>
  <c r="AY234" i="11"/>
  <c r="AY235" i="11"/>
  <c r="AY236" i="11"/>
  <c r="AY237" i="11"/>
  <c r="AY238" i="11"/>
  <c r="AY239" i="11"/>
  <c r="AY240" i="11"/>
  <c r="AY241" i="11"/>
  <c r="AY242" i="11"/>
  <c r="AY243" i="11"/>
  <c r="AY244" i="11"/>
  <c r="AY245" i="11"/>
  <c r="AY246" i="11"/>
  <c r="AY247" i="11"/>
  <c r="AY248" i="11"/>
  <c r="AY249" i="11"/>
  <c r="AY250" i="11"/>
  <c r="AY251" i="11"/>
  <c r="AY252" i="11"/>
  <c r="AY253" i="11"/>
  <c r="AY254" i="11"/>
  <c r="AY255" i="11"/>
  <c r="AY256" i="11"/>
  <c r="AY257" i="11"/>
  <c r="AY258" i="11"/>
  <c r="AY259" i="11"/>
  <c r="AY260" i="11"/>
  <c r="AY261" i="11"/>
  <c r="AY262" i="11"/>
  <c r="AY263" i="11"/>
  <c r="AY264" i="11"/>
  <c r="AY265" i="11"/>
  <c r="AY266" i="11"/>
  <c r="AY267" i="11"/>
  <c r="AY268" i="11"/>
  <c r="AY269" i="11"/>
  <c r="AY270" i="11"/>
  <c r="AY271" i="11"/>
  <c r="AY272" i="11"/>
  <c r="AY273" i="11"/>
  <c r="AY274" i="11"/>
  <c r="AY275" i="11"/>
  <c r="AY276" i="11"/>
  <c r="AY277" i="11"/>
  <c r="AY278" i="11"/>
  <c r="AY279" i="11"/>
  <c r="AY280" i="11"/>
  <c r="AY281" i="11"/>
  <c r="AY282" i="11"/>
  <c r="AY283" i="11"/>
  <c r="AY284" i="11"/>
  <c r="AY285" i="11"/>
  <c r="AY286" i="11"/>
  <c r="AY287" i="11"/>
  <c r="AY288" i="11"/>
  <c r="AY289" i="11"/>
  <c r="AX16" i="10" l="1"/>
  <c r="BC193" i="3"/>
  <c r="AR257" i="11"/>
  <c r="AX17" i="10" l="1"/>
  <c r="BC209" i="3"/>
  <c r="AY4" i="11"/>
  <c r="AC5" i="3"/>
  <c r="AX18" i="10" l="1"/>
  <c r="BC11" i="3"/>
  <c r="BH6" i="3"/>
  <c r="BH7" i="3"/>
  <c r="BH8" i="3"/>
  <c r="BH9" i="3"/>
  <c r="BH10" i="3"/>
  <c r="BH11" i="3"/>
  <c r="BH12" i="3"/>
  <c r="BH13" i="3"/>
  <c r="BH14" i="3"/>
  <c r="BH15" i="3"/>
  <c r="BH16" i="3"/>
  <c r="BH17" i="3"/>
  <c r="BH18" i="3"/>
  <c r="BH19" i="3"/>
  <c r="BH20" i="3"/>
  <c r="BH21" i="3"/>
  <c r="BH22" i="3"/>
  <c r="BH23" i="3"/>
  <c r="BH24" i="3"/>
  <c r="BH25" i="3"/>
  <c r="BH26" i="3"/>
  <c r="BH27" i="3"/>
  <c r="BH28" i="3"/>
  <c r="BH29" i="3"/>
  <c r="BH30" i="3"/>
  <c r="BH31" i="3"/>
  <c r="BH32" i="3"/>
  <c r="BH33" i="3"/>
  <c r="BH34" i="3"/>
  <c r="BH35" i="3"/>
  <c r="BH36" i="3"/>
  <c r="BH37" i="3"/>
  <c r="BH38" i="3"/>
  <c r="BH39" i="3"/>
  <c r="BH40" i="3"/>
  <c r="BH41" i="3"/>
  <c r="BH42" i="3"/>
  <c r="BH43" i="3"/>
  <c r="BH44" i="3"/>
  <c r="BH45" i="3"/>
  <c r="BH46" i="3"/>
  <c r="BH47" i="3"/>
  <c r="BH48" i="3"/>
  <c r="BH49" i="3"/>
  <c r="BH50" i="3"/>
  <c r="BH51" i="3"/>
  <c r="BH52" i="3"/>
  <c r="BH53" i="3"/>
  <c r="BH54" i="3"/>
  <c r="BH55" i="3"/>
  <c r="BH56" i="3"/>
  <c r="BH57" i="3"/>
  <c r="BH58" i="3"/>
  <c r="BH59" i="3"/>
  <c r="BH60" i="3"/>
  <c r="BH61" i="3"/>
  <c r="BH62" i="3"/>
  <c r="BH63" i="3"/>
  <c r="BH64" i="3"/>
  <c r="BH65" i="3"/>
  <c r="BH66" i="3"/>
  <c r="BH67" i="3"/>
  <c r="BH68" i="3"/>
  <c r="BH69" i="3"/>
  <c r="BH70" i="3"/>
  <c r="BH71" i="3"/>
  <c r="BH72" i="3"/>
  <c r="BH73" i="3"/>
  <c r="BH74" i="3"/>
  <c r="BH75" i="3"/>
  <c r="BH76" i="3"/>
  <c r="BH77" i="3"/>
  <c r="BH78" i="3"/>
  <c r="BH79" i="3"/>
  <c r="BH80" i="3"/>
  <c r="BH81" i="3"/>
  <c r="BH82" i="3"/>
  <c r="BH83" i="3"/>
  <c r="BH84" i="3"/>
  <c r="BH85" i="3"/>
  <c r="BH86" i="3"/>
  <c r="BH87" i="3"/>
  <c r="BH88" i="3"/>
  <c r="BH89" i="3"/>
  <c r="BH90" i="3"/>
  <c r="BH91" i="3"/>
  <c r="BH92" i="3"/>
  <c r="BH93" i="3"/>
  <c r="BH94" i="3"/>
  <c r="BH95" i="3"/>
  <c r="BH96" i="3"/>
  <c r="BH97" i="3"/>
  <c r="BH98" i="3"/>
  <c r="BH99" i="3"/>
  <c r="BH100" i="3"/>
  <c r="BH101" i="3"/>
  <c r="BH102" i="3"/>
  <c r="BH103" i="3"/>
  <c r="BH104" i="3"/>
  <c r="BH105" i="3"/>
  <c r="BH106" i="3"/>
  <c r="BH107" i="3"/>
  <c r="BH108" i="3"/>
  <c r="BH109" i="3"/>
  <c r="BH110" i="3"/>
  <c r="BH111" i="3"/>
  <c r="BH112" i="3"/>
  <c r="BH113" i="3"/>
  <c r="BH114" i="3"/>
  <c r="BH115" i="3"/>
  <c r="BH116" i="3"/>
  <c r="BH117" i="3"/>
  <c r="BH118" i="3"/>
  <c r="BH119" i="3"/>
  <c r="BH120" i="3"/>
  <c r="BH121" i="3"/>
  <c r="BH122" i="3"/>
  <c r="BH123" i="3"/>
  <c r="BH124" i="3"/>
  <c r="BH125" i="3"/>
  <c r="BH126" i="3"/>
  <c r="BH127" i="3"/>
  <c r="BH128" i="3"/>
  <c r="BH129" i="3"/>
  <c r="BH130" i="3"/>
  <c r="BH131" i="3"/>
  <c r="BH132" i="3"/>
  <c r="BH133" i="3"/>
  <c r="BH134" i="3"/>
  <c r="BH135" i="3"/>
  <c r="BH136" i="3"/>
  <c r="BH137" i="3"/>
  <c r="BH138" i="3"/>
  <c r="BH139" i="3"/>
  <c r="BH140" i="3"/>
  <c r="BH141" i="3"/>
  <c r="BH142" i="3"/>
  <c r="BH143" i="3"/>
  <c r="BH144" i="3"/>
  <c r="BH145" i="3"/>
  <c r="BH146" i="3"/>
  <c r="BH147" i="3"/>
  <c r="BH148" i="3"/>
  <c r="BH149" i="3"/>
  <c r="BH150" i="3"/>
  <c r="BH151" i="3"/>
  <c r="BH152" i="3"/>
  <c r="BH153" i="3"/>
  <c r="BH154" i="3"/>
  <c r="BH155" i="3"/>
  <c r="BH156" i="3"/>
  <c r="BH157" i="3"/>
  <c r="BH158" i="3"/>
  <c r="BH159" i="3"/>
  <c r="BH160" i="3"/>
  <c r="BH161" i="3"/>
  <c r="BH162" i="3"/>
  <c r="BH163" i="3"/>
  <c r="BH164" i="3"/>
  <c r="BH165" i="3"/>
  <c r="BH166" i="3"/>
  <c r="BH167" i="3"/>
  <c r="BH168" i="3"/>
  <c r="BH169" i="3"/>
  <c r="BH170" i="3"/>
  <c r="BH171" i="3"/>
  <c r="BH172" i="3"/>
  <c r="BH173" i="3"/>
  <c r="BH174" i="3"/>
  <c r="BH175" i="3"/>
  <c r="BH176" i="3"/>
  <c r="BH177" i="3"/>
  <c r="BH178" i="3"/>
  <c r="BH179" i="3"/>
  <c r="BH180" i="3"/>
  <c r="BH181" i="3"/>
  <c r="BH182" i="3"/>
  <c r="BH183" i="3"/>
  <c r="BH184" i="3"/>
  <c r="BH185" i="3"/>
  <c r="BH186" i="3"/>
  <c r="BH187" i="3"/>
  <c r="BH188" i="3"/>
  <c r="BH189" i="3"/>
  <c r="BH190" i="3"/>
  <c r="BH191" i="3"/>
  <c r="BH192" i="3"/>
  <c r="BH193" i="3"/>
  <c r="BH194" i="3"/>
  <c r="BH195" i="3"/>
  <c r="BH196" i="3"/>
  <c r="BH197" i="3"/>
  <c r="BH198" i="3"/>
  <c r="BH199" i="3"/>
  <c r="BH200" i="3"/>
  <c r="BH201" i="3"/>
  <c r="BH202" i="3"/>
  <c r="BH203" i="3"/>
  <c r="BH204" i="3"/>
  <c r="BH205" i="3"/>
  <c r="BH206" i="3"/>
  <c r="BH207" i="3"/>
  <c r="BH208" i="3"/>
  <c r="BH209" i="3"/>
  <c r="BH210" i="3"/>
  <c r="BH211" i="3"/>
  <c r="BH212" i="3"/>
  <c r="BH213" i="3"/>
  <c r="BH214" i="3"/>
  <c r="BH215" i="3"/>
  <c r="BH216" i="3"/>
  <c r="BH217" i="3"/>
  <c r="BH218" i="3"/>
  <c r="BH219" i="3"/>
  <c r="BH220" i="3"/>
  <c r="BH221" i="3"/>
  <c r="BH222" i="3"/>
  <c r="BH223" i="3"/>
  <c r="BH224" i="3"/>
  <c r="BH225" i="3"/>
  <c r="BH226" i="3"/>
  <c r="BH227" i="3"/>
  <c r="BH228" i="3"/>
  <c r="BH229" i="3"/>
  <c r="BH230" i="3"/>
  <c r="BH231" i="3"/>
  <c r="BH232" i="3"/>
  <c r="BH233" i="3"/>
  <c r="BH234" i="3"/>
  <c r="BH235" i="3"/>
  <c r="BH236" i="3"/>
  <c r="BH237" i="3"/>
  <c r="BH238" i="3"/>
  <c r="BH239" i="3"/>
  <c r="BH240" i="3"/>
  <c r="BH241" i="3"/>
  <c r="BH242" i="3"/>
  <c r="BH243" i="3"/>
  <c r="BH244" i="3"/>
  <c r="BH245" i="3"/>
  <c r="BH246" i="3"/>
  <c r="BH247" i="3"/>
  <c r="BH248" i="3"/>
  <c r="BH249" i="3"/>
  <c r="BH250" i="3"/>
  <c r="BH251" i="3"/>
  <c r="BH252" i="3"/>
  <c r="BH253" i="3"/>
  <c r="BH254" i="3"/>
  <c r="BH255" i="3"/>
  <c r="BH256" i="3"/>
  <c r="BH257" i="3"/>
  <c r="BH258" i="3"/>
  <c r="BH259" i="3"/>
  <c r="BH260" i="3"/>
  <c r="BH261" i="3"/>
  <c r="BH262" i="3"/>
  <c r="BH263" i="3"/>
  <c r="BH264" i="3"/>
  <c r="BH265" i="3"/>
  <c r="BH266" i="3"/>
  <c r="BH267" i="3"/>
  <c r="BH268" i="3"/>
  <c r="BH269" i="3"/>
  <c r="BH270" i="3"/>
  <c r="BH271" i="3"/>
  <c r="BH272" i="3"/>
  <c r="BH273" i="3"/>
  <c r="BH274" i="3"/>
  <c r="BH275" i="3"/>
  <c r="BH276" i="3"/>
  <c r="BH277" i="3"/>
  <c r="BH278" i="3"/>
  <c r="BH279" i="3"/>
  <c r="BH280" i="3"/>
  <c r="BH281" i="3"/>
  <c r="BH282" i="3"/>
  <c r="BH283" i="3"/>
  <c r="BH284" i="3"/>
  <c r="BH285" i="3"/>
  <c r="BH286" i="3"/>
  <c r="BH287" i="3"/>
  <c r="BH288" i="3"/>
  <c r="BH289" i="3"/>
  <c r="BH290" i="3"/>
  <c r="BH5" i="3"/>
  <c r="AX19" i="10" l="1"/>
  <c r="BC71" i="3"/>
  <c r="BH4" i="3"/>
  <c r="AX20" i="10" l="1"/>
  <c r="BC135" i="3"/>
  <c r="O46" i="3"/>
  <c r="O62" i="3"/>
  <c r="O119" i="3"/>
  <c r="O68" i="3"/>
  <c r="AX21" i="10" l="1"/>
  <c r="BC160" i="3"/>
  <c r="O48" i="3"/>
  <c r="O40" i="3"/>
  <c r="O32" i="3"/>
  <c r="O24" i="3"/>
  <c r="O16" i="3"/>
  <c r="O8" i="3"/>
  <c r="O47" i="3"/>
  <c r="O64" i="3"/>
  <c r="O56" i="3"/>
  <c r="O289" i="3"/>
  <c r="O281" i="3"/>
  <c r="O273" i="3"/>
  <c r="O265" i="3"/>
  <c r="O257" i="3"/>
  <c r="O249" i="3"/>
  <c r="O241" i="3"/>
  <c r="O233" i="3"/>
  <c r="O225" i="3"/>
  <c r="O217" i="3"/>
  <c r="O209" i="3"/>
  <c r="O201" i="3"/>
  <c r="O193" i="3"/>
  <c r="O185" i="3"/>
  <c r="O177" i="3"/>
  <c r="O169" i="3"/>
  <c r="O161" i="3"/>
  <c r="O153" i="3"/>
  <c r="O145" i="3"/>
  <c r="O137" i="3"/>
  <c r="O129" i="3"/>
  <c r="O121" i="3"/>
  <c r="O113" i="3"/>
  <c r="O105" i="3"/>
  <c r="O97" i="3"/>
  <c r="O89" i="3"/>
  <c r="O81" i="3"/>
  <c r="O73" i="3"/>
  <c r="O287" i="3"/>
  <c r="O247" i="3"/>
  <c r="O231" i="3"/>
  <c r="O199" i="3"/>
  <c r="O183" i="3"/>
  <c r="O151" i="3"/>
  <c r="O263" i="3"/>
  <c r="O215" i="3"/>
  <c r="O159" i="3"/>
  <c r="O127" i="3"/>
  <c r="O103" i="3"/>
  <c r="O87" i="3"/>
  <c r="O71" i="3"/>
  <c r="O255" i="3"/>
  <c r="O207" i="3"/>
  <c r="O167" i="3"/>
  <c r="O143" i="3"/>
  <c r="O111" i="3"/>
  <c r="O95" i="3"/>
  <c r="O79" i="3"/>
  <c r="O54" i="3"/>
  <c r="O38" i="3"/>
  <c r="O30" i="3"/>
  <c r="O22" i="3"/>
  <c r="O14" i="3"/>
  <c r="O6" i="3"/>
  <c r="O271" i="3"/>
  <c r="O239" i="3"/>
  <c r="O191" i="3"/>
  <c r="O135" i="3"/>
  <c r="O279" i="3"/>
  <c r="O223" i="3"/>
  <c r="O175" i="3"/>
  <c r="O63" i="3"/>
  <c r="O55" i="3"/>
  <c r="O39" i="3"/>
  <c r="O31" i="3"/>
  <c r="O23" i="3"/>
  <c r="O15" i="3"/>
  <c r="O7" i="3"/>
  <c r="O276" i="3"/>
  <c r="O244" i="3"/>
  <c r="O220" i="3"/>
  <c r="O212" i="3"/>
  <c r="O204" i="3"/>
  <c r="O196" i="3"/>
  <c r="O188" i="3"/>
  <c r="O180" i="3"/>
  <c r="O172" i="3"/>
  <c r="O164" i="3"/>
  <c r="O156" i="3"/>
  <c r="O148" i="3"/>
  <c r="O140" i="3"/>
  <c r="O132" i="3"/>
  <c r="O124" i="3"/>
  <c r="O116" i="3"/>
  <c r="O108" i="3"/>
  <c r="O100" i="3"/>
  <c r="O92" i="3"/>
  <c r="O84" i="3"/>
  <c r="O76" i="3"/>
  <c r="O284" i="3"/>
  <c r="O260" i="3"/>
  <c r="O236" i="3"/>
  <c r="O67" i="3"/>
  <c r="O59" i="3"/>
  <c r="O51" i="3"/>
  <c r="O43" i="3"/>
  <c r="O35" i="3"/>
  <c r="O27" i="3"/>
  <c r="O19" i="3"/>
  <c r="O11" i="3"/>
  <c r="O268" i="3"/>
  <c r="O252" i="3"/>
  <c r="O228" i="3"/>
  <c r="O288" i="3"/>
  <c r="O280" i="3"/>
  <c r="O272" i="3"/>
  <c r="O264" i="3"/>
  <c r="O256" i="3"/>
  <c r="O248" i="3"/>
  <c r="O240" i="3"/>
  <c r="O232" i="3"/>
  <c r="O224" i="3"/>
  <c r="O216" i="3"/>
  <c r="O208" i="3"/>
  <c r="O200" i="3"/>
  <c r="O192" i="3"/>
  <c r="O184" i="3"/>
  <c r="O176" i="3"/>
  <c r="O168" i="3"/>
  <c r="O160" i="3"/>
  <c r="O152" i="3"/>
  <c r="O144" i="3"/>
  <c r="O136" i="3"/>
  <c r="O128" i="3"/>
  <c r="O120" i="3"/>
  <c r="O112" i="3"/>
  <c r="O104" i="3"/>
  <c r="O96" i="3"/>
  <c r="O88" i="3"/>
  <c r="O80" i="3"/>
  <c r="O72" i="3"/>
  <c r="O5" i="3"/>
  <c r="O283" i="3"/>
  <c r="O275" i="3"/>
  <c r="O267" i="3"/>
  <c r="O259" i="3"/>
  <c r="O251" i="3"/>
  <c r="O243" i="3"/>
  <c r="O235" i="3"/>
  <c r="O227" i="3"/>
  <c r="O219" i="3"/>
  <c r="O211" i="3"/>
  <c r="O203" i="3"/>
  <c r="O195" i="3"/>
  <c r="O187" i="3"/>
  <c r="O179" i="3"/>
  <c r="O171" i="3"/>
  <c r="O163" i="3"/>
  <c r="O155" i="3"/>
  <c r="O147" i="3"/>
  <c r="O139" i="3"/>
  <c r="O131" i="3"/>
  <c r="O123" i="3"/>
  <c r="O115" i="3"/>
  <c r="O107" i="3"/>
  <c r="O99" i="3"/>
  <c r="O91" i="3"/>
  <c r="O83" i="3"/>
  <c r="O75" i="3"/>
  <c r="O290" i="3"/>
  <c r="O282" i="3"/>
  <c r="O274" i="3"/>
  <c r="O266" i="3"/>
  <c r="O258" i="3"/>
  <c r="O250" i="3"/>
  <c r="O242" i="3"/>
  <c r="O234" i="3"/>
  <c r="O226" i="3"/>
  <c r="O218" i="3"/>
  <c r="O210" i="3"/>
  <c r="O202" i="3"/>
  <c r="O194" i="3"/>
  <c r="O186" i="3"/>
  <c r="O178" i="3"/>
  <c r="O170" i="3"/>
  <c r="O162" i="3"/>
  <c r="O154" i="3"/>
  <c r="O146" i="3"/>
  <c r="O138" i="3"/>
  <c r="O130" i="3"/>
  <c r="O122" i="3"/>
  <c r="O114" i="3"/>
  <c r="O106" i="3"/>
  <c r="O98" i="3"/>
  <c r="O90" i="3"/>
  <c r="O82" i="3"/>
  <c r="O74" i="3"/>
  <c r="O66" i="3"/>
  <c r="O58" i="3"/>
  <c r="O50" i="3"/>
  <c r="O42" i="3"/>
  <c r="O34" i="3"/>
  <c r="O26" i="3"/>
  <c r="O18" i="3"/>
  <c r="O10" i="3"/>
  <c r="O65" i="3"/>
  <c r="O57" i="3"/>
  <c r="O49" i="3"/>
  <c r="O41" i="3"/>
  <c r="O33" i="3"/>
  <c r="O25" i="3"/>
  <c r="O17" i="3"/>
  <c r="O9" i="3"/>
  <c r="O44" i="3"/>
  <c r="O36" i="3"/>
  <c r="O286" i="3"/>
  <c r="O270" i="3"/>
  <c r="O262" i="3"/>
  <c r="O254" i="3"/>
  <c r="O246" i="3"/>
  <c r="O238" i="3"/>
  <c r="O230" i="3"/>
  <c r="O222" i="3"/>
  <c r="O214" i="3"/>
  <c r="O206" i="3"/>
  <c r="O198" i="3"/>
  <c r="O190" i="3"/>
  <c r="O182" i="3"/>
  <c r="O174" i="3"/>
  <c r="O166" i="3"/>
  <c r="O158" i="3"/>
  <c r="O150" i="3"/>
  <c r="O142" i="3"/>
  <c r="O134" i="3"/>
  <c r="O126" i="3"/>
  <c r="O118" i="3"/>
  <c r="O110" i="3"/>
  <c r="O102" i="3"/>
  <c r="O94" i="3"/>
  <c r="O86" i="3"/>
  <c r="O78" i="3"/>
  <c r="O70" i="3"/>
  <c r="O278" i="3"/>
  <c r="O61" i="3"/>
  <c r="O53" i="3"/>
  <c r="O45" i="3"/>
  <c r="O37" i="3"/>
  <c r="O29" i="3"/>
  <c r="O21" i="3"/>
  <c r="O13" i="3"/>
  <c r="O285" i="3"/>
  <c r="O277" i="3"/>
  <c r="O269" i="3"/>
  <c r="O261" i="3"/>
  <c r="O253" i="3"/>
  <c r="O245" i="3"/>
  <c r="O237" i="3"/>
  <c r="O229" i="3"/>
  <c r="O221" i="3"/>
  <c r="O213" i="3"/>
  <c r="O205" i="3"/>
  <c r="O197" i="3"/>
  <c r="O189" i="3"/>
  <c r="O181" i="3"/>
  <c r="O173" i="3"/>
  <c r="O165" i="3"/>
  <c r="O157" i="3"/>
  <c r="O149" i="3"/>
  <c r="O141" i="3"/>
  <c r="O133" i="3"/>
  <c r="O125" i="3"/>
  <c r="O117" i="3"/>
  <c r="O109" i="3"/>
  <c r="O101" i="3"/>
  <c r="O93" i="3"/>
  <c r="O85" i="3"/>
  <c r="O77" i="3"/>
  <c r="O69" i="3"/>
  <c r="O20" i="3"/>
  <c r="O52" i="3"/>
  <c r="O12" i="3"/>
  <c r="O60" i="3"/>
  <c r="O28" i="3"/>
  <c r="AX22" i="10" l="1"/>
  <c r="BC175" i="3"/>
  <c r="CQ4" i="3"/>
  <c r="AX23" i="10" l="1"/>
  <c r="BC216" i="3"/>
  <c r="AS4" i="11"/>
  <c r="AR4" i="11"/>
  <c r="AQ4" i="11"/>
  <c r="AP4" i="11"/>
  <c r="AO4" i="11"/>
  <c r="AN4" i="11"/>
  <c r="AL4" i="11"/>
  <c r="AX24" i="10" l="1"/>
  <c r="BC259" i="3" s="1"/>
  <c r="BC219" i="3"/>
  <c r="AE5" i="3"/>
  <c r="BE6" i="3"/>
  <c r="BE7" i="3"/>
  <c r="BE8" i="3"/>
  <c r="BE9" i="3"/>
  <c r="BE10" i="3"/>
  <c r="BE11" i="3"/>
  <c r="BE12" i="3"/>
  <c r="BE13" i="3"/>
  <c r="BE14" i="3"/>
  <c r="BE15" i="3"/>
  <c r="BE16" i="3"/>
  <c r="BE17" i="3"/>
  <c r="BE18" i="3"/>
  <c r="BE19" i="3"/>
  <c r="BE20" i="3"/>
  <c r="BE21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4" i="3"/>
  <c r="BE35" i="3"/>
  <c r="BE36" i="3"/>
  <c r="BE37" i="3"/>
  <c r="BE38" i="3"/>
  <c r="BE39" i="3"/>
  <c r="BE40" i="3"/>
  <c r="BE41" i="3"/>
  <c r="BE42" i="3"/>
  <c r="BE43" i="3"/>
  <c r="BE44" i="3"/>
  <c r="BE45" i="3"/>
  <c r="BE46" i="3"/>
  <c r="BE47" i="3"/>
  <c r="BE48" i="3"/>
  <c r="BE49" i="3"/>
  <c r="BE50" i="3"/>
  <c r="BE51" i="3"/>
  <c r="BE52" i="3"/>
  <c r="BE53" i="3"/>
  <c r="BE54" i="3"/>
  <c r="BE55" i="3"/>
  <c r="BE56" i="3"/>
  <c r="BE57" i="3"/>
  <c r="BE58" i="3"/>
  <c r="BE59" i="3"/>
  <c r="BE60" i="3"/>
  <c r="BE61" i="3"/>
  <c r="BE62" i="3"/>
  <c r="BE63" i="3"/>
  <c r="BE64" i="3"/>
  <c r="BE65" i="3"/>
  <c r="BE66" i="3"/>
  <c r="BE67" i="3"/>
  <c r="BE68" i="3"/>
  <c r="BE69" i="3"/>
  <c r="BE70" i="3"/>
  <c r="BE71" i="3"/>
  <c r="BE72" i="3"/>
  <c r="BE73" i="3"/>
  <c r="BE74" i="3"/>
  <c r="BE75" i="3"/>
  <c r="BE76" i="3"/>
  <c r="BE77" i="3"/>
  <c r="BE78" i="3"/>
  <c r="BE79" i="3"/>
  <c r="BE80" i="3"/>
  <c r="BE81" i="3"/>
  <c r="BE82" i="3"/>
  <c r="BE83" i="3"/>
  <c r="BE84" i="3"/>
  <c r="BE85" i="3"/>
  <c r="BE86" i="3"/>
  <c r="BE87" i="3"/>
  <c r="BE88" i="3"/>
  <c r="BE89" i="3"/>
  <c r="BE90" i="3"/>
  <c r="BE91" i="3"/>
  <c r="BE92" i="3"/>
  <c r="BE93" i="3"/>
  <c r="BE94" i="3"/>
  <c r="BE95" i="3"/>
  <c r="BE96" i="3"/>
  <c r="BE97" i="3"/>
  <c r="BE98" i="3"/>
  <c r="BE99" i="3"/>
  <c r="BE100" i="3"/>
  <c r="BE101" i="3"/>
  <c r="BE102" i="3"/>
  <c r="BE103" i="3"/>
  <c r="BE104" i="3"/>
  <c r="BE105" i="3"/>
  <c r="BE106" i="3"/>
  <c r="BE107" i="3"/>
  <c r="BE108" i="3"/>
  <c r="BE109" i="3"/>
  <c r="BE110" i="3"/>
  <c r="BE111" i="3"/>
  <c r="BE112" i="3"/>
  <c r="BE113" i="3"/>
  <c r="BE114" i="3"/>
  <c r="BE115" i="3"/>
  <c r="BE116" i="3"/>
  <c r="BE117" i="3"/>
  <c r="BE118" i="3"/>
  <c r="BE119" i="3"/>
  <c r="BE120" i="3"/>
  <c r="BE121" i="3"/>
  <c r="BE122" i="3"/>
  <c r="BE123" i="3"/>
  <c r="BE124" i="3"/>
  <c r="BE125" i="3"/>
  <c r="BE126" i="3"/>
  <c r="BE127" i="3"/>
  <c r="BE128" i="3"/>
  <c r="BE129" i="3"/>
  <c r="BE130" i="3"/>
  <c r="BE131" i="3"/>
  <c r="BE132" i="3"/>
  <c r="BE133" i="3"/>
  <c r="BE134" i="3"/>
  <c r="BE135" i="3"/>
  <c r="BE136" i="3"/>
  <c r="BE137" i="3"/>
  <c r="BE138" i="3"/>
  <c r="BE139" i="3"/>
  <c r="BE140" i="3"/>
  <c r="BE141" i="3"/>
  <c r="BE142" i="3"/>
  <c r="BE143" i="3"/>
  <c r="BE144" i="3"/>
  <c r="BE145" i="3"/>
  <c r="BE146" i="3"/>
  <c r="BE147" i="3"/>
  <c r="BE148" i="3"/>
  <c r="BE149" i="3"/>
  <c r="BE150" i="3"/>
  <c r="BE151" i="3"/>
  <c r="BE152" i="3"/>
  <c r="BE153" i="3"/>
  <c r="BE154" i="3"/>
  <c r="BE155" i="3"/>
  <c r="BE156" i="3"/>
  <c r="BE157" i="3"/>
  <c r="BE158" i="3"/>
  <c r="BE159" i="3"/>
  <c r="BE160" i="3"/>
  <c r="BE161" i="3"/>
  <c r="BE162" i="3"/>
  <c r="BE163" i="3"/>
  <c r="BE164" i="3"/>
  <c r="BE165" i="3"/>
  <c r="BE166" i="3"/>
  <c r="BE167" i="3"/>
  <c r="BE168" i="3"/>
  <c r="BE169" i="3"/>
  <c r="BE170" i="3"/>
  <c r="BE171" i="3"/>
  <c r="BE172" i="3"/>
  <c r="BE173" i="3"/>
  <c r="BE174" i="3"/>
  <c r="BE175" i="3"/>
  <c r="BE176" i="3"/>
  <c r="BE177" i="3"/>
  <c r="BE178" i="3"/>
  <c r="BE179" i="3"/>
  <c r="BE180" i="3"/>
  <c r="BE181" i="3"/>
  <c r="BE182" i="3"/>
  <c r="BE183" i="3"/>
  <c r="BE184" i="3"/>
  <c r="BE185" i="3"/>
  <c r="BE186" i="3"/>
  <c r="BE187" i="3"/>
  <c r="BE188" i="3"/>
  <c r="BE189" i="3"/>
  <c r="BE190" i="3"/>
  <c r="BE191" i="3"/>
  <c r="BE192" i="3"/>
  <c r="BE193" i="3"/>
  <c r="BE194" i="3"/>
  <c r="BE195" i="3"/>
  <c r="BE196" i="3"/>
  <c r="BE197" i="3"/>
  <c r="BE198" i="3"/>
  <c r="BE199" i="3"/>
  <c r="BE200" i="3"/>
  <c r="BE201" i="3"/>
  <c r="BE202" i="3"/>
  <c r="BE203" i="3"/>
  <c r="BE204" i="3"/>
  <c r="BE205" i="3"/>
  <c r="BE206" i="3"/>
  <c r="BE207" i="3"/>
  <c r="BE208" i="3"/>
  <c r="BE209" i="3"/>
  <c r="BE210" i="3"/>
  <c r="BE211" i="3"/>
  <c r="BE212" i="3"/>
  <c r="BE213" i="3"/>
  <c r="BE214" i="3"/>
  <c r="BE215" i="3"/>
  <c r="BE216" i="3"/>
  <c r="BE217" i="3"/>
  <c r="BE218" i="3"/>
  <c r="BE219" i="3"/>
  <c r="BE220" i="3"/>
  <c r="BE221" i="3"/>
  <c r="BE222" i="3"/>
  <c r="BE223" i="3"/>
  <c r="BE224" i="3"/>
  <c r="BE225" i="3"/>
  <c r="BE226" i="3"/>
  <c r="BE227" i="3"/>
  <c r="BE228" i="3"/>
  <c r="BE229" i="3"/>
  <c r="BE230" i="3"/>
  <c r="BE231" i="3"/>
  <c r="BE232" i="3"/>
  <c r="BE233" i="3"/>
  <c r="BE234" i="3"/>
  <c r="BE235" i="3"/>
  <c r="BE236" i="3"/>
  <c r="BE237" i="3"/>
  <c r="BE238" i="3"/>
  <c r="BE239" i="3"/>
  <c r="BE240" i="3"/>
  <c r="BE241" i="3"/>
  <c r="BE242" i="3"/>
  <c r="BE243" i="3"/>
  <c r="BE244" i="3"/>
  <c r="BE245" i="3"/>
  <c r="BE246" i="3"/>
  <c r="BE247" i="3"/>
  <c r="BE248" i="3"/>
  <c r="BE249" i="3"/>
  <c r="BE250" i="3"/>
  <c r="BE251" i="3"/>
  <c r="BE252" i="3"/>
  <c r="BE253" i="3"/>
  <c r="BE254" i="3"/>
  <c r="BE255" i="3"/>
  <c r="BE256" i="3"/>
  <c r="BE257" i="3"/>
  <c r="BE258" i="3"/>
  <c r="BE259" i="3"/>
  <c r="BE260" i="3"/>
  <c r="BE261" i="3"/>
  <c r="BE262" i="3"/>
  <c r="BE263" i="3"/>
  <c r="BE264" i="3"/>
  <c r="BE265" i="3"/>
  <c r="BE266" i="3"/>
  <c r="BE267" i="3"/>
  <c r="BE268" i="3"/>
  <c r="BE269" i="3"/>
  <c r="BE270" i="3"/>
  <c r="BE271" i="3"/>
  <c r="BE272" i="3"/>
  <c r="BE273" i="3"/>
  <c r="BE274" i="3"/>
  <c r="BE275" i="3"/>
  <c r="BE276" i="3"/>
  <c r="BE277" i="3"/>
  <c r="BE278" i="3"/>
  <c r="BE279" i="3"/>
  <c r="BE280" i="3"/>
  <c r="BE281" i="3"/>
  <c r="BE282" i="3"/>
  <c r="BE283" i="3"/>
  <c r="BE284" i="3"/>
  <c r="BE285" i="3"/>
  <c r="BE286" i="3"/>
  <c r="BE287" i="3"/>
  <c r="BE288" i="3"/>
  <c r="BE289" i="3"/>
  <c r="BE290" i="3"/>
  <c r="AN4" i="3"/>
  <c r="L116" i="3"/>
  <c r="I53" i="3"/>
  <c r="I69" i="3"/>
  <c r="I77" i="3"/>
  <c r="I85" i="3"/>
  <c r="I93" i="3"/>
  <c r="I101" i="3"/>
  <c r="I109" i="3"/>
  <c r="I117" i="3"/>
  <c r="I125" i="3"/>
  <c r="I133" i="3"/>
  <c r="I141" i="3"/>
  <c r="I147" i="3"/>
  <c r="I149" i="3"/>
  <c r="I155" i="3"/>
  <c r="I157" i="3"/>
  <c r="I165" i="3"/>
  <c r="I171" i="3"/>
  <c r="I173" i="3"/>
  <c r="I180" i="3"/>
  <c r="I181" i="3"/>
  <c r="I189" i="3"/>
  <c r="I190" i="3"/>
  <c r="I196" i="3"/>
  <c r="I197" i="3"/>
  <c r="I198" i="3"/>
  <c r="I204" i="3"/>
  <c r="I205" i="3"/>
  <c r="I206" i="3"/>
  <c r="I212" i="3"/>
  <c r="I213" i="3"/>
  <c r="I214" i="3"/>
  <c r="I220" i="3"/>
  <c r="I221" i="3"/>
  <c r="I222" i="3"/>
  <c r="I228" i="3"/>
  <c r="I229" i="3"/>
  <c r="I230" i="3"/>
  <c r="I236" i="3"/>
  <c r="I237" i="3"/>
  <c r="I238" i="3"/>
  <c r="I243" i="3"/>
  <c r="I245" i="3"/>
  <c r="I246" i="3"/>
  <c r="I250" i="3"/>
  <c r="I252" i="3"/>
  <c r="I253" i="3"/>
  <c r="I254" i="3"/>
  <c r="I256" i="3"/>
  <c r="I260" i="3"/>
  <c r="I261" i="3"/>
  <c r="I263" i="3"/>
  <c r="I264" i="3"/>
  <c r="I267" i="3"/>
  <c r="I268" i="3"/>
  <c r="I269" i="3"/>
  <c r="I270" i="3"/>
  <c r="I271" i="3"/>
  <c r="I272" i="3"/>
  <c r="I274" i="3"/>
  <c r="I275" i="3"/>
  <c r="I276" i="3"/>
  <c r="I277" i="3"/>
  <c r="I278" i="3"/>
  <c r="I279" i="3"/>
  <c r="I280" i="3"/>
  <c r="I281" i="3"/>
  <c r="I282" i="3"/>
  <c r="I284" i="3"/>
  <c r="I285" i="3"/>
  <c r="I286" i="3"/>
  <c r="I287" i="3"/>
  <c r="I288" i="3"/>
  <c r="I289" i="3"/>
  <c r="I290" i="3"/>
  <c r="D4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70" i="3"/>
  <c r="I71" i="3"/>
  <c r="I72" i="3"/>
  <c r="I73" i="3"/>
  <c r="I74" i="3"/>
  <c r="I75" i="3"/>
  <c r="I76" i="3"/>
  <c r="I78" i="3"/>
  <c r="I79" i="3"/>
  <c r="I80" i="3"/>
  <c r="I81" i="3"/>
  <c r="I82" i="3"/>
  <c r="I83" i="3"/>
  <c r="I84" i="3"/>
  <c r="I86" i="3"/>
  <c r="I87" i="3"/>
  <c r="I88" i="3"/>
  <c r="I89" i="3"/>
  <c r="I90" i="3"/>
  <c r="I91" i="3"/>
  <c r="I92" i="3"/>
  <c r="I94" i="3"/>
  <c r="I95" i="3"/>
  <c r="I96" i="3"/>
  <c r="I97" i="3"/>
  <c r="I98" i="3"/>
  <c r="I99" i="3"/>
  <c r="I100" i="3"/>
  <c r="I102" i="3"/>
  <c r="I103" i="3"/>
  <c r="I104" i="3"/>
  <c r="I105" i="3"/>
  <c r="I106" i="3"/>
  <c r="I107" i="3"/>
  <c r="I108" i="3"/>
  <c r="I110" i="3"/>
  <c r="I111" i="3"/>
  <c r="I112" i="3"/>
  <c r="I113" i="3"/>
  <c r="I114" i="3"/>
  <c r="I115" i="3"/>
  <c r="I116" i="3"/>
  <c r="I118" i="3"/>
  <c r="I119" i="3"/>
  <c r="I120" i="3"/>
  <c r="I121" i="3"/>
  <c r="I122" i="3"/>
  <c r="I123" i="3"/>
  <c r="I124" i="3"/>
  <c r="I126" i="3"/>
  <c r="I127" i="3"/>
  <c r="I128" i="3"/>
  <c r="I129" i="3"/>
  <c r="I130" i="3"/>
  <c r="I131" i="3"/>
  <c r="I132" i="3"/>
  <c r="I134" i="3"/>
  <c r="I135" i="3"/>
  <c r="I136" i="3"/>
  <c r="I137" i="3"/>
  <c r="I138" i="3"/>
  <c r="I139" i="3"/>
  <c r="I140" i="3"/>
  <c r="I142" i="3"/>
  <c r="I143" i="3"/>
  <c r="I144" i="3"/>
  <c r="I145" i="3"/>
  <c r="I146" i="3"/>
  <c r="I148" i="3"/>
  <c r="I150" i="3"/>
  <c r="I151" i="3"/>
  <c r="I152" i="3"/>
  <c r="I153" i="3"/>
  <c r="I154" i="3"/>
  <c r="I156" i="3"/>
  <c r="I158" i="3"/>
  <c r="I159" i="3"/>
  <c r="I160" i="3"/>
  <c r="I161" i="3"/>
  <c r="I162" i="3"/>
  <c r="I163" i="3"/>
  <c r="I164" i="3"/>
  <c r="I166" i="3"/>
  <c r="I167" i="3"/>
  <c r="I168" i="3"/>
  <c r="I169" i="3"/>
  <c r="I170" i="3"/>
  <c r="I172" i="3"/>
  <c r="I174" i="3"/>
  <c r="I175" i="3"/>
  <c r="I176" i="3"/>
  <c r="I177" i="3"/>
  <c r="I178" i="3"/>
  <c r="I179" i="3"/>
  <c r="I182" i="3"/>
  <c r="I183" i="3"/>
  <c r="I184" i="3"/>
  <c r="I185" i="3"/>
  <c r="I186" i="3"/>
  <c r="I187" i="3"/>
  <c r="I188" i="3"/>
  <c r="I191" i="3"/>
  <c r="I192" i="3"/>
  <c r="I193" i="3"/>
  <c r="I194" i="3"/>
  <c r="I195" i="3"/>
  <c r="I199" i="3"/>
  <c r="I200" i="3"/>
  <c r="I201" i="3"/>
  <c r="I202" i="3"/>
  <c r="I203" i="3"/>
  <c r="I207" i="3"/>
  <c r="I208" i="3"/>
  <c r="I209" i="3"/>
  <c r="I210" i="3"/>
  <c r="I211" i="3"/>
  <c r="I215" i="3"/>
  <c r="I216" i="3"/>
  <c r="I217" i="3"/>
  <c r="I218" i="3"/>
  <c r="I219" i="3"/>
  <c r="I223" i="3"/>
  <c r="I224" i="3"/>
  <c r="I225" i="3"/>
  <c r="I226" i="3"/>
  <c r="I227" i="3"/>
  <c r="I231" i="3"/>
  <c r="I232" i="3"/>
  <c r="I233" i="3"/>
  <c r="I234" i="3"/>
  <c r="I235" i="3"/>
  <c r="I239" i="3"/>
  <c r="I240" i="3"/>
  <c r="I241" i="3"/>
  <c r="I242" i="3"/>
  <c r="I244" i="3"/>
  <c r="I247" i="3"/>
  <c r="I248" i="3"/>
  <c r="I249" i="3"/>
  <c r="I251" i="3"/>
  <c r="I255" i="3"/>
  <c r="I257" i="3"/>
  <c r="I258" i="3"/>
  <c r="I259" i="3"/>
  <c r="I262" i="3"/>
  <c r="I265" i="3"/>
  <c r="I266" i="3"/>
  <c r="I273" i="3"/>
  <c r="I283" i="3"/>
  <c r="G4" i="3"/>
  <c r="I5" i="3"/>
  <c r="H4" i="3"/>
  <c r="CI6" i="3"/>
  <c r="CI7" i="3"/>
  <c r="CI8" i="3"/>
  <c r="CI9" i="3"/>
  <c r="CI10" i="3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66" i="3"/>
  <c r="CI67" i="3"/>
  <c r="CI68" i="3"/>
  <c r="CI69" i="3"/>
  <c r="CI70" i="3"/>
  <c r="CI71" i="3"/>
  <c r="CI72" i="3"/>
  <c r="CI73" i="3"/>
  <c r="CI74" i="3"/>
  <c r="CI75" i="3"/>
  <c r="CI76" i="3"/>
  <c r="CI77" i="3"/>
  <c r="CI78" i="3"/>
  <c r="CI79" i="3"/>
  <c r="CI80" i="3"/>
  <c r="CI81" i="3"/>
  <c r="CI82" i="3"/>
  <c r="CI83" i="3"/>
  <c r="CI84" i="3"/>
  <c r="CI85" i="3"/>
  <c r="CI86" i="3"/>
  <c r="CI87" i="3"/>
  <c r="CI88" i="3"/>
  <c r="CI89" i="3"/>
  <c r="CI90" i="3"/>
  <c r="CI91" i="3"/>
  <c r="CI92" i="3"/>
  <c r="CI93" i="3"/>
  <c r="CI94" i="3"/>
  <c r="CI95" i="3"/>
  <c r="CI96" i="3"/>
  <c r="CI97" i="3"/>
  <c r="CI98" i="3"/>
  <c r="CI99" i="3"/>
  <c r="CI100" i="3"/>
  <c r="CI101" i="3"/>
  <c r="CI102" i="3"/>
  <c r="CI103" i="3"/>
  <c r="CI104" i="3"/>
  <c r="CI105" i="3"/>
  <c r="CI106" i="3"/>
  <c r="CI107" i="3"/>
  <c r="CI108" i="3"/>
  <c r="CI109" i="3"/>
  <c r="CI110" i="3"/>
  <c r="CI111" i="3"/>
  <c r="CI112" i="3"/>
  <c r="CI113" i="3"/>
  <c r="CI114" i="3"/>
  <c r="CI115" i="3"/>
  <c r="CI116" i="3"/>
  <c r="CI117" i="3"/>
  <c r="CI118" i="3"/>
  <c r="CI119" i="3"/>
  <c r="CI120" i="3"/>
  <c r="CI121" i="3"/>
  <c r="CI122" i="3"/>
  <c r="CI123" i="3"/>
  <c r="CI124" i="3"/>
  <c r="CI125" i="3"/>
  <c r="CI126" i="3"/>
  <c r="CI127" i="3"/>
  <c r="CI128" i="3"/>
  <c r="CI129" i="3"/>
  <c r="CI130" i="3"/>
  <c r="CI131" i="3"/>
  <c r="CI132" i="3"/>
  <c r="CI133" i="3"/>
  <c r="CI134" i="3"/>
  <c r="CI135" i="3"/>
  <c r="CI136" i="3"/>
  <c r="CI137" i="3"/>
  <c r="CI138" i="3"/>
  <c r="CI139" i="3"/>
  <c r="CI140" i="3"/>
  <c r="CI141" i="3"/>
  <c r="CI142" i="3"/>
  <c r="CI143" i="3"/>
  <c r="CI144" i="3"/>
  <c r="CI145" i="3"/>
  <c r="CI146" i="3"/>
  <c r="CI147" i="3"/>
  <c r="CI148" i="3"/>
  <c r="CI149" i="3"/>
  <c r="CI150" i="3"/>
  <c r="CI151" i="3"/>
  <c r="CI152" i="3"/>
  <c r="CI153" i="3"/>
  <c r="CI154" i="3"/>
  <c r="CI155" i="3"/>
  <c r="CI156" i="3"/>
  <c r="CI157" i="3"/>
  <c r="CI158" i="3"/>
  <c r="CI159" i="3"/>
  <c r="CI160" i="3"/>
  <c r="CI161" i="3"/>
  <c r="CI162" i="3"/>
  <c r="CI163" i="3"/>
  <c r="CI164" i="3"/>
  <c r="CI165" i="3"/>
  <c r="CI166" i="3"/>
  <c r="CI167" i="3"/>
  <c r="CI168" i="3"/>
  <c r="CI169" i="3"/>
  <c r="CI170" i="3"/>
  <c r="CI171" i="3"/>
  <c r="CI172" i="3"/>
  <c r="CI173" i="3"/>
  <c r="CI174" i="3"/>
  <c r="CI175" i="3"/>
  <c r="CI176" i="3"/>
  <c r="CI177" i="3"/>
  <c r="CI178" i="3"/>
  <c r="CI179" i="3"/>
  <c r="CI180" i="3"/>
  <c r="CI181" i="3"/>
  <c r="CI182" i="3"/>
  <c r="CI183" i="3"/>
  <c r="CI184" i="3"/>
  <c r="CI185" i="3"/>
  <c r="CI186" i="3"/>
  <c r="CI187" i="3"/>
  <c r="CI188" i="3"/>
  <c r="CI189" i="3"/>
  <c r="CI190" i="3"/>
  <c r="CI191" i="3"/>
  <c r="CI192" i="3"/>
  <c r="CI193" i="3"/>
  <c r="CI194" i="3"/>
  <c r="CI195" i="3"/>
  <c r="CI196" i="3"/>
  <c r="CI197" i="3"/>
  <c r="CI198" i="3"/>
  <c r="CI199" i="3"/>
  <c r="CI200" i="3"/>
  <c r="CI201" i="3"/>
  <c r="CI202" i="3"/>
  <c r="CI203" i="3"/>
  <c r="CI204" i="3"/>
  <c r="CI205" i="3"/>
  <c r="CI206" i="3"/>
  <c r="CI207" i="3"/>
  <c r="CI208" i="3"/>
  <c r="CI209" i="3"/>
  <c r="CI210" i="3"/>
  <c r="CI211" i="3"/>
  <c r="CI212" i="3"/>
  <c r="CI213" i="3"/>
  <c r="CI214" i="3"/>
  <c r="CI215" i="3"/>
  <c r="CI216" i="3"/>
  <c r="CI217" i="3"/>
  <c r="CI218" i="3"/>
  <c r="CI219" i="3"/>
  <c r="CI220" i="3"/>
  <c r="CI221" i="3"/>
  <c r="CI222" i="3"/>
  <c r="CI223" i="3"/>
  <c r="CI224" i="3"/>
  <c r="CI225" i="3"/>
  <c r="CI226" i="3"/>
  <c r="CI227" i="3"/>
  <c r="CI228" i="3"/>
  <c r="CI229" i="3"/>
  <c r="CI230" i="3"/>
  <c r="CI231" i="3"/>
  <c r="CI232" i="3"/>
  <c r="CI233" i="3"/>
  <c r="CI234" i="3"/>
  <c r="CI235" i="3"/>
  <c r="CI236" i="3"/>
  <c r="CI237" i="3"/>
  <c r="CI238" i="3"/>
  <c r="CI239" i="3"/>
  <c r="CI240" i="3"/>
  <c r="CI241" i="3"/>
  <c r="CI242" i="3"/>
  <c r="CI243" i="3"/>
  <c r="CI244" i="3"/>
  <c r="CI245" i="3"/>
  <c r="CI246" i="3"/>
  <c r="CI247" i="3"/>
  <c r="CI248" i="3"/>
  <c r="CI249" i="3"/>
  <c r="CI250" i="3"/>
  <c r="CI251" i="3"/>
  <c r="CI252" i="3"/>
  <c r="CI253" i="3"/>
  <c r="CI254" i="3"/>
  <c r="CI255" i="3"/>
  <c r="CI256" i="3"/>
  <c r="CI257" i="3"/>
  <c r="CI258" i="3"/>
  <c r="CI259" i="3"/>
  <c r="CI260" i="3"/>
  <c r="CI261" i="3"/>
  <c r="CI262" i="3"/>
  <c r="CI263" i="3"/>
  <c r="CI264" i="3"/>
  <c r="CI265" i="3"/>
  <c r="CI266" i="3"/>
  <c r="CI267" i="3"/>
  <c r="CI268" i="3"/>
  <c r="CI269" i="3"/>
  <c r="CI270" i="3"/>
  <c r="CI271" i="3"/>
  <c r="CI272" i="3"/>
  <c r="CI273" i="3"/>
  <c r="CI274" i="3"/>
  <c r="CI275" i="3"/>
  <c r="CI276" i="3"/>
  <c r="CI277" i="3"/>
  <c r="CI278" i="3"/>
  <c r="CI279" i="3"/>
  <c r="CI280" i="3"/>
  <c r="CI281" i="3"/>
  <c r="CI282" i="3"/>
  <c r="CI283" i="3"/>
  <c r="CI284" i="3"/>
  <c r="CI285" i="3"/>
  <c r="CI286" i="3"/>
  <c r="CI287" i="3"/>
  <c r="CI288" i="3"/>
  <c r="CI289" i="3"/>
  <c r="CI290" i="3"/>
  <c r="CI5" i="3"/>
  <c r="T5" i="9"/>
  <c r="BL116" i="3"/>
  <c r="BL19" i="3"/>
  <c r="L19" i="3"/>
  <c r="BL21" i="3"/>
  <c r="BL22" i="3"/>
  <c r="L22" i="3"/>
  <c r="BL43" i="3"/>
  <c r="BL47" i="3"/>
  <c r="L47" i="3"/>
  <c r="BL62" i="3"/>
  <c r="BL71" i="3"/>
  <c r="L71" i="3"/>
  <c r="BL73" i="3"/>
  <c r="BL78" i="3"/>
  <c r="L78" i="3"/>
  <c r="BL111" i="3"/>
  <c r="BL115" i="3"/>
  <c r="L115" i="3"/>
  <c r="BL162" i="3"/>
  <c r="BL165" i="3"/>
  <c r="L165" i="3"/>
  <c r="BL168" i="3"/>
  <c r="BL180" i="3"/>
  <c r="L180" i="3"/>
  <c r="BL210" i="3"/>
  <c r="BL232" i="3"/>
  <c r="L232" i="3"/>
  <c r="BL242" i="3"/>
  <c r="L242" i="3"/>
  <c r="BL248" i="3"/>
  <c r="BL258" i="3"/>
  <c r="BL273" i="3"/>
  <c r="BL276" i="3"/>
  <c r="BL46" i="3"/>
  <c r="BL107" i="3"/>
  <c r="BL139" i="3"/>
  <c r="BL148" i="3"/>
  <c r="L148" i="3"/>
  <c r="BL157" i="3"/>
  <c r="BL169" i="3"/>
  <c r="L169" i="3"/>
  <c r="BL177" i="3"/>
  <c r="BL215" i="3"/>
  <c r="L215" i="3"/>
  <c r="BL216" i="3"/>
  <c r="BL222" i="3"/>
  <c r="BL225" i="3"/>
  <c r="BL238" i="3"/>
  <c r="L238" i="3"/>
  <c r="BL254" i="3"/>
  <c r="L254" i="3"/>
  <c r="BL262" i="3"/>
  <c r="BL280" i="3"/>
  <c r="BL285" i="3"/>
  <c r="BL9" i="3"/>
  <c r="BL264" i="3"/>
  <c r="BL77" i="3"/>
  <c r="BL97" i="3"/>
  <c r="BL206" i="3"/>
  <c r="L206" i="3"/>
  <c r="BL231" i="3"/>
  <c r="BL241" i="3"/>
  <c r="BL279" i="3"/>
  <c r="BL270" i="3"/>
  <c r="BL267" i="3"/>
  <c r="BL72" i="3"/>
  <c r="BL25" i="3"/>
  <c r="BL178" i="3"/>
  <c r="BL250" i="3"/>
  <c r="L250" i="3"/>
  <c r="BL164" i="3"/>
  <c r="L164" i="3"/>
  <c r="BL60" i="3"/>
  <c r="L60" i="3"/>
  <c r="BL209" i="3"/>
  <c r="BL31" i="3"/>
  <c r="L31" i="3"/>
  <c r="BL49" i="3"/>
  <c r="BL182" i="3"/>
  <c r="BL74" i="3"/>
  <c r="BL28" i="3"/>
  <c r="BL44" i="3"/>
  <c r="BL114" i="3"/>
  <c r="L114" i="3"/>
  <c r="BL190" i="3"/>
  <c r="L190" i="3"/>
  <c r="BL144" i="3"/>
  <c r="BL153" i="3"/>
  <c r="L153" i="3"/>
  <c r="BL234" i="3"/>
  <c r="BL136" i="3"/>
  <c r="BL138" i="3"/>
  <c r="BL147" i="3"/>
  <c r="L147" i="3"/>
  <c r="BL257" i="3"/>
  <c r="L257" i="3"/>
  <c r="BL64" i="3"/>
  <c r="L64" i="3"/>
  <c r="BL196" i="3"/>
  <c r="BL223" i="3"/>
  <c r="AA5" i="3"/>
  <c r="X5" i="3"/>
  <c r="AJ5" i="3"/>
  <c r="CF5" i="3"/>
  <c r="CG5" i="3" s="1"/>
  <c r="BL5" i="3"/>
  <c r="BL23" i="3"/>
  <c r="L23" i="3"/>
  <c r="BL40" i="3"/>
  <c r="BL42" i="3"/>
  <c r="BL67" i="3"/>
  <c r="BL88" i="3"/>
  <c r="L88" i="3"/>
  <c r="BL142" i="3"/>
  <c r="BL195" i="3"/>
  <c r="BL218" i="3"/>
  <c r="BL224" i="3"/>
  <c r="L224" i="3"/>
  <c r="BL289" i="3"/>
  <c r="BL10" i="3"/>
  <c r="L10" i="3"/>
  <c r="BL17" i="3"/>
  <c r="BL26" i="3"/>
  <c r="BL27" i="3"/>
  <c r="L27" i="3"/>
  <c r="BL39" i="3"/>
  <c r="L39" i="3"/>
  <c r="BL45" i="3"/>
  <c r="L45" i="3"/>
  <c r="BL53" i="3"/>
  <c r="BL54" i="3"/>
  <c r="BL66" i="3"/>
  <c r="BL75" i="3"/>
  <c r="L75" i="3"/>
  <c r="BL79" i="3"/>
  <c r="BL86" i="3"/>
  <c r="L86" i="3"/>
  <c r="BL87" i="3"/>
  <c r="BL100" i="3"/>
  <c r="L100" i="3"/>
  <c r="BL112" i="3"/>
  <c r="BL113" i="3"/>
  <c r="L113" i="3"/>
  <c r="BL126" i="3"/>
  <c r="L126" i="3"/>
  <c r="BL128" i="3"/>
  <c r="BL131" i="3"/>
  <c r="L131" i="3"/>
  <c r="BL135" i="3"/>
  <c r="L135" i="3"/>
  <c r="BL140" i="3"/>
  <c r="L140" i="3"/>
  <c r="BL167" i="3"/>
  <c r="BL179" i="3"/>
  <c r="BL185" i="3"/>
  <c r="BL194" i="3"/>
  <c r="L194" i="3"/>
  <c r="BL201" i="3"/>
  <c r="L201" i="3"/>
  <c r="BL212" i="3"/>
  <c r="BL213" i="3"/>
  <c r="L213" i="3"/>
  <c r="BL214" i="3"/>
  <c r="L214" i="3"/>
  <c r="BL220" i="3"/>
  <c r="L220" i="3"/>
  <c r="BL227" i="3"/>
  <c r="L227" i="3"/>
  <c r="BL228" i="3"/>
  <c r="L228" i="3"/>
  <c r="BL230" i="3"/>
  <c r="L230" i="3"/>
  <c r="BL233" i="3"/>
  <c r="L233" i="3"/>
  <c r="BL236" i="3"/>
  <c r="BL237" i="3"/>
  <c r="BL240" i="3"/>
  <c r="L240" i="3"/>
  <c r="BL243" i="3"/>
  <c r="BL245" i="3"/>
  <c r="BL247" i="3"/>
  <c r="BL256" i="3"/>
  <c r="L256" i="3"/>
  <c r="BL261" i="3"/>
  <c r="BL263" i="3"/>
  <c r="BL269" i="3"/>
  <c r="BL271" i="3"/>
  <c r="L271" i="3"/>
  <c r="BL281" i="3"/>
  <c r="BL283" i="3"/>
  <c r="L283" i="3"/>
  <c r="BL286" i="3"/>
  <c r="BL8" i="3"/>
  <c r="BL33" i="3"/>
  <c r="L33" i="3"/>
  <c r="BL55" i="3"/>
  <c r="BL70" i="3"/>
  <c r="BL80" i="3"/>
  <c r="BL85" i="3"/>
  <c r="L85" i="3"/>
  <c r="BL95" i="3"/>
  <c r="BL96" i="3"/>
  <c r="BL98" i="3"/>
  <c r="BL99" i="3"/>
  <c r="L99" i="3"/>
  <c r="BL101" i="3"/>
  <c r="BL110" i="3"/>
  <c r="BL120" i="3"/>
  <c r="BL129" i="3"/>
  <c r="L129" i="3"/>
  <c r="BL130" i="3"/>
  <c r="BL155" i="3"/>
  <c r="BL173" i="3"/>
  <c r="BL174" i="3"/>
  <c r="L174" i="3"/>
  <c r="BL175" i="3"/>
  <c r="BL186" i="3"/>
  <c r="BL188" i="3"/>
  <c r="BL189" i="3"/>
  <c r="L189" i="3"/>
  <c r="BL192" i="3"/>
  <c r="BL208" i="3"/>
  <c r="BL239" i="3"/>
  <c r="BL246" i="3"/>
  <c r="L246" i="3"/>
  <c r="BL266" i="3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BL170" i="3"/>
  <c r="BL166" i="3"/>
  <c r="L166" i="3"/>
  <c r="BL117" i="3"/>
  <c r="BL35" i="3"/>
  <c r="L35" i="3"/>
  <c r="BL154" i="3"/>
  <c r="BL203" i="3"/>
  <c r="BL34" i="3"/>
  <c r="BL6" i="3"/>
  <c r="L6" i="3"/>
  <c r="BL41" i="3"/>
  <c r="L41" i="3"/>
  <c r="BL51" i="3"/>
  <c r="L51" i="3"/>
  <c r="BL56" i="3"/>
  <c r="BL91" i="3"/>
  <c r="L91" i="3"/>
  <c r="BL108" i="3"/>
  <c r="L108" i="3"/>
  <c r="BL150" i="3"/>
  <c r="L150" i="3"/>
  <c r="BL235" i="3"/>
  <c r="L235" i="3"/>
  <c r="BL32" i="3"/>
  <c r="L32" i="3"/>
  <c r="BL290" i="3"/>
  <c r="BL145" i="3"/>
  <c r="BL156" i="3"/>
  <c r="L156" i="3"/>
  <c r="BL204" i="3"/>
  <c r="L204" i="3"/>
  <c r="BL205" i="3"/>
  <c r="BL229" i="3"/>
  <c r="L229" i="3"/>
  <c r="BL268" i="3"/>
  <c r="BL90" i="3"/>
  <c r="BL24" i="3"/>
  <c r="BL37" i="3"/>
  <c r="L37" i="3"/>
  <c r="BL159" i="3"/>
  <c r="L159" i="3"/>
  <c r="BL181" i="3"/>
  <c r="L181" i="3"/>
  <c r="BL193" i="3"/>
  <c r="L193" i="3"/>
  <c r="BL217" i="3"/>
  <c r="BL260" i="3"/>
  <c r="BL94" i="3"/>
  <c r="L94" i="3"/>
  <c r="BL141" i="3"/>
  <c r="L141" i="3"/>
  <c r="BL158" i="3"/>
  <c r="BL171" i="3"/>
  <c r="BL226" i="3"/>
  <c r="L226" i="3"/>
  <c r="BL253" i="3"/>
  <c r="BM253" i="3" s="1"/>
  <c r="BL20" i="3"/>
  <c r="L20" i="3"/>
  <c r="BL58" i="3"/>
  <c r="L58" i="3"/>
  <c r="BL65" i="3"/>
  <c r="BL106" i="3"/>
  <c r="L106" i="3"/>
  <c r="BL161" i="3"/>
  <c r="BL163" i="3"/>
  <c r="BL172" i="3"/>
  <c r="L172" i="3"/>
  <c r="BL202" i="3"/>
  <c r="BL14" i="3"/>
  <c r="L14" i="3"/>
  <c r="BL16" i="3"/>
  <c r="BL63" i="3"/>
  <c r="L63" i="3"/>
  <c r="BL102" i="3"/>
  <c r="L102" i="3"/>
  <c r="BL109" i="3"/>
  <c r="BL119" i="3"/>
  <c r="L119" i="3"/>
  <c r="BL132" i="3"/>
  <c r="BL133" i="3"/>
  <c r="L133" i="3"/>
  <c r="BL134" i="3"/>
  <c r="L134" i="3"/>
  <c r="BL137" i="3"/>
  <c r="BL146" i="3"/>
  <c r="L146" i="3"/>
  <c r="BL176" i="3"/>
  <c r="L176" i="3"/>
  <c r="BL184" i="3"/>
  <c r="BL191" i="3"/>
  <c r="L191" i="3"/>
  <c r="BL198" i="3"/>
  <c r="L198" i="3"/>
  <c r="BL200" i="3"/>
  <c r="BL207" i="3"/>
  <c r="L207" i="3"/>
  <c r="BL219" i="3"/>
  <c r="BL244" i="3"/>
  <c r="L244" i="3"/>
  <c r="BL265" i="3"/>
  <c r="BL277" i="3"/>
  <c r="L277" i="3"/>
  <c r="BL282" i="3"/>
  <c r="L282" i="3"/>
  <c r="BL287" i="3"/>
  <c r="L287" i="3"/>
  <c r="BL123" i="3"/>
  <c r="L123" i="3"/>
  <c r="BL15" i="3"/>
  <c r="L15" i="3"/>
  <c r="BL82" i="3"/>
  <c r="L82" i="3"/>
  <c r="BL69" i="3"/>
  <c r="L69" i="3"/>
  <c r="S5" i="17"/>
  <c r="BL61" i="3"/>
  <c r="L61" i="3"/>
  <c r="BL93" i="3"/>
  <c r="L93" i="3"/>
  <c r="BL183" i="3"/>
  <c r="L183" i="3"/>
  <c r="BL187" i="3"/>
  <c r="L187" i="3"/>
  <c r="BL197" i="3"/>
  <c r="L197" i="3"/>
  <c r="BL199" i="3"/>
  <c r="L199" i="3"/>
  <c r="BL211" i="3"/>
  <c r="BL221" i="3"/>
  <c r="L221" i="3"/>
  <c r="BL249" i="3"/>
  <c r="L249" i="3"/>
  <c r="BL255" i="3"/>
  <c r="L255" i="3"/>
  <c r="BL272" i="3"/>
  <c r="L272" i="3"/>
  <c r="BL275" i="3"/>
  <c r="L275" i="3"/>
  <c r="BL278" i="3"/>
  <c r="L278" i="3"/>
  <c r="BL284" i="3"/>
  <c r="L284" i="3"/>
  <c r="BL76" i="3"/>
  <c r="L76" i="3"/>
  <c r="BL7" i="3"/>
  <c r="L7" i="3"/>
  <c r="BL12" i="3"/>
  <c r="L12" i="3"/>
  <c r="BL29" i="3"/>
  <c r="L29" i="3"/>
  <c r="BL30" i="3"/>
  <c r="L30" i="3"/>
  <c r="BL36" i="3"/>
  <c r="L36" i="3"/>
  <c r="BL48" i="3"/>
  <c r="L48" i="3"/>
  <c r="BL50" i="3"/>
  <c r="L50" i="3"/>
  <c r="BL52" i="3"/>
  <c r="L52" i="3"/>
  <c r="BL57" i="3"/>
  <c r="L57" i="3"/>
  <c r="BL59" i="3"/>
  <c r="L59" i="3"/>
  <c r="L68" i="3"/>
  <c r="BL81" i="3"/>
  <c r="L81" i="3"/>
  <c r="BL83" i="3"/>
  <c r="L83" i="3"/>
  <c r="BL89" i="3"/>
  <c r="L89" i="3"/>
  <c r="BL92" i="3"/>
  <c r="L92" i="3"/>
  <c r="BL103" i="3"/>
  <c r="L103" i="3"/>
  <c r="BL104" i="3"/>
  <c r="L104" i="3"/>
  <c r="BL105" i="3"/>
  <c r="L105" i="3"/>
  <c r="BL118" i="3"/>
  <c r="L118" i="3"/>
  <c r="BL121" i="3"/>
  <c r="L121" i="3"/>
  <c r="BL124" i="3"/>
  <c r="L124" i="3"/>
  <c r="BL125" i="3"/>
  <c r="L125" i="3"/>
  <c r="BL259" i="3"/>
  <c r="L259" i="3"/>
  <c r="BL252" i="3"/>
  <c r="L252" i="3"/>
  <c r="BL143" i="3"/>
  <c r="L143" i="3"/>
  <c r="L18" i="3"/>
  <c r="L38" i="3"/>
  <c r="L127" i="3"/>
  <c r="L84" i="3"/>
  <c r="L122" i="3"/>
  <c r="L151" i="3"/>
  <c r="L152" i="3"/>
  <c r="L274" i="3"/>
  <c r="L288" i="3"/>
  <c r="L11" i="3"/>
  <c r="L160" i="3"/>
  <c r="L251" i="3"/>
  <c r="L149" i="3"/>
  <c r="L13" i="3"/>
  <c r="BL149" i="3"/>
  <c r="BL13" i="3"/>
  <c r="BL18" i="3"/>
  <c r="BL38" i="3"/>
  <c r="BL127" i="3"/>
  <c r="BL84" i="3"/>
  <c r="BL122" i="3"/>
  <c r="BL151" i="3"/>
  <c r="BL152" i="3"/>
  <c r="BL274" i="3"/>
  <c r="BL288" i="3"/>
  <c r="BL11" i="3"/>
  <c r="BL160" i="3"/>
  <c r="BL251" i="3"/>
  <c r="AZ3" i="10"/>
  <c r="BP2" i="10"/>
  <c r="BN2" i="10"/>
  <c r="BO2" i="10"/>
  <c r="BL2" i="10"/>
  <c r="AZ2" i="10"/>
  <c r="AY2" i="10"/>
  <c r="BU2" i="10"/>
  <c r="BQ2" i="10"/>
  <c r="BM2" i="10"/>
  <c r="BK2" i="10"/>
  <c r="BJ2" i="10"/>
  <c r="BI2" i="10"/>
  <c r="BF2" i="10"/>
  <c r="BE2" i="10"/>
  <c r="BG2" i="10"/>
  <c r="BH2" i="10"/>
  <c r="N5" i="17"/>
  <c r="O5" i="17" s="1"/>
  <c r="H4" i="15"/>
  <c r="G4" i="15"/>
  <c r="E4" i="15"/>
  <c r="D4" i="15"/>
  <c r="H4" i="17"/>
  <c r="G4" i="17"/>
  <c r="F4" i="17"/>
  <c r="AK5" i="11"/>
  <c r="AK6" i="11"/>
  <c r="AK7" i="11"/>
  <c r="AK8" i="11"/>
  <c r="AK9" i="11"/>
  <c r="AK10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AK99" i="11"/>
  <c r="AK100" i="11"/>
  <c r="AK101" i="11"/>
  <c r="AK102" i="11"/>
  <c r="AK103" i="11"/>
  <c r="AK104" i="11"/>
  <c r="AK105" i="11"/>
  <c r="AK106" i="11"/>
  <c r="AK107" i="11"/>
  <c r="AK108" i="11"/>
  <c r="AK109" i="11"/>
  <c r="AK110" i="11"/>
  <c r="AK111" i="11"/>
  <c r="AK112" i="11"/>
  <c r="AK113" i="11"/>
  <c r="AK114" i="11"/>
  <c r="AK115" i="11"/>
  <c r="AK116" i="11"/>
  <c r="AK117" i="11"/>
  <c r="AK118" i="11"/>
  <c r="AK119" i="11"/>
  <c r="AK120" i="11"/>
  <c r="AK121" i="11"/>
  <c r="AK122" i="11"/>
  <c r="AK123" i="11"/>
  <c r="AK124" i="11"/>
  <c r="AK125" i="11"/>
  <c r="AK126" i="11"/>
  <c r="AK127" i="11"/>
  <c r="AK128" i="11"/>
  <c r="AK129" i="11"/>
  <c r="AK130" i="11"/>
  <c r="AK131" i="11"/>
  <c r="AK132" i="11"/>
  <c r="AK133" i="11"/>
  <c r="AK134" i="11"/>
  <c r="AK135" i="11"/>
  <c r="AK136" i="11"/>
  <c r="AK137" i="11"/>
  <c r="AK138" i="11"/>
  <c r="AK139" i="11"/>
  <c r="AK140" i="11"/>
  <c r="AK141" i="11"/>
  <c r="AK142" i="11"/>
  <c r="AK143" i="11"/>
  <c r="AK144" i="11"/>
  <c r="AK145" i="11"/>
  <c r="AK146" i="11"/>
  <c r="AK147" i="11"/>
  <c r="AK148" i="11"/>
  <c r="AK149" i="11"/>
  <c r="AK150" i="11"/>
  <c r="AK151" i="11"/>
  <c r="AK152" i="11"/>
  <c r="AK153" i="11"/>
  <c r="AK154" i="11"/>
  <c r="AK155" i="11"/>
  <c r="AK156" i="11"/>
  <c r="AK157" i="11"/>
  <c r="AK158" i="11"/>
  <c r="AK159" i="11"/>
  <c r="AK160" i="11"/>
  <c r="AK161" i="11"/>
  <c r="AK162" i="11"/>
  <c r="AK163" i="11"/>
  <c r="AK164" i="11"/>
  <c r="AK165" i="11"/>
  <c r="AK166" i="11"/>
  <c r="AK167" i="11"/>
  <c r="AK168" i="11"/>
  <c r="AK169" i="11"/>
  <c r="AK170" i="11"/>
  <c r="AK171" i="11"/>
  <c r="AK172" i="11"/>
  <c r="AK173" i="11"/>
  <c r="AK174" i="11"/>
  <c r="AK175" i="11"/>
  <c r="AK176" i="11"/>
  <c r="AK177" i="11"/>
  <c r="AK178" i="11"/>
  <c r="AK179" i="11"/>
  <c r="AK180" i="11"/>
  <c r="AK181" i="11"/>
  <c r="AK182" i="11"/>
  <c r="AK183" i="11"/>
  <c r="AK184" i="11"/>
  <c r="AK185" i="11"/>
  <c r="AK186" i="11"/>
  <c r="AK187" i="11"/>
  <c r="AK188" i="11"/>
  <c r="AK189" i="11"/>
  <c r="AK190" i="11"/>
  <c r="AK191" i="11"/>
  <c r="AK192" i="11"/>
  <c r="AK193" i="11"/>
  <c r="AK194" i="11"/>
  <c r="AK195" i="11"/>
  <c r="AK196" i="11"/>
  <c r="AK197" i="11"/>
  <c r="AK198" i="11"/>
  <c r="AK199" i="11"/>
  <c r="AK200" i="11"/>
  <c r="AK201" i="11"/>
  <c r="AK202" i="11"/>
  <c r="AK203" i="11"/>
  <c r="AK204" i="11"/>
  <c r="AK205" i="11"/>
  <c r="AK206" i="11"/>
  <c r="AK207" i="11"/>
  <c r="AK208" i="11"/>
  <c r="AK209" i="11"/>
  <c r="AK210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28" i="11"/>
  <c r="AK229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AK273" i="11"/>
  <c r="AK274" i="11"/>
  <c r="AK275" i="11"/>
  <c r="AK276" i="11"/>
  <c r="AK277" i="11"/>
  <c r="AK278" i="11"/>
  <c r="AK279" i="11"/>
  <c r="AK280" i="11"/>
  <c r="AK281" i="11"/>
  <c r="AK282" i="11"/>
  <c r="AK283" i="11"/>
  <c r="AK284" i="11"/>
  <c r="AK285" i="11"/>
  <c r="AK286" i="11"/>
  <c r="AK287" i="11"/>
  <c r="AK288" i="11"/>
  <c r="AK289" i="11"/>
  <c r="AK4" i="11"/>
  <c r="AS289" i="11"/>
  <c r="AR289" i="11"/>
  <c r="AQ289" i="11"/>
  <c r="AP289" i="11"/>
  <c r="AO289" i="11"/>
  <c r="AN289" i="11"/>
  <c r="AM289" i="11"/>
  <c r="AL289" i="11"/>
  <c r="AI289" i="11"/>
  <c r="AJ289" i="11"/>
  <c r="AS288" i="11"/>
  <c r="AR288" i="11"/>
  <c r="AQ288" i="11"/>
  <c r="AP288" i="11"/>
  <c r="AO288" i="11"/>
  <c r="AN288" i="11"/>
  <c r="AM288" i="11"/>
  <c r="AL288" i="11"/>
  <c r="AI288" i="11"/>
  <c r="AJ288" i="11"/>
  <c r="AS287" i="11"/>
  <c r="AR287" i="11"/>
  <c r="AQ287" i="11"/>
  <c r="AP287" i="11"/>
  <c r="AO287" i="11"/>
  <c r="AN287" i="11"/>
  <c r="AM287" i="11"/>
  <c r="AL287" i="11"/>
  <c r="AI287" i="11"/>
  <c r="AJ287" i="11"/>
  <c r="AS286" i="11"/>
  <c r="AR286" i="11"/>
  <c r="AQ286" i="11"/>
  <c r="AP286" i="11"/>
  <c r="AO286" i="11"/>
  <c r="AN286" i="11"/>
  <c r="AM286" i="11"/>
  <c r="AL286" i="11"/>
  <c r="AI286" i="11"/>
  <c r="AJ286" i="11"/>
  <c r="AS285" i="11"/>
  <c r="AR285" i="11"/>
  <c r="AQ285" i="11"/>
  <c r="AP285" i="11"/>
  <c r="AO285" i="11"/>
  <c r="AN285" i="11"/>
  <c r="AM285" i="11"/>
  <c r="AL285" i="11"/>
  <c r="AI285" i="11"/>
  <c r="AJ285" i="11"/>
  <c r="AS284" i="11"/>
  <c r="AR284" i="11"/>
  <c r="AQ284" i="11"/>
  <c r="AP284" i="11"/>
  <c r="AO284" i="11"/>
  <c r="AN284" i="11"/>
  <c r="AM284" i="11"/>
  <c r="AL284" i="11"/>
  <c r="AI284" i="11"/>
  <c r="AJ284" i="11"/>
  <c r="AS283" i="11"/>
  <c r="AR283" i="11"/>
  <c r="AQ283" i="11"/>
  <c r="AP283" i="11"/>
  <c r="AO283" i="11"/>
  <c r="AN283" i="11"/>
  <c r="AM283" i="11"/>
  <c r="AL283" i="11"/>
  <c r="AI283" i="11"/>
  <c r="AJ283" i="11"/>
  <c r="AS282" i="11"/>
  <c r="AR282" i="11"/>
  <c r="AQ282" i="11"/>
  <c r="AP282" i="11"/>
  <c r="AO282" i="11"/>
  <c r="AN282" i="11"/>
  <c r="AM282" i="11"/>
  <c r="AL282" i="11"/>
  <c r="AI282" i="11"/>
  <c r="AJ282" i="11"/>
  <c r="AS281" i="11"/>
  <c r="AR281" i="11"/>
  <c r="AQ281" i="11"/>
  <c r="AP281" i="11"/>
  <c r="AO281" i="11"/>
  <c r="AN281" i="11"/>
  <c r="AM281" i="11"/>
  <c r="AL281" i="11"/>
  <c r="AI281" i="11"/>
  <c r="AJ281" i="11"/>
  <c r="AS280" i="11"/>
  <c r="AR280" i="11"/>
  <c r="AQ280" i="11"/>
  <c r="AP280" i="11"/>
  <c r="AO280" i="11"/>
  <c r="AN280" i="11"/>
  <c r="AM280" i="11"/>
  <c r="AL280" i="11"/>
  <c r="AI280" i="11"/>
  <c r="AJ280" i="11"/>
  <c r="AS279" i="11"/>
  <c r="AR279" i="11"/>
  <c r="AQ279" i="11"/>
  <c r="AP279" i="11"/>
  <c r="AO279" i="11"/>
  <c r="AN279" i="11"/>
  <c r="AM279" i="11"/>
  <c r="AL279" i="11"/>
  <c r="AI279" i="11"/>
  <c r="AJ279" i="11"/>
  <c r="AS278" i="11"/>
  <c r="AR278" i="11"/>
  <c r="AQ278" i="11"/>
  <c r="AP278" i="11"/>
  <c r="AO278" i="11"/>
  <c r="Z279" i="3" s="1"/>
  <c r="AN278" i="11"/>
  <c r="AM278" i="11"/>
  <c r="U279" i="3" s="1"/>
  <c r="AL278" i="11"/>
  <c r="AI278" i="11"/>
  <c r="AJ278" i="11"/>
  <c r="AS277" i="11"/>
  <c r="AR277" i="11"/>
  <c r="AQ277" i="11"/>
  <c r="AP277" i="11"/>
  <c r="AO277" i="11"/>
  <c r="Z278" i="3" s="1"/>
  <c r="AN277" i="11"/>
  <c r="AM277" i="11"/>
  <c r="U278" i="3" s="1"/>
  <c r="AL277" i="11"/>
  <c r="AI277" i="11"/>
  <c r="AJ277" i="11"/>
  <c r="AS276" i="11"/>
  <c r="AR276" i="11"/>
  <c r="AQ276" i="11"/>
  <c r="AP276" i="11"/>
  <c r="AO276" i="11"/>
  <c r="AN276" i="11"/>
  <c r="AM276" i="11"/>
  <c r="AL276" i="11"/>
  <c r="AI276" i="11"/>
  <c r="AJ276" i="11"/>
  <c r="AS275" i="11"/>
  <c r="AR275" i="11"/>
  <c r="AQ275" i="11"/>
  <c r="AP275" i="11"/>
  <c r="AO275" i="11"/>
  <c r="AN275" i="11"/>
  <c r="AM275" i="11"/>
  <c r="AL275" i="11"/>
  <c r="AI275" i="11"/>
  <c r="AJ275" i="11"/>
  <c r="AS274" i="11"/>
  <c r="AR274" i="11"/>
  <c r="AQ274" i="11"/>
  <c r="AP274" i="11"/>
  <c r="AO274" i="11"/>
  <c r="AN274" i="11"/>
  <c r="AM274" i="11"/>
  <c r="AL274" i="11"/>
  <c r="AI274" i="11"/>
  <c r="AJ274" i="11"/>
  <c r="AS273" i="11"/>
  <c r="AR273" i="11"/>
  <c r="AQ273" i="11"/>
  <c r="AP273" i="11"/>
  <c r="AO273" i="11"/>
  <c r="AN273" i="11"/>
  <c r="AM273" i="11"/>
  <c r="AL273" i="11"/>
  <c r="AI273" i="11"/>
  <c r="AJ273" i="11"/>
  <c r="AS272" i="11"/>
  <c r="AR272" i="11"/>
  <c r="AQ272" i="11"/>
  <c r="AP272" i="11"/>
  <c r="AO272" i="11"/>
  <c r="AN272" i="11"/>
  <c r="AM272" i="11"/>
  <c r="AL272" i="11"/>
  <c r="AI272" i="11"/>
  <c r="AJ272" i="11"/>
  <c r="AS271" i="11"/>
  <c r="AR271" i="11"/>
  <c r="AQ271" i="11"/>
  <c r="AP271" i="11"/>
  <c r="AO271" i="11"/>
  <c r="AN271" i="11"/>
  <c r="AM271" i="11"/>
  <c r="AL271" i="11"/>
  <c r="AI271" i="11"/>
  <c r="AJ271" i="11"/>
  <c r="AS270" i="11"/>
  <c r="AR270" i="11"/>
  <c r="AQ270" i="11"/>
  <c r="AP270" i="11"/>
  <c r="AO270" i="11"/>
  <c r="AN270" i="11"/>
  <c r="AM270" i="11"/>
  <c r="AL270" i="11"/>
  <c r="AI270" i="11"/>
  <c r="AJ270" i="11"/>
  <c r="AS269" i="11"/>
  <c r="AR269" i="11"/>
  <c r="AQ269" i="11"/>
  <c r="AP269" i="11"/>
  <c r="AO269" i="11"/>
  <c r="AN269" i="11"/>
  <c r="AM269" i="11"/>
  <c r="AL269" i="11"/>
  <c r="AI269" i="11"/>
  <c r="AJ269" i="11"/>
  <c r="AS268" i="11"/>
  <c r="AR268" i="11"/>
  <c r="AQ268" i="11"/>
  <c r="AP268" i="11"/>
  <c r="AO268" i="11"/>
  <c r="AN268" i="11"/>
  <c r="AM268" i="11"/>
  <c r="AL268" i="11"/>
  <c r="AI268" i="11"/>
  <c r="AJ268" i="11"/>
  <c r="AS267" i="11"/>
  <c r="AR267" i="11"/>
  <c r="AQ267" i="11"/>
  <c r="AP267" i="11"/>
  <c r="AO267" i="11"/>
  <c r="AN267" i="11"/>
  <c r="AM267" i="11"/>
  <c r="AL267" i="11"/>
  <c r="AI267" i="11"/>
  <c r="AJ267" i="11"/>
  <c r="AS266" i="11"/>
  <c r="AR266" i="11"/>
  <c r="AQ266" i="11"/>
  <c r="AP266" i="11"/>
  <c r="AO266" i="11"/>
  <c r="Z267" i="3" s="1"/>
  <c r="AN266" i="11"/>
  <c r="AM266" i="11"/>
  <c r="U267" i="3" s="1"/>
  <c r="AL266" i="11"/>
  <c r="AI266" i="11"/>
  <c r="AJ266" i="11"/>
  <c r="AS265" i="11"/>
  <c r="AR265" i="11"/>
  <c r="AQ265" i="11"/>
  <c r="AP265" i="11"/>
  <c r="AO265" i="11"/>
  <c r="AN265" i="11"/>
  <c r="AM265" i="11"/>
  <c r="AL265" i="11"/>
  <c r="AI265" i="11"/>
  <c r="AJ265" i="11"/>
  <c r="AS264" i="11"/>
  <c r="AR264" i="11"/>
  <c r="AQ264" i="11"/>
  <c r="AP264" i="11"/>
  <c r="AO264" i="11"/>
  <c r="AN264" i="11"/>
  <c r="AM264" i="11"/>
  <c r="AL264" i="11"/>
  <c r="AI264" i="11"/>
  <c r="AJ264" i="11"/>
  <c r="AS263" i="11"/>
  <c r="AR263" i="11"/>
  <c r="AQ263" i="11"/>
  <c r="AP263" i="11"/>
  <c r="AO263" i="11"/>
  <c r="AN263" i="11"/>
  <c r="AM263" i="11"/>
  <c r="AL263" i="11"/>
  <c r="AI263" i="11"/>
  <c r="AJ263" i="11"/>
  <c r="AS262" i="11"/>
  <c r="AR262" i="11"/>
  <c r="AQ262" i="11"/>
  <c r="AP262" i="11"/>
  <c r="AO262" i="11"/>
  <c r="AN262" i="11"/>
  <c r="AM262" i="11"/>
  <c r="AL262" i="11"/>
  <c r="AI262" i="11"/>
  <c r="AJ262" i="11"/>
  <c r="AS261" i="11"/>
  <c r="AR261" i="11"/>
  <c r="AQ261" i="11"/>
  <c r="AP261" i="11"/>
  <c r="AO261" i="11"/>
  <c r="AN261" i="11"/>
  <c r="AM261" i="11"/>
  <c r="AL261" i="11"/>
  <c r="AI261" i="11"/>
  <c r="AJ261" i="11"/>
  <c r="AS260" i="11"/>
  <c r="AR260" i="11"/>
  <c r="AQ260" i="11"/>
  <c r="AP260" i="11"/>
  <c r="AO260" i="11"/>
  <c r="AN260" i="11"/>
  <c r="AM260" i="11"/>
  <c r="AL260" i="11"/>
  <c r="AI260" i="11"/>
  <c r="AJ260" i="11"/>
  <c r="AS259" i="11"/>
  <c r="AR259" i="11"/>
  <c r="AQ259" i="11"/>
  <c r="AP259" i="11"/>
  <c r="AO259" i="11"/>
  <c r="AN259" i="11"/>
  <c r="AM259" i="11"/>
  <c r="AL259" i="11"/>
  <c r="AI259" i="11"/>
  <c r="AJ259" i="11"/>
  <c r="AS258" i="11"/>
  <c r="AR258" i="11"/>
  <c r="AQ258" i="11"/>
  <c r="AP258" i="11"/>
  <c r="AO258" i="11"/>
  <c r="AN258" i="11"/>
  <c r="AM258" i="11"/>
  <c r="AL258" i="11"/>
  <c r="AI258" i="11"/>
  <c r="AJ258" i="11"/>
  <c r="AS257" i="11"/>
  <c r="CF258" i="3"/>
  <c r="CG258" i="3" s="1"/>
  <c r="AQ257" i="11"/>
  <c r="AP257" i="11"/>
  <c r="AO257" i="11"/>
  <c r="Z258" i="3" s="1"/>
  <c r="AN257" i="11"/>
  <c r="AM257" i="11"/>
  <c r="U258" i="3" s="1"/>
  <c r="AL257" i="11"/>
  <c r="AI257" i="11"/>
  <c r="AJ257" i="11"/>
  <c r="AS256" i="11"/>
  <c r="AR256" i="11"/>
  <c r="AQ256" i="11"/>
  <c r="AP256" i="11"/>
  <c r="AO256" i="11"/>
  <c r="AN256" i="11"/>
  <c r="AM256" i="11"/>
  <c r="AL256" i="11"/>
  <c r="AI256" i="11"/>
  <c r="AJ256" i="11"/>
  <c r="AS255" i="11"/>
  <c r="AR255" i="11"/>
  <c r="AQ255" i="11"/>
  <c r="AP255" i="11"/>
  <c r="AO255" i="11"/>
  <c r="AN255" i="11"/>
  <c r="AM255" i="11"/>
  <c r="AL255" i="11"/>
  <c r="AI255" i="11"/>
  <c r="AJ255" i="11"/>
  <c r="AS254" i="11"/>
  <c r="AR254" i="11"/>
  <c r="AQ254" i="11"/>
  <c r="AP254" i="11"/>
  <c r="AO254" i="11"/>
  <c r="AN254" i="11"/>
  <c r="AM254" i="11"/>
  <c r="AL254" i="11"/>
  <c r="AI254" i="11"/>
  <c r="AJ254" i="11"/>
  <c r="AS253" i="11"/>
  <c r="AR253" i="11"/>
  <c r="AQ253" i="11"/>
  <c r="AP253" i="11"/>
  <c r="AO253" i="11"/>
  <c r="AN253" i="11"/>
  <c r="AM253" i="11"/>
  <c r="AL253" i="11"/>
  <c r="AI253" i="11"/>
  <c r="AJ253" i="11"/>
  <c r="AS252" i="11"/>
  <c r="AR252" i="11"/>
  <c r="AQ252" i="11"/>
  <c r="AP252" i="11"/>
  <c r="AO252" i="11"/>
  <c r="AN252" i="11"/>
  <c r="AM252" i="11"/>
  <c r="AL252" i="11"/>
  <c r="AI252" i="11"/>
  <c r="AJ252" i="11"/>
  <c r="AS251" i="11"/>
  <c r="AR251" i="11"/>
  <c r="AQ251" i="11"/>
  <c r="AP251" i="11"/>
  <c r="AO251" i="11"/>
  <c r="AN251" i="11"/>
  <c r="AM251" i="11"/>
  <c r="AL251" i="11"/>
  <c r="AI251" i="11"/>
  <c r="AJ251" i="11"/>
  <c r="AS250" i="11"/>
  <c r="AR250" i="11"/>
  <c r="AQ250" i="11"/>
  <c r="AP250" i="11"/>
  <c r="AO250" i="11"/>
  <c r="AN250" i="11"/>
  <c r="AM250" i="11"/>
  <c r="AL250" i="11"/>
  <c r="AI250" i="11"/>
  <c r="AJ250" i="11"/>
  <c r="AS249" i="11"/>
  <c r="AR249" i="11"/>
  <c r="AQ249" i="11"/>
  <c r="AP249" i="11"/>
  <c r="AO249" i="11"/>
  <c r="AN249" i="11"/>
  <c r="AM249" i="11"/>
  <c r="AL249" i="11"/>
  <c r="AI249" i="11"/>
  <c r="AJ249" i="11"/>
  <c r="AS248" i="11"/>
  <c r="AR248" i="11"/>
  <c r="AQ248" i="11"/>
  <c r="AP248" i="11"/>
  <c r="AO248" i="11"/>
  <c r="AN248" i="11"/>
  <c r="AM248" i="11"/>
  <c r="AL248" i="11"/>
  <c r="AI248" i="11"/>
  <c r="AJ248" i="11"/>
  <c r="AS247" i="11"/>
  <c r="AR247" i="11"/>
  <c r="AQ247" i="11"/>
  <c r="AP247" i="11"/>
  <c r="AO247" i="11"/>
  <c r="AN247" i="11"/>
  <c r="AM247" i="11"/>
  <c r="AL247" i="11"/>
  <c r="AI247" i="11"/>
  <c r="AJ247" i="11"/>
  <c r="AS246" i="11"/>
  <c r="AB247" i="3" s="1"/>
  <c r="AR246" i="11"/>
  <c r="AK247" i="3" s="1"/>
  <c r="AQ246" i="11"/>
  <c r="AI247" i="3" s="1"/>
  <c r="AP246" i="11"/>
  <c r="AD247" i="3" s="1"/>
  <c r="AO246" i="11"/>
  <c r="Z247" i="3" s="1"/>
  <c r="AN246" i="11"/>
  <c r="W247" i="3" s="1"/>
  <c r="AM246" i="11"/>
  <c r="U247" i="3" s="1"/>
  <c r="AL246" i="11"/>
  <c r="Q247" i="3" s="1"/>
  <c r="AI246" i="11"/>
  <c r="AJ246" i="11"/>
  <c r="AS245" i="11"/>
  <c r="AR245" i="11"/>
  <c r="AQ245" i="11"/>
  <c r="AP245" i="11"/>
  <c r="AO245" i="11"/>
  <c r="AN245" i="11"/>
  <c r="AM245" i="11"/>
  <c r="AL245" i="11"/>
  <c r="AI245" i="11"/>
  <c r="AJ245" i="11"/>
  <c r="AS244" i="11"/>
  <c r="AR244" i="11"/>
  <c r="AQ244" i="11"/>
  <c r="AP244" i="11"/>
  <c r="AO244" i="11"/>
  <c r="AN244" i="11"/>
  <c r="AM244" i="11"/>
  <c r="AL244" i="11"/>
  <c r="AI244" i="11"/>
  <c r="AJ244" i="11"/>
  <c r="AS243" i="11"/>
  <c r="AR243" i="11"/>
  <c r="AQ243" i="11"/>
  <c r="AP243" i="11"/>
  <c r="AO243" i="11"/>
  <c r="AN243" i="11"/>
  <c r="AM243" i="11"/>
  <c r="AL243" i="11"/>
  <c r="AI243" i="11"/>
  <c r="AJ243" i="11"/>
  <c r="AS242" i="11"/>
  <c r="AR242" i="11"/>
  <c r="AQ242" i="11"/>
  <c r="AP242" i="11"/>
  <c r="AO242" i="11"/>
  <c r="AN242" i="11"/>
  <c r="AM242" i="11"/>
  <c r="AL242" i="11"/>
  <c r="AI242" i="11"/>
  <c r="AJ242" i="11"/>
  <c r="AS241" i="11"/>
  <c r="AR241" i="11"/>
  <c r="AQ241" i="11"/>
  <c r="AP241" i="11"/>
  <c r="AO241" i="11"/>
  <c r="AN241" i="11"/>
  <c r="AM241" i="11"/>
  <c r="AL241" i="11"/>
  <c r="AI241" i="11"/>
  <c r="AJ241" i="11"/>
  <c r="AS240" i="11"/>
  <c r="AR240" i="11"/>
  <c r="AQ240" i="11"/>
  <c r="AP240" i="11"/>
  <c r="AO240" i="11"/>
  <c r="AN240" i="11"/>
  <c r="AM240" i="11"/>
  <c r="AL240" i="11"/>
  <c r="AI240" i="11"/>
  <c r="AJ240" i="11"/>
  <c r="AS239" i="11"/>
  <c r="AR239" i="11"/>
  <c r="AQ239" i="11"/>
  <c r="AP239" i="11"/>
  <c r="AO239" i="11"/>
  <c r="AN239" i="11"/>
  <c r="AM239" i="11"/>
  <c r="AL239" i="11"/>
  <c r="AI239" i="11"/>
  <c r="AJ239" i="11"/>
  <c r="AS238" i="11"/>
  <c r="AR238" i="11"/>
  <c r="AQ238" i="11"/>
  <c r="AP238" i="11"/>
  <c r="AO238" i="11"/>
  <c r="AN238" i="11"/>
  <c r="AM238" i="11"/>
  <c r="AL238" i="11"/>
  <c r="AI238" i="11"/>
  <c r="AJ238" i="11"/>
  <c r="AS237" i="11"/>
  <c r="AR237" i="11"/>
  <c r="AQ237" i="11"/>
  <c r="AP237" i="11"/>
  <c r="AO237" i="11"/>
  <c r="AN237" i="11"/>
  <c r="AM237" i="11"/>
  <c r="AL237" i="11"/>
  <c r="AI237" i="11"/>
  <c r="AJ237" i="11"/>
  <c r="AS236" i="11"/>
  <c r="AR236" i="11"/>
  <c r="AQ236" i="11"/>
  <c r="AP236" i="11"/>
  <c r="AO236" i="11"/>
  <c r="AN236" i="11"/>
  <c r="AM236" i="11"/>
  <c r="AL236" i="11"/>
  <c r="AI236" i="11"/>
  <c r="AJ236" i="11"/>
  <c r="AS235" i="11"/>
  <c r="AR235" i="11"/>
  <c r="AQ235" i="11"/>
  <c r="AP235" i="11"/>
  <c r="AO235" i="11"/>
  <c r="AN235" i="11"/>
  <c r="AM235" i="11"/>
  <c r="AL235" i="11"/>
  <c r="AI235" i="11"/>
  <c r="AJ235" i="11"/>
  <c r="AS234" i="11"/>
  <c r="AR234" i="11"/>
  <c r="AQ234" i="11"/>
  <c r="AP234" i="11"/>
  <c r="AO234" i="11"/>
  <c r="AN234" i="11"/>
  <c r="AM234" i="11"/>
  <c r="AL234" i="11"/>
  <c r="AI234" i="11"/>
  <c r="AJ234" i="11"/>
  <c r="AS233" i="11"/>
  <c r="AR233" i="11"/>
  <c r="AQ233" i="11"/>
  <c r="AP233" i="11"/>
  <c r="AO233" i="11"/>
  <c r="AN233" i="11"/>
  <c r="AM233" i="11"/>
  <c r="AL233" i="11"/>
  <c r="AI233" i="11"/>
  <c r="AJ233" i="11"/>
  <c r="AS232" i="11"/>
  <c r="AR232" i="11"/>
  <c r="AQ232" i="11"/>
  <c r="AP232" i="11"/>
  <c r="AO232" i="11"/>
  <c r="AN232" i="11"/>
  <c r="AM232" i="11"/>
  <c r="AL232" i="11"/>
  <c r="AI232" i="11"/>
  <c r="AJ232" i="11"/>
  <c r="AS231" i="11"/>
  <c r="AR231" i="11"/>
  <c r="AQ231" i="11"/>
  <c r="AP231" i="11"/>
  <c r="AO231" i="11"/>
  <c r="AN231" i="11"/>
  <c r="AM231" i="11"/>
  <c r="AL231" i="11"/>
  <c r="AI231" i="11"/>
  <c r="AJ231" i="11"/>
  <c r="AS230" i="11"/>
  <c r="AR230" i="11"/>
  <c r="AQ230" i="11"/>
  <c r="AP230" i="11"/>
  <c r="AO230" i="11"/>
  <c r="AN230" i="11"/>
  <c r="AM230" i="11"/>
  <c r="AL230" i="11"/>
  <c r="AI230" i="11"/>
  <c r="AJ230" i="11"/>
  <c r="AS229" i="11"/>
  <c r="AR229" i="11"/>
  <c r="AQ229" i="11"/>
  <c r="AP229" i="11"/>
  <c r="AO229" i="11"/>
  <c r="AN229" i="11"/>
  <c r="AM229" i="11"/>
  <c r="AL229" i="11"/>
  <c r="AI229" i="11"/>
  <c r="AJ229" i="11"/>
  <c r="AS228" i="11"/>
  <c r="AR228" i="11"/>
  <c r="AQ228" i="11"/>
  <c r="AP228" i="11"/>
  <c r="AO228" i="11"/>
  <c r="AN228" i="11"/>
  <c r="AM228" i="11"/>
  <c r="AL228" i="11"/>
  <c r="AI228" i="11"/>
  <c r="AJ228" i="11"/>
  <c r="AS227" i="11"/>
  <c r="AR227" i="11"/>
  <c r="AQ227" i="11"/>
  <c r="AP227" i="11"/>
  <c r="AO227" i="11"/>
  <c r="AN227" i="11"/>
  <c r="AM227" i="11"/>
  <c r="AL227" i="11"/>
  <c r="AI227" i="11"/>
  <c r="AJ227" i="11"/>
  <c r="AS226" i="11"/>
  <c r="AR226" i="11"/>
  <c r="AQ226" i="11"/>
  <c r="AP226" i="11"/>
  <c r="AO226" i="11"/>
  <c r="AN226" i="11"/>
  <c r="AM226" i="11"/>
  <c r="AL226" i="11"/>
  <c r="AI226" i="11"/>
  <c r="AJ226" i="11"/>
  <c r="AS225" i="11"/>
  <c r="AR225" i="11"/>
  <c r="AQ225" i="11"/>
  <c r="AP225" i="11"/>
  <c r="AO225" i="11"/>
  <c r="AN225" i="11"/>
  <c r="AM225" i="11"/>
  <c r="AL225" i="11"/>
  <c r="AI225" i="11"/>
  <c r="AJ225" i="11"/>
  <c r="AS224" i="11"/>
  <c r="AR224" i="11"/>
  <c r="AQ224" i="11"/>
  <c r="AP224" i="11"/>
  <c r="AO224" i="11"/>
  <c r="AN224" i="11"/>
  <c r="AM224" i="11"/>
  <c r="AL224" i="11"/>
  <c r="AI224" i="11"/>
  <c r="AJ224" i="11"/>
  <c r="AS223" i="11"/>
  <c r="AR223" i="11"/>
  <c r="AQ223" i="11"/>
  <c r="AP223" i="11"/>
  <c r="AO223" i="11"/>
  <c r="AN223" i="11"/>
  <c r="AM223" i="11"/>
  <c r="AL223" i="11"/>
  <c r="AI223" i="11"/>
  <c r="AJ223" i="11"/>
  <c r="AS222" i="11"/>
  <c r="AR222" i="11"/>
  <c r="AQ222" i="11"/>
  <c r="AP222" i="11"/>
  <c r="AO222" i="11"/>
  <c r="AN222" i="11"/>
  <c r="AM222" i="11"/>
  <c r="AL222" i="11"/>
  <c r="AI222" i="11"/>
  <c r="AJ222" i="11"/>
  <c r="AS221" i="11"/>
  <c r="AR221" i="11"/>
  <c r="AQ221" i="11"/>
  <c r="AP221" i="11"/>
  <c r="AO221" i="11"/>
  <c r="AN221" i="11"/>
  <c r="AM221" i="11"/>
  <c r="AL221" i="11"/>
  <c r="AI221" i="11"/>
  <c r="AJ221" i="11"/>
  <c r="AS220" i="11"/>
  <c r="AR220" i="11"/>
  <c r="AQ220" i="11"/>
  <c r="AP220" i="11"/>
  <c r="AO220" i="11"/>
  <c r="AN220" i="11"/>
  <c r="AM220" i="11"/>
  <c r="AL220" i="11"/>
  <c r="AI220" i="11"/>
  <c r="AJ220" i="11"/>
  <c r="AS219" i="11"/>
  <c r="AR219" i="11"/>
  <c r="AQ219" i="11"/>
  <c r="AP219" i="11"/>
  <c r="AO219" i="11"/>
  <c r="AN219" i="11"/>
  <c r="AM219" i="11"/>
  <c r="AL219" i="11"/>
  <c r="AI219" i="11"/>
  <c r="AJ219" i="11"/>
  <c r="AS218" i="11"/>
  <c r="AR218" i="11"/>
  <c r="AQ218" i="11"/>
  <c r="AP218" i="11"/>
  <c r="AO218" i="11"/>
  <c r="AN218" i="11"/>
  <c r="AM218" i="11"/>
  <c r="AL218" i="11"/>
  <c r="AI218" i="11"/>
  <c r="AJ218" i="11"/>
  <c r="AS217" i="11"/>
  <c r="AR217" i="11"/>
  <c r="AQ217" i="11"/>
  <c r="AP217" i="11"/>
  <c r="AO217" i="11"/>
  <c r="AN217" i="11"/>
  <c r="AM217" i="11"/>
  <c r="AL217" i="11"/>
  <c r="AI217" i="11"/>
  <c r="AJ217" i="11"/>
  <c r="AS216" i="11"/>
  <c r="AR216" i="11"/>
  <c r="AQ216" i="11"/>
  <c r="AP216" i="11"/>
  <c r="AO216" i="11"/>
  <c r="AN216" i="11"/>
  <c r="AM216" i="11"/>
  <c r="AL216" i="11"/>
  <c r="AI216" i="11"/>
  <c r="AJ216" i="11"/>
  <c r="AS215" i="11"/>
  <c r="AR215" i="11"/>
  <c r="AQ215" i="11"/>
  <c r="AP215" i="11"/>
  <c r="AO215" i="11"/>
  <c r="AN215" i="11"/>
  <c r="AM215" i="11"/>
  <c r="AL215" i="11"/>
  <c r="AI215" i="11"/>
  <c r="AJ215" i="11"/>
  <c r="AS214" i="11"/>
  <c r="AR214" i="11"/>
  <c r="AQ214" i="11"/>
  <c r="AP214" i="11"/>
  <c r="AO214" i="11"/>
  <c r="AN214" i="11"/>
  <c r="AM214" i="11"/>
  <c r="AL214" i="11"/>
  <c r="AI214" i="11"/>
  <c r="AJ214" i="11"/>
  <c r="AS213" i="11"/>
  <c r="AR213" i="11"/>
  <c r="AQ213" i="11"/>
  <c r="AP213" i="11"/>
  <c r="AO213" i="11"/>
  <c r="AN213" i="11"/>
  <c r="AM213" i="11"/>
  <c r="AL213" i="11"/>
  <c r="AI213" i="11"/>
  <c r="AJ213" i="11"/>
  <c r="AS212" i="11"/>
  <c r="AR212" i="11"/>
  <c r="AQ212" i="11"/>
  <c r="AP212" i="11"/>
  <c r="AO212" i="11"/>
  <c r="AN212" i="11"/>
  <c r="AM212" i="11"/>
  <c r="AL212" i="11"/>
  <c r="AI212" i="11"/>
  <c r="AJ212" i="11"/>
  <c r="AS211" i="11"/>
  <c r="AR211" i="11"/>
  <c r="AQ211" i="11"/>
  <c r="AP211" i="11"/>
  <c r="AO211" i="11"/>
  <c r="AN211" i="11"/>
  <c r="AM211" i="11"/>
  <c r="AL211" i="11"/>
  <c r="AI211" i="11"/>
  <c r="AJ211" i="11"/>
  <c r="AS210" i="11"/>
  <c r="AR210" i="11"/>
  <c r="AQ210" i="11"/>
  <c r="AP210" i="11"/>
  <c r="AO210" i="11"/>
  <c r="AN210" i="11"/>
  <c r="AM210" i="11"/>
  <c r="AL210" i="11"/>
  <c r="AI210" i="11"/>
  <c r="AJ210" i="11"/>
  <c r="AS209" i="11"/>
  <c r="AR209" i="11"/>
  <c r="AQ209" i="11"/>
  <c r="AP209" i="11"/>
  <c r="AO209" i="11"/>
  <c r="AN209" i="11"/>
  <c r="AM209" i="11"/>
  <c r="AL209" i="11"/>
  <c r="AI209" i="11"/>
  <c r="AJ209" i="11"/>
  <c r="AS208" i="11"/>
  <c r="AR208" i="11"/>
  <c r="AQ208" i="11"/>
  <c r="AP208" i="11"/>
  <c r="AO208" i="11"/>
  <c r="AN208" i="11"/>
  <c r="AM208" i="11"/>
  <c r="AL208" i="11"/>
  <c r="AI208" i="11"/>
  <c r="AJ208" i="11"/>
  <c r="AS207" i="11"/>
  <c r="AR207" i="11"/>
  <c r="AQ207" i="11"/>
  <c r="AP207" i="11"/>
  <c r="AO207" i="11"/>
  <c r="AN207" i="11"/>
  <c r="AM207" i="11"/>
  <c r="AL207" i="11"/>
  <c r="AI207" i="11"/>
  <c r="AJ207" i="11"/>
  <c r="AS206" i="11"/>
  <c r="AR206" i="11"/>
  <c r="AQ206" i="11"/>
  <c r="AP206" i="11"/>
  <c r="AO206" i="11"/>
  <c r="AN206" i="11"/>
  <c r="AM206" i="11"/>
  <c r="AL206" i="11"/>
  <c r="AI206" i="11"/>
  <c r="AJ206" i="11"/>
  <c r="AS205" i="11"/>
  <c r="AR205" i="11"/>
  <c r="AQ205" i="11"/>
  <c r="AP205" i="11"/>
  <c r="AO205" i="11"/>
  <c r="AN205" i="11"/>
  <c r="AM205" i="11"/>
  <c r="AL205" i="11"/>
  <c r="AI205" i="11"/>
  <c r="AJ205" i="11"/>
  <c r="AS204" i="11"/>
  <c r="AR204" i="11"/>
  <c r="AQ204" i="11"/>
  <c r="AP204" i="11"/>
  <c r="AO204" i="11"/>
  <c r="AN204" i="11"/>
  <c r="AM204" i="11"/>
  <c r="AL204" i="11"/>
  <c r="AI204" i="11"/>
  <c r="AJ204" i="11"/>
  <c r="AS203" i="11"/>
  <c r="AR203" i="11"/>
  <c r="AQ203" i="11"/>
  <c r="AP203" i="11"/>
  <c r="AO203" i="11"/>
  <c r="AN203" i="11"/>
  <c r="AM203" i="11"/>
  <c r="AL203" i="11"/>
  <c r="AI203" i="11"/>
  <c r="AJ203" i="11"/>
  <c r="AS202" i="11"/>
  <c r="AR202" i="11"/>
  <c r="AQ202" i="11"/>
  <c r="AP202" i="11"/>
  <c r="AO202" i="11"/>
  <c r="AN202" i="11"/>
  <c r="AM202" i="11"/>
  <c r="AL202" i="11"/>
  <c r="AI202" i="11"/>
  <c r="AJ202" i="11"/>
  <c r="AS201" i="11"/>
  <c r="AR201" i="11"/>
  <c r="AQ201" i="11"/>
  <c r="AP201" i="11"/>
  <c r="AO201" i="11"/>
  <c r="AN201" i="11"/>
  <c r="AM201" i="11"/>
  <c r="AL201" i="11"/>
  <c r="AI201" i="11"/>
  <c r="AJ201" i="11"/>
  <c r="AS200" i="11"/>
  <c r="AR200" i="11"/>
  <c r="AQ200" i="11"/>
  <c r="AP200" i="11"/>
  <c r="AO200" i="11"/>
  <c r="AN200" i="11"/>
  <c r="AM200" i="11"/>
  <c r="AL200" i="11"/>
  <c r="AI200" i="11"/>
  <c r="AJ200" i="11"/>
  <c r="AS199" i="11"/>
  <c r="AR199" i="11"/>
  <c r="AQ199" i="11"/>
  <c r="AP199" i="11"/>
  <c r="AO199" i="11"/>
  <c r="AN199" i="11"/>
  <c r="AM199" i="11"/>
  <c r="AL199" i="11"/>
  <c r="AI199" i="11"/>
  <c r="AJ199" i="11"/>
  <c r="AS198" i="11"/>
  <c r="AR198" i="11"/>
  <c r="AQ198" i="11"/>
  <c r="AP198" i="11"/>
  <c r="AO198" i="11"/>
  <c r="AN198" i="11"/>
  <c r="AM198" i="11"/>
  <c r="AL198" i="11"/>
  <c r="AI198" i="11"/>
  <c r="AJ198" i="11"/>
  <c r="AS197" i="11"/>
  <c r="AR197" i="11"/>
  <c r="AQ197" i="11"/>
  <c r="AP197" i="11"/>
  <c r="AO197" i="11"/>
  <c r="AN197" i="11"/>
  <c r="AM197" i="11"/>
  <c r="AL197" i="11"/>
  <c r="AI197" i="11"/>
  <c r="AJ197" i="11"/>
  <c r="AS196" i="11"/>
  <c r="AR196" i="11"/>
  <c r="AQ196" i="11"/>
  <c r="AP196" i="11"/>
  <c r="AO196" i="11"/>
  <c r="AN196" i="11"/>
  <c r="AM196" i="11"/>
  <c r="AL196" i="11"/>
  <c r="AI196" i="11"/>
  <c r="AJ196" i="11"/>
  <c r="AS195" i="11"/>
  <c r="AR195" i="11"/>
  <c r="AQ195" i="11"/>
  <c r="AP195" i="11"/>
  <c r="AO195" i="11"/>
  <c r="AN195" i="11"/>
  <c r="AM195" i="11"/>
  <c r="AL195" i="11"/>
  <c r="AI195" i="11"/>
  <c r="AJ195" i="11"/>
  <c r="AS194" i="11"/>
  <c r="AR194" i="11"/>
  <c r="AQ194" i="11"/>
  <c r="AP194" i="11"/>
  <c r="AO194" i="11"/>
  <c r="AN194" i="11"/>
  <c r="AM194" i="11"/>
  <c r="AL194" i="11"/>
  <c r="AI194" i="11"/>
  <c r="AJ194" i="11"/>
  <c r="AS193" i="11"/>
  <c r="AR193" i="11"/>
  <c r="AQ193" i="11"/>
  <c r="AP193" i="11"/>
  <c r="AO193" i="11"/>
  <c r="AN193" i="11"/>
  <c r="AM193" i="11"/>
  <c r="AL193" i="11"/>
  <c r="AI193" i="11"/>
  <c r="AJ193" i="11"/>
  <c r="AS192" i="11"/>
  <c r="AR192" i="11"/>
  <c r="AQ192" i="11"/>
  <c r="AP192" i="11"/>
  <c r="AO192" i="11"/>
  <c r="AN192" i="11"/>
  <c r="AM192" i="11"/>
  <c r="AL192" i="11"/>
  <c r="AI192" i="11"/>
  <c r="AJ192" i="11"/>
  <c r="AS191" i="11"/>
  <c r="AR191" i="11"/>
  <c r="AQ191" i="11"/>
  <c r="AP191" i="11"/>
  <c r="AO191" i="11"/>
  <c r="AN191" i="11"/>
  <c r="AM191" i="11"/>
  <c r="AL191" i="11"/>
  <c r="AI191" i="11"/>
  <c r="AJ191" i="11"/>
  <c r="AS190" i="11"/>
  <c r="AR190" i="11"/>
  <c r="AQ190" i="11"/>
  <c r="AP190" i="11"/>
  <c r="AO190" i="11"/>
  <c r="AN190" i="11"/>
  <c r="AM190" i="11"/>
  <c r="AL190" i="11"/>
  <c r="AI190" i="11"/>
  <c r="AJ190" i="11"/>
  <c r="AS189" i="11"/>
  <c r="AR189" i="11"/>
  <c r="AQ189" i="11"/>
  <c r="AP189" i="11"/>
  <c r="AO189" i="11"/>
  <c r="AN189" i="11"/>
  <c r="AM189" i="11"/>
  <c r="AL189" i="11"/>
  <c r="AI189" i="11"/>
  <c r="AJ189" i="11"/>
  <c r="AS188" i="11"/>
  <c r="AR188" i="11"/>
  <c r="AQ188" i="11"/>
  <c r="AP188" i="11"/>
  <c r="AO188" i="11"/>
  <c r="AN188" i="11"/>
  <c r="AM188" i="11"/>
  <c r="AL188" i="11"/>
  <c r="AI188" i="11"/>
  <c r="AJ188" i="11"/>
  <c r="AS187" i="11"/>
  <c r="AR187" i="11"/>
  <c r="AQ187" i="11"/>
  <c r="AP187" i="11"/>
  <c r="AO187" i="11"/>
  <c r="AN187" i="11"/>
  <c r="AM187" i="11"/>
  <c r="AL187" i="11"/>
  <c r="AI187" i="11"/>
  <c r="AJ187" i="11"/>
  <c r="AS186" i="11"/>
  <c r="AR186" i="11"/>
  <c r="AQ186" i="11"/>
  <c r="AP186" i="11"/>
  <c r="AO186" i="11"/>
  <c r="AN186" i="11"/>
  <c r="AM186" i="11"/>
  <c r="AL186" i="11"/>
  <c r="AI186" i="11"/>
  <c r="AJ186" i="11"/>
  <c r="AS185" i="11"/>
  <c r="AR185" i="11"/>
  <c r="AQ185" i="11"/>
  <c r="AP185" i="11"/>
  <c r="AO185" i="11"/>
  <c r="AN185" i="11"/>
  <c r="AM185" i="11"/>
  <c r="AL185" i="11"/>
  <c r="AI185" i="11"/>
  <c r="AJ185" i="11"/>
  <c r="AS184" i="11"/>
  <c r="AR184" i="11"/>
  <c r="AQ184" i="11"/>
  <c r="AP184" i="11"/>
  <c r="AO184" i="11"/>
  <c r="AN184" i="11"/>
  <c r="AM184" i="11"/>
  <c r="AL184" i="11"/>
  <c r="AI184" i="11"/>
  <c r="AJ184" i="11"/>
  <c r="AS183" i="11"/>
  <c r="AR183" i="11"/>
  <c r="AQ183" i="11"/>
  <c r="AP183" i="11"/>
  <c r="AO183" i="11"/>
  <c r="AN183" i="11"/>
  <c r="AM183" i="11"/>
  <c r="AL183" i="11"/>
  <c r="AI183" i="11"/>
  <c r="AJ183" i="11"/>
  <c r="AS182" i="11"/>
  <c r="AR182" i="11"/>
  <c r="AQ182" i="11"/>
  <c r="AP182" i="11"/>
  <c r="AO182" i="11"/>
  <c r="AN182" i="11"/>
  <c r="AM182" i="11"/>
  <c r="AL182" i="11"/>
  <c r="AI182" i="11"/>
  <c r="AJ182" i="11"/>
  <c r="AS181" i="11"/>
  <c r="AR181" i="11"/>
  <c r="AQ181" i="11"/>
  <c r="AP181" i="11"/>
  <c r="AO181" i="11"/>
  <c r="AN181" i="11"/>
  <c r="AM181" i="11"/>
  <c r="AL181" i="11"/>
  <c r="AI181" i="11"/>
  <c r="AJ181" i="11"/>
  <c r="AS180" i="11"/>
  <c r="AR180" i="11"/>
  <c r="AQ180" i="11"/>
  <c r="AP180" i="11"/>
  <c r="AO180" i="11"/>
  <c r="AN180" i="11"/>
  <c r="AM180" i="11"/>
  <c r="AL180" i="11"/>
  <c r="AI180" i="11"/>
  <c r="AJ180" i="11"/>
  <c r="AS179" i="11"/>
  <c r="AR179" i="11"/>
  <c r="AQ179" i="11"/>
  <c r="AP179" i="11"/>
  <c r="AO179" i="11"/>
  <c r="AN179" i="11"/>
  <c r="AM179" i="11"/>
  <c r="AL179" i="11"/>
  <c r="AI179" i="11"/>
  <c r="AJ179" i="11"/>
  <c r="AS178" i="11"/>
  <c r="AR178" i="11"/>
  <c r="AQ178" i="11"/>
  <c r="AP178" i="11"/>
  <c r="AO178" i="11"/>
  <c r="AN178" i="11"/>
  <c r="AM178" i="11"/>
  <c r="AL178" i="11"/>
  <c r="AI178" i="11"/>
  <c r="AJ178" i="11"/>
  <c r="AS177" i="11"/>
  <c r="AR177" i="11"/>
  <c r="AQ177" i="11"/>
  <c r="AP177" i="11"/>
  <c r="AO177" i="11"/>
  <c r="Z178" i="3" s="1"/>
  <c r="AN177" i="11"/>
  <c r="AM177" i="11"/>
  <c r="U178" i="3" s="1"/>
  <c r="AL177" i="11"/>
  <c r="AI177" i="11"/>
  <c r="AJ177" i="11"/>
  <c r="AS176" i="11"/>
  <c r="AR176" i="11"/>
  <c r="AQ176" i="11"/>
  <c r="AP176" i="11"/>
  <c r="AO176" i="11"/>
  <c r="AN176" i="11"/>
  <c r="AM176" i="11"/>
  <c r="AL176" i="11"/>
  <c r="AI176" i="11"/>
  <c r="AJ176" i="11"/>
  <c r="AS175" i="11"/>
  <c r="AR175" i="11"/>
  <c r="AQ175" i="11"/>
  <c r="AP175" i="11"/>
  <c r="AO175" i="11"/>
  <c r="AN175" i="11"/>
  <c r="AM175" i="11"/>
  <c r="AL175" i="11"/>
  <c r="AI175" i="11"/>
  <c r="AJ175" i="11"/>
  <c r="AS174" i="11"/>
  <c r="AR174" i="11"/>
  <c r="AQ174" i="11"/>
  <c r="AP174" i="11"/>
  <c r="AO174" i="11"/>
  <c r="AN174" i="11"/>
  <c r="AM174" i="11"/>
  <c r="AL174" i="11"/>
  <c r="AI174" i="11"/>
  <c r="AJ174" i="11"/>
  <c r="AS173" i="11"/>
  <c r="AR173" i="11"/>
  <c r="AQ173" i="11"/>
  <c r="AP173" i="11"/>
  <c r="AO173" i="11"/>
  <c r="AN173" i="11"/>
  <c r="AM173" i="11"/>
  <c r="AL173" i="11"/>
  <c r="AI173" i="11"/>
  <c r="AJ173" i="11"/>
  <c r="AS172" i="11"/>
  <c r="AR172" i="11"/>
  <c r="AQ172" i="11"/>
  <c r="AP172" i="11"/>
  <c r="AO172" i="11"/>
  <c r="AN172" i="11"/>
  <c r="AM172" i="11"/>
  <c r="AL172" i="11"/>
  <c r="AI172" i="11"/>
  <c r="AJ172" i="11"/>
  <c r="AS171" i="11"/>
  <c r="AR171" i="11"/>
  <c r="AQ171" i="11"/>
  <c r="AP171" i="11"/>
  <c r="AO171" i="11"/>
  <c r="AN171" i="11"/>
  <c r="AM171" i="11"/>
  <c r="AL171" i="11"/>
  <c r="AI171" i="11"/>
  <c r="AJ171" i="11"/>
  <c r="AS170" i="11"/>
  <c r="AR170" i="11"/>
  <c r="AQ170" i="11"/>
  <c r="AP170" i="11"/>
  <c r="AO170" i="11"/>
  <c r="AN170" i="11"/>
  <c r="AM170" i="11"/>
  <c r="AL170" i="11"/>
  <c r="AI170" i="11"/>
  <c r="AJ170" i="11"/>
  <c r="AS169" i="11"/>
  <c r="AR169" i="11"/>
  <c r="AQ169" i="11"/>
  <c r="AP169" i="11"/>
  <c r="AO169" i="11"/>
  <c r="AN169" i="11"/>
  <c r="AM169" i="11"/>
  <c r="AL169" i="11"/>
  <c r="AI169" i="11"/>
  <c r="AJ169" i="11"/>
  <c r="AS168" i="11"/>
  <c r="AR168" i="11"/>
  <c r="AQ168" i="11"/>
  <c r="AP168" i="11"/>
  <c r="AO168" i="11"/>
  <c r="AN168" i="11"/>
  <c r="AM168" i="11"/>
  <c r="AL168" i="11"/>
  <c r="AI168" i="11"/>
  <c r="AJ168" i="11"/>
  <c r="AS167" i="11"/>
  <c r="AR167" i="11"/>
  <c r="AQ167" i="11"/>
  <c r="AP167" i="11"/>
  <c r="AO167" i="11"/>
  <c r="AN167" i="11"/>
  <c r="AM167" i="11"/>
  <c r="AL167" i="11"/>
  <c r="AI167" i="11"/>
  <c r="AJ167" i="11"/>
  <c r="AS166" i="11"/>
  <c r="AR166" i="11"/>
  <c r="AQ166" i="11"/>
  <c r="AP166" i="11"/>
  <c r="AO166" i="11"/>
  <c r="AN166" i="11"/>
  <c r="AM166" i="11"/>
  <c r="AL166" i="11"/>
  <c r="AI166" i="11"/>
  <c r="AJ166" i="11"/>
  <c r="AS165" i="11"/>
  <c r="AR165" i="11"/>
  <c r="AQ165" i="11"/>
  <c r="AP165" i="11"/>
  <c r="AO165" i="11"/>
  <c r="AN165" i="11"/>
  <c r="AM165" i="11"/>
  <c r="AL165" i="11"/>
  <c r="AI165" i="11"/>
  <c r="AJ165" i="11"/>
  <c r="AS164" i="11"/>
  <c r="AR164" i="11"/>
  <c r="AQ164" i="11"/>
  <c r="AP164" i="11"/>
  <c r="AO164" i="11"/>
  <c r="AN164" i="11"/>
  <c r="AM164" i="11"/>
  <c r="AL164" i="11"/>
  <c r="AI164" i="11"/>
  <c r="AJ164" i="11"/>
  <c r="AS163" i="11"/>
  <c r="AR163" i="11"/>
  <c r="AQ163" i="11"/>
  <c r="AP163" i="11"/>
  <c r="AO163" i="11"/>
  <c r="AN163" i="11"/>
  <c r="AM163" i="11"/>
  <c r="AL163" i="11"/>
  <c r="AI163" i="11"/>
  <c r="AJ163" i="11"/>
  <c r="AS162" i="11"/>
  <c r="AR162" i="11"/>
  <c r="AQ162" i="11"/>
  <c r="AP162" i="11"/>
  <c r="AO162" i="11"/>
  <c r="AN162" i="11"/>
  <c r="AM162" i="11"/>
  <c r="AL162" i="11"/>
  <c r="AI162" i="11"/>
  <c r="AJ162" i="11"/>
  <c r="AS161" i="11"/>
  <c r="AR161" i="11"/>
  <c r="AQ161" i="11"/>
  <c r="AP161" i="11"/>
  <c r="AO161" i="11"/>
  <c r="AN161" i="11"/>
  <c r="AM161" i="11"/>
  <c r="AL161" i="11"/>
  <c r="AI161" i="11"/>
  <c r="AJ161" i="11"/>
  <c r="AS160" i="11"/>
  <c r="AR160" i="11"/>
  <c r="AQ160" i="11"/>
  <c r="AP160" i="11"/>
  <c r="AO160" i="11"/>
  <c r="AN160" i="11"/>
  <c r="AM160" i="11"/>
  <c r="AL160" i="11"/>
  <c r="AI160" i="11"/>
  <c r="AJ160" i="11"/>
  <c r="AS159" i="11"/>
  <c r="AR159" i="11"/>
  <c r="AQ159" i="11"/>
  <c r="AP159" i="11"/>
  <c r="AO159" i="11"/>
  <c r="AN159" i="11"/>
  <c r="AM159" i="11"/>
  <c r="AL159" i="11"/>
  <c r="AI159" i="11"/>
  <c r="AJ159" i="11"/>
  <c r="AS158" i="11"/>
  <c r="AR158" i="11"/>
  <c r="AQ158" i="11"/>
  <c r="AP158" i="11"/>
  <c r="AO158" i="11"/>
  <c r="AN158" i="11"/>
  <c r="AM158" i="11"/>
  <c r="AL158" i="11"/>
  <c r="AI158" i="11"/>
  <c r="AJ158" i="11"/>
  <c r="AS157" i="11"/>
  <c r="AR157" i="11"/>
  <c r="AQ157" i="11"/>
  <c r="AP157" i="11"/>
  <c r="AO157" i="11"/>
  <c r="AN157" i="11"/>
  <c r="AM157" i="11"/>
  <c r="AL157" i="11"/>
  <c r="AI157" i="11"/>
  <c r="AJ157" i="11"/>
  <c r="AS156" i="11"/>
  <c r="AR156" i="11"/>
  <c r="AQ156" i="11"/>
  <c r="AP156" i="11"/>
  <c r="AO156" i="11"/>
  <c r="AN156" i="11"/>
  <c r="AM156" i="11"/>
  <c r="AL156" i="11"/>
  <c r="AI156" i="11"/>
  <c r="AJ156" i="11"/>
  <c r="AS155" i="11"/>
  <c r="AR155" i="11"/>
  <c r="AQ155" i="11"/>
  <c r="AP155" i="11"/>
  <c r="AO155" i="11"/>
  <c r="AN155" i="11"/>
  <c r="AM155" i="11"/>
  <c r="AL155" i="11"/>
  <c r="AI155" i="11"/>
  <c r="AJ155" i="11"/>
  <c r="AS154" i="11"/>
  <c r="AR154" i="11"/>
  <c r="AQ154" i="11"/>
  <c r="AP154" i="11"/>
  <c r="AO154" i="11"/>
  <c r="AN154" i="11"/>
  <c r="AM154" i="11"/>
  <c r="AL154" i="11"/>
  <c r="AI154" i="11"/>
  <c r="AJ154" i="11"/>
  <c r="AS153" i="11"/>
  <c r="AR153" i="11"/>
  <c r="AQ153" i="11"/>
  <c r="AP153" i="11"/>
  <c r="AO153" i="11"/>
  <c r="AN153" i="11"/>
  <c r="AM153" i="11"/>
  <c r="AL153" i="11"/>
  <c r="AI153" i="11"/>
  <c r="AJ153" i="11"/>
  <c r="AS152" i="11"/>
  <c r="AR152" i="11"/>
  <c r="AQ152" i="11"/>
  <c r="AP152" i="11"/>
  <c r="AO152" i="11"/>
  <c r="AN152" i="11"/>
  <c r="AM152" i="11"/>
  <c r="AL152" i="11"/>
  <c r="AI152" i="11"/>
  <c r="AJ152" i="11"/>
  <c r="AS151" i="11"/>
  <c r="AR151" i="11"/>
  <c r="AQ151" i="11"/>
  <c r="AP151" i="11"/>
  <c r="AO151" i="11"/>
  <c r="AN151" i="11"/>
  <c r="AM151" i="11"/>
  <c r="AL151" i="11"/>
  <c r="AI151" i="11"/>
  <c r="AJ151" i="11"/>
  <c r="AS150" i="11"/>
  <c r="AR150" i="11"/>
  <c r="AQ150" i="11"/>
  <c r="AP150" i="11"/>
  <c r="AO150" i="11"/>
  <c r="AN150" i="11"/>
  <c r="AM150" i="11"/>
  <c r="AL150" i="11"/>
  <c r="AI150" i="11"/>
  <c r="AJ150" i="11"/>
  <c r="AS149" i="11"/>
  <c r="AR149" i="11"/>
  <c r="AQ149" i="11"/>
  <c r="AP149" i="11"/>
  <c r="AO149" i="11"/>
  <c r="AN149" i="11"/>
  <c r="AM149" i="11"/>
  <c r="AL149" i="11"/>
  <c r="AI149" i="11"/>
  <c r="AJ149" i="11"/>
  <c r="AS148" i="11"/>
  <c r="AR148" i="11"/>
  <c r="AQ148" i="11"/>
  <c r="AP148" i="11"/>
  <c r="AO148" i="11"/>
  <c r="AN148" i="11"/>
  <c r="AM148" i="11"/>
  <c r="AL148" i="11"/>
  <c r="AI148" i="11"/>
  <c r="AJ148" i="11"/>
  <c r="AS147" i="11"/>
  <c r="AR147" i="11"/>
  <c r="AQ147" i="11"/>
  <c r="AP147" i="11"/>
  <c r="AO147" i="11"/>
  <c r="AN147" i="11"/>
  <c r="AM147" i="11"/>
  <c r="AL147" i="11"/>
  <c r="AI147" i="11"/>
  <c r="AJ147" i="11"/>
  <c r="AS146" i="11"/>
  <c r="AR146" i="11"/>
  <c r="AQ146" i="11"/>
  <c r="AP146" i="11"/>
  <c r="AO146" i="11"/>
  <c r="AN146" i="11"/>
  <c r="AM146" i="11"/>
  <c r="AL146" i="11"/>
  <c r="AI146" i="11"/>
  <c r="AJ146" i="11"/>
  <c r="AS145" i="11"/>
  <c r="AR145" i="11"/>
  <c r="AQ145" i="11"/>
  <c r="AP145" i="11"/>
  <c r="AO145" i="11"/>
  <c r="AN145" i="11"/>
  <c r="AM145" i="11"/>
  <c r="AL145" i="11"/>
  <c r="AI145" i="11"/>
  <c r="AJ145" i="11"/>
  <c r="AS144" i="11"/>
  <c r="AR144" i="11"/>
  <c r="AQ144" i="11"/>
  <c r="AP144" i="11"/>
  <c r="AO144" i="11"/>
  <c r="AN144" i="11"/>
  <c r="AM144" i="11"/>
  <c r="AL144" i="11"/>
  <c r="AI144" i="11"/>
  <c r="AJ144" i="11"/>
  <c r="AS143" i="11"/>
  <c r="AR143" i="11"/>
  <c r="AQ143" i="11"/>
  <c r="AP143" i="11"/>
  <c r="AO143" i="11"/>
  <c r="AN143" i="11"/>
  <c r="AM143" i="11"/>
  <c r="AL143" i="11"/>
  <c r="AI143" i="11"/>
  <c r="AJ143" i="11"/>
  <c r="AS142" i="11"/>
  <c r="AR142" i="11"/>
  <c r="AQ142" i="11"/>
  <c r="AP142" i="11"/>
  <c r="AO142" i="11"/>
  <c r="AN142" i="11"/>
  <c r="AM142" i="11"/>
  <c r="AL142" i="11"/>
  <c r="AI142" i="11"/>
  <c r="AJ142" i="11"/>
  <c r="AS141" i="11"/>
  <c r="AR141" i="11"/>
  <c r="AQ141" i="11"/>
  <c r="AP141" i="11"/>
  <c r="AO141" i="11"/>
  <c r="AN141" i="11"/>
  <c r="AM141" i="11"/>
  <c r="AL141" i="11"/>
  <c r="AI141" i="11"/>
  <c r="AJ141" i="11"/>
  <c r="AS140" i="11"/>
  <c r="AR140" i="11"/>
  <c r="AQ140" i="11"/>
  <c r="AP140" i="11"/>
  <c r="AO140" i="11"/>
  <c r="AN140" i="11"/>
  <c r="AM140" i="11"/>
  <c r="AL140" i="11"/>
  <c r="AI140" i="11"/>
  <c r="AJ140" i="11"/>
  <c r="AS139" i="11"/>
  <c r="AR139" i="11"/>
  <c r="AQ139" i="11"/>
  <c r="AP139" i="11"/>
  <c r="AO139" i="11"/>
  <c r="AN139" i="11"/>
  <c r="AM139" i="11"/>
  <c r="AL139" i="11"/>
  <c r="AI139" i="11"/>
  <c r="AJ139" i="11"/>
  <c r="AS138" i="11"/>
  <c r="AR138" i="11"/>
  <c r="AQ138" i="11"/>
  <c r="AP138" i="11"/>
  <c r="AO138" i="11"/>
  <c r="AN138" i="11"/>
  <c r="AM138" i="11"/>
  <c r="AL138" i="11"/>
  <c r="AI138" i="11"/>
  <c r="AJ138" i="11"/>
  <c r="AS137" i="11"/>
  <c r="AR137" i="11"/>
  <c r="AQ137" i="11"/>
  <c r="AP137" i="11"/>
  <c r="AO137" i="11"/>
  <c r="AN137" i="11"/>
  <c r="AM137" i="11"/>
  <c r="AL137" i="11"/>
  <c r="AI137" i="11"/>
  <c r="AJ137" i="11"/>
  <c r="AS136" i="11"/>
  <c r="AR136" i="11"/>
  <c r="AQ136" i="11"/>
  <c r="AP136" i="11"/>
  <c r="AO136" i="11"/>
  <c r="AN136" i="11"/>
  <c r="AM136" i="11"/>
  <c r="AL136" i="11"/>
  <c r="AI136" i="11"/>
  <c r="AJ136" i="11"/>
  <c r="AS135" i="11"/>
  <c r="AR135" i="11"/>
  <c r="AQ135" i="11"/>
  <c r="AP135" i="11"/>
  <c r="AO135" i="11"/>
  <c r="AN135" i="11"/>
  <c r="AM135" i="11"/>
  <c r="AL135" i="11"/>
  <c r="AI135" i="11"/>
  <c r="AJ135" i="11"/>
  <c r="AS134" i="11"/>
  <c r="AR134" i="11"/>
  <c r="AQ134" i="11"/>
  <c r="AP134" i="11"/>
  <c r="AO134" i="11"/>
  <c r="AN134" i="11"/>
  <c r="AM134" i="11"/>
  <c r="AL134" i="11"/>
  <c r="AI134" i="11"/>
  <c r="AJ134" i="11"/>
  <c r="AS133" i="11"/>
  <c r="AR133" i="11"/>
  <c r="AQ133" i="11"/>
  <c r="AP133" i="11"/>
  <c r="AO133" i="11"/>
  <c r="AN133" i="11"/>
  <c r="AM133" i="11"/>
  <c r="AL133" i="11"/>
  <c r="AI133" i="11"/>
  <c r="AJ133" i="11"/>
  <c r="AS132" i="11"/>
  <c r="AR132" i="11"/>
  <c r="AQ132" i="11"/>
  <c r="AP132" i="11"/>
  <c r="AO132" i="11"/>
  <c r="AN132" i="11"/>
  <c r="AM132" i="11"/>
  <c r="AL132" i="11"/>
  <c r="AI132" i="11"/>
  <c r="AJ132" i="11"/>
  <c r="AS131" i="11"/>
  <c r="AR131" i="11"/>
  <c r="AQ131" i="11"/>
  <c r="AP131" i="11"/>
  <c r="AO131" i="11"/>
  <c r="AN131" i="11"/>
  <c r="AM131" i="11"/>
  <c r="AL131" i="11"/>
  <c r="AI131" i="11"/>
  <c r="AJ131" i="11"/>
  <c r="AS130" i="11"/>
  <c r="AR130" i="11"/>
  <c r="AQ130" i="11"/>
  <c r="AP130" i="11"/>
  <c r="AO130" i="11"/>
  <c r="AN130" i="11"/>
  <c r="AM130" i="11"/>
  <c r="AL130" i="11"/>
  <c r="AI130" i="11"/>
  <c r="AJ130" i="11"/>
  <c r="AS129" i="11"/>
  <c r="AR129" i="11"/>
  <c r="AQ129" i="11"/>
  <c r="AP129" i="11"/>
  <c r="AO129" i="11"/>
  <c r="AN129" i="11"/>
  <c r="AM129" i="11"/>
  <c r="AL129" i="11"/>
  <c r="AI129" i="11"/>
  <c r="AJ129" i="11"/>
  <c r="AS128" i="11"/>
  <c r="AR128" i="11"/>
  <c r="AQ128" i="11"/>
  <c r="AP128" i="11"/>
  <c r="AO128" i="11"/>
  <c r="AN128" i="11"/>
  <c r="AM128" i="11"/>
  <c r="AL128" i="11"/>
  <c r="AI128" i="11"/>
  <c r="AJ128" i="11"/>
  <c r="AS127" i="11"/>
  <c r="AR127" i="11"/>
  <c r="AQ127" i="11"/>
  <c r="AP127" i="11"/>
  <c r="AO127" i="11"/>
  <c r="AN127" i="11"/>
  <c r="AM127" i="11"/>
  <c r="AL127" i="11"/>
  <c r="AI127" i="11"/>
  <c r="AJ127" i="11"/>
  <c r="AS126" i="11"/>
  <c r="AR126" i="11"/>
  <c r="AQ126" i="11"/>
  <c r="AP126" i="11"/>
  <c r="AO126" i="11"/>
  <c r="AN126" i="11"/>
  <c r="AM126" i="11"/>
  <c r="AL126" i="11"/>
  <c r="AI126" i="11"/>
  <c r="AJ126" i="11"/>
  <c r="AS125" i="11"/>
  <c r="AR125" i="11"/>
  <c r="AQ125" i="11"/>
  <c r="AP125" i="11"/>
  <c r="AO125" i="11"/>
  <c r="AN125" i="11"/>
  <c r="AM125" i="11"/>
  <c r="AL125" i="11"/>
  <c r="AI125" i="11"/>
  <c r="AJ125" i="11"/>
  <c r="AS124" i="11"/>
  <c r="AR124" i="11"/>
  <c r="AQ124" i="11"/>
  <c r="AP124" i="11"/>
  <c r="AO124" i="11"/>
  <c r="AN124" i="11"/>
  <c r="AM124" i="11"/>
  <c r="AL124" i="11"/>
  <c r="AI124" i="11"/>
  <c r="AJ124" i="11"/>
  <c r="AS123" i="11"/>
  <c r="AR123" i="11"/>
  <c r="AQ123" i="11"/>
  <c r="AP123" i="11"/>
  <c r="AO123" i="11"/>
  <c r="AN123" i="11"/>
  <c r="AM123" i="11"/>
  <c r="AL123" i="11"/>
  <c r="AI123" i="11"/>
  <c r="AJ123" i="11"/>
  <c r="AS122" i="11"/>
  <c r="AR122" i="11"/>
  <c r="AQ122" i="11"/>
  <c r="AP122" i="11"/>
  <c r="AO122" i="11"/>
  <c r="AN122" i="11"/>
  <c r="AM122" i="11"/>
  <c r="AL122" i="11"/>
  <c r="AI122" i="11"/>
  <c r="AJ122" i="11"/>
  <c r="AS121" i="11"/>
  <c r="AR121" i="11"/>
  <c r="AQ121" i="11"/>
  <c r="AP121" i="11"/>
  <c r="AO121" i="11"/>
  <c r="AN121" i="11"/>
  <c r="AM121" i="11"/>
  <c r="AL121" i="11"/>
  <c r="AI121" i="11"/>
  <c r="AJ121" i="11"/>
  <c r="AS120" i="11"/>
  <c r="AR120" i="11"/>
  <c r="AQ120" i="11"/>
  <c r="AP120" i="11"/>
  <c r="AO120" i="11"/>
  <c r="AN120" i="11"/>
  <c r="AM120" i="11"/>
  <c r="AL120" i="11"/>
  <c r="AI120" i="11"/>
  <c r="AJ120" i="11"/>
  <c r="AS119" i="11"/>
  <c r="AR119" i="11"/>
  <c r="AQ119" i="11"/>
  <c r="AP119" i="11"/>
  <c r="AO119" i="11"/>
  <c r="AN119" i="11"/>
  <c r="AM119" i="11"/>
  <c r="AL119" i="11"/>
  <c r="AI119" i="11"/>
  <c r="AJ119" i="11"/>
  <c r="AS118" i="11"/>
  <c r="AR118" i="11"/>
  <c r="AQ118" i="11"/>
  <c r="AP118" i="11"/>
  <c r="AO118" i="11"/>
  <c r="AN118" i="11"/>
  <c r="AM118" i="11"/>
  <c r="AL118" i="11"/>
  <c r="AI118" i="11"/>
  <c r="AJ118" i="11"/>
  <c r="AS117" i="11"/>
  <c r="AR117" i="11"/>
  <c r="AQ117" i="11"/>
  <c r="AP117" i="11"/>
  <c r="AO117" i="11"/>
  <c r="AN117" i="11"/>
  <c r="AM117" i="11"/>
  <c r="AL117" i="11"/>
  <c r="AI117" i="11"/>
  <c r="AJ117" i="11"/>
  <c r="AS116" i="11"/>
  <c r="AR116" i="11"/>
  <c r="AQ116" i="11"/>
  <c r="AP116" i="11"/>
  <c r="AO116" i="11"/>
  <c r="AN116" i="11"/>
  <c r="AM116" i="11"/>
  <c r="AL116" i="11"/>
  <c r="AI116" i="11"/>
  <c r="AJ116" i="11"/>
  <c r="AS115" i="11"/>
  <c r="AR115" i="11"/>
  <c r="AQ115" i="11"/>
  <c r="AP115" i="11"/>
  <c r="AO115" i="11"/>
  <c r="Z116" i="3" s="1"/>
  <c r="AN115" i="11"/>
  <c r="AM115" i="11"/>
  <c r="U116" i="3" s="1"/>
  <c r="AL115" i="11"/>
  <c r="AI115" i="11"/>
  <c r="AJ115" i="11"/>
  <c r="AS114" i="11"/>
  <c r="AR114" i="11"/>
  <c r="AQ114" i="11"/>
  <c r="AP114" i="11"/>
  <c r="AO114" i="11"/>
  <c r="AN114" i="11"/>
  <c r="AM114" i="11"/>
  <c r="AL114" i="11"/>
  <c r="AI114" i="11"/>
  <c r="AJ114" i="11"/>
  <c r="AS113" i="11"/>
  <c r="AR113" i="11"/>
  <c r="AQ113" i="11"/>
  <c r="AP113" i="11"/>
  <c r="AO113" i="11"/>
  <c r="AN113" i="11"/>
  <c r="AM113" i="11"/>
  <c r="AL113" i="11"/>
  <c r="AI113" i="11"/>
  <c r="AJ113" i="11"/>
  <c r="AS112" i="11"/>
  <c r="AR112" i="11"/>
  <c r="AQ112" i="11"/>
  <c r="AP112" i="11"/>
  <c r="AO112" i="11"/>
  <c r="AN112" i="11"/>
  <c r="AM112" i="11"/>
  <c r="AL112" i="11"/>
  <c r="AI112" i="11"/>
  <c r="AJ112" i="11"/>
  <c r="AS111" i="11"/>
  <c r="AR111" i="11"/>
  <c r="AQ111" i="11"/>
  <c r="AP111" i="11"/>
  <c r="AO111" i="11"/>
  <c r="AN111" i="11"/>
  <c r="AM111" i="11"/>
  <c r="AL111" i="11"/>
  <c r="AI111" i="11"/>
  <c r="AJ111" i="11"/>
  <c r="AS110" i="11"/>
  <c r="AR110" i="11"/>
  <c r="AQ110" i="11"/>
  <c r="AP110" i="11"/>
  <c r="AO110" i="11"/>
  <c r="AN110" i="11"/>
  <c r="AM110" i="11"/>
  <c r="AL110" i="11"/>
  <c r="AI110" i="11"/>
  <c r="AJ110" i="11"/>
  <c r="AS109" i="11"/>
  <c r="AR109" i="11"/>
  <c r="AQ109" i="11"/>
  <c r="AP109" i="11"/>
  <c r="AO109" i="11"/>
  <c r="AN109" i="11"/>
  <c r="AM109" i="11"/>
  <c r="AL109" i="11"/>
  <c r="AI109" i="11"/>
  <c r="AJ109" i="11"/>
  <c r="AS108" i="11"/>
  <c r="AR108" i="11"/>
  <c r="AQ108" i="11"/>
  <c r="AP108" i="11"/>
  <c r="AO108" i="11"/>
  <c r="AN108" i="11"/>
  <c r="AM108" i="11"/>
  <c r="AL108" i="11"/>
  <c r="AI108" i="11"/>
  <c r="AJ108" i="11"/>
  <c r="AS107" i="11"/>
  <c r="AR107" i="11"/>
  <c r="AQ107" i="11"/>
  <c r="AP107" i="11"/>
  <c r="AO107" i="11"/>
  <c r="AN107" i="11"/>
  <c r="AM107" i="11"/>
  <c r="AL107" i="11"/>
  <c r="AI107" i="11"/>
  <c r="AJ107" i="11"/>
  <c r="AS106" i="11"/>
  <c r="AR106" i="11"/>
  <c r="AQ106" i="11"/>
  <c r="AP106" i="11"/>
  <c r="AO106" i="11"/>
  <c r="AN106" i="11"/>
  <c r="AM106" i="11"/>
  <c r="AL106" i="11"/>
  <c r="AI106" i="11"/>
  <c r="AJ106" i="11"/>
  <c r="AS105" i="11"/>
  <c r="AR105" i="11"/>
  <c r="AQ105" i="11"/>
  <c r="AP105" i="11"/>
  <c r="AO105" i="11"/>
  <c r="AN105" i="11"/>
  <c r="AM105" i="11"/>
  <c r="AL105" i="11"/>
  <c r="AI105" i="11"/>
  <c r="AJ105" i="11"/>
  <c r="AS104" i="11"/>
  <c r="AR104" i="11"/>
  <c r="AQ104" i="11"/>
  <c r="AP104" i="11"/>
  <c r="AO104" i="11"/>
  <c r="AN104" i="11"/>
  <c r="AM104" i="11"/>
  <c r="AL104" i="11"/>
  <c r="AI104" i="11"/>
  <c r="AJ104" i="11"/>
  <c r="AS103" i="11"/>
  <c r="AR103" i="11"/>
  <c r="AQ103" i="11"/>
  <c r="AP103" i="11"/>
  <c r="AO103" i="11"/>
  <c r="AN103" i="11"/>
  <c r="AM103" i="11"/>
  <c r="AL103" i="11"/>
  <c r="AI103" i="11"/>
  <c r="AJ103" i="11"/>
  <c r="AS102" i="11"/>
  <c r="AR102" i="11"/>
  <c r="AQ102" i="11"/>
  <c r="AP102" i="11"/>
  <c r="AO102" i="11"/>
  <c r="AN102" i="11"/>
  <c r="AM102" i="11"/>
  <c r="AL102" i="11"/>
  <c r="AI102" i="11"/>
  <c r="AJ102" i="11"/>
  <c r="AS101" i="11"/>
  <c r="AR101" i="11"/>
  <c r="AQ101" i="11"/>
  <c r="AP101" i="11"/>
  <c r="AO101" i="11"/>
  <c r="AN101" i="11"/>
  <c r="AM101" i="11"/>
  <c r="AL101" i="11"/>
  <c r="AI101" i="11"/>
  <c r="AJ101" i="11"/>
  <c r="AS100" i="11"/>
  <c r="AR100" i="11"/>
  <c r="AQ100" i="11"/>
  <c r="AP100" i="11"/>
  <c r="AO100" i="11"/>
  <c r="AN100" i="11"/>
  <c r="AM100" i="11"/>
  <c r="AL100" i="11"/>
  <c r="AI100" i="11"/>
  <c r="AJ100" i="11"/>
  <c r="AS99" i="11"/>
  <c r="AR99" i="11"/>
  <c r="AQ99" i="11"/>
  <c r="AP99" i="11"/>
  <c r="AO99" i="11"/>
  <c r="AN99" i="11"/>
  <c r="AM99" i="11"/>
  <c r="AL99" i="11"/>
  <c r="AI99" i="11"/>
  <c r="AJ99" i="11"/>
  <c r="AS98" i="11"/>
  <c r="AR98" i="11"/>
  <c r="AQ98" i="11"/>
  <c r="AP98" i="11"/>
  <c r="AO98" i="11"/>
  <c r="AN98" i="11"/>
  <c r="AM98" i="11"/>
  <c r="AL98" i="11"/>
  <c r="AI98" i="11"/>
  <c r="AJ98" i="11"/>
  <c r="AS97" i="11"/>
  <c r="AR97" i="11"/>
  <c r="AQ97" i="11"/>
  <c r="AP97" i="11"/>
  <c r="AO97" i="11"/>
  <c r="AN97" i="11"/>
  <c r="AM97" i="11"/>
  <c r="AL97" i="11"/>
  <c r="AI97" i="11"/>
  <c r="AJ97" i="11"/>
  <c r="AS96" i="11"/>
  <c r="AR96" i="11"/>
  <c r="AQ96" i="11"/>
  <c r="AP96" i="11"/>
  <c r="AO96" i="11"/>
  <c r="Z97" i="3" s="1"/>
  <c r="AN96" i="11"/>
  <c r="AM96" i="11"/>
  <c r="U97" i="3" s="1"/>
  <c r="AL96" i="11"/>
  <c r="AI96" i="11"/>
  <c r="AJ96" i="11"/>
  <c r="AS95" i="11"/>
  <c r="AR95" i="11"/>
  <c r="AQ95" i="11"/>
  <c r="AP95" i="11"/>
  <c r="AO95" i="11"/>
  <c r="AN95" i="11"/>
  <c r="AM95" i="11"/>
  <c r="AL95" i="11"/>
  <c r="AI95" i="11"/>
  <c r="AJ95" i="11"/>
  <c r="AS94" i="11"/>
  <c r="AR94" i="11"/>
  <c r="AQ94" i="11"/>
  <c r="AP94" i="11"/>
  <c r="AO94" i="11"/>
  <c r="AN94" i="11"/>
  <c r="AM94" i="11"/>
  <c r="AL94" i="11"/>
  <c r="AI94" i="11"/>
  <c r="AJ94" i="11"/>
  <c r="AS93" i="11"/>
  <c r="AR93" i="11"/>
  <c r="AQ93" i="11"/>
  <c r="AP93" i="11"/>
  <c r="AO93" i="11"/>
  <c r="AN93" i="11"/>
  <c r="AM93" i="11"/>
  <c r="AL93" i="11"/>
  <c r="AI93" i="11"/>
  <c r="AJ93" i="11"/>
  <c r="AS92" i="11"/>
  <c r="AR92" i="11"/>
  <c r="AQ92" i="11"/>
  <c r="AP92" i="11"/>
  <c r="AO92" i="11"/>
  <c r="AN92" i="11"/>
  <c r="AM92" i="11"/>
  <c r="AL92" i="11"/>
  <c r="AI92" i="11"/>
  <c r="AJ92" i="11"/>
  <c r="AS91" i="11"/>
  <c r="AR91" i="11"/>
  <c r="AQ91" i="11"/>
  <c r="AP91" i="11"/>
  <c r="AO91" i="11"/>
  <c r="AN91" i="11"/>
  <c r="AM91" i="11"/>
  <c r="AL91" i="11"/>
  <c r="AI91" i="11"/>
  <c r="AJ91" i="11"/>
  <c r="AS90" i="11"/>
  <c r="AR90" i="11"/>
  <c r="AQ90" i="11"/>
  <c r="AP90" i="11"/>
  <c r="AO90" i="11"/>
  <c r="AN90" i="11"/>
  <c r="AM90" i="11"/>
  <c r="AL90" i="11"/>
  <c r="AI90" i="11"/>
  <c r="AJ90" i="11"/>
  <c r="AS89" i="11"/>
  <c r="AR89" i="11"/>
  <c r="AQ89" i="11"/>
  <c r="AP89" i="11"/>
  <c r="AO89" i="11"/>
  <c r="AN89" i="11"/>
  <c r="AM89" i="11"/>
  <c r="AL89" i="11"/>
  <c r="AI89" i="11"/>
  <c r="AJ89" i="11"/>
  <c r="AS88" i="11"/>
  <c r="AR88" i="11"/>
  <c r="AQ88" i="11"/>
  <c r="AP88" i="11"/>
  <c r="AO88" i="11"/>
  <c r="AN88" i="11"/>
  <c r="AM88" i="11"/>
  <c r="AL88" i="11"/>
  <c r="AI88" i="11"/>
  <c r="AJ88" i="11"/>
  <c r="AS87" i="11"/>
  <c r="AR87" i="11"/>
  <c r="AQ87" i="11"/>
  <c r="AP87" i="11"/>
  <c r="AO87" i="11"/>
  <c r="AN87" i="11"/>
  <c r="AM87" i="11"/>
  <c r="AL87" i="11"/>
  <c r="AI87" i="11"/>
  <c r="AJ87" i="11"/>
  <c r="AS86" i="11"/>
  <c r="AR86" i="11"/>
  <c r="AQ86" i="11"/>
  <c r="AP86" i="11"/>
  <c r="AO86" i="11"/>
  <c r="AN86" i="11"/>
  <c r="AM86" i="11"/>
  <c r="AL86" i="11"/>
  <c r="AI86" i="11"/>
  <c r="AJ86" i="11"/>
  <c r="AS85" i="11"/>
  <c r="AR85" i="11"/>
  <c r="AQ85" i="11"/>
  <c r="AP85" i="11"/>
  <c r="AO85" i="11"/>
  <c r="AN85" i="11"/>
  <c r="AM85" i="11"/>
  <c r="AL85" i="11"/>
  <c r="AI85" i="11"/>
  <c r="AJ85" i="11"/>
  <c r="AS84" i="11"/>
  <c r="AR84" i="11"/>
  <c r="AQ84" i="11"/>
  <c r="AP84" i="11"/>
  <c r="AO84" i="11"/>
  <c r="AN84" i="11"/>
  <c r="AM84" i="11"/>
  <c r="AL84" i="11"/>
  <c r="AI84" i="11"/>
  <c r="AJ84" i="11"/>
  <c r="AS83" i="11"/>
  <c r="AR83" i="11"/>
  <c r="AQ83" i="11"/>
  <c r="AP83" i="11"/>
  <c r="AO83" i="11"/>
  <c r="AN83" i="11"/>
  <c r="AM83" i="11"/>
  <c r="AL83" i="11"/>
  <c r="AI83" i="11"/>
  <c r="AJ83" i="11"/>
  <c r="AS82" i="11"/>
  <c r="AR82" i="11"/>
  <c r="AQ82" i="11"/>
  <c r="AP82" i="11"/>
  <c r="AO82" i="11"/>
  <c r="AN82" i="11"/>
  <c r="AM82" i="11"/>
  <c r="AL82" i="11"/>
  <c r="AI82" i="11"/>
  <c r="AJ82" i="11"/>
  <c r="AS81" i="11"/>
  <c r="AR81" i="11"/>
  <c r="AQ81" i="11"/>
  <c r="AP81" i="11"/>
  <c r="AO81" i="11"/>
  <c r="AN81" i="11"/>
  <c r="AM81" i="11"/>
  <c r="AL81" i="11"/>
  <c r="AI81" i="11"/>
  <c r="AJ81" i="11"/>
  <c r="AS80" i="11"/>
  <c r="AR80" i="11"/>
  <c r="AQ80" i="11"/>
  <c r="AP80" i="11"/>
  <c r="AO80" i="11"/>
  <c r="AN80" i="11"/>
  <c r="AM80" i="11"/>
  <c r="AL80" i="11"/>
  <c r="AI80" i="11"/>
  <c r="AJ80" i="11"/>
  <c r="AS79" i="11"/>
  <c r="AR79" i="11"/>
  <c r="AQ79" i="11"/>
  <c r="AP79" i="11"/>
  <c r="AO79" i="11"/>
  <c r="AN79" i="11"/>
  <c r="AM79" i="11"/>
  <c r="AL79" i="11"/>
  <c r="AI79" i="11"/>
  <c r="AJ79" i="11"/>
  <c r="AS78" i="11"/>
  <c r="AR78" i="11"/>
  <c r="AQ78" i="11"/>
  <c r="AP78" i="11"/>
  <c r="AO78" i="11"/>
  <c r="AN78" i="11"/>
  <c r="AM78" i="11"/>
  <c r="AL78" i="11"/>
  <c r="AI78" i="11"/>
  <c r="AJ78" i="11"/>
  <c r="AS77" i="11"/>
  <c r="AR77" i="11"/>
  <c r="AQ77" i="11"/>
  <c r="AP77" i="11"/>
  <c r="AO77" i="11"/>
  <c r="AN77" i="11"/>
  <c r="AM77" i="11"/>
  <c r="AL77" i="11"/>
  <c r="AI77" i="11"/>
  <c r="AJ77" i="11"/>
  <c r="AS76" i="11"/>
  <c r="AR76" i="11"/>
  <c r="AQ76" i="11"/>
  <c r="AP76" i="11"/>
  <c r="AO76" i="11"/>
  <c r="AN76" i="11"/>
  <c r="AM76" i="11"/>
  <c r="AL76" i="11"/>
  <c r="AI76" i="11"/>
  <c r="AJ76" i="11"/>
  <c r="AS75" i="11"/>
  <c r="AR75" i="11"/>
  <c r="AQ75" i="11"/>
  <c r="AP75" i="11"/>
  <c r="AO75" i="11"/>
  <c r="AN75" i="11"/>
  <c r="AM75" i="11"/>
  <c r="AL75" i="11"/>
  <c r="AI75" i="11"/>
  <c r="AJ75" i="11"/>
  <c r="AS74" i="11"/>
  <c r="AR74" i="11"/>
  <c r="AQ74" i="11"/>
  <c r="AP74" i="11"/>
  <c r="AO74" i="11"/>
  <c r="AN74" i="11"/>
  <c r="AM74" i="11"/>
  <c r="AL74" i="11"/>
  <c r="AI74" i="11"/>
  <c r="AJ74" i="11"/>
  <c r="AS73" i="11"/>
  <c r="AR73" i="11"/>
  <c r="AQ73" i="11"/>
  <c r="AP73" i="11"/>
  <c r="AO73" i="11"/>
  <c r="AN73" i="11"/>
  <c r="AM73" i="11"/>
  <c r="AL73" i="11"/>
  <c r="AI73" i="11"/>
  <c r="AJ73" i="11"/>
  <c r="AS72" i="11"/>
  <c r="AR72" i="11"/>
  <c r="AQ72" i="11"/>
  <c r="AP72" i="11"/>
  <c r="AO72" i="11"/>
  <c r="AN72" i="11"/>
  <c r="AM72" i="11"/>
  <c r="AL72" i="11"/>
  <c r="AI72" i="11"/>
  <c r="AJ72" i="11"/>
  <c r="AS71" i="11"/>
  <c r="AR71" i="11"/>
  <c r="AQ71" i="11"/>
  <c r="AP71" i="11"/>
  <c r="AO71" i="11"/>
  <c r="AN71" i="11"/>
  <c r="AM71" i="11"/>
  <c r="AL71" i="11"/>
  <c r="AI71" i="11"/>
  <c r="AJ71" i="11"/>
  <c r="AS70" i="11"/>
  <c r="AR70" i="11"/>
  <c r="AQ70" i="11"/>
  <c r="AP70" i="11"/>
  <c r="AO70" i="11"/>
  <c r="AN70" i="11"/>
  <c r="AM70" i="11"/>
  <c r="AL70" i="11"/>
  <c r="AI70" i="11"/>
  <c r="AJ70" i="11"/>
  <c r="AS69" i="11"/>
  <c r="AR69" i="11"/>
  <c r="AQ69" i="11"/>
  <c r="AP69" i="11"/>
  <c r="AO69" i="11"/>
  <c r="AN69" i="11"/>
  <c r="AM69" i="11"/>
  <c r="AL69" i="11"/>
  <c r="AI69" i="11"/>
  <c r="AJ69" i="11"/>
  <c r="AS68" i="11"/>
  <c r="AR68" i="11"/>
  <c r="AQ68" i="11"/>
  <c r="AP68" i="11"/>
  <c r="AO68" i="11"/>
  <c r="AN68" i="11"/>
  <c r="AM68" i="11"/>
  <c r="AL68" i="11"/>
  <c r="AI68" i="11"/>
  <c r="AJ68" i="11"/>
  <c r="AS67" i="11"/>
  <c r="AR67" i="11"/>
  <c r="AQ67" i="11"/>
  <c r="AP67" i="11"/>
  <c r="AO67" i="11"/>
  <c r="AN67" i="11"/>
  <c r="AM67" i="11"/>
  <c r="AL67" i="11"/>
  <c r="AI67" i="11"/>
  <c r="AJ67" i="11"/>
  <c r="AS66" i="11"/>
  <c r="AR66" i="11"/>
  <c r="AQ66" i="11"/>
  <c r="AP66" i="11"/>
  <c r="AO66" i="11"/>
  <c r="AN66" i="11"/>
  <c r="AM66" i="11"/>
  <c r="AL66" i="11"/>
  <c r="AI66" i="11"/>
  <c r="AJ66" i="11"/>
  <c r="AS65" i="11"/>
  <c r="AR65" i="11"/>
  <c r="AQ65" i="11"/>
  <c r="AP65" i="11"/>
  <c r="AO65" i="11"/>
  <c r="AN65" i="11"/>
  <c r="AM65" i="11"/>
  <c r="AL65" i="11"/>
  <c r="AI65" i="11"/>
  <c r="AJ65" i="11"/>
  <c r="AS64" i="11"/>
  <c r="AR64" i="11"/>
  <c r="AQ64" i="11"/>
  <c r="AP64" i="11"/>
  <c r="AO64" i="11"/>
  <c r="AN64" i="11"/>
  <c r="AM64" i="11"/>
  <c r="AL64" i="11"/>
  <c r="AI64" i="11"/>
  <c r="AJ64" i="11"/>
  <c r="AS63" i="11"/>
  <c r="AR63" i="11"/>
  <c r="AQ63" i="11"/>
  <c r="AP63" i="11"/>
  <c r="AO63" i="11"/>
  <c r="AN63" i="11"/>
  <c r="AM63" i="11"/>
  <c r="AL63" i="11"/>
  <c r="AI63" i="11"/>
  <c r="AJ63" i="11"/>
  <c r="AS62" i="11"/>
  <c r="AR62" i="11"/>
  <c r="AQ62" i="11"/>
  <c r="AP62" i="11"/>
  <c r="AO62" i="11"/>
  <c r="AN62" i="11"/>
  <c r="AM62" i="11"/>
  <c r="AL62" i="11"/>
  <c r="AI62" i="11"/>
  <c r="AJ62" i="11"/>
  <c r="AS61" i="11"/>
  <c r="AR61" i="11"/>
  <c r="AQ61" i="11"/>
  <c r="AP61" i="11"/>
  <c r="AO61" i="11"/>
  <c r="AN61" i="11"/>
  <c r="AM61" i="11"/>
  <c r="AL61" i="11"/>
  <c r="AI61" i="11"/>
  <c r="AJ61" i="11"/>
  <c r="AS60" i="11"/>
  <c r="AR60" i="11"/>
  <c r="AQ60" i="11"/>
  <c r="AP60" i="11"/>
  <c r="AO60" i="11"/>
  <c r="AN60" i="11"/>
  <c r="AM60" i="11"/>
  <c r="AL60" i="11"/>
  <c r="AI60" i="11"/>
  <c r="AJ60" i="11"/>
  <c r="AS59" i="11"/>
  <c r="AR59" i="11"/>
  <c r="AQ59" i="11"/>
  <c r="AP59" i="11"/>
  <c r="AO59" i="11"/>
  <c r="AN59" i="11"/>
  <c r="AM59" i="11"/>
  <c r="AL59" i="11"/>
  <c r="AI59" i="11"/>
  <c r="AJ59" i="11"/>
  <c r="AS58" i="11"/>
  <c r="AR58" i="11"/>
  <c r="AQ58" i="11"/>
  <c r="AP58" i="11"/>
  <c r="AO58" i="11"/>
  <c r="AN58" i="11"/>
  <c r="AM58" i="11"/>
  <c r="AL58" i="11"/>
  <c r="AI58" i="11"/>
  <c r="AJ58" i="11"/>
  <c r="AS57" i="11"/>
  <c r="AR57" i="11"/>
  <c r="AQ57" i="11"/>
  <c r="AP57" i="11"/>
  <c r="AO57" i="11"/>
  <c r="AN57" i="11"/>
  <c r="AM57" i="11"/>
  <c r="AL57" i="11"/>
  <c r="AI57" i="11"/>
  <c r="AJ57" i="11"/>
  <c r="AS56" i="11"/>
  <c r="AR56" i="11"/>
  <c r="AQ56" i="11"/>
  <c r="AP56" i="11"/>
  <c r="AO56" i="11"/>
  <c r="AN56" i="11"/>
  <c r="AM56" i="11"/>
  <c r="AL56" i="11"/>
  <c r="AI56" i="11"/>
  <c r="AJ56" i="11"/>
  <c r="AS55" i="11"/>
  <c r="AR55" i="11"/>
  <c r="AQ55" i="11"/>
  <c r="AP55" i="11"/>
  <c r="AO55" i="11"/>
  <c r="AN55" i="11"/>
  <c r="AM55" i="11"/>
  <c r="AL55" i="11"/>
  <c r="AI55" i="11"/>
  <c r="AJ55" i="11"/>
  <c r="AS54" i="11"/>
  <c r="AR54" i="11"/>
  <c r="AQ54" i="11"/>
  <c r="AP54" i="11"/>
  <c r="AO54" i="11"/>
  <c r="AN54" i="11"/>
  <c r="AM54" i="11"/>
  <c r="AL54" i="11"/>
  <c r="AI54" i="11"/>
  <c r="AJ54" i="11"/>
  <c r="AS53" i="11"/>
  <c r="AR53" i="11"/>
  <c r="AQ53" i="11"/>
  <c r="AP53" i="11"/>
  <c r="AO53" i="11"/>
  <c r="AN53" i="11"/>
  <c r="AM53" i="11"/>
  <c r="AL53" i="11"/>
  <c r="AI53" i="11"/>
  <c r="AJ53" i="11"/>
  <c r="AS52" i="11"/>
  <c r="AR52" i="11"/>
  <c r="AQ52" i="11"/>
  <c r="AP52" i="11"/>
  <c r="AO52" i="11"/>
  <c r="AN52" i="11"/>
  <c r="AM52" i="11"/>
  <c r="AL52" i="11"/>
  <c r="AI52" i="11"/>
  <c r="AJ52" i="11"/>
  <c r="AS51" i="11"/>
  <c r="AR51" i="11"/>
  <c r="AQ51" i="11"/>
  <c r="AP51" i="11"/>
  <c r="AO51" i="11"/>
  <c r="AN51" i="11"/>
  <c r="AM51" i="11"/>
  <c r="AL51" i="11"/>
  <c r="AI51" i="11"/>
  <c r="AJ51" i="11"/>
  <c r="AS50" i="11"/>
  <c r="AR50" i="11"/>
  <c r="AQ50" i="11"/>
  <c r="AP50" i="11"/>
  <c r="AO50" i="11"/>
  <c r="AN50" i="11"/>
  <c r="AM50" i="11"/>
  <c r="AL50" i="11"/>
  <c r="AI50" i="11"/>
  <c r="AJ50" i="11"/>
  <c r="AS49" i="11"/>
  <c r="AR49" i="11"/>
  <c r="AQ49" i="11"/>
  <c r="AP49" i="11"/>
  <c r="AO49" i="11"/>
  <c r="AN49" i="11"/>
  <c r="AM49" i="11"/>
  <c r="AL49" i="11"/>
  <c r="AI49" i="11"/>
  <c r="AJ49" i="11"/>
  <c r="AS48" i="11"/>
  <c r="AR48" i="11"/>
  <c r="AQ48" i="11"/>
  <c r="AP48" i="11"/>
  <c r="AO48" i="11"/>
  <c r="AN48" i="11"/>
  <c r="AM48" i="11"/>
  <c r="AL48" i="11"/>
  <c r="AI48" i="11"/>
  <c r="AJ48" i="11"/>
  <c r="AS47" i="11"/>
  <c r="AR47" i="11"/>
  <c r="AQ47" i="11"/>
  <c r="AP47" i="11"/>
  <c r="AO47" i="11"/>
  <c r="AN47" i="11"/>
  <c r="AM47" i="11"/>
  <c r="AL47" i="11"/>
  <c r="AI47" i="11"/>
  <c r="AJ47" i="11"/>
  <c r="AS46" i="11"/>
  <c r="AR46" i="11"/>
  <c r="AQ46" i="11"/>
  <c r="AP46" i="11"/>
  <c r="AO46" i="11"/>
  <c r="AN46" i="11"/>
  <c r="AM46" i="11"/>
  <c r="AL46" i="11"/>
  <c r="AI46" i="11"/>
  <c r="AJ46" i="11"/>
  <c r="AS45" i="11"/>
  <c r="AR45" i="11"/>
  <c r="AQ45" i="11"/>
  <c r="AP45" i="11"/>
  <c r="AO45" i="11"/>
  <c r="AN45" i="11"/>
  <c r="AM45" i="11"/>
  <c r="AL45" i="11"/>
  <c r="AI45" i="11"/>
  <c r="AJ45" i="11"/>
  <c r="AS44" i="11"/>
  <c r="AR44" i="11"/>
  <c r="AQ44" i="11"/>
  <c r="AP44" i="11"/>
  <c r="AO44" i="11"/>
  <c r="AN44" i="11"/>
  <c r="AM44" i="11"/>
  <c r="AL44" i="11"/>
  <c r="AI44" i="11"/>
  <c r="AJ44" i="11"/>
  <c r="AS43" i="11"/>
  <c r="AR43" i="11"/>
  <c r="AQ43" i="11"/>
  <c r="AP43" i="11"/>
  <c r="AO43" i="11"/>
  <c r="AN43" i="11"/>
  <c r="AM43" i="11"/>
  <c r="AL43" i="11"/>
  <c r="AI43" i="11"/>
  <c r="AJ43" i="11"/>
  <c r="AS42" i="11"/>
  <c r="AR42" i="11"/>
  <c r="AQ42" i="11"/>
  <c r="AP42" i="11"/>
  <c r="AO42" i="11"/>
  <c r="AN42" i="11"/>
  <c r="AM42" i="11"/>
  <c r="AL42" i="11"/>
  <c r="AI42" i="11"/>
  <c r="AJ42" i="11"/>
  <c r="AS41" i="11"/>
  <c r="AR41" i="11"/>
  <c r="AQ41" i="11"/>
  <c r="AP41" i="11"/>
  <c r="AO41" i="11"/>
  <c r="AN41" i="11"/>
  <c r="AM41" i="11"/>
  <c r="AL41" i="11"/>
  <c r="AI41" i="11"/>
  <c r="AJ41" i="11"/>
  <c r="AS40" i="11"/>
  <c r="AR40" i="11"/>
  <c r="AQ40" i="11"/>
  <c r="AP40" i="11"/>
  <c r="AO40" i="11"/>
  <c r="AN40" i="11"/>
  <c r="AM40" i="11"/>
  <c r="AL40" i="11"/>
  <c r="AI40" i="11"/>
  <c r="AJ40" i="11"/>
  <c r="AS39" i="11"/>
  <c r="AR39" i="11"/>
  <c r="AQ39" i="11"/>
  <c r="AP39" i="11"/>
  <c r="AO39" i="11"/>
  <c r="AN39" i="11"/>
  <c r="AM39" i="11"/>
  <c r="AL39" i="11"/>
  <c r="AI39" i="11"/>
  <c r="AJ39" i="11"/>
  <c r="AS38" i="11"/>
  <c r="AR38" i="11"/>
  <c r="AQ38" i="11"/>
  <c r="AP38" i="11"/>
  <c r="AO38" i="11"/>
  <c r="AN38" i="11"/>
  <c r="AM38" i="11"/>
  <c r="AL38" i="11"/>
  <c r="AI38" i="11"/>
  <c r="AJ38" i="11"/>
  <c r="AS37" i="11"/>
  <c r="AR37" i="11"/>
  <c r="AQ37" i="11"/>
  <c r="AP37" i="11"/>
  <c r="AO37" i="11"/>
  <c r="AN37" i="11"/>
  <c r="AM37" i="11"/>
  <c r="AL37" i="11"/>
  <c r="AI37" i="11"/>
  <c r="AJ37" i="11"/>
  <c r="AS36" i="11"/>
  <c r="AR36" i="11"/>
  <c r="AQ36" i="11"/>
  <c r="AP36" i="11"/>
  <c r="AO36" i="11"/>
  <c r="AN36" i="11"/>
  <c r="AM36" i="11"/>
  <c r="AL36" i="11"/>
  <c r="AI36" i="11"/>
  <c r="AJ36" i="11"/>
  <c r="AS35" i="11"/>
  <c r="AR35" i="11"/>
  <c r="AQ35" i="11"/>
  <c r="AP35" i="11"/>
  <c r="AO35" i="11"/>
  <c r="AN35" i="11"/>
  <c r="AM35" i="11"/>
  <c r="AL35" i="11"/>
  <c r="AI35" i="11"/>
  <c r="AJ35" i="11"/>
  <c r="AS34" i="11"/>
  <c r="AR34" i="11"/>
  <c r="AQ34" i="11"/>
  <c r="AP34" i="11"/>
  <c r="AO34" i="11"/>
  <c r="AN34" i="11"/>
  <c r="AM34" i="11"/>
  <c r="AL34" i="11"/>
  <c r="AI34" i="11"/>
  <c r="AJ34" i="11"/>
  <c r="AS33" i="11"/>
  <c r="AR33" i="11"/>
  <c r="AQ33" i="11"/>
  <c r="AP33" i="11"/>
  <c r="AO33" i="11"/>
  <c r="AN33" i="11"/>
  <c r="AM33" i="11"/>
  <c r="AL33" i="11"/>
  <c r="AI33" i="11"/>
  <c r="AJ33" i="11"/>
  <c r="AS32" i="11"/>
  <c r="AR32" i="11"/>
  <c r="AQ32" i="11"/>
  <c r="AP32" i="11"/>
  <c r="AO32" i="11"/>
  <c r="AN32" i="11"/>
  <c r="AM32" i="11"/>
  <c r="AL32" i="11"/>
  <c r="AI32" i="11"/>
  <c r="AJ32" i="11"/>
  <c r="AS31" i="11"/>
  <c r="AR31" i="11"/>
  <c r="AQ31" i="11"/>
  <c r="AP31" i="11"/>
  <c r="AO31" i="11"/>
  <c r="AN31" i="11"/>
  <c r="AM31" i="11"/>
  <c r="AL31" i="11"/>
  <c r="AI31" i="11"/>
  <c r="AJ31" i="11"/>
  <c r="AS30" i="11"/>
  <c r="AR30" i="11"/>
  <c r="AQ30" i="11"/>
  <c r="AP30" i="11"/>
  <c r="AO30" i="11"/>
  <c r="AN30" i="11"/>
  <c r="AM30" i="11"/>
  <c r="AL30" i="11"/>
  <c r="AI30" i="11"/>
  <c r="AJ30" i="11"/>
  <c r="AS29" i="11"/>
  <c r="AR29" i="11"/>
  <c r="AQ29" i="11"/>
  <c r="AP29" i="11"/>
  <c r="AO29" i="11"/>
  <c r="AN29" i="11"/>
  <c r="AM29" i="11"/>
  <c r="AL29" i="11"/>
  <c r="AI29" i="11"/>
  <c r="AJ29" i="11"/>
  <c r="AS28" i="11"/>
  <c r="AR28" i="11"/>
  <c r="AQ28" i="11"/>
  <c r="AP28" i="11"/>
  <c r="AO28" i="11"/>
  <c r="AN28" i="11"/>
  <c r="AM28" i="11"/>
  <c r="AL28" i="11"/>
  <c r="AI28" i="11"/>
  <c r="AJ28" i="11"/>
  <c r="AS27" i="11"/>
  <c r="AR27" i="11"/>
  <c r="AQ27" i="11"/>
  <c r="AP27" i="11"/>
  <c r="AO27" i="11"/>
  <c r="AN27" i="11"/>
  <c r="AM27" i="11"/>
  <c r="AL27" i="11"/>
  <c r="AI27" i="11"/>
  <c r="AJ27" i="11"/>
  <c r="AS26" i="11"/>
  <c r="AR26" i="11"/>
  <c r="AQ26" i="11"/>
  <c r="AP26" i="11"/>
  <c r="AO26" i="11"/>
  <c r="AN26" i="11"/>
  <c r="AM26" i="11"/>
  <c r="AL26" i="11"/>
  <c r="AI26" i="11"/>
  <c r="AJ26" i="11"/>
  <c r="AS25" i="11"/>
  <c r="AR25" i="11"/>
  <c r="AQ25" i="11"/>
  <c r="AP25" i="11"/>
  <c r="AO25" i="11"/>
  <c r="AN25" i="11"/>
  <c r="AM25" i="11"/>
  <c r="AL25" i="11"/>
  <c r="AI25" i="11"/>
  <c r="AJ25" i="11"/>
  <c r="AS24" i="11"/>
  <c r="AR24" i="11"/>
  <c r="AQ24" i="11"/>
  <c r="AP24" i="11"/>
  <c r="AO24" i="11"/>
  <c r="AN24" i="11"/>
  <c r="AM24" i="11"/>
  <c r="AL24" i="11"/>
  <c r="AI24" i="11"/>
  <c r="AJ24" i="11"/>
  <c r="AS23" i="11"/>
  <c r="AR23" i="11"/>
  <c r="AQ23" i="11"/>
  <c r="AP23" i="11"/>
  <c r="AO23" i="11"/>
  <c r="AN23" i="11"/>
  <c r="AM23" i="11"/>
  <c r="AL23" i="11"/>
  <c r="AI23" i="11"/>
  <c r="AJ23" i="11"/>
  <c r="AS22" i="11"/>
  <c r="AR22" i="11"/>
  <c r="AQ22" i="11"/>
  <c r="AP22" i="11"/>
  <c r="AO22" i="11"/>
  <c r="AN22" i="11"/>
  <c r="AM22" i="11"/>
  <c r="AL22" i="11"/>
  <c r="AI22" i="11"/>
  <c r="AJ22" i="11"/>
  <c r="AS21" i="11"/>
  <c r="AR21" i="11"/>
  <c r="AQ21" i="11"/>
  <c r="AP21" i="11"/>
  <c r="AO21" i="11"/>
  <c r="AN21" i="11"/>
  <c r="AM21" i="11"/>
  <c r="AL21" i="11"/>
  <c r="AI21" i="11"/>
  <c r="AJ21" i="11"/>
  <c r="AS20" i="11"/>
  <c r="AR20" i="11"/>
  <c r="AQ20" i="11"/>
  <c r="AP20" i="11"/>
  <c r="AO20" i="11"/>
  <c r="AN20" i="11"/>
  <c r="AM20" i="11"/>
  <c r="AL20" i="11"/>
  <c r="AI20" i="11"/>
  <c r="AJ20" i="11"/>
  <c r="AS19" i="11"/>
  <c r="AR19" i="11"/>
  <c r="AQ19" i="11"/>
  <c r="AP19" i="11"/>
  <c r="AO19" i="11"/>
  <c r="AN19" i="11"/>
  <c r="AM19" i="11"/>
  <c r="AL19" i="11"/>
  <c r="AI19" i="11"/>
  <c r="AJ19" i="11"/>
  <c r="AS18" i="11"/>
  <c r="AR18" i="11"/>
  <c r="AQ18" i="11"/>
  <c r="AP18" i="11"/>
  <c r="AO18" i="11"/>
  <c r="AN18" i="11"/>
  <c r="AM18" i="11"/>
  <c r="AL18" i="11"/>
  <c r="AI18" i="11"/>
  <c r="AJ18" i="11"/>
  <c r="AS17" i="11"/>
  <c r="AR17" i="11"/>
  <c r="AQ17" i="11"/>
  <c r="AP17" i="11"/>
  <c r="AO17" i="11"/>
  <c r="AN17" i="11"/>
  <c r="AM17" i="11"/>
  <c r="AL17" i="11"/>
  <c r="AI17" i="11"/>
  <c r="AJ17" i="11"/>
  <c r="AS16" i="11"/>
  <c r="AR16" i="11"/>
  <c r="AQ16" i="11"/>
  <c r="AP16" i="11"/>
  <c r="AO16" i="11"/>
  <c r="AN16" i="11"/>
  <c r="AM16" i="11"/>
  <c r="AL16" i="11"/>
  <c r="AI16" i="11"/>
  <c r="AJ16" i="11"/>
  <c r="AS15" i="11"/>
  <c r="AR15" i="11"/>
  <c r="AQ15" i="11"/>
  <c r="AP15" i="11"/>
  <c r="AO15" i="11"/>
  <c r="AN15" i="11"/>
  <c r="AM15" i="11"/>
  <c r="AL15" i="11"/>
  <c r="AI15" i="11"/>
  <c r="AJ15" i="11"/>
  <c r="AS14" i="11"/>
  <c r="AR14" i="11"/>
  <c r="AQ14" i="11"/>
  <c r="AP14" i="11"/>
  <c r="AO14" i="11"/>
  <c r="AN14" i="11"/>
  <c r="AM14" i="11"/>
  <c r="AL14" i="11"/>
  <c r="AI14" i="11"/>
  <c r="AJ14" i="11"/>
  <c r="AS13" i="11"/>
  <c r="AR13" i="11"/>
  <c r="AQ13" i="11"/>
  <c r="AP13" i="11"/>
  <c r="AO13" i="11"/>
  <c r="AN13" i="11"/>
  <c r="AM13" i="11"/>
  <c r="AL13" i="11"/>
  <c r="AI13" i="11"/>
  <c r="AJ13" i="11"/>
  <c r="AS12" i="11"/>
  <c r="AR12" i="11"/>
  <c r="AQ12" i="11"/>
  <c r="AP12" i="11"/>
  <c r="AO12" i="11"/>
  <c r="AN12" i="11"/>
  <c r="AM12" i="11"/>
  <c r="AL12" i="11"/>
  <c r="AI12" i="11"/>
  <c r="AJ12" i="11"/>
  <c r="AS11" i="11"/>
  <c r="AR11" i="11"/>
  <c r="AQ11" i="11"/>
  <c r="AP11" i="11"/>
  <c r="AO11" i="11"/>
  <c r="AN11" i="11"/>
  <c r="AM11" i="11"/>
  <c r="AL11" i="11"/>
  <c r="AI11" i="11"/>
  <c r="AJ11" i="11"/>
  <c r="AS10" i="11"/>
  <c r="AR10" i="11"/>
  <c r="AQ10" i="11"/>
  <c r="AP10" i="11"/>
  <c r="AO10" i="11"/>
  <c r="AN10" i="11"/>
  <c r="AM10" i="11"/>
  <c r="AL10" i="11"/>
  <c r="AI10" i="11"/>
  <c r="AJ10" i="11"/>
  <c r="AS9" i="11"/>
  <c r="AR9" i="11"/>
  <c r="AQ9" i="11"/>
  <c r="AP9" i="11"/>
  <c r="AO9" i="11"/>
  <c r="AN9" i="11"/>
  <c r="AM9" i="11"/>
  <c r="AL9" i="11"/>
  <c r="AI9" i="11"/>
  <c r="AJ9" i="11"/>
  <c r="AS8" i="11"/>
  <c r="AR8" i="11"/>
  <c r="AQ8" i="11"/>
  <c r="AP8" i="11"/>
  <c r="AO8" i="11"/>
  <c r="AN8" i="11"/>
  <c r="AM8" i="11"/>
  <c r="AL8" i="11"/>
  <c r="AI8" i="11"/>
  <c r="AJ8" i="11"/>
  <c r="AS7" i="11"/>
  <c r="AR7" i="11"/>
  <c r="AQ7" i="11"/>
  <c r="AP7" i="11"/>
  <c r="AO7" i="11"/>
  <c r="AN7" i="11"/>
  <c r="AM7" i="11"/>
  <c r="AL7" i="11"/>
  <c r="AI7" i="11"/>
  <c r="AJ7" i="11"/>
  <c r="AS6" i="11"/>
  <c r="AR6" i="11"/>
  <c r="AQ6" i="11"/>
  <c r="AP6" i="11"/>
  <c r="AO6" i="11"/>
  <c r="AN6" i="11"/>
  <c r="AM6" i="11"/>
  <c r="AL6" i="11"/>
  <c r="AI6" i="11"/>
  <c r="AJ6" i="11"/>
  <c r="AS5" i="11"/>
  <c r="AR5" i="11"/>
  <c r="AQ5" i="11"/>
  <c r="AP5" i="11"/>
  <c r="AO5" i="11"/>
  <c r="AN5" i="11"/>
  <c r="AM5" i="11"/>
  <c r="AL5" i="11"/>
  <c r="AI5" i="11"/>
  <c r="AJ5" i="11"/>
  <c r="AM4" i="11"/>
  <c r="AI4" i="11"/>
  <c r="AJ4" i="11"/>
  <c r="F1311" i="15"/>
  <c r="I1311" i="15"/>
  <c r="F1310" i="15"/>
  <c r="I1310" i="15"/>
  <c r="F1309" i="15"/>
  <c r="I1309" i="15"/>
  <c r="F1308" i="15"/>
  <c r="I1308" i="15"/>
  <c r="F1307" i="15"/>
  <c r="I1307" i="15"/>
  <c r="F1306" i="15"/>
  <c r="I1306" i="15"/>
  <c r="F1305" i="15"/>
  <c r="I1305" i="15"/>
  <c r="F1304" i="15"/>
  <c r="I1304" i="15"/>
  <c r="F1303" i="15"/>
  <c r="I1303" i="15"/>
  <c r="F1302" i="15"/>
  <c r="I1302" i="15"/>
  <c r="F1301" i="15"/>
  <c r="I1301" i="15"/>
  <c r="F1300" i="15"/>
  <c r="I1300" i="15"/>
  <c r="F1299" i="15"/>
  <c r="I1299" i="15"/>
  <c r="F1298" i="15"/>
  <c r="I1298" i="15"/>
  <c r="F1297" i="15"/>
  <c r="I1297" i="15"/>
  <c r="F1296" i="15"/>
  <c r="I1296" i="15"/>
  <c r="F1295" i="15"/>
  <c r="I1295" i="15"/>
  <c r="F1294" i="15"/>
  <c r="I1294" i="15"/>
  <c r="F1293" i="15"/>
  <c r="I1293" i="15"/>
  <c r="F1292" i="15"/>
  <c r="I1292" i="15"/>
  <c r="F1291" i="15"/>
  <c r="I1291" i="15"/>
  <c r="F1290" i="15"/>
  <c r="I1290" i="15"/>
  <c r="F1289" i="15"/>
  <c r="I1289" i="15"/>
  <c r="F1288" i="15"/>
  <c r="I1288" i="15"/>
  <c r="F1287" i="15"/>
  <c r="I1287" i="15"/>
  <c r="F1286" i="15"/>
  <c r="I1286" i="15"/>
  <c r="F1285" i="15"/>
  <c r="I1285" i="15"/>
  <c r="F1284" i="15"/>
  <c r="I1284" i="15"/>
  <c r="F1283" i="15"/>
  <c r="I1283" i="15"/>
  <c r="F1282" i="15"/>
  <c r="I1282" i="15"/>
  <c r="F1281" i="15"/>
  <c r="I1281" i="15"/>
  <c r="F1280" i="15"/>
  <c r="I1280" i="15"/>
  <c r="F1279" i="15"/>
  <c r="I1279" i="15"/>
  <c r="F1278" i="15"/>
  <c r="I1278" i="15"/>
  <c r="F1277" i="15"/>
  <c r="I1277" i="15"/>
  <c r="F1276" i="15"/>
  <c r="I1276" i="15"/>
  <c r="F1275" i="15"/>
  <c r="I1275" i="15"/>
  <c r="F1274" i="15"/>
  <c r="I1274" i="15"/>
  <c r="F1273" i="15"/>
  <c r="I1273" i="15"/>
  <c r="F1272" i="15"/>
  <c r="I1272" i="15"/>
  <c r="F1271" i="15"/>
  <c r="I1271" i="15"/>
  <c r="F1270" i="15"/>
  <c r="I1270" i="15"/>
  <c r="F1269" i="15"/>
  <c r="I1269" i="15"/>
  <c r="F1268" i="15"/>
  <c r="I1268" i="15"/>
  <c r="F1267" i="15"/>
  <c r="I1267" i="15"/>
  <c r="F1266" i="15"/>
  <c r="I1266" i="15"/>
  <c r="F1265" i="15"/>
  <c r="I1265" i="15"/>
  <c r="F1264" i="15"/>
  <c r="I1264" i="15"/>
  <c r="F1263" i="15"/>
  <c r="I1263" i="15"/>
  <c r="F1262" i="15"/>
  <c r="I1262" i="15"/>
  <c r="F1261" i="15"/>
  <c r="I1261" i="15"/>
  <c r="F1260" i="15"/>
  <c r="I1260" i="15"/>
  <c r="F1259" i="15"/>
  <c r="I1259" i="15"/>
  <c r="F1258" i="15"/>
  <c r="I1258" i="15"/>
  <c r="F1257" i="15"/>
  <c r="I1257" i="15"/>
  <c r="F1256" i="15"/>
  <c r="I1256" i="15"/>
  <c r="F1255" i="15"/>
  <c r="I1255" i="15"/>
  <c r="F1254" i="15"/>
  <c r="I1254" i="15"/>
  <c r="F1253" i="15"/>
  <c r="I1253" i="15"/>
  <c r="F1252" i="15"/>
  <c r="I1252" i="15"/>
  <c r="F1251" i="15"/>
  <c r="I1251" i="15"/>
  <c r="F1250" i="15"/>
  <c r="I1250" i="15"/>
  <c r="F1249" i="15"/>
  <c r="I1249" i="15"/>
  <c r="F1248" i="15"/>
  <c r="I1248" i="15"/>
  <c r="F1247" i="15"/>
  <c r="I1247" i="15"/>
  <c r="F1246" i="15"/>
  <c r="I1246" i="15"/>
  <c r="F1245" i="15"/>
  <c r="I1245" i="15"/>
  <c r="F1244" i="15"/>
  <c r="I1244" i="15"/>
  <c r="F1243" i="15"/>
  <c r="I1243" i="15"/>
  <c r="F1242" i="15"/>
  <c r="I1242" i="15"/>
  <c r="F1241" i="15"/>
  <c r="I1241" i="15"/>
  <c r="F1240" i="15"/>
  <c r="I1240" i="15"/>
  <c r="F1239" i="15"/>
  <c r="I1239" i="15"/>
  <c r="F1238" i="15"/>
  <c r="I1238" i="15"/>
  <c r="F1237" i="15"/>
  <c r="I1237" i="15"/>
  <c r="F1236" i="15"/>
  <c r="I1236" i="15"/>
  <c r="F1235" i="15"/>
  <c r="I1235" i="15"/>
  <c r="F1234" i="15"/>
  <c r="I1234" i="15"/>
  <c r="F1233" i="15"/>
  <c r="I1233" i="15"/>
  <c r="F1232" i="15"/>
  <c r="I1232" i="15"/>
  <c r="F1231" i="15"/>
  <c r="I1231" i="15"/>
  <c r="F1230" i="15"/>
  <c r="I1230" i="15"/>
  <c r="F1229" i="15"/>
  <c r="I1229" i="15"/>
  <c r="F1228" i="15"/>
  <c r="I1228" i="15"/>
  <c r="F1227" i="15"/>
  <c r="I1227" i="15"/>
  <c r="F1226" i="15"/>
  <c r="I1226" i="15"/>
  <c r="F1225" i="15"/>
  <c r="I1225" i="15"/>
  <c r="F1224" i="15"/>
  <c r="I1224" i="15"/>
  <c r="F1223" i="15"/>
  <c r="I1223" i="15"/>
  <c r="F1222" i="15"/>
  <c r="I1222" i="15"/>
  <c r="F1221" i="15"/>
  <c r="I1221" i="15"/>
  <c r="F1220" i="15"/>
  <c r="I1220" i="15"/>
  <c r="F1219" i="15"/>
  <c r="I1219" i="15"/>
  <c r="F1218" i="15"/>
  <c r="I1218" i="15"/>
  <c r="F1217" i="15"/>
  <c r="I1217" i="15"/>
  <c r="F1216" i="15"/>
  <c r="I1216" i="15"/>
  <c r="F1215" i="15"/>
  <c r="I1215" i="15"/>
  <c r="F1214" i="15"/>
  <c r="I1214" i="15"/>
  <c r="F1213" i="15"/>
  <c r="I1213" i="15"/>
  <c r="F1212" i="15"/>
  <c r="I1212" i="15"/>
  <c r="F1211" i="15"/>
  <c r="I1211" i="15"/>
  <c r="F1210" i="15"/>
  <c r="I1210" i="15"/>
  <c r="F1209" i="15"/>
  <c r="I1209" i="15"/>
  <c r="F1208" i="15"/>
  <c r="I1208" i="15"/>
  <c r="F1207" i="15"/>
  <c r="I1207" i="15"/>
  <c r="F1206" i="15"/>
  <c r="I1206" i="15"/>
  <c r="F1205" i="15"/>
  <c r="I1205" i="15"/>
  <c r="F1204" i="15"/>
  <c r="I1204" i="15"/>
  <c r="F1203" i="15"/>
  <c r="I1203" i="15"/>
  <c r="F1202" i="15"/>
  <c r="I1202" i="15"/>
  <c r="F1201" i="15"/>
  <c r="I1201" i="15"/>
  <c r="F1200" i="15"/>
  <c r="I1200" i="15"/>
  <c r="F1199" i="15"/>
  <c r="I1199" i="15"/>
  <c r="F1198" i="15"/>
  <c r="I1198" i="15"/>
  <c r="F1197" i="15"/>
  <c r="I1197" i="15"/>
  <c r="F1196" i="15"/>
  <c r="I1196" i="15"/>
  <c r="F1195" i="15"/>
  <c r="I1195" i="15"/>
  <c r="F1194" i="15"/>
  <c r="I1194" i="15"/>
  <c r="F1193" i="15"/>
  <c r="I1193" i="15"/>
  <c r="F1192" i="15"/>
  <c r="I1192" i="15"/>
  <c r="F1191" i="15"/>
  <c r="I1191" i="15"/>
  <c r="F1190" i="15"/>
  <c r="I1190" i="15"/>
  <c r="F1189" i="15"/>
  <c r="I1189" i="15"/>
  <c r="F1188" i="15"/>
  <c r="I1188" i="15"/>
  <c r="F1187" i="15"/>
  <c r="I1187" i="15"/>
  <c r="F1186" i="15"/>
  <c r="I1186" i="15"/>
  <c r="F1185" i="15"/>
  <c r="I1185" i="15"/>
  <c r="F1184" i="15"/>
  <c r="I1184" i="15"/>
  <c r="F1183" i="15"/>
  <c r="I1183" i="15"/>
  <c r="F1182" i="15"/>
  <c r="I1182" i="15"/>
  <c r="F1181" i="15"/>
  <c r="I1181" i="15"/>
  <c r="F1180" i="15"/>
  <c r="I1180" i="15"/>
  <c r="F1179" i="15"/>
  <c r="I1179" i="15"/>
  <c r="F1178" i="15"/>
  <c r="I1178" i="15"/>
  <c r="F1177" i="15"/>
  <c r="I1177" i="15"/>
  <c r="F1176" i="15"/>
  <c r="I1176" i="15"/>
  <c r="F1175" i="15"/>
  <c r="I1175" i="15"/>
  <c r="F1174" i="15"/>
  <c r="I1174" i="15"/>
  <c r="F1173" i="15"/>
  <c r="I1173" i="15"/>
  <c r="F1172" i="15"/>
  <c r="I1172" i="15"/>
  <c r="F1171" i="15"/>
  <c r="I1171" i="15"/>
  <c r="F1170" i="15"/>
  <c r="I1170" i="15"/>
  <c r="F1169" i="15"/>
  <c r="I1169" i="15"/>
  <c r="F1168" i="15"/>
  <c r="I1168" i="15"/>
  <c r="F1167" i="15"/>
  <c r="I1167" i="15"/>
  <c r="F1166" i="15"/>
  <c r="I1166" i="15"/>
  <c r="F1165" i="15"/>
  <c r="I1165" i="15"/>
  <c r="F1164" i="15"/>
  <c r="I1164" i="15"/>
  <c r="F1163" i="15"/>
  <c r="I1163" i="15"/>
  <c r="F1162" i="15"/>
  <c r="I1162" i="15"/>
  <c r="F1161" i="15"/>
  <c r="I1161" i="15"/>
  <c r="F1160" i="15"/>
  <c r="I1160" i="15"/>
  <c r="F1159" i="15"/>
  <c r="I1159" i="15"/>
  <c r="F1158" i="15"/>
  <c r="I1158" i="15"/>
  <c r="F1157" i="15"/>
  <c r="I1157" i="15"/>
  <c r="F1156" i="15"/>
  <c r="I1156" i="15"/>
  <c r="F1155" i="15"/>
  <c r="I1155" i="15"/>
  <c r="F1154" i="15"/>
  <c r="I1154" i="15"/>
  <c r="F1153" i="15"/>
  <c r="I1153" i="15"/>
  <c r="F1152" i="15"/>
  <c r="I1152" i="15"/>
  <c r="F1151" i="15"/>
  <c r="I1151" i="15"/>
  <c r="F1150" i="15"/>
  <c r="I1150" i="15"/>
  <c r="F1149" i="15"/>
  <c r="I1149" i="15"/>
  <c r="F1148" i="15"/>
  <c r="I1148" i="15"/>
  <c r="F1147" i="15"/>
  <c r="I1147" i="15"/>
  <c r="F1146" i="15"/>
  <c r="I1146" i="15"/>
  <c r="F1145" i="15"/>
  <c r="I1145" i="15"/>
  <c r="F1144" i="15"/>
  <c r="I1144" i="15"/>
  <c r="F1143" i="15"/>
  <c r="I1143" i="15"/>
  <c r="F1142" i="15"/>
  <c r="I1142" i="15"/>
  <c r="F1141" i="15"/>
  <c r="I1141" i="15"/>
  <c r="F1140" i="15"/>
  <c r="I1140" i="15"/>
  <c r="F1139" i="15"/>
  <c r="I1139" i="15"/>
  <c r="F1138" i="15"/>
  <c r="I1138" i="15"/>
  <c r="F1137" i="15"/>
  <c r="I1137" i="15"/>
  <c r="F1136" i="15"/>
  <c r="I1136" i="15"/>
  <c r="F1135" i="15"/>
  <c r="I1135" i="15"/>
  <c r="F1134" i="15"/>
  <c r="I1134" i="15"/>
  <c r="F1133" i="15"/>
  <c r="I1133" i="15"/>
  <c r="F1132" i="15"/>
  <c r="I1132" i="15"/>
  <c r="F1131" i="15"/>
  <c r="I1131" i="15"/>
  <c r="F1130" i="15"/>
  <c r="I1130" i="15"/>
  <c r="F1129" i="15"/>
  <c r="I1129" i="15"/>
  <c r="F1128" i="15"/>
  <c r="I1128" i="15"/>
  <c r="F1127" i="15"/>
  <c r="I1127" i="15"/>
  <c r="F1126" i="15"/>
  <c r="I1126" i="15"/>
  <c r="F1125" i="15"/>
  <c r="I1125" i="15"/>
  <c r="F1124" i="15"/>
  <c r="I1124" i="15"/>
  <c r="F1123" i="15"/>
  <c r="I1123" i="15"/>
  <c r="F1122" i="15"/>
  <c r="I1122" i="15"/>
  <c r="F1121" i="15"/>
  <c r="I1121" i="15"/>
  <c r="F1120" i="15"/>
  <c r="I1120" i="15"/>
  <c r="F1119" i="15"/>
  <c r="I1119" i="15"/>
  <c r="F1118" i="15"/>
  <c r="I1118" i="15"/>
  <c r="F1117" i="15"/>
  <c r="I1117" i="15"/>
  <c r="F1116" i="15"/>
  <c r="I1116" i="15"/>
  <c r="F1115" i="15"/>
  <c r="I1115" i="15"/>
  <c r="F1114" i="15"/>
  <c r="I1114" i="15"/>
  <c r="F1113" i="15"/>
  <c r="I1113" i="15"/>
  <c r="F1112" i="15"/>
  <c r="I1112" i="15"/>
  <c r="F1111" i="15"/>
  <c r="I1111" i="15"/>
  <c r="F1110" i="15"/>
  <c r="I1110" i="15"/>
  <c r="F1109" i="15"/>
  <c r="I1109" i="15"/>
  <c r="F1108" i="15"/>
  <c r="I1108" i="15"/>
  <c r="F1107" i="15"/>
  <c r="I1107" i="15"/>
  <c r="F1106" i="15"/>
  <c r="I1106" i="15"/>
  <c r="F1105" i="15"/>
  <c r="I1105" i="15"/>
  <c r="F1104" i="15"/>
  <c r="I1104" i="15"/>
  <c r="F1103" i="15"/>
  <c r="I1103" i="15"/>
  <c r="F1102" i="15"/>
  <c r="I1102" i="15"/>
  <c r="F1101" i="15"/>
  <c r="I1101" i="15"/>
  <c r="F1100" i="15"/>
  <c r="I1100" i="15"/>
  <c r="F1099" i="15"/>
  <c r="I1099" i="15"/>
  <c r="F1098" i="15"/>
  <c r="I1098" i="15"/>
  <c r="F1097" i="15"/>
  <c r="I1097" i="15"/>
  <c r="F1096" i="15"/>
  <c r="I1096" i="15"/>
  <c r="F1095" i="15"/>
  <c r="I1095" i="15"/>
  <c r="F1094" i="15"/>
  <c r="I1094" i="15"/>
  <c r="F1093" i="15"/>
  <c r="I1093" i="15"/>
  <c r="F1092" i="15"/>
  <c r="I1092" i="15"/>
  <c r="F1091" i="15"/>
  <c r="I1091" i="15"/>
  <c r="F1090" i="15"/>
  <c r="I1090" i="15"/>
  <c r="F1089" i="15"/>
  <c r="I1089" i="15"/>
  <c r="F1088" i="15"/>
  <c r="I1088" i="15"/>
  <c r="F1087" i="15"/>
  <c r="I1087" i="15"/>
  <c r="F1086" i="15"/>
  <c r="I1086" i="15"/>
  <c r="F1085" i="15"/>
  <c r="I1085" i="15"/>
  <c r="F1084" i="15"/>
  <c r="I1084" i="15"/>
  <c r="F1083" i="15"/>
  <c r="I1083" i="15"/>
  <c r="F1082" i="15"/>
  <c r="I1082" i="15"/>
  <c r="F1081" i="15"/>
  <c r="I1081" i="15"/>
  <c r="F1080" i="15"/>
  <c r="I1080" i="15"/>
  <c r="F1079" i="15"/>
  <c r="I1079" i="15"/>
  <c r="F1078" i="15"/>
  <c r="I1078" i="15"/>
  <c r="F1077" i="15"/>
  <c r="I1077" i="15"/>
  <c r="F1076" i="15"/>
  <c r="I1076" i="15"/>
  <c r="F1075" i="15"/>
  <c r="I1075" i="15"/>
  <c r="F1074" i="15"/>
  <c r="I1074" i="15"/>
  <c r="F1073" i="15"/>
  <c r="I1073" i="15"/>
  <c r="F1072" i="15"/>
  <c r="I1072" i="15"/>
  <c r="F1071" i="15"/>
  <c r="I1071" i="15"/>
  <c r="F1070" i="15"/>
  <c r="I1070" i="15"/>
  <c r="F1069" i="15"/>
  <c r="I1069" i="15"/>
  <c r="F1068" i="15"/>
  <c r="I1068" i="15"/>
  <c r="F1067" i="15"/>
  <c r="I1067" i="15"/>
  <c r="F1066" i="15"/>
  <c r="I1066" i="15"/>
  <c r="F1065" i="15"/>
  <c r="I1065" i="15"/>
  <c r="F1064" i="15"/>
  <c r="I1064" i="15"/>
  <c r="F1063" i="15"/>
  <c r="I1063" i="15"/>
  <c r="F1062" i="15"/>
  <c r="I1062" i="15"/>
  <c r="F1061" i="15"/>
  <c r="I1061" i="15"/>
  <c r="F1060" i="15"/>
  <c r="I1060" i="15"/>
  <c r="F1059" i="15"/>
  <c r="I1059" i="15"/>
  <c r="F1058" i="15"/>
  <c r="I1058" i="15"/>
  <c r="F1057" i="15"/>
  <c r="I1057" i="15"/>
  <c r="F1056" i="15"/>
  <c r="I1056" i="15"/>
  <c r="F1055" i="15"/>
  <c r="I1055" i="15"/>
  <c r="F1054" i="15"/>
  <c r="I1054" i="15"/>
  <c r="F1053" i="15"/>
  <c r="I1053" i="15"/>
  <c r="F1052" i="15"/>
  <c r="I1052" i="15"/>
  <c r="F1051" i="15"/>
  <c r="I1051" i="15"/>
  <c r="F1050" i="15"/>
  <c r="I1050" i="15"/>
  <c r="F1049" i="15"/>
  <c r="I1049" i="15"/>
  <c r="F1048" i="15"/>
  <c r="I1048" i="15"/>
  <c r="F1047" i="15"/>
  <c r="I1047" i="15"/>
  <c r="F1046" i="15"/>
  <c r="I1046" i="15"/>
  <c r="F1045" i="15"/>
  <c r="I1045" i="15"/>
  <c r="F1044" i="15"/>
  <c r="I1044" i="15"/>
  <c r="F1043" i="15"/>
  <c r="I1043" i="15"/>
  <c r="F1042" i="15"/>
  <c r="I1042" i="15"/>
  <c r="F1041" i="15"/>
  <c r="I1041" i="15"/>
  <c r="F1040" i="15"/>
  <c r="I1040" i="15"/>
  <c r="F1039" i="15"/>
  <c r="I1039" i="15"/>
  <c r="F1038" i="15"/>
  <c r="I1038" i="15"/>
  <c r="F1037" i="15"/>
  <c r="I1037" i="15"/>
  <c r="F1036" i="15"/>
  <c r="I1036" i="15"/>
  <c r="F1035" i="15"/>
  <c r="I1035" i="15"/>
  <c r="F1034" i="15"/>
  <c r="I1034" i="15"/>
  <c r="F1033" i="15"/>
  <c r="I1033" i="15"/>
  <c r="F1032" i="15"/>
  <c r="I1032" i="15"/>
  <c r="F1031" i="15"/>
  <c r="I1031" i="15"/>
  <c r="F1030" i="15"/>
  <c r="I1030" i="15"/>
  <c r="F1029" i="15"/>
  <c r="I1029" i="15"/>
  <c r="F1028" i="15"/>
  <c r="I1028" i="15"/>
  <c r="F1027" i="15"/>
  <c r="I1027" i="15"/>
  <c r="F1026" i="15"/>
  <c r="I1026" i="15"/>
  <c r="F1025" i="15"/>
  <c r="I1025" i="15"/>
  <c r="F1024" i="15"/>
  <c r="I1024" i="15"/>
  <c r="F1023" i="15"/>
  <c r="I1023" i="15"/>
  <c r="F1022" i="15"/>
  <c r="I1022" i="15"/>
  <c r="F1021" i="15"/>
  <c r="I1021" i="15"/>
  <c r="F1020" i="15"/>
  <c r="I1020" i="15"/>
  <c r="F1019" i="15"/>
  <c r="I1019" i="15"/>
  <c r="F1018" i="15"/>
  <c r="I1018" i="15"/>
  <c r="F1017" i="15"/>
  <c r="I1017" i="15"/>
  <c r="F1016" i="15"/>
  <c r="I1016" i="15"/>
  <c r="F1015" i="15"/>
  <c r="I1015" i="15"/>
  <c r="F1014" i="15"/>
  <c r="I1014" i="15"/>
  <c r="F1013" i="15"/>
  <c r="I1013" i="15"/>
  <c r="F1012" i="15"/>
  <c r="I1012" i="15"/>
  <c r="F1011" i="15"/>
  <c r="I1011" i="15"/>
  <c r="F1010" i="15"/>
  <c r="I1010" i="15"/>
  <c r="F1009" i="15"/>
  <c r="I1009" i="15"/>
  <c r="F1008" i="15"/>
  <c r="I1008" i="15"/>
  <c r="F1007" i="15"/>
  <c r="I1007" i="15"/>
  <c r="F1006" i="15"/>
  <c r="I1006" i="15"/>
  <c r="F1005" i="15"/>
  <c r="I1005" i="15"/>
  <c r="F1004" i="15"/>
  <c r="I1004" i="15"/>
  <c r="F1003" i="15"/>
  <c r="I1003" i="15"/>
  <c r="F1002" i="15"/>
  <c r="I1002" i="15"/>
  <c r="F1001" i="15"/>
  <c r="I1001" i="15"/>
  <c r="F1000" i="15"/>
  <c r="I1000" i="15"/>
  <c r="F999" i="15"/>
  <c r="I999" i="15"/>
  <c r="F998" i="15"/>
  <c r="I998" i="15"/>
  <c r="F997" i="15"/>
  <c r="I997" i="15"/>
  <c r="F996" i="15"/>
  <c r="I996" i="15"/>
  <c r="F995" i="15"/>
  <c r="I995" i="15"/>
  <c r="F994" i="15"/>
  <c r="I994" i="15"/>
  <c r="F993" i="15"/>
  <c r="I993" i="15"/>
  <c r="F992" i="15"/>
  <c r="I992" i="15"/>
  <c r="F991" i="15"/>
  <c r="I991" i="15"/>
  <c r="F990" i="15"/>
  <c r="I990" i="15"/>
  <c r="F989" i="15"/>
  <c r="I989" i="15"/>
  <c r="F988" i="15"/>
  <c r="I988" i="15"/>
  <c r="F987" i="15"/>
  <c r="I987" i="15"/>
  <c r="F986" i="15"/>
  <c r="I986" i="15"/>
  <c r="F985" i="15"/>
  <c r="I985" i="15"/>
  <c r="F984" i="15"/>
  <c r="I984" i="15"/>
  <c r="F983" i="15"/>
  <c r="I983" i="15"/>
  <c r="F982" i="15"/>
  <c r="I982" i="15"/>
  <c r="F981" i="15"/>
  <c r="I981" i="15"/>
  <c r="F980" i="15"/>
  <c r="I980" i="15"/>
  <c r="F979" i="15"/>
  <c r="I979" i="15"/>
  <c r="F978" i="15"/>
  <c r="I978" i="15"/>
  <c r="F977" i="15"/>
  <c r="I977" i="15"/>
  <c r="F976" i="15"/>
  <c r="I976" i="15"/>
  <c r="F975" i="15"/>
  <c r="I975" i="15"/>
  <c r="F974" i="15"/>
  <c r="I974" i="15"/>
  <c r="F973" i="15"/>
  <c r="I973" i="15"/>
  <c r="F972" i="15"/>
  <c r="I972" i="15"/>
  <c r="F971" i="15"/>
  <c r="I971" i="15"/>
  <c r="F970" i="15"/>
  <c r="I970" i="15"/>
  <c r="F969" i="15"/>
  <c r="I969" i="15"/>
  <c r="F968" i="15"/>
  <c r="I968" i="15"/>
  <c r="F967" i="15"/>
  <c r="I967" i="15"/>
  <c r="F966" i="15"/>
  <c r="I966" i="15"/>
  <c r="F965" i="15"/>
  <c r="I965" i="15"/>
  <c r="F964" i="15"/>
  <c r="I964" i="15"/>
  <c r="F963" i="15"/>
  <c r="I963" i="15"/>
  <c r="F962" i="15"/>
  <c r="I962" i="15"/>
  <c r="F961" i="15"/>
  <c r="I961" i="15"/>
  <c r="F960" i="15"/>
  <c r="I960" i="15"/>
  <c r="F959" i="15"/>
  <c r="I959" i="15"/>
  <c r="F958" i="15"/>
  <c r="I958" i="15"/>
  <c r="F957" i="15"/>
  <c r="I957" i="15"/>
  <c r="F956" i="15"/>
  <c r="I956" i="15"/>
  <c r="F955" i="15"/>
  <c r="I955" i="15"/>
  <c r="F954" i="15"/>
  <c r="I954" i="15"/>
  <c r="F953" i="15"/>
  <c r="I953" i="15"/>
  <c r="F952" i="15"/>
  <c r="I952" i="15"/>
  <c r="F951" i="15"/>
  <c r="I951" i="15"/>
  <c r="F950" i="15"/>
  <c r="I950" i="15"/>
  <c r="F949" i="15"/>
  <c r="I949" i="15"/>
  <c r="F948" i="15"/>
  <c r="I948" i="15"/>
  <c r="F947" i="15"/>
  <c r="I947" i="15"/>
  <c r="F946" i="15"/>
  <c r="I946" i="15"/>
  <c r="F945" i="15"/>
  <c r="I945" i="15"/>
  <c r="F944" i="15"/>
  <c r="I944" i="15"/>
  <c r="F943" i="15"/>
  <c r="I943" i="15"/>
  <c r="F942" i="15"/>
  <c r="I942" i="15"/>
  <c r="F941" i="15"/>
  <c r="I941" i="15"/>
  <c r="F940" i="15"/>
  <c r="I940" i="15"/>
  <c r="F939" i="15"/>
  <c r="I939" i="15"/>
  <c r="F938" i="15"/>
  <c r="I938" i="15"/>
  <c r="F937" i="15"/>
  <c r="I937" i="15"/>
  <c r="F936" i="15"/>
  <c r="I936" i="15"/>
  <c r="F935" i="15"/>
  <c r="I935" i="15"/>
  <c r="F934" i="15"/>
  <c r="I934" i="15"/>
  <c r="F933" i="15"/>
  <c r="I933" i="15"/>
  <c r="F932" i="15"/>
  <c r="I932" i="15"/>
  <c r="F931" i="15"/>
  <c r="I931" i="15"/>
  <c r="F930" i="15"/>
  <c r="I930" i="15"/>
  <c r="F929" i="15"/>
  <c r="I929" i="15"/>
  <c r="F928" i="15"/>
  <c r="I928" i="15"/>
  <c r="F927" i="15"/>
  <c r="I927" i="15"/>
  <c r="F926" i="15"/>
  <c r="I926" i="15"/>
  <c r="F925" i="15"/>
  <c r="I925" i="15"/>
  <c r="F924" i="15"/>
  <c r="I924" i="15"/>
  <c r="F923" i="15"/>
  <c r="I923" i="15"/>
  <c r="F922" i="15"/>
  <c r="I922" i="15"/>
  <c r="F921" i="15"/>
  <c r="I921" i="15"/>
  <c r="F920" i="15"/>
  <c r="I920" i="15"/>
  <c r="F919" i="15"/>
  <c r="I919" i="15"/>
  <c r="F918" i="15"/>
  <c r="I918" i="15"/>
  <c r="F917" i="15"/>
  <c r="I917" i="15"/>
  <c r="F916" i="15"/>
  <c r="I916" i="15"/>
  <c r="F915" i="15"/>
  <c r="I915" i="15"/>
  <c r="F914" i="15"/>
  <c r="I914" i="15"/>
  <c r="F913" i="15"/>
  <c r="I913" i="15"/>
  <c r="F912" i="15"/>
  <c r="I912" i="15"/>
  <c r="F911" i="15"/>
  <c r="I911" i="15"/>
  <c r="F910" i="15"/>
  <c r="I910" i="15"/>
  <c r="F909" i="15"/>
  <c r="I909" i="15"/>
  <c r="F908" i="15"/>
  <c r="I908" i="15"/>
  <c r="F907" i="15"/>
  <c r="I907" i="15"/>
  <c r="F906" i="15"/>
  <c r="I906" i="15"/>
  <c r="F905" i="15"/>
  <c r="I905" i="15"/>
  <c r="F904" i="15"/>
  <c r="I904" i="15"/>
  <c r="F903" i="15"/>
  <c r="I903" i="15"/>
  <c r="F902" i="15"/>
  <c r="I902" i="15"/>
  <c r="F901" i="15"/>
  <c r="I901" i="15"/>
  <c r="F900" i="15"/>
  <c r="I900" i="15"/>
  <c r="F899" i="15"/>
  <c r="I899" i="15"/>
  <c r="F898" i="15"/>
  <c r="I898" i="15"/>
  <c r="F897" i="15"/>
  <c r="I897" i="15"/>
  <c r="F896" i="15"/>
  <c r="I896" i="15"/>
  <c r="F895" i="15"/>
  <c r="I895" i="15"/>
  <c r="F894" i="15"/>
  <c r="I894" i="15"/>
  <c r="F893" i="15"/>
  <c r="I893" i="15"/>
  <c r="F892" i="15"/>
  <c r="I892" i="15"/>
  <c r="F891" i="15"/>
  <c r="I891" i="15"/>
  <c r="F890" i="15"/>
  <c r="I890" i="15"/>
  <c r="F889" i="15"/>
  <c r="I889" i="15"/>
  <c r="F888" i="15"/>
  <c r="I888" i="15"/>
  <c r="F887" i="15"/>
  <c r="I887" i="15"/>
  <c r="F886" i="15"/>
  <c r="I886" i="15"/>
  <c r="F885" i="15"/>
  <c r="I885" i="15"/>
  <c r="F884" i="15"/>
  <c r="I884" i="15"/>
  <c r="F883" i="15"/>
  <c r="I883" i="15"/>
  <c r="F882" i="15"/>
  <c r="I882" i="15"/>
  <c r="F881" i="15"/>
  <c r="I881" i="15"/>
  <c r="F880" i="15"/>
  <c r="I880" i="15"/>
  <c r="F879" i="15"/>
  <c r="I879" i="15"/>
  <c r="F878" i="15"/>
  <c r="I878" i="15"/>
  <c r="F877" i="15"/>
  <c r="I877" i="15"/>
  <c r="F876" i="15"/>
  <c r="I876" i="15"/>
  <c r="F875" i="15"/>
  <c r="I875" i="15"/>
  <c r="F874" i="15"/>
  <c r="I874" i="15"/>
  <c r="F873" i="15"/>
  <c r="I873" i="15"/>
  <c r="F872" i="15"/>
  <c r="I872" i="15"/>
  <c r="F871" i="15"/>
  <c r="I871" i="15"/>
  <c r="F870" i="15"/>
  <c r="I870" i="15"/>
  <c r="F869" i="15"/>
  <c r="I869" i="15"/>
  <c r="F868" i="15"/>
  <c r="I868" i="15"/>
  <c r="F867" i="15"/>
  <c r="I867" i="15"/>
  <c r="F866" i="15"/>
  <c r="I866" i="15"/>
  <c r="F865" i="15"/>
  <c r="I865" i="15"/>
  <c r="F864" i="15"/>
  <c r="I864" i="15"/>
  <c r="F863" i="15"/>
  <c r="I863" i="15"/>
  <c r="F862" i="15"/>
  <c r="I862" i="15"/>
  <c r="F861" i="15"/>
  <c r="I861" i="15"/>
  <c r="F860" i="15"/>
  <c r="I860" i="15"/>
  <c r="F859" i="15"/>
  <c r="I859" i="15"/>
  <c r="F858" i="15"/>
  <c r="I858" i="15"/>
  <c r="F857" i="15"/>
  <c r="I857" i="15"/>
  <c r="F856" i="15"/>
  <c r="I856" i="15"/>
  <c r="F855" i="15"/>
  <c r="I855" i="15"/>
  <c r="F854" i="15"/>
  <c r="I854" i="15"/>
  <c r="F853" i="15"/>
  <c r="I853" i="15"/>
  <c r="F852" i="15"/>
  <c r="I852" i="15"/>
  <c r="F851" i="15"/>
  <c r="I851" i="15"/>
  <c r="F850" i="15"/>
  <c r="I850" i="15"/>
  <c r="F849" i="15"/>
  <c r="I849" i="15"/>
  <c r="F848" i="15"/>
  <c r="I848" i="15"/>
  <c r="F847" i="15"/>
  <c r="I847" i="15"/>
  <c r="F846" i="15"/>
  <c r="I846" i="15"/>
  <c r="F845" i="15"/>
  <c r="I845" i="15"/>
  <c r="F844" i="15"/>
  <c r="I844" i="15"/>
  <c r="F843" i="15"/>
  <c r="I843" i="15"/>
  <c r="F842" i="15"/>
  <c r="I842" i="15"/>
  <c r="F841" i="15"/>
  <c r="I841" i="15"/>
  <c r="F840" i="15"/>
  <c r="I840" i="15"/>
  <c r="F839" i="15"/>
  <c r="I839" i="15"/>
  <c r="F838" i="15"/>
  <c r="I838" i="15"/>
  <c r="F837" i="15"/>
  <c r="I837" i="15"/>
  <c r="F836" i="15"/>
  <c r="I836" i="15"/>
  <c r="F835" i="15"/>
  <c r="I835" i="15"/>
  <c r="F834" i="15"/>
  <c r="I834" i="15"/>
  <c r="F833" i="15"/>
  <c r="I833" i="15"/>
  <c r="F832" i="15"/>
  <c r="I832" i="15"/>
  <c r="F831" i="15"/>
  <c r="I831" i="15"/>
  <c r="F830" i="15"/>
  <c r="I830" i="15"/>
  <c r="F829" i="15"/>
  <c r="I829" i="15"/>
  <c r="F828" i="15"/>
  <c r="I828" i="15"/>
  <c r="F827" i="15"/>
  <c r="I827" i="15"/>
  <c r="F826" i="15"/>
  <c r="I826" i="15"/>
  <c r="F825" i="15"/>
  <c r="I825" i="15"/>
  <c r="F824" i="15"/>
  <c r="I824" i="15"/>
  <c r="F823" i="15"/>
  <c r="I823" i="15"/>
  <c r="F822" i="15"/>
  <c r="I822" i="15"/>
  <c r="F821" i="15"/>
  <c r="I821" i="15"/>
  <c r="F820" i="15"/>
  <c r="I820" i="15"/>
  <c r="F819" i="15"/>
  <c r="I819" i="15"/>
  <c r="F818" i="15"/>
  <c r="I818" i="15"/>
  <c r="F817" i="15"/>
  <c r="I817" i="15"/>
  <c r="F816" i="15"/>
  <c r="I816" i="15"/>
  <c r="F815" i="15"/>
  <c r="I815" i="15"/>
  <c r="F814" i="15"/>
  <c r="I814" i="15"/>
  <c r="F813" i="15"/>
  <c r="I813" i="15"/>
  <c r="F812" i="15"/>
  <c r="I812" i="15"/>
  <c r="F811" i="15"/>
  <c r="I811" i="15"/>
  <c r="F810" i="15"/>
  <c r="I810" i="15"/>
  <c r="F809" i="15"/>
  <c r="I809" i="15"/>
  <c r="F808" i="15"/>
  <c r="I808" i="15"/>
  <c r="F807" i="15"/>
  <c r="I807" i="15"/>
  <c r="F806" i="15"/>
  <c r="I806" i="15"/>
  <c r="F805" i="15"/>
  <c r="I805" i="15"/>
  <c r="F804" i="15"/>
  <c r="I804" i="15"/>
  <c r="F803" i="15"/>
  <c r="I803" i="15"/>
  <c r="F802" i="15"/>
  <c r="I802" i="15"/>
  <c r="F801" i="15"/>
  <c r="I801" i="15"/>
  <c r="F800" i="15"/>
  <c r="I800" i="15"/>
  <c r="F799" i="15"/>
  <c r="I799" i="15"/>
  <c r="F798" i="15"/>
  <c r="I798" i="15"/>
  <c r="F797" i="15"/>
  <c r="I797" i="15"/>
  <c r="F796" i="15"/>
  <c r="I796" i="15"/>
  <c r="F795" i="15"/>
  <c r="I795" i="15"/>
  <c r="F794" i="15"/>
  <c r="I794" i="15"/>
  <c r="F793" i="15"/>
  <c r="I793" i="15"/>
  <c r="F792" i="15"/>
  <c r="I792" i="15"/>
  <c r="F791" i="15"/>
  <c r="I791" i="15"/>
  <c r="F790" i="15"/>
  <c r="I790" i="15"/>
  <c r="F789" i="15"/>
  <c r="I789" i="15"/>
  <c r="F788" i="15"/>
  <c r="I788" i="15"/>
  <c r="F787" i="15"/>
  <c r="I787" i="15"/>
  <c r="F786" i="15"/>
  <c r="I786" i="15"/>
  <c r="F785" i="15"/>
  <c r="I785" i="15"/>
  <c r="F784" i="15"/>
  <c r="I784" i="15"/>
  <c r="F783" i="15"/>
  <c r="I783" i="15"/>
  <c r="F782" i="15"/>
  <c r="I782" i="15"/>
  <c r="F781" i="15"/>
  <c r="I781" i="15"/>
  <c r="F780" i="15"/>
  <c r="I780" i="15"/>
  <c r="F779" i="15"/>
  <c r="I779" i="15"/>
  <c r="F778" i="15"/>
  <c r="I778" i="15"/>
  <c r="F777" i="15"/>
  <c r="I777" i="15"/>
  <c r="F776" i="15"/>
  <c r="I776" i="15"/>
  <c r="F775" i="15"/>
  <c r="I775" i="15"/>
  <c r="F774" i="15"/>
  <c r="I774" i="15"/>
  <c r="F773" i="15"/>
  <c r="I773" i="15"/>
  <c r="F772" i="15"/>
  <c r="I772" i="15"/>
  <c r="F771" i="15"/>
  <c r="I771" i="15"/>
  <c r="F770" i="15"/>
  <c r="I770" i="15"/>
  <c r="F769" i="15"/>
  <c r="I769" i="15"/>
  <c r="F768" i="15"/>
  <c r="I768" i="15"/>
  <c r="F767" i="15"/>
  <c r="I767" i="15"/>
  <c r="F766" i="15"/>
  <c r="I766" i="15"/>
  <c r="F765" i="15"/>
  <c r="I765" i="15"/>
  <c r="F764" i="15"/>
  <c r="I764" i="15"/>
  <c r="F763" i="15"/>
  <c r="I763" i="15"/>
  <c r="F762" i="15"/>
  <c r="I762" i="15"/>
  <c r="F761" i="15"/>
  <c r="I761" i="15"/>
  <c r="F760" i="15"/>
  <c r="I760" i="15"/>
  <c r="F759" i="15"/>
  <c r="I759" i="15"/>
  <c r="F758" i="15"/>
  <c r="I758" i="15"/>
  <c r="F757" i="15"/>
  <c r="I757" i="15"/>
  <c r="F756" i="15"/>
  <c r="I756" i="15"/>
  <c r="F755" i="15"/>
  <c r="I755" i="15"/>
  <c r="F754" i="15"/>
  <c r="I754" i="15"/>
  <c r="F753" i="15"/>
  <c r="I753" i="15"/>
  <c r="F752" i="15"/>
  <c r="I752" i="15"/>
  <c r="F751" i="15"/>
  <c r="I751" i="15"/>
  <c r="F750" i="15"/>
  <c r="I750" i="15"/>
  <c r="F749" i="15"/>
  <c r="I749" i="15"/>
  <c r="F748" i="15"/>
  <c r="I748" i="15"/>
  <c r="F747" i="15"/>
  <c r="I747" i="15"/>
  <c r="F746" i="15"/>
  <c r="I746" i="15"/>
  <c r="F745" i="15"/>
  <c r="I745" i="15"/>
  <c r="F744" i="15"/>
  <c r="I744" i="15"/>
  <c r="F743" i="15"/>
  <c r="I743" i="15"/>
  <c r="F742" i="15"/>
  <c r="I742" i="15"/>
  <c r="F741" i="15"/>
  <c r="I741" i="15"/>
  <c r="F740" i="15"/>
  <c r="I740" i="15"/>
  <c r="F739" i="15"/>
  <c r="I739" i="15"/>
  <c r="F738" i="15"/>
  <c r="I738" i="15"/>
  <c r="F737" i="15"/>
  <c r="I737" i="15"/>
  <c r="F736" i="15"/>
  <c r="I736" i="15"/>
  <c r="F735" i="15"/>
  <c r="I735" i="15"/>
  <c r="F734" i="15"/>
  <c r="I734" i="15"/>
  <c r="F733" i="15"/>
  <c r="I733" i="15"/>
  <c r="F732" i="15"/>
  <c r="I732" i="15"/>
  <c r="F731" i="15"/>
  <c r="I731" i="15"/>
  <c r="F730" i="15"/>
  <c r="I730" i="15"/>
  <c r="F729" i="15"/>
  <c r="I729" i="15"/>
  <c r="F728" i="15"/>
  <c r="I728" i="15"/>
  <c r="F727" i="15"/>
  <c r="I727" i="15"/>
  <c r="F726" i="15"/>
  <c r="I726" i="15"/>
  <c r="F725" i="15"/>
  <c r="I725" i="15"/>
  <c r="F724" i="15"/>
  <c r="I724" i="15"/>
  <c r="F723" i="15"/>
  <c r="I723" i="15"/>
  <c r="F722" i="15"/>
  <c r="I722" i="15"/>
  <c r="F721" i="15"/>
  <c r="I721" i="15"/>
  <c r="F720" i="15"/>
  <c r="I720" i="15"/>
  <c r="F719" i="15"/>
  <c r="I719" i="15"/>
  <c r="F718" i="15"/>
  <c r="I718" i="15"/>
  <c r="F717" i="15"/>
  <c r="I717" i="15"/>
  <c r="F716" i="15"/>
  <c r="I716" i="15"/>
  <c r="F715" i="15"/>
  <c r="I715" i="15"/>
  <c r="F714" i="15"/>
  <c r="I714" i="15"/>
  <c r="F713" i="15"/>
  <c r="I713" i="15"/>
  <c r="F712" i="15"/>
  <c r="I712" i="15"/>
  <c r="F711" i="15"/>
  <c r="I711" i="15"/>
  <c r="F710" i="15"/>
  <c r="I710" i="15"/>
  <c r="F709" i="15"/>
  <c r="I709" i="15"/>
  <c r="F708" i="15"/>
  <c r="I708" i="15"/>
  <c r="F707" i="15"/>
  <c r="I707" i="15"/>
  <c r="F706" i="15"/>
  <c r="I706" i="15"/>
  <c r="F705" i="15"/>
  <c r="I705" i="15"/>
  <c r="F704" i="15"/>
  <c r="I704" i="15"/>
  <c r="F703" i="15"/>
  <c r="I703" i="15"/>
  <c r="F702" i="15"/>
  <c r="I702" i="15"/>
  <c r="F701" i="15"/>
  <c r="I701" i="15"/>
  <c r="F700" i="15"/>
  <c r="I700" i="15"/>
  <c r="F699" i="15"/>
  <c r="I699" i="15"/>
  <c r="F698" i="15"/>
  <c r="I698" i="15"/>
  <c r="F697" i="15"/>
  <c r="I697" i="15"/>
  <c r="F696" i="15"/>
  <c r="I696" i="15"/>
  <c r="F695" i="15"/>
  <c r="I695" i="15"/>
  <c r="F694" i="15"/>
  <c r="I694" i="15"/>
  <c r="F693" i="15"/>
  <c r="I693" i="15"/>
  <c r="F692" i="15"/>
  <c r="I692" i="15"/>
  <c r="F691" i="15"/>
  <c r="I691" i="15"/>
  <c r="F690" i="15"/>
  <c r="I690" i="15"/>
  <c r="F689" i="15"/>
  <c r="I689" i="15"/>
  <c r="F688" i="15"/>
  <c r="I688" i="15"/>
  <c r="F687" i="15"/>
  <c r="I687" i="15"/>
  <c r="F686" i="15"/>
  <c r="I686" i="15"/>
  <c r="F685" i="15"/>
  <c r="I685" i="15"/>
  <c r="F684" i="15"/>
  <c r="I684" i="15"/>
  <c r="F683" i="15"/>
  <c r="I683" i="15"/>
  <c r="F682" i="15"/>
  <c r="I682" i="15"/>
  <c r="F681" i="15"/>
  <c r="I681" i="15"/>
  <c r="F680" i="15"/>
  <c r="I680" i="15"/>
  <c r="F679" i="15"/>
  <c r="I679" i="15"/>
  <c r="F678" i="15"/>
  <c r="I678" i="15"/>
  <c r="F677" i="15"/>
  <c r="I677" i="15"/>
  <c r="F676" i="15"/>
  <c r="I676" i="15"/>
  <c r="F675" i="15"/>
  <c r="I675" i="15"/>
  <c r="F674" i="15"/>
  <c r="I674" i="15"/>
  <c r="F673" i="15"/>
  <c r="I673" i="15"/>
  <c r="F672" i="15"/>
  <c r="I672" i="15"/>
  <c r="F671" i="15"/>
  <c r="I671" i="15"/>
  <c r="F670" i="15"/>
  <c r="I670" i="15"/>
  <c r="F669" i="15"/>
  <c r="I669" i="15"/>
  <c r="F668" i="15"/>
  <c r="I668" i="15"/>
  <c r="F667" i="15"/>
  <c r="I667" i="15"/>
  <c r="F666" i="15"/>
  <c r="I666" i="15"/>
  <c r="F665" i="15"/>
  <c r="I665" i="15"/>
  <c r="F664" i="15"/>
  <c r="I664" i="15"/>
  <c r="F663" i="15"/>
  <c r="I663" i="15"/>
  <c r="F662" i="15"/>
  <c r="I662" i="15"/>
  <c r="F661" i="15"/>
  <c r="I661" i="15"/>
  <c r="F660" i="15"/>
  <c r="I660" i="15"/>
  <c r="F659" i="15"/>
  <c r="I659" i="15"/>
  <c r="F658" i="15"/>
  <c r="I658" i="15"/>
  <c r="F657" i="15"/>
  <c r="I657" i="15"/>
  <c r="F656" i="15"/>
  <c r="I656" i="15"/>
  <c r="F655" i="15"/>
  <c r="I655" i="15"/>
  <c r="F654" i="15"/>
  <c r="I654" i="15"/>
  <c r="F653" i="15"/>
  <c r="I653" i="15"/>
  <c r="F652" i="15"/>
  <c r="I652" i="15"/>
  <c r="F651" i="15"/>
  <c r="I651" i="15"/>
  <c r="F650" i="15"/>
  <c r="I650" i="15"/>
  <c r="F649" i="15"/>
  <c r="I649" i="15"/>
  <c r="F648" i="15"/>
  <c r="I648" i="15"/>
  <c r="F647" i="15"/>
  <c r="I647" i="15"/>
  <c r="F646" i="15"/>
  <c r="I646" i="15"/>
  <c r="F645" i="15"/>
  <c r="I645" i="15"/>
  <c r="F644" i="15"/>
  <c r="I644" i="15"/>
  <c r="F643" i="15"/>
  <c r="I643" i="15"/>
  <c r="F642" i="15"/>
  <c r="I642" i="15"/>
  <c r="F641" i="15"/>
  <c r="I641" i="15"/>
  <c r="F640" i="15"/>
  <c r="I640" i="15"/>
  <c r="F639" i="15"/>
  <c r="I639" i="15"/>
  <c r="F638" i="15"/>
  <c r="I638" i="15"/>
  <c r="F637" i="15"/>
  <c r="I637" i="15"/>
  <c r="F636" i="15"/>
  <c r="I636" i="15"/>
  <c r="F635" i="15"/>
  <c r="I635" i="15"/>
  <c r="F634" i="15"/>
  <c r="I634" i="15"/>
  <c r="F633" i="15"/>
  <c r="I633" i="15"/>
  <c r="F632" i="15"/>
  <c r="I632" i="15"/>
  <c r="F631" i="15"/>
  <c r="I631" i="15"/>
  <c r="F630" i="15"/>
  <c r="I630" i="15"/>
  <c r="F629" i="15"/>
  <c r="I629" i="15"/>
  <c r="F628" i="15"/>
  <c r="I628" i="15"/>
  <c r="F627" i="15"/>
  <c r="I627" i="15"/>
  <c r="F626" i="15"/>
  <c r="I626" i="15"/>
  <c r="F625" i="15"/>
  <c r="I625" i="15"/>
  <c r="F624" i="15"/>
  <c r="I624" i="15"/>
  <c r="F623" i="15"/>
  <c r="I623" i="15"/>
  <c r="F622" i="15"/>
  <c r="I622" i="15"/>
  <c r="F621" i="15"/>
  <c r="I621" i="15"/>
  <c r="F620" i="15"/>
  <c r="I620" i="15"/>
  <c r="F619" i="15"/>
  <c r="I619" i="15"/>
  <c r="F618" i="15"/>
  <c r="I618" i="15"/>
  <c r="F617" i="15"/>
  <c r="I617" i="15"/>
  <c r="F616" i="15"/>
  <c r="I616" i="15"/>
  <c r="F615" i="15"/>
  <c r="I615" i="15"/>
  <c r="F614" i="15"/>
  <c r="I614" i="15"/>
  <c r="F613" i="15"/>
  <c r="I613" i="15"/>
  <c r="F612" i="15"/>
  <c r="I612" i="15"/>
  <c r="F611" i="15"/>
  <c r="I611" i="15"/>
  <c r="F610" i="15"/>
  <c r="I610" i="15"/>
  <c r="F609" i="15"/>
  <c r="I609" i="15"/>
  <c r="F608" i="15"/>
  <c r="I608" i="15"/>
  <c r="F607" i="15"/>
  <c r="I607" i="15"/>
  <c r="F606" i="15"/>
  <c r="I606" i="15"/>
  <c r="F605" i="15"/>
  <c r="I605" i="15"/>
  <c r="F604" i="15"/>
  <c r="I604" i="15"/>
  <c r="F603" i="15"/>
  <c r="I603" i="15"/>
  <c r="F602" i="15"/>
  <c r="I602" i="15"/>
  <c r="F601" i="15"/>
  <c r="I601" i="15"/>
  <c r="F600" i="15"/>
  <c r="I600" i="15"/>
  <c r="F599" i="15"/>
  <c r="I599" i="15"/>
  <c r="F598" i="15"/>
  <c r="I598" i="15"/>
  <c r="F597" i="15"/>
  <c r="I597" i="15"/>
  <c r="F596" i="15"/>
  <c r="I596" i="15"/>
  <c r="F595" i="15"/>
  <c r="I595" i="15"/>
  <c r="F594" i="15"/>
  <c r="I594" i="15"/>
  <c r="F593" i="15"/>
  <c r="I593" i="15"/>
  <c r="F592" i="15"/>
  <c r="I592" i="15"/>
  <c r="F591" i="15"/>
  <c r="I591" i="15"/>
  <c r="F590" i="15"/>
  <c r="I590" i="15"/>
  <c r="F589" i="15"/>
  <c r="I589" i="15"/>
  <c r="F588" i="15"/>
  <c r="I588" i="15"/>
  <c r="F587" i="15"/>
  <c r="I587" i="15"/>
  <c r="F586" i="15"/>
  <c r="I586" i="15"/>
  <c r="F585" i="15"/>
  <c r="I585" i="15"/>
  <c r="F584" i="15"/>
  <c r="I584" i="15"/>
  <c r="F583" i="15"/>
  <c r="I583" i="15"/>
  <c r="F582" i="15"/>
  <c r="I582" i="15"/>
  <c r="F581" i="15"/>
  <c r="I581" i="15"/>
  <c r="F580" i="15"/>
  <c r="I580" i="15"/>
  <c r="F579" i="15"/>
  <c r="I579" i="15"/>
  <c r="F578" i="15"/>
  <c r="I578" i="15"/>
  <c r="F577" i="15"/>
  <c r="I577" i="15"/>
  <c r="F576" i="15"/>
  <c r="I576" i="15"/>
  <c r="F575" i="15"/>
  <c r="I575" i="15"/>
  <c r="F574" i="15"/>
  <c r="I574" i="15"/>
  <c r="F573" i="15"/>
  <c r="I573" i="15"/>
  <c r="F572" i="15"/>
  <c r="I572" i="15"/>
  <c r="F571" i="15"/>
  <c r="I571" i="15"/>
  <c r="F570" i="15"/>
  <c r="I570" i="15"/>
  <c r="F569" i="15"/>
  <c r="I569" i="15"/>
  <c r="F568" i="15"/>
  <c r="I568" i="15"/>
  <c r="F567" i="15"/>
  <c r="I567" i="15"/>
  <c r="F566" i="15"/>
  <c r="I566" i="15"/>
  <c r="F565" i="15"/>
  <c r="I565" i="15"/>
  <c r="F564" i="15"/>
  <c r="I564" i="15"/>
  <c r="F563" i="15"/>
  <c r="I563" i="15"/>
  <c r="F562" i="15"/>
  <c r="I562" i="15"/>
  <c r="F561" i="15"/>
  <c r="I561" i="15"/>
  <c r="F560" i="15"/>
  <c r="I560" i="15"/>
  <c r="F559" i="15"/>
  <c r="I559" i="15"/>
  <c r="F558" i="15"/>
  <c r="I558" i="15"/>
  <c r="F557" i="15"/>
  <c r="I557" i="15"/>
  <c r="F556" i="15"/>
  <c r="I556" i="15"/>
  <c r="F555" i="15"/>
  <c r="I555" i="15"/>
  <c r="F554" i="15"/>
  <c r="I554" i="15"/>
  <c r="F553" i="15"/>
  <c r="I553" i="15"/>
  <c r="F552" i="15"/>
  <c r="I552" i="15"/>
  <c r="F551" i="15"/>
  <c r="I551" i="15"/>
  <c r="F550" i="15"/>
  <c r="I550" i="15"/>
  <c r="F549" i="15"/>
  <c r="I549" i="15"/>
  <c r="F548" i="15"/>
  <c r="I548" i="15"/>
  <c r="F547" i="15"/>
  <c r="I547" i="15"/>
  <c r="F546" i="15"/>
  <c r="I546" i="15"/>
  <c r="F545" i="15"/>
  <c r="I545" i="15"/>
  <c r="F544" i="15"/>
  <c r="I544" i="15"/>
  <c r="F543" i="15"/>
  <c r="I543" i="15"/>
  <c r="F542" i="15"/>
  <c r="I542" i="15"/>
  <c r="F541" i="15"/>
  <c r="I541" i="15"/>
  <c r="F540" i="15"/>
  <c r="I540" i="15"/>
  <c r="F539" i="15"/>
  <c r="I539" i="15"/>
  <c r="F538" i="15"/>
  <c r="I538" i="15"/>
  <c r="F537" i="15"/>
  <c r="I537" i="15"/>
  <c r="F536" i="15"/>
  <c r="I536" i="15"/>
  <c r="F535" i="15"/>
  <c r="I535" i="15"/>
  <c r="F534" i="15"/>
  <c r="I534" i="15"/>
  <c r="F533" i="15"/>
  <c r="I533" i="15"/>
  <c r="F532" i="15"/>
  <c r="I532" i="15"/>
  <c r="F531" i="15"/>
  <c r="I531" i="15"/>
  <c r="F530" i="15"/>
  <c r="I530" i="15"/>
  <c r="F529" i="15"/>
  <c r="I529" i="15"/>
  <c r="F528" i="15"/>
  <c r="I528" i="15"/>
  <c r="F527" i="15"/>
  <c r="I527" i="15"/>
  <c r="F526" i="15"/>
  <c r="I526" i="15"/>
  <c r="F525" i="15"/>
  <c r="I525" i="15"/>
  <c r="F524" i="15"/>
  <c r="I524" i="15"/>
  <c r="F523" i="15"/>
  <c r="I523" i="15"/>
  <c r="F522" i="15"/>
  <c r="I522" i="15"/>
  <c r="F521" i="15"/>
  <c r="I521" i="15"/>
  <c r="F520" i="15"/>
  <c r="I520" i="15"/>
  <c r="F519" i="15"/>
  <c r="I519" i="15"/>
  <c r="F518" i="15"/>
  <c r="I518" i="15"/>
  <c r="F517" i="15"/>
  <c r="I517" i="15"/>
  <c r="F516" i="15"/>
  <c r="I516" i="15"/>
  <c r="F515" i="15"/>
  <c r="I515" i="15"/>
  <c r="F514" i="15"/>
  <c r="I514" i="15"/>
  <c r="F513" i="15"/>
  <c r="I513" i="15"/>
  <c r="F512" i="15"/>
  <c r="I512" i="15"/>
  <c r="F511" i="15"/>
  <c r="I511" i="15"/>
  <c r="F510" i="15"/>
  <c r="I510" i="15"/>
  <c r="F509" i="15"/>
  <c r="I509" i="15"/>
  <c r="F508" i="15"/>
  <c r="I508" i="15"/>
  <c r="F507" i="15"/>
  <c r="I507" i="15"/>
  <c r="F506" i="15"/>
  <c r="I506" i="15"/>
  <c r="F505" i="15"/>
  <c r="I505" i="15"/>
  <c r="F504" i="15"/>
  <c r="I504" i="15"/>
  <c r="F503" i="15"/>
  <c r="I503" i="15"/>
  <c r="F502" i="15"/>
  <c r="I502" i="15"/>
  <c r="F501" i="15"/>
  <c r="I501" i="15"/>
  <c r="F500" i="15"/>
  <c r="I500" i="15"/>
  <c r="F499" i="15"/>
  <c r="I499" i="15"/>
  <c r="F498" i="15"/>
  <c r="I498" i="15"/>
  <c r="F497" i="15"/>
  <c r="I497" i="15"/>
  <c r="F496" i="15"/>
  <c r="I496" i="15"/>
  <c r="F495" i="15"/>
  <c r="I495" i="15"/>
  <c r="F494" i="15"/>
  <c r="I494" i="15"/>
  <c r="F493" i="15"/>
  <c r="I493" i="15"/>
  <c r="F492" i="15"/>
  <c r="I492" i="15"/>
  <c r="F491" i="15"/>
  <c r="I491" i="15"/>
  <c r="F490" i="15"/>
  <c r="I490" i="15"/>
  <c r="F489" i="15"/>
  <c r="I489" i="15"/>
  <c r="F488" i="15"/>
  <c r="I488" i="15"/>
  <c r="F487" i="15"/>
  <c r="I487" i="15"/>
  <c r="F486" i="15"/>
  <c r="I486" i="15"/>
  <c r="F485" i="15"/>
  <c r="I485" i="15"/>
  <c r="F484" i="15"/>
  <c r="I484" i="15"/>
  <c r="F483" i="15"/>
  <c r="I483" i="15"/>
  <c r="F482" i="15"/>
  <c r="I482" i="15"/>
  <c r="F481" i="15"/>
  <c r="I481" i="15"/>
  <c r="F480" i="15"/>
  <c r="I480" i="15"/>
  <c r="F479" i="15"/>
  <c r="I479" i="15"/>
  <c r="F478" i="15"/>
  <c r="I478" i="15"/>
  <c r="F477" i="15"/>
  <c r="I477" i="15"/>
  <c r="F476" i="15"/>
  <c r="I476" i="15"/>
  <c r="F475" i="15"/>
  <c r="I475" i="15"/>
  <c r="F474" i="15"/>
  <c r="I474" i="15"/>
  <c r="F473" i="15"/>
  <c r="I473" i="15"/>
  <c r="F472" i="15"/>
  <c r="I472" i="15"/>
  <c r="F471" i="15"/>
  <c r="I471" i="15"/>
  <c r="F470" i="15"/>
  <c r="I470" i="15"/>
  <c r="F469" i="15"/>
  <c r="I469" i="15"/>
  <c r="F468" i="15"/>
  <c r="I468" i="15"/>
  <c r="F467" i="15"/>
  <c r="I467" i="15"/>
  <c r="F466" i="15"/>
  <c r="I466" i="15"/>
  <c r="F465" i="15"/>
  <c r="I465" i="15"/>
  <c r="F464" i="15"/>
  <c r="I464" i="15"/>
  <c r="F463" i="15"/>
  <c r="I463" i="15"/>
  <c r="F462" i="15"/>
  <c r="I462" i="15"/>
  <c r="F461" i="15"/>
  <c r="I461" i="15"/>
  <c r="F460" i="15"/>
  <c r="I460" i="15"/>
  <c r="F459" i="15"/>
  <c r="I459" i="15"/>
  <c r="F458" i="15"/>
  <c r="I458" i="15"/>
  <c r="F457" i="15"/>
  <c r="I457" i="15"/>
  <c r="F456" i="15"/>
  <c r="I456" i="15"/>
  <c r="F455" i="15"/>
  <c r="I455" i="15"/>
  <c r="F454" i="15"/>
  <c r="I454" i="15"/>
  <c r="F453" i="15"/>
  <c r="I453" i="15"/>
  <c r="F452" i="15"/>
  <c r="I452" i="15"/>
  <c r="F451" i="15"/>
  <c r="I451" i="15"/>
  <c r="F450" i="15"/>
  <c r="I450" i="15"/>
  <c r="F449" i="15"/>
  <c r="I449" i="15"/>
  <c r="F448" i="15"/>
  <c r="I448" i="15"/>
  <c r="F447" i="15"/>
  <c r="I447" i="15"/>
  <c r="F446" i="15"/>
  <c r="I446" i="15"/>
  <c r="F445" i="15"/>
  <c r="I445" i="15"/>
  <c r="F444" i="15"/>
  <c r="I444" i="15"/>
  <c r="F443" i="15"/>
  <c r="I443" i="15"/>
  <c r="F442" i="15"/>
  <c r="I442" i="15"/>
  <c r="F441" i="15"/>
  <c r="I441" i="15"/>
  <c r="F440" i="15"/>
  <c r="I440" i="15"/>
  <c r="F439" i="15"/>
  <c r="I439" i="15"/>
  <c r="F438" i="15"/>
  <c r="I438" i="15"/>
  <c r="F437" i="15"/>
  <c r="I437" i="15"/>
  <c r="F436" i="15"/>
  <c r="I436" i="15"/>
  <c r="F435" i="15"/>
  <c r="I435" i="15"/>
  <c r="F434" i="15"/>
  <c r="I434" i="15"/>
  <c r="F433" i="15"/>
  <c r="I433" i="15"/>
  <c r="F432" i="15"/>
  <c r="I432" i="15"/>
  <c r="F431" i="15"/>
  <c r="I431" i="15"/>
  <c r="F430" i="15"/>
  <c r="I430" i="15"/>
  <c r="F429" i="15"/>
  <c r="I429" i="15"/>
  <c r="F428" i="15"/>
  <c r="I428" i="15"/>
  <c r="F427" i="15"/>
  <c r="I427" i="15"/>
  <c r="F426" i="15"/>
  <c r="I426" i="15"/>
  <c r="F425" i="15"/>
  <c r="I425" i="15"/>
  <c r="F424" i="15"/>
  <c r="I424" i="15"/>
  <c r="F423" i="15"/>
  <c r="I423" i="15"/>
  <c r="F422" i="15"/>
  <c r="I422" i="15"/>
  <c r="F421" i="15"/>
  <c r="I421" i="15"/>
  <c r="F420" i="15"/>
  <c r="I420" i="15"/>
  <c r="F419" i="15"/>
  <c r="I419" i="15"/>
  <c r="F418" i="15"/>
  <c r="I418" i="15"/>
  <c r="F417" i="15"/>
  <c r="I417" i="15"/>
  <c r="F416" i="15"/>
  <c r="I416" i="15"/>
  <c r="F415" i="15"/>
  <c r="I415" i="15"/>
  <c r="F414" i="15"/>
  <c r="I414" i="15"/>
  <c r="F413" i="15"/>
  <c r="I413" i="15"/>
  <c r="F412" i="15"/>
  <c r="I412" i="15"/>
  <c r="F411" i="15"/>
  <c r="I411" i="15"/>
  <c r="F410" i="15"/>
  <c r="I410" i="15"/>
  <c r="F409" i="15"/>
  <c r="I409" i="15"/>
  <c r="F408" i="15"/>
  <c r="I408" i="15"/>
  <c r="F407" i="15"/>
  <c r="I407" i="15"/>
  <c r="F406" i="15"/>
  <c r="I406" i="15"/>
  <c r="F405" i="15"/>
  <c r="I405" i="15"/>
  <c r="F404" i="15"/>
  <c r="I404" i="15"/>
  <c r="F403" i="15"/>
  <c r="I403" i="15"/>
  <c r="F402" i="15"/>
  <c r="I402" i="15"/>
  <c r="F401" i="15"/>
  <c r="I401" i="15"/>
  <c r="F400" i="15"/>
  <c r="I400" i="15"/>
  <c r="F399" i="15"/>
  <c r="I399" i="15"/>
  <c r="F398" i="15"/>
  <c r="I398" i="15"/>
  <c r="F397" i="15"/>
  <c r="I397" i="15"/>
  <c r="F396" i="15"/>
  <c r="I396" i="15"/>
  <c r="F395" i="15"/>
  <c r="I395" i="15"/>
  <c r="F394" i="15"/>
  <c r="I394" i="15"/>
  <c r="F393" i="15"/>
  <c r="I393" i="15"/>
  <c r="F392" i="15"/>
  <c r="I392" i="15"/>
  <c r="F391" i="15"/>
  <c r="I391" i="15"/>
  <c r="F390" i="15"/>
  <c r="I390" i="15"/>
  <c r="F389" i="15"/>
  <c r="I389" i="15"/>
  <c r="F388" i="15"/>
  <c r="I388" i="15"/>
  <c r="F387" i="15"/>
  <c r="I387" i="15"/>
  <c r="F386" i="15"/>
  <c r="I386" i="15"/>
  <c r="F385" i="15"/>
  <c r="I385" i="15"/>
  <c r="F384" i="15"/>
  <c r="I384" i="15"/>
  <c r="F383" i="15"/>
  <c r="I383" i="15"/>
  <c r="F382" i="15"/>
  <c r="I382" i="15"/>
  <c r="F381" i="15"/>
  <c r="I381" i="15"/>
  <c r="F380" i="15"/>
  <c r="I380" i="15"/>
  <c r="F379" i="15"/>
  <c r="I379" i="15"/>
  <c r="F378" i="15"/>
  <c r="I378" i="15"/>
  <c r="F377" i="15"/>
  <c r="I377" i="15"/>
  <c r="F376" i="15"/>
  <c r="I376" i="15"/>
  <c r="F375" i="15"/>
  <c r="I375" i="15"/>
  <c r="F374" i="15"/>
  <c r="I374" i="15"/>
  <c r="F373" i="15"/>
  <c r="I373" i="15"/>
  <c r="F372" i="15"/>
  <c r="I372" i="15"/>
  <c r="F371" i="15"/>
  <c r="I371" i="15"/>
  <c r="F370" i="15"/>
  <c r="I370" i="15"/>
  <c r="F369" i="15"/>
  <c r="I369" i="15"/>
  <c r="F368" i="15"/>
  <c r="I368" i="15"/>
  <c r="F367" i="15"/>
  <c r="I367" i="15"/>
  <c r="F366" i="15"/>
  <c r="I366" i="15"/>
  <c r="F365" i="15"/>
  <c r="I365" i="15"/>
  <c r="F364" i="15"/>
  <c r="I364" i="15"/>
  <c r="F363" i="15"/>
  <c r="I363" i="15"/>
  <c r="F362" i="15"/>
  <c r="I362" i="15"/>
  <c r="F361" i="15"/>
  <c r="I361" i="15"/>
  <c r="F360" i="15"/>
  <c r="I360" i="15"/>
  <c r="F359" i="15"/>
  <c r="I359" i="15"/>
  <c r="F358" i="15"/>
  <c r="I358" i="15"/>
  <c r="F357" i="15"/>
  <c r="I357" i="15"/>
  <c r="F356" i="15"/>
  <c r="I356" i="15"/>
  <c r="F355" i="15"/>
  <c r="I355" i="15"/>
  <c r="F354" i="15"/>
  <c r="I354" i="15"/>
  <c r="F353" i="15"/>
  <c r="I353" i="15"/>
  <c r="F352" i="15"/>
  <c r="I352" i="15"/>
  <c r="F351" i="15"/>
  <c r="I351" i="15"/>
  <c r="F350" i="15"/>
  <c r="I350" i="15"/>
  <c r="F349" i="15"/>
  <c r="I349" i="15"/>
  <c r="F348" i="15"/>
  <c r="I348" i="15"/>
  <c r="F347" i="15"/>
  <c r="I347" i="15"/>
  <c r="F346" i="15"/>
  <c r="I346" i="15"/>
  <c r="F345" i="15"/>
  <c r="I345" i="15"/>
  <c r="F344" i="15"/>
  <c r="I344" i="15"/>
  <c r="F343" i="15"/>
  <c r="I343" i="15"/>
  <c r="F342" i="15"/>
  <c r="I342" i="15"/>
  <c r="F341" i="15"/>
  <c r="I341" i="15"/>
  <c r="F340" i="15"/>
  <c r="I340" i="15"/>
  <c r="F339" i="15"/>
  <c r="I339" i="15"/>
  <c r="F338" i="15"/>
  <c r="I338" i="15"/>
  <c r="F337" i="15"/>
  <c r="I337" i="15"/>
  <c r="F336" i="15"/>
  <c r="I336" i="15"/>
  <c r="F335" i="15"/>
  <c r="I335" i="15"/>
  <c r="F334" i="15"/>
  <c r="I334" i="15"/>
  <c r="F333" i="15"/>
  <c r="I333" i="15"/>
  <c r="F332" i="15"/>
  <c r="I332" i="15"/>
  <c r="F331" i="15"/>
  <c r="I331" i="15"/>
  <c r="F330" i="15"/>
  <c r="I330" i="15"/>
  <c r="F329" i="15"/>
  <c r="I329" i="15"/>
  <c r="F328" i="15"/>
  <c r="I328" i="15"/>
  <c r="F327" i="15"/>
  <c r="I327" i="15"/>
  <c r="F326" i="15"/>
  <c r="I326" i="15"/>
  <c r="F325" i="15"/>
  <c r="I325" i="15"/>
  <c r="F324" i="15"/>
  <c r="I324" i="15"/>
  <c r="F323" i="15"/>
  <c r="I323" i="15"/>
  <c r="F322" i="15"/>
  <c r="I322" i="15"/>
  <c r="F321" i="15"/>
  <c r="I321" i="15"/>
  <c r="F320" i="15"/>
  <c r="I320" i="15"/>
  <c r="F319" i="15"/>
  <c r="I319" i="15"/>
  <c r="F318" i="15"/>
  <c r="I318" i="15"/>
  <c r="F317" i="15"/>
  <c r="I317" i="15"/>
  <c r="F316" i="15"/>
  <c r="I316" i="15"/>
  <c r="F315" i="15"/>
  <c r="I315" i="15"/>
  <c r="F314" i="15"/>
  <c r="I314" i="15"/>
  <c r="F313" i="15"/>
  <c r="I313" i="15"/>
  <c r="F312" i="15"/>
  <c r="I312" i="15"/>
  <c r="F311" i="15"/>
  <c r="I311" i="15"/>
  <c r="F310" i="15"/>
  <c r="I310" i="15"/>
  <c r="F309" i="15"/>
  <c r="I309" i="15"/>
  <c r="F308" i="15"/>
  <c r="I308" i="15"/>
  <c r="F307" i="15"/>
  <c r="I307" i="15"/>
  <c r="F306" i="15"/>
  <c r="I306" i="15"/>
  <c r="F305" i="15"/>
  <c r="I305" i="15"/>
  <c r="F304" i="15"/>
  <c r="I304" i="15"/>
  <c r="F303" i="15"/>
  <c r="I303" i="15"/>
  <c r="F302" i="15"/>
  <c r="I302" i="15"/>
  <c r="F301" i="15"/>
  <c r="I301" i="15"/>
  <c r="F300" i="15"/>
  <c r="I300" i="15"/>
  <c r="F299" i="15"/>
  <c r="I299" i="15"/>
  <c r="F298" i="15"/>
  <c r="I298" i="15"/>
  <c r="F297" i="15"/>
  <c r="I297" i="15"/>
  <c r="F296" i="15"/>
  <c r="I296" i="15"/>
  <c r="F295" i="15"/>
  <c r="I295" i="15"/>
  <c r="F294" i="15"/>
  <c r="I294" i="15"/>
  <c r="F293" i="15"/>
  <c r="I293" i="15"/>
  <c r="F292" i="15"/>
  <c r="I292" i="15"/>
  <c r="F291" i="15"/>
  <c r="I291" i="15"/>
  <c r="F290" i="15"/>
  <c r="I290" i="15"/>
  <c r="F289" i="15"/>
  <c r="I289" i="15"/>
  <c r="F288" i="15"/>
  <c r="I288" i="15"/>
  <c r="F287" i="15"/>
  <c r="I287" i="15"/>
  <c r="F286" i="15"/>
  <c r="I286" i="15"/>
  <c r="F285" i="15"/>
  <c r="I285" i="15"/>
  <c r="F284" i="15"/>
  <c r="I284" i="15"/>
  <c r="F283" i="15"/>
  <c r="I283" i="15"/>
  <c r="F282" i="15"/>
  <c r="I282" i="15"/>
  <c r="F281" i="15"/>
  <c r="I281" i="15"/>
  <c r="F280" i="15"/>
  <c r="I280" i="15"/>
  <c r="F279" i="15"/>
  <c r="I279" i="15"/>
  <c r="F278" i="15"/>
  <c r="I278" i="15"/>
  <c r="F277" i="15"/>
  <c r="I277" i="15"/>
  <c r="F276" i="15"/>
  <c r="I276" i="15"/>
  <c r="F275" i="15"/>
  <c r="I275" i="15"/>
  <c r="F274" i="15"/>
  <c r="I274" i="15"/>
  <c r="F273" i="15"/>
  <c r="I273" i="15"/>
  <c r="F272" i="15"/>
  <c r="I272" i="15"/>
  <c r="F271" i="15"/>
  <c r="I271" i="15"/>
  <c r="F270" i="15"/>
  <c r="I270" i="15"/>
  <c r="F269" i="15"/>
  <c r="I269" i="15"/>
  <c r="F268" i="15"/>
  <c r="I268" i="15"/>
  <c r="F267" i="15"/>
  <c r="I267" i="15"/>
  <c r="F266" i="15"/>
  <c r="I266" i="15"/>
  <c r="F265" i="15"/>
  <c r="I265" i="15"/>
  <c r="F264" i="15"/>
  <c r="I264" i="15"/>
  <c r="F263" i="15"/>
  <c r="I263" i="15"/>
  <c r="F262" i="15"/>
  <c r="I262" i="15"/>
  <c r="F261" i="15"/>
  <c r="I261" i="15"/>
  <c r="F260" i="15"/>
  <c r="I260" i="15"/>
  <c r="F259" i="15"/>
  <c r="I259" i="15"/>
  <c r="F258" i="15"/>
  <c r="I258" i="15"/>
  <c r="F257" i="15"/>
  <c r="I257" i="15"/>
  <c r="F256" i="15"/>
  <c r="I256" i="15"/>
  <c r="F255" i="15"/>
  <c r="I255" i="15"/>
  <c r="F254" i="15"/>
  <c r="I254" i="15"/>
  <c r="F253" i="15"/>
  <c r="I253" i="15"/>
  <c r="F252" i="15"/>
  <c r="I252" i="15"/>
  <c r="F251" i="15"/>
  <c r="I251" i="15"/>
  <c r="F250" i="15"/>
  <c r="I250" i="15"/>
  <c r="F249" i="15"/>
  <c r="I249" i="15"/>
  <c r="F248" i="15"/>
  <c r="I248" i="15"/>
  <c r="F247" i="15"/>
  <c r="I247" i="15"/>
  <c r="F246" i="15"/>
  <c r="I246" i="15"/>
  <c r="F245" i="15"/>
  <c r="I245" i="15"/>
  <c r="F244" i="15"/>
  <c r="I244" i="15"/>
  <c r="F243" i="15"/>
  <c r="I243" i="15"/>
  <c r="F242" i="15"/>
  <c r="I242" i="15"/>
  <c r="F241" i="15"/>
  <c r="I241" i="15"/>
  <c r="F240" i="15"/>
  <c r="I240" i="15"/>
  <c r="F239" i="15"/>
  <c r="I239" i="15"/>
  <c r="F238" i="15"/>
  <c r="I238" i="15"/>
  <c r="F237" i="15"/>
  <c r="I237" i="15"/>
  <c r="F236" i="15"/>
  <c r="I236" i="15"/>
  <c r="F235" i="15"/>
  <c r="I235" i="15"/>
  <c r="F234" i="15"/>
  <c r="I234" i="15"/>
  <c r="F233" i="15"/>
  <c r="I233" i="15"/>
  <c r="F232" i="15"/>
  <c r="I232" i="15"/>
  <c r="F231" i="15"/>
  <c r="I231" i="15"/>
  <c r="F230" i="15"/>
  <c r="I230" i="15"/>
  <c r="F229" i="15"/>
  <c r="I229" i="15"/>
  <c r="F228" i="15"/>
  <c r="I228" i="15"/>
  <c r="F227" i="15"/>
  <c r="I227" i="15"/>
  <c r="F226" i="15"/>
  <c r="I226" i="15"/>
  <c r="F225" i="15"/>
  <c r="I225" i="15"/>
  <c r="F224" i="15"/>
  <c r="I224" i="15"/>
  <c r="F223" i="15"/>
  <c r="I223" i="15"/>
  <c r="F222" i="15"/>
  <c r="I222" i="15"/>
  <c r="F221" i="15"/>
  <c r="I221" i="15"/>
  <c r="F220" i="15"/>
  <c r="I220" i="15"/>
  <c r="F219" i="15"/>
  <c r="I219" i="15"/>
  <c r="F218" i="15"/>
  <c r="I218" i="15"/>
  <c r="F217" i="15"/>
  <c r="I217" i="15"/>
  <c r="F216" i="15"/>
  <c r="I216" i="15"/>
  <c r="F215" i="15"/>
  <c r="I215" i="15"/>
  <c r="F214" i="15"/>
  <c r="I214" i="15"/>
  <c r="F213" i="15"/>
  <c r="I213" i="15"/>
  <c r="F212" i="15"/>
  <c r="I212" i="15"/>
  <c r="F211" i="15"/>
  <c r="I211" i="15"/>
  <c r="F210" i="15"/>
  <c r="I210" i="15"/>
  <c r="F209" i="15"/>
  <c r="I209" i="15"/>
  <c r="F208" i="15"/>
  <c r="I208" i="15"/>
  <c r="F207" i="15"/>
  <c r="I207" i="15"/>
  <c r="F206" i="15"/>
  <c r="I206" i="15"/>
  <c r="F205" i="15"/>
  <c r="I205" i="15"/>
  <c r="F204" i="15"/>
  <c r="I204" i="15"/>
  <c r="F203" i="15"/>
  <c r="I203" i="15"/>
  <c r="F202" i="15"/>
  <c r="I202" i="15"/>
  <c r="F201" i="15"/>
  <c r="I201" i="15"/>
  <c r="F200" i="15"/>
  <c r="I200" i="15"/>
  <c r="F199" i="15"/>
  <c r="I199" i="15"/>
  <c r="F198" i="15"/>
  <c r="I198" i="15"/>
  <c r="F197" i="15"/>
  <c r="I197" i="15"/>
  <c r="F196" i="15"/>
  <c r="I196" i="15"/>
  <c r="F195" i="15"/>
  <c r="I195" i="15"/>
  <c r="F194" i="15"/>
  <c r="I194" i="15"/>
  <c r="F193" i="15"/>
  <c r="I193" i="15"/>
  <c r="F192" i="15"/>
  <c r="I192" i="15"/>
  <c r="F191" i="15"/>
  <c r="I191" i="15"/>
  <c r="F190" i="15"/>
  <c r="I190" i="15"/>
  <c r="F189" i="15"/>
  <c r="I189" i="15"/>
  <c r="F188" i="15"/>
  <c r="I188" i="15"/>
  <c r="F187" i="15"/>
  <c r="I187" i="15"/>
  <c r="F186" i="15"/>
  <c r="I186" i="15"/>
  <c r="F185" i="15"/>
  <c r="I185" i="15"/>
  <c r="F184" i="15"/>
  <c r="I184" i="15"/>
  <c r="F183" i="15"/>
  <c r="I183" i="15"/>
  <c r="F182" i="15"/>
  <c r="I182" i="15"/>
  <c r="F181" i="15"/>
  <c r="I181" i="15"/>
  <c r="F180" i="15"/>
  <c r="I180" i="15"/>
  <c r="F179" i="15"/>
  <c r="I179" i="15"/>
  <c r="F178" i="15"/>
  <c r="I178" i="15"/>
  <c r="F177" i="15"/>
  <c r="I177" i="15"/>
  <c r="F176" i="15"/>
  <c r="I176" i="15"/>
  <c r="F175" i="15"/>
  <c r="I175" i="15"/>
  <c r="F174" i="15"/>
  <c r="I174" i="15"/>
  <c r="F173" i="15"/>
  <c r="I173" i="15"/>
  <c r="F172" i="15"/>
  <c r="I172" i="15"/>
  <c r="F171" i="15"/>
  <c r="I171" i="15"/>
  <c r="F170" i="15"/>
  <c r="I170" i="15"/>
  <c r="F169" i="15"/>
  <c r="I169" i="15"/>
  <c r="F168" i="15"/>
  <c r="I168" i="15"/>
  <c r="F167" i="15"/>
  <c r="I167" i="15"/>
  <c r="F166" i="15"/>
  <c r="I166" i="15"/>
  <c r="F165" i="15"/>
  <c r="I165" i="15"/>
  <c r="F164" i="15"/>
  <c r="I164" i="15"/>
  <c r="F163" i="15"/>
  <c r="I163" i="15"/>
  <c r="F162" i="15"/>
  <c r="I162" i="15"/>
  <c r="F161" i="15"/>
  <c r="I161" i="15"/>
  <c r="F160" i="15"/>
  <c r="I160" i="15"/>
  <c r="F159" i="15"/>
  <c r="I159" i="15"/>
  <c r="F158" i="15"/>
  <c r="I158" i="15"/>
  <c r="F157" i="15"/>
  <c r="I157" i="15"/>
  <c r="F156" i="15"/>
  <c r="I156" i="15"/>
  <c r="F155" i="15"/>
  <c r="I155" i="15"/>
  <c r="F154" i="15"/>
  <c r="I154" i="15"/>
  <c r="F153" i="15"/>
  <c r="I153" i="15"/>
  <c r="F152" i="15"/>
  <c r="I152" i="15"/>
  <c r="F151" i="15"/>
  <c r="I151" i="15"/>
  <c r="F150" i="15"/>
  <c r="I150" i="15"/>
  <c r="F149" i="15"/>
  <c r="I149" i="15"/>
  <c r="F148" i="15"/>
  <c r="I148" i="15"/>
  <c r="F147" i="15"/>
  <c r="I147" i="15"/>
  <c r="F146" i="15"/>
  <c r="I146" i="15"/>
  <c r="F145" i="15"/>
  <c r="I145" i="15"/>
  <c r="F144" i="15"/>
  <c r="I144" i="15"/>
  <c r="F143" i="15"/>
  <c r="I143" i="15"/>
  <c r="F142" i="15"/>
  <c r="I142" i="15"/>
  <c r="F141" i="15"/>
  <c r="I141" i="15"/>
  <c r="F140" i="15"/>
  <c r="I140" i="15"/>
  <c r="F139" i="15"/>
  <c r="I139" i="15"/>
  <c r="F138" i="15"/>
  <c r="I138" i="15"/>
  <c r="F137" i="15"/>
  <c r="I137" i="15"/>
  <c r="F136" i="15"/>
  <c r="I136" i="15"/>
  <c r="F135" i="15"/>
  <c r="I135" i="15"/>
  <c r="F134" i="15"/>
  <c r="I134" i="15"/>
  <c r="F133" i="15"/>
  <c r="I133" i="15"/>
  <c r="F132" i="15"/>
  <c r="I132" i="15"/>
  <c r="F131" i="15"/>
  <c r="I131" i="15"/>
  <c r="F130" i="15"/>
  <c r="I130" i="15"/>
  <c r="F129" i="15"/>
  <c r="I129" i="15"/>
  <c r="F128" i="15"/>
  <c r="I128" i="15"/>
  <c r="F127" i="15"/>
  <c r="I127" i="15"/>
  <c r="F126" i="15"/>
  <c r="I126" i="15"/>
  <c r="F125" i="15"/>
  <c r="I125" i="15"/>
  <c r="F124" i="15"/>
  <c r="I124" i="15"/>
  <c r="F123" i="15"/>
  <c r="I123" i="15"/>
  <c r="F122" i="15"/>
  <c r="I122" i="15"/>
  <c r="F121" i="15"/>
  <c r="I121" i="15"/>
  <c r="F120" i="15"/>
  <c r="I120" i="15"/>
  <c r="F119" i="15"/>
  <c r="I119" i="15"/>
  <c r="F118" i="15"/>
  <c r="I118" i="15"/>
  <c r="F117" i="15"/>
  <c r="I117" i="15"/>
  <c r="F116" i="15"/>
  <c r="I116" i="15"/>
  <c r="F115" i="15"/>
  <c r="I115" i="15"/>
  <c r="F114" i="15"/>
  <c r="I114" i="15"/>
  <c r="F113" i="15"/>
  <c r="I113" i="15"/>
  <c r="F112" i="15"/>
  <c r="I112" i="15"/>
  <c r="F111" i="15"/>
  <c r="I111" i="15"/>
  <c r="F110" i="15"/>
  <c r="I110" i="15"/>
  <c r="F109" i="15"/>
  <c r="I109" i="15"/>
  <c r="F108" i="15"/>
  <c r="I108" i="15"/>
  <c r="F107" i="15"/>
  <c r="I107" i="15"/>
  <c r="F106" i="15"/>
  <c r="I106" i="15"/>
  <c r="F105" i="15"/>
  <c r="I105" i="15"/>
  <c r="F104" i="15"/>
  <c r="I104" i="15"/>
  <c r="F103" i="15"/>
  <c r="I103" i="15"/>
  <c r="F102" i="15"/>
  <c r="I102" i="15"/>
  <c r="F101" i="15"/>
  <c r="I101" i="15"/>
  <c r="F100" i="15"/>
  <c r="I100" i="15"/>
  <c r="F99" i="15"/>
  <c r="I99" i="15"/>
  <c r="F98" i="15"/>
  <c r="I98" i="15"/>
  <c r="F97" i="15"/>
  <c r="I97" i="15"/>
  <c r="F96" i="15"/>
  <c r="I96" i="15"/>
  <c r="F95" i="15"/>
  <c r="I95" i="15"/>
  <c r="F94" i="15"/>
  <c r="I94" i="15"/>
  <c r="F93" i="15"/>
  <c r="I93" i="15"/>
  <c r="F92" i="15"/>
  <c r="I92" i="15"/>
  <c r="F91" i="15"/>
  <c r="I91" i="15"/>
  <c r="F90" i="15"/>
  <c r="I90" i="15"/>
  <c r="F89" i="15"/>
  <c r="I89" i="15"/>
  <c r="F88" i="15"/>
  <c r="I88" i="15"/>
  <c r="F87" i="15"/>
  <c r="I87" i="15"/>
  <c r="F86" i="15"/>
  <c r="I86" i="15"/>
  <c r="F85" i="15"/>
  <c r="I85" i="15"/>
  <c r="F84" i="15"/>
  <c r="I84" i="15"/>
  <c r="F83" i="15"/>
  <c r="I83" i="15"/>
  <c r="F82" i="15"/>
  <c r="I82" i="15"/>
  <c r="F81" i="15"/>
  <c r="I81" i="15"/>
  <c r="F80" i="15"/>
  <c r="I80" i="15"/>
  <c r="F79" i="15"/>
  <c r="I79" i="15"/>
  <c r="F78" i="15"/>
  <c r="I78" i="15"/>
  <c r="F77" i="15"/>
  <c r="I77" i="15"/>
  <c r="F76" i="15"/>
  <c r="I76" i="15"/>
  <c r="F75" i="15"/>
  <c r="I75" i="15"/>
  <c r="F74" i="15"/>
  <c r="I74" i="15"/>
  <c r="F73" i="15"/>
  <c r="I73" i="15"/>
  <c r="F72" i="15"/>
  <c r="I72" i="15"/>
  <c r="F71" i="15"/>
  <c r="I71" i="15"/>
  <c r="F70" i="15"/>
  <c r="I70" i="15"/>
  <c r="F69" i="15"/>
  <c r="I69" i="15"/>
  <c r="F68" i="15"/>
  <c r="I68" i="15"/>
  <c r="F67" i="15"/>
  <c r="I67" i="15"/>
  <c r="F66" i="15"/>
  <c r="I66" i="15"/>
  <c r="F65" i="15"/>
  <c r="I65" i="15"/>
  <c r="F64" i="15"/>
  <c r="I64" i="15"/>
  <c r="F63" i="15"/>
  <c r="I63" i="15"/>
  <c r="F62" i="15"/>
  <c r="I62" i="15"/>
  <c r="F61" i="15"/>
  <c r="I61" i="15"/>
  <c r="F60" i="15"/>
  <c r="I60" i="15"/>
  <c r="F59" i="15"/>
  <c r="I59" i="15"/>
  <c r="F58" i="15"/>
  <c r="I58" i="15"/>
  <c r="F57" i="15"/>
  <c r="I57" i="15"/>
  <c r="F56" i="15"/>
  <c r="I56" i="15"/>
  <c r="F55" i="15"/>
  <c r="I55" i="15"/>
  <c r="F54" i="15"/>
  <c r="I54" i="15"/>
  <c r="F53" i="15"/>
  <c r="I53" i="15"/>
  <c r="F52" i="15"/>
  <c r="I52" i="15"/>
  <c r="F51" i="15"/>
  <c r="I51" i="15"/>
  <c r="F50" i="15"/>
  <c r="I50" i="15"/>
  <c r="F49" i="15"/>
  <c r="I49" i="15"/>
  <c r="F48" i="15"/>
  <c r="I48" i="15"/>
  <c r="F47" i="15"/>
  <c r="I47" i="15"/>
  <c r="F46" i="15"/>
  <c r="I46" i="15"/>
  <c r="F45" i="15"/>
  <c r="I45" i="15"/>
  <c r="F44" i="15"/>
  <c r="I44" i="15"/>
  <c r="F43" i="15"/>
  <c r="I43" i="15"/>
  <c r="F42" i="15"/>
  <c r="I42" i="15"/>
  <c r="F41" i="15"/>
  <c r="I41" i="15"/>
  <c r="F40" i="15"/>
  <c r="I40" i="15"/>
  <c r="F39" i="15"/>
  <c r="I39" i="15"/>
  <c r="F38" i="15"/>
  <c r="I38" i="15"/>
  <c r="F37" i="15"/>
  <c r="I37" i="15"/>
  <c r="F36" i="15"/>
  <c r="I36" i="15"/>
  <c r="F35" i="15"/>
  <c r="I35" i="15"/>
  <c r="F34" i="15"/>
  <c r="I34" i="15"/>
  <c r="F33" i="15"/>
  <c r="I33" i="15"/>
  <c r="F32" i="15"/>
  <c r="I32" i="15"/>
  <c r="F31" i="15"/>
  <c r="I31" i="15"/>
  <c r="F30" i="15"/>
  <c r="I30" i="15"/>
  <c r="F29" i="15"/>
  <c r="I29" i="15"/>
  <c r="F28" i="15"/>
  <c r="I28" i="15"/>
  <c r="F27" i="15"/>
  <c r="I27" i="15"/>
  <c r="F26" i="15"/>
  <c r="I26" i="15"/>
  <c r="F25" i="15"/>
  <c r="I25" i="15"/>
  <c r="F24" i="15"/>
  <c r="I24" i="15"/>
  <c r="F23" i="15"/>
  <c r="I23" i="15"/>
  <c r="F22" i="15"/>
  <c r="I22" i="15"/>
  <c r="F21" i="15"/>
  <c r="I21" i="15"/>
  <c r="F20" i="15"/>
  <c r="I20" i="15"/>
  <c r="F19" i="15"/>
  <c r="I19" i="15"/>
  <c r="F18" i="15"/>
  <c r="I18" i="15"/>
  <c r="F17" i="15"/>
  <c r="I17" i="15"/>
  <c r="F16" i="15"/>
  <c r="I16" i="15"/>
  <c r="F15" i="15"/>
  <c r="I15" i="15"/>
  <c r="F14" i="15"/>
  <c r="I14" i="15"/>
  <c r="F13" i="15"/>
  <c r="I13" i="15"/>
  <c r="F12" i="15"/>
  <c r="I12" i="15"/>
  <c r="F11" i="15"/>
  <c r="I11" i="15"/>
  <c r="F10" i="15"/>
  <c r="I10" i="15"/>
  <c r="F9" i="15"/>
  <c r="I9" i="15"/>
  <c r="F8" i="15"/>
  <c r="I8" i="15"/>
  <c r="F7" i="15"/>
  <c r="I7" i="15"/>
  <c r="F5" i="15"/>
  <c r="I5" i="15"/>
  <c r="F6" i="15"/>
  <c r="I6" i="15"/>
  <c r="AT6" i="3"/>
  <c r="AT7" i="3"/>
  <c r="AT8" i="3"/>
  <c r="AT9" i="3"/>
  <c r="AT10" i="3"/>
  <c r="AT11" i="3"/>
  <c r="AT12" i="3"/>
  <c r="AT13" i="3"/>
  <c r="AT14" i="3"/>
  <c r="AT15" i="3"/>
  <c r="AT16" i="3"/>
  <c r="AT17" i="3"/>
  <c r="AT18" i="3"/>
  <c r="AT19" i="3"/>
  <c r="AT20" i="3"/>
  <c r="AT21" i="3"/>
  <c r="AT22" i="3"/>
  <c r="AT23" i="3"/>
  <c r="AT24" i="3"/>
  <c r="AT2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T57" i="3"/>
  <c r="AT58" i="3"/>
  <c r="AT59" i="3"/>
  <c r="AT60" i="3"/>
  <c r="AT61" i="3"/>
  <c r="AT62" i="3"/>
  <c r="AT63" i="3"/>
  <c r="AT64" i="3"/>
  <c r="AT65" i="3"/>
  <c r="AT66" i="3"/>
  <c r="AT67" i="3"/>
  <c r="AT68" i="3"/>
  <c r="AT69" i="3"/>
  <c r="AT70" i="3"/>
  <c r="AT71" i="3"/>
  <c r="AT72" i="3"/>
  <c r="AT73" i="3"/>
  <c r="AT74" i="3"/>
  <c r="AT75" i="3"/>
  <c r="AT76" i="3"/>
  <c r="AT77" i="3"/>
  <c r="AT78" i="3"/>
  <c r="AT79" i="3"/>
  <c r="AT80" i="3"/>
  <c r="AT81" i="3"/>
  <c r="AT82" i="3"/>
  <c r="AT83" i="3"/>
  <c r="AT84" i="3"/>
  <c r="AT85" i="3"/>
  <c r="AT86" i="3"/>
  <c r="AT87" i="3"/>
  <c r="AT88" i="3"/>
  <c r="AT89" i="3"/>
  <c r="AT90" i="3"/>
  <c r="AT91" i="3"/>
  <c r="AT92" i="3"/>
  <c r="AT93" i="3"/>
  <c r="AT94" i="3"/>
  <c r="AT95" i="3"/>
  <c r="AT96" i="3"/>
  <c r="AT97" i="3"/>
  <c r="AT98" i="3"/>
  <c r="AT99" i="3"/>
  <c r="AT100" i="3"/>
  <c r="AT101" i="3"/>
  <c r="AT102" i="3"/>
  <c r="AT103" i="3"/>
  <c r="AT104" i="3"/>
  <c r="AT105" i="3"/>
  <c r="AT106" i="3"/>
  <c r="AT107" i="3"/>
  <c r="AT108" i="3"/>
  <c r="AT109" i="3"/>
  <c r="AT110" i="3"/>
  <c r="AT111" i="3"/>
  <c r="AT112" i="3"/>
  <c r="AT113" i="3"/>
  <c r="AT114" i="3"/>
  <c r="AT115" i="3"/>
  <c r="AT116" i="3"/>
  <c r="AT117" i="3"/>
  <c r="AT118" i="3"/>
  <c r="AT119" i="3"/>
  <c r="AT120" i="3"/>
  <c r="AT121" i="3"/>
  <c r="AT122" i="3"/>
  <c r="AT123" i="3"/>
  <c r="AT124" i="3"/>
  <c r="AT125" i="3"/>
  <c r="AT126" i="3"/>
  <c r="AT127" i="3"/>
  <c r="AT128" i="3"/>
  <c r="AT129" i="3"/>
  <c r="AT130" i="3"/>
  <c r="AT131" i="3"/>
  <c r="AT132" i="3"/>
  <c r="AT133" i="3"/>
  <c r="AT134" i="3"/>
  <c r="AT135" i="3"/>
  <c r="AT136" i="3"/>
  <c r="AT137" i="3"/>
  <c r="AT138" i="3"/>
  <c r="AT139" i="3"/>
  <c r="AT140" i="3"/>
  <c r="AT141" i="3"/>
  <c r="AT142" i="3"/>
  <c r="AT143" i="3"/>
  <c r="AT144" i="3"/>
  <c r="AT145" i="3"/>
  <c r="AT146" i="3"/>
  <c r="AT147" i="3"/>
  <c r="AT148" i="3"/>
  <c r="AT149" i="3"/>
  <c r="AT150" i="3"/>
  <c r="AT151" i="3"/>
  <c r="AT152" i="3"/>
  <c r="AT153" i="3"/>
  <c r="AT154" i="3"/>
  <c r="AT155" i="3"/>
  <c r="AT156" i="3"/>
  <c r="AT157" i="3"/>
  <c r="AT158" i="3"/>
  <c r="AT159" i="3"/>
  <c r="AT160" i="3"/>
  <c r="AT161" i="3"/>
  <c r="AT162" i="3"/>
  <c r="AT163" i="3"/>
  <c r="AT164" i="3"/>
  <c r="AT165" i="3"/>
  <c r="AT166" i="3"/>
  <c r="AT167" i="3"/>
  <c r="AT168" i="3"/>
  <c r="AT169" i="3"/>
  <c r="AT170" i="3"/>
  <c r="AT171" i="3"/>
  <c r="AT172" i="3"/>
  <c r="AT173" i="3"/>
  <c r="AT174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AT189" i="3"/>
  <c r="AT190" i="3"/>
  <c r="AT191" i="3"/>
  <c r="AT192" i="3"/>
  <c r="AT193" i="3"/>
  <c r="AT194" i="3"/>
  <c r="AT195" i="3"/>
  <c r="AT196" i="3"/>
  <c r="AT197" i="3"/>
  <c r="AT198" i="3"/>
  <c r="AT199" i="3"/>
  <c r="AT200" i="3"/>
  <c r="AT201" i="3"/>
  <c r="AT202" i="3"/>
  <c r="AT203" i="3"/>
  <c r="AT204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8" i="3"/>
  <c r="AT219" i="3"/>
  <c r="AT220" i="3"/>
  <c r="AT221" i="3"/>
  <c r="AT222" i="3"/>
  <c r="AT223" i="3"/>
  <c r="AT224" i="3"/>
  <c r="AT225" i="3"/>
  <c r="AT226" i="3"/>
  <c r="AT227" i="3"/>
  <c r="AT228" i="3"/>
  <c r="AT229" i="3"/>
  <c r="AT230" i="3"/>
  <c r="AT231" i="3"/>
  <c r="AT232" i="3"/>
  <c r="AT233" i="3"/>
  <c r="AT234" i="3"/>
  <c r="AT235" i="3"/>
  <c r="AT236" i="3"/>
  <c r="AT237" i="3"/>
  <c r="AT238" i="3"/>
  <c r="AT239" i="3"/>
  <c r="AT240" i="3"/>
  <c r="AT241" i="3"/>
  <c r="AT242" i="3"/>
  <c r="AT243" i="3"/>
  <c r="AT244" i="3"/>
  <c r="AT245" i="3"/>
  <c r="AT246" i="3"/>
  <c r="AT247" i="3"/>
  <c r="AT248" i="3"/>
  <c r="AT249" i="3"/>
  <c r="AT250" i="3"/>
  <c r="AT251" i="3"/>
  <c r="AT252" i="3"/>
  <c r="AT253" i="3"/>
  <c r="AT254" i="3"/>
  <c r="AT255" i="3"/>
  <c r="AT256" i="3"/>
  <c r="AT257" i="3"/>
  <c r="AT258" i="3"/>
  <c r="AT259" i="3"/>
  <c r="AT260" i="3"/>
  <c r="AT261" i="3"/>
  <c r="AT262" i="3"/>
  <c r="AT263" i="3"/>
  <c r="AT264" i="3"/>
  <c r="AT265" i="3"/>
  <c r="AT266" i="3"/>
  <c r="AT267" i="3"/>
  <c r="AT268" i="3"/>
  <c r="AT269" i="3"/>
  <c r="AT270" i="3"/>
  <c r="AT271" i="3"/>
  <c r="AT272" i="3"/>
  <c r="AT273" i="3"/>
  <c r="AT274" i="3"/>
  <c r="AT275" i="3"/>
  <c r="AT276" i="3"/>
  <c r="AT277" i="3"/>
  <c r="AT278" i="3"/>
  <c r="AT279" i="3"/>
  <c r="AT280" i="3"/>
  <c r="AT281" i="3"/>
  <c r="AT282" i="3"/>
  <c r="AT283" i="3"/>
  <c r="AT284" i="3"/>
  <c r="AT285" i="3"/>
  <c r="AT286" i="3"/>
  <c r="AT287" i="3"/>
  <c r="AT288" i="3"/>
  <c r="AT289" i="3"/>
  <c r="AT290" i="3"/>
  <c r="AT5" i="3"/>
  <c r="BB4" i="3"/>
  <c r="AS4" i="3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6" i="14"/>
  <c r="E6" i="14"/>
  <c r="E7" i="14"/>
  <c r="E8" i="14"/>
  <c r="E9" i="14"/>
  <c r="E10" i="14"/>
  <c r="E11" i="14"/>
  <c r="E12" i="14"/>
  <c r="E13" i="14"/>
  <c r="E15" i="14"/>
  <c r="E16" i="14"/>
  <c r="E17" i="14"/>
  <c r="E18" i="14"/>
  <c r="E19" i="14"/>
  <c r="E20" i="14"/>
  <c r="E21" i="14"/>
  <c r="E22" i="14"/>
  <c r="E23" i="14"/>
  <c r="E24" i="14"/>
  <c r="E25" i="14"/>
  <c r="E27" i="14"/>
  <c r="E28" i="14"/>
  <c r="E29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4" i="14"/>
  <c r="E75" i="14"/>
  <c r="E76" i="14"/>
  <c r="E77" i="14"/>
  <c r="E78" i="14"/>
  <c r="E79" i="14"/>
  <c r="E80" i="14"/>
  <c r="E81" i="14"/>
  <c r="E82" i="14"/>
  <c r="E83" i="14"/>
  <c r="E84" i="14"/>
  <c r="E86" i="14"/>
  <c r="E87" i="14"/>
  <c r="E88" i="14"/>
  <c r="E89" i="14"/>
  <c r="E90" i="14"/>
  <c r="E91" i="14"/>
  <c r="E92" i="14"/>
  <c r="E93" i="14"/>
  <c r="E94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6" i="14"/>
  <c r="E137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6" i="14"/>
  <c r="E177" i="14"/>
  <c r="E178" i="14"/>
  <c r="E181" i="14"/>
  <c r="E182" i="14"/>
  <c r="E183" i="14"/>
  <c r="E184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1" i="14"/>
  <c r="E222" i="14"/>
  <c r="E223" i="14"/>
  <c r="E225" i="14"/>
  <c r="E226" i="14"/>
  <c r="E227" i="14"/>
  <c r="E228" i="14"/>
  <c r="E229" i="14"/>
  <c r="E230" i="14"/>
  <c r="E231" i="14"/>
  <c r="E232" i="14"/>
  <c r="E234" i="14"/>
  <c r="E235" i="14"/>
  <c r="E236" i="14"/>
  <c r="E237" i="14"/>
  <c r="E238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5" i="14"/>
  <c r="E256" i="14"/>
  <c r="E258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F5" i="14"/>
  <c r="E14" i="14"/>
  <c r="E26" i="14"/>
  <c r="E30" i="14"/>
  <c r="E57" i="14"/>
  <c r="E73" i="14"/>
  <c r="E85" i="14"/>
  <c r="E95" i="14"/>
  <c r="E110" i="14"/>
  <c r="E135" i="14"/>
  <c r="E138" i="14"/>
  <c r="E139" i="14"/>
  <c r="E174" i="14"/>
  <c r="E175" i="14"/>
  <c r="E179" i="14"/>
  <c r="E180" i="14"/>
  <c r="E185" i="14"/>
  <c r="E220" i="14"/>
  <c r="E224" i="14"/>
  <c r="E233" i="14"/>
  <c r="E239" i="14"/>
  <c r="E254" i="14"/>
  <c r="E257" i="14"/>
  <c r="E259" i="14"/>
  <c r="B85" i="9"/>
  <c r="B10" i="9"/>
  <c r="E73" i="6"/>
  <c r="E76" i="6" s="1"/>
  <c r="B73" i="6"/>
  <c r="B76" i="6" s="1"/>
  <c r="H60" i="6"/>
  <c r="H63" i="6" s="1"/>
  <c r="E60" i="6"/>
  <c r="E63" i="6" s="1"/>
  <c r="B60" i="6"/>
  <c r="B63" i="6" s="1"/>
  <c r="H47" i="6"/>
  <c r="H50" i="6" s="1"/>
  <c r="E47" i="6"/>
  <c r="E50" i="6" s="1"/>
  <c r="B47" i="6"/>
  <c r="B50" i="6" s="1"/>
  <c r="H34" i="6"/>
  <c r="H37" i="6" s="1"/>
  <c r="E34" i="6"/>
  <c r="E37" i="6" s="1"/>
  <c r="B34" i="6"/>
  <c r="B37" i="6" s="1"/>
  <c r="H21" i="6"/>
  <c r="H24" i="6" s="1"/>
  <c r="E21" i="6"/>
  <c r="E24" i="6" s="1"/>
  <c r="B21" i="6"/>
  <c r="B24" i="6" s="1"/>
  <c r="H8" i="6"/>
  <c r="H11" i="6" s="1"/>
  <c r="E8" i="6"/>
  <c r="E11" i="6" s="1"/>
  <c r="B8" i="6"/>
  <c r="B11" i="6" s="1"/>
  <c r="AP290" i="3"/>
  <c r="AP289" i="3"/>
  <c r="AP288" i="3"/>
  <c r="AP287" i="3"/>
  <c r="AP286" i="3"/>
  <c r="AP285" i="3"/>
  <c r="AP284" i="3"/>
  <c r="AP283" i="3"/>
  <c r="AP282" i="3"/>
  <c r="AP281" i="3"/>
  <c r="AP280" i="3"/>
  <c r="AP279" i="3"/>
  <c r="AP278" i="3"/>
  <c r="AP277" i="3"/>
  <c r="AP276" i="3"/>
  <c r="AP275" i="3"/>
  <c r="AP274" i="3"/>
  <c r="AP273" i="3"/>
  <c r="AP272" i="3"/>
  <c r="AP271" i="3"/>
  <c r="AP270" i="3"/>
  <c r="AP269" i="3"/>
  <c r="AP268" i="3"/>
  <c r="AP267" i="3"/>
  <c r="AP266" i="3"/>
  <c r="AP265" i="3"/>
  <c r="AP264" i="3"/>
  <c r="AP263" i="3"/>
  <c r="AP262" i="3"/>
  <c r="AP261" i="3"/>
  <c r="AP260" i="3"/>
  <c r="AP259" i="3"/>
  <c r="AP258" i="3"/>
  <c r="AP257" i="3"/>
  <c r="AP256" i="3"/>
  <c r="AP255" i="3"/>
  <c r="AP254" i="3"/>
  <c r="AP253" i="3"/>
  <c r="AP252" i="3"/>
  <c r="AP251" i="3"/>
  <c r="AP250" i="3"/>
  <c r="AP249" i="3"/>
  <c r="AP248" i="3"/>
  <c r="AP247" i="3"/>
  <c r="AP246" i="3"/>
  <c r="AP245" i="3"/>
  <c r="AP244" i="3"/>
  <c r="AP243" i="3"/>
  <c r="AP242" i="3"/>
  <c r="AP241" i="3"/>
  <c r="AP240" i="3"/>
  <c r="AP239" i="3"/>
  <c r="AP238" i="3"/>
  <c r="AP237" i="3"/>
  <c r="AP236" i="3"/>
  <c r="AP235" i="3"/>
  <c r="AP234" i="3"/>
  <c r="AP233" i="3"/>
  <c r="AP232" i="3"/>
  <c r="AP231" i="3"/>
  <c r="AP230" i="3"/>
  <c r="AP229" i="3"/>
  <c r="AP228" i="3"/>
  <c r="AP227" i="3"/>
  <c r="AP226" i="3"/>
  <c r="AP225" i="3"/>
  <c r="AP224" i="3"/>
  <c r="AP223" i="3"/>
  <c r="AP222" i="3"/>
  <c r="AP221" i="3"/>
  <c r="AP220" i="3"/>
  <c r="AP219" i="3"/>
  <c r="AP218" i="3"/>
  <c r="AP217" i="3"/>
  <c r="AP216" i="3"/>
  <c r="AP215" i="3"/>
  <c r="E77" i="6"/>
  <c r="AP214" i="3"/>
  <c r="AP213" i="3"/>
  <c r="AP212" i="3"/>
  <c r="AP211" i="3"/>
  <c r="AP210" i="3"/>
  <c r="AP209" i="3"/>
  <c r="AP208" i="3"/>
  <c r="AP207" i="3"/>
  <c r="AP206" i="3"/>
  <c r="AP205" i="3"/>
  <c r="AP204" i="3"/>
  <c r="AP203" i="3"/>
  <c r="AP202" i="3"/>
  <c r="AP201" i="3"/>
  <c r="AP200" i="3"/>
  <c r="AP199" i="3"/>
  <c r="AP198" i="3"/>
  <c r="AP197" i="3"/>
  <c r="AP196" i="3"/>
  <c r="AP195" i="3"/>
  <c r="AP194" i="3"/>
  <c r="AP193" i="3"/>
  <c r="AP192" i="3"/>
  <c r="AP191" i="3"/>
  <c r="AP190" i="3"/>
  <c r="AP189" i="3"/>
  <c r="AP188" i="3"/>
  <c r="AP187" i="3"/>
  <c r="AP186" i="3"/>
  <c r="AP185" i="3"/>
  <c r="AP184" i="3"/>
  <c r="AP183" i="3"/>
  <c r="AP182" i="3"/>
  <c r="AP181" i="3"/>
  <c r="AP180" i="3"/>
  <c r="AP179" i="3"/>
  <c r="AP178" i="3"/>
  <c r="AP177" i="3"/>
  <c r="AP176" i="3"/>
  <c r="AP175" i="3"/>
  <c r="AP174" i="3"/>
  <c r="AP173" i="3"/>
  <c r="AP172" i="3"/>
  <c r="AP171" i="3"/>
  <c r="AP170" i="3"/>
  <c r="AP169" i="3"/>
  <c r="AP168" i="3"/>
  <c r="AP167" i="3"/>
  <c r="AP166" i="3"/>
  <c r="AP165" i="3"/>
  <c r="AP164" i="3"/>
  <c r="AP163" i="3"/>
  <c r="AP162" i="3"/>
  <c r="AP161" i="3"/>
  <c r="AP160" i="3"/>
  <c r="AP159" i="3"/>
  <c r="AP158" i="3"/>
  <c r="AP157" i="3"/>
  <c r="AP156" i="3"/>
  <c r="AP155" i="3"/>
  <c r="AP154" i="3"/>
  <c r="AP153" i="3"/>
  <c r="AP152" i="3"/>
  <c r="AP151" i="3"/>
  <c r="AP150" i="3"/>
  <c r="AP149" i="3"/>
  <c r="AP148" i="3"/>
  <c r="AP147" i="3"/>
  <c r="AP146" i="3"/>
  <c r="AP145" i="3"/>
  <c r="AP144" i="3"/>
  <c r="AP143" i="3"/>
  <c r="AP142" i="3"/>
  <c r="AP141" i="3"/>
  <c r="AP140" i="3"/>
  <c r="AP139" i="3"/>
  <c r="AP138" i="3"/>
  <c r="AP137" i="3"/>
  <c r="AP136" i="3"/>
  <c r="AP135" i="3"/>
  <c r="AP134" i="3"/>
  <c r="AP133" i="3"/>
  <c r="AP132" i="3"/>
  <c r="AP131" i="3"/>
  <c r="AP130" i="3"/>
  <c r="AP129" i="3"/>
  <c r="AP128" i="3"/>
  <c r="AP127" i="3"/>
  <c r="AP126" i="3"/>
  <c r="AP125" i="3"/>
  <c r="AP124" i="3"/>
  <c r="AP123" i="3"/>
  <c r="AP122" i="3"/>
  <c r="AP121" i="3"/>
  <c r="AP120" i="3"/>
  <c r="AP119" i="3"/>
  <c r="AP118" i="3"/>
  <c r="AP117" i="3"/>
  <c r="AP116" i="3"/>
  <c r="AP115" i="3"/>
  <c r="AP114" i="3"/>
  <c r="AP113" i="3"/>
  <c r="AP112" i="3"/>
  <c r="AP111" i="3"/>
  <c r="AP110" i="3"/>
  <c r="AP109" i="3"/>
  <c r="AP108" i="3"/>
  <c r="AP107" i="3"/>
  <c r="AP106" i="3"/>
  <c r="AP105" i="3"/>
  <c r="AP104" i="3"/>
  <c r="AP103" i="3"/>
  <c r="AP102" i="3"/>
  <c r="AP101" i="3"/>
  <c r="AP100" i="3"/>
  <c r="AP99" i="3"/>
  <c r="AP98" i="3"/>
  <c r="AP97" i="3"/>
  <c r="AP96" i="3"/>
  <c r="AP95" i="3"/>
  <c r="AP94" i="3"/>
  <c r="AP93" i="3"/>
  <c r="AP92" i="3"/>
  <c r="AP91" i="3"/>
  <c r="AP90" i="3"/>
  <c r="AP89" i="3"/>
  <c r="B12" i="6"/>
  <c r="AP88" i="3"/>
  <c r="AP87" i="3"/>
  <c r="AP86" i="3"/>
  <c r="B51" i="6"/>
  <c r="AP85" i="3"/>
  <c r="AP84" i="3"/>
  <c r="AP83" i="3"/>
  <c r="AP82" i="3"/>
  <c r="AP81" i="3"/>
  <c r="AP80" i="3"/>
  <c r="AP79" i="3"/>
  <c r="AP78" i="3"/>
  <c r="AP77" i="3"/>
  <c r="AP76" i="3"/>
  <c r="AP75" i="3"/>
  <c r="AP74" i="3"/>
  <c r="AP73" i="3"/>
  <c r="AP72" i="3"/>
  <c r="AP71" i="3"/>
  <c r="AP70" i="3"/>
  <c r="AP69" i="3"/>
  <c r="AP68" i="3"/>
  <c r="AP67" i="3"/>
  <c r="AP66" i="3"/>
  <c r="AP65" i="3"/>
  <c r="AP64" i="3"/>
  <c r="AP63" i="3"/>
  <c r="AP62" i="3"/>
  <c r="AP61" i="3"/>
  <c r="AP60" i="3"/>
  <c r="AP59" i="3"/>
  <c r="AP58" i="3"/>
  <c r="AP57" i="3"/>
  <c r="AP56" i="3"/>
  <c r="AP55" i="3"/>
  <c r="AP54" i="3"/>
  <c r="AP53" i="3"/>
  <c r="AP52" i="3"/>
  <c r="AP51" i="3"/>
  <c r="AP50" i="3"/>
  <c r="AP49" i="3"/>
  <c r="AP48" i="3"/>
  <c r="AP47" i="3"/>
  <c r="AP46" i="3"/>
  <c r="AP45" i="3"/>
  <c r="AP44" i="3"/>
  <c r="AP43" i="3"/>
  <c r="B77" i="6"/>
  <c r="AP42" i="3"/>
  <c r="AP41" i="3"/>
  <c r="AP40" i="3"/>
  <c r="AP39" i="3"/>
  <c r="AP38" i="3"/>
  <c r="AP37" i="3"/>
  <c r="AP36" i="3"/>
  <c r="AP35" i="3"/>
  <c r="AP34" i="3"/>
  <c r="AP33" i="3"/>
  <c r="AP32" i="3"/>
  <c r="AP31" i="3"/>
  <c r="AP30" i="3"/>
  <c r="E64" i="6"/>
  <c r="AP29" i="3"/>
  <c r="AP28" i="3"/>
  <c r="AP27" i="3"/>
  <c r="AP26" i="3"/>
  <c r="AP25" i="3"/>
  <c r="AP24" i="3"/>
  <c r="AP23" i="3"/>
  <c r="AP22" i="3"/>
  <c r="AP21" i="3"/>
  <c r="AP20" i="3"/>
  <c r="AP19" i="3"/>
  <c r="H64" i="6"/>
  <c r="AP18" i="3"/>
  <c r="B64" i="6"/>
  <c r="AP17" i="3"/>
  <c r="H51" i="6"/>
  <c r="AP16" i="3"/>
  <c r="E51" i="6"/>
  <c r="AP15" i="3"/>
  <c r="E38" i="6"/>
  <c r="AP14" i="3"/>
  <c r="B38" i="6"/>
  <c r="AP13" i="3"/>
  <c r="H25" i="6"/>
  <c r="AP12" i="3"/>
  <c r="E25" i="6"/>
  <c r="AP11" i="3"/>
  <c r="B25" i="6"/>
  <c r="AP10" i="3"/>
  <c r="H12" i="6"/>
  <c r="AP9" i="3"/>
  <c r="E12" i="6"/>
  <c r="AP8" i="3"/>
  <c r="AP7" i="3"/>
  <c r="AP6" i="3"/>
  <c r="BE5" i="3"/>
  <c r="AP5" i="3"/>
  <c r="CP4" i="3"/>
  <c r="CO4" i="3"/>
  <c r="CN4" i="3"/>
  <c r="CE4" i="3"/>
  <c r="BR4" i="3"/>
  <c r="BP4" i="3"/>
  <c r="BJ4" i="3"/>
  <c r="H38" i="6"/>
  <c r="D5" i="14"/>
  <c r="L25" i="3"/>
  <c r="L245" i="3"/>
  <c r="L21" i="3"/>
  <c r="L62" i="3"/>
  <c r="L66" i="3"/>
  <c r="L96" i="3"/>
  <c r="L111" i="3"/>
  <c r="L130" i="3"/>
  <c r="L54" i="3"/>
  <c r="L77" i="3"/>
  <c r="L157" i="3"/>
  <c r="L225" i="3"/>
  <c r="L265" i="3"/>
  <c r="L269" i="3"/>
  <c r="L40" i="3"/>
  <c r="L44" i="3"/>
  <c r="L55" i="3"/>
  <c r="L70" i="3"/>
  <c r="L74" i="3"/>
  <c r="L138" i="3"/>
  <c r="L142" i="3"/>
  <c r="L154" i="3"/>
  <c r="L158" i="3"/>
  <c r="L162" i="3"/>
  <c r="L170" i="3"/>
  <c r="L178" i="3"/>
  <c r="L182" i="3"/>
  <c r="L186" i="3"/>
  <c r="L202" i="3"/>
  <c r="L210" i="3"/>
  <c r="L218" i="3"/>
  <c r="L222" i="3"/>
  <c r="L234" i="3"/>
  <c r="L258" i="3"/>
  <c r="L262" i="3"/>
  <c r="L266" i="3"/>
  <c r="L270" i="3"/>
  <c r="L286" i="3"/>
  <c r="L290" i="3"/>
  <c r="L43" i="3"/>
  <c r="L73" i="3"/>
  <c r="L173" i="3"/>
  <c r="L205" i="3"/>
  <c r="L241" i="3"/>
  <c r="L261" i="3"/>
  <c r="L67" i="3"/>
  <c r="L97" i="3"/>
  <c r="L101" i="3"/>
  <c r="L112" i="3"/>
  <c r="L24" i="3"/>
  <c r="L107" i="3"/>
  <c r="L185" i="3"/>
  <c r="L209" i="3"/>
  <c r="L26" i="3"/>
  <c r="L56" i="3"/>
  <c r="L90" i="3"/>
  <c r="L109" i="3"/>
  <c r="L120" i="3"/>
  <c r="L139" i="3"/>
  <c r="L155" i="3"/>
  <c r="L163" i="3"/>
  <c r="L167" i="3"/>
  <c r="L171" i="3"/>
  <c r="L175" i="3"/>
  <c r="L179" i="3"/>
  <c r="L195" i="3"/>
  <c r="L203" i="3"/>
  <c r="L211" i="3"/>
  <c r="L219" i="3"/>
  <c r="L223" i="3"/>
  <c r="L231" i="3"/>
  <c r="L239" i="3"/>
  <c r="L243" i="3"/>
  <c r="L247" i="3"/>
  <c r="L263" i="3"/>
  <c r="L267" i="3"/>
  <c r="L279" i="3"/>
  <c r="L28" i="3"/>
  <c r="L161" i="3"/>
  <c r="L177" i="3"/>
  <c r="L253" i="3"/>
  <c r="L273" i="3"/>
  <c r="L281" i="3"/>
  <c r="L34" i="3"/>
  <c r="L49" i="3"/>
  <c r="L53" i="3"/>
  <c r="L79" i="3"/>
  <c r="L98" i="3"/>
  <c r="L117" i="3"/>
  <c r="L128" i="3"/>
  <c r="L132" i="3"/>
  <c r="L217" i="3"/>
  <c r="L285" i="3"/>
  <c r="L289" i="3"/>
  <c r="L8" i="3"/>
  <c r="L42" i="3"/>
  <c r="L72" i="3"/>
  <c r="L87" i="3"/>
  <c r="L136" i="3"/>
  <c r="L144" i="3"/>
  <c r="L168" i="3"/>
  <c r="L184" i="3"/>
  <c r="L188" i="3"/>
  <c r="L192" i="3"/>
  <c r="L196" i="3"/>
  <c r="L200" i="3"/>
  <c r="L208" i="3"/>
  <c r="L212" i="3"/>
  <c r="L216" i="3"/>
  <c r="L236" i="3"/>
  <c r="L248" i="3"/>
  <c r="L260" i="3"/>
  <c r="L264" i="3"/>
  <c r="L268" i="3"/>
  <c r="L276" i="3"/>
  <c r="L280" i="3"/>
  <c r="L9" i="3"/>
  <c r="L137" i="3"/>
  <c r="L145" i="3"/>
  <c r="L237" i="3"/>
  <c r="L16" i="3"/>
  <c r="L46" i="3"/>
  <c r="L65" i="3"/>
  <c r="L80" i="3"/>
  <c r="L95" i="3"/>
  <c r="L110" i="3"/>
  <c r="AZ4" i="3"/>
  <c r="R4" i="3"/>
  <c r="F281" i="3"/>
  <c r="O4" i="3"/>
  <c r="M4" i="3"/>
  <c r="L5" i="3"/>
  <c r="AQ4" i="3"/>
  <c r="N4" i="3"/>
  <c r="F123" i="3"/>
  <c r="F276" i="3"/>
  <c r="F265" i="3"/>
  <c r="F180" i="3"/>
  <c r="F219" i="3"/>
  <c r="F197" i="3"/>
  <c r="F125" i="3"/>
  <c r="F47" i="3"/>
  <c r="F218" i="3"/>
  <c r="F280" i="3"/>
  <c r="F128" i="3"/>
  <c r="F64" i="3"/>
  <c r="F282" i="3"/>
  <c r="F186" i="3"/>
  <c r="F137" i="3"/>
  <c r="F223" i="3"/>
  <c r="F44" i="3"/>
  <c r="F154" i="3"/>
  <c r="F201" i="3"/>
  <c r="F184" i="3"/>
  <c r="F269" i="3"/>
  <c r="F93" i="3"/>
  <c r="F108" i="3"/>
  <c r="F130" i="3"/>
  <c r="F20" i="3"/>
  <c r="F275" i="3"/>
  <c r="F81" i="3"/>
  <c r="F152" i="3"/>
  <c r="F248" i="3"/>
  <c r="F53" i="3"/>
  <c r="F243" i="3"/>
  <c r="F29" i="3"/>
  <c r="F260" i="3"/>
  <c r="F26" i="3"/>
  <c r="F149" i="3"/>
  <c r="F68" i="3"/>
  <c r="F124" i="3"/>
  <c r="F286" i="3"/>
  <c r="F97" i="3"/>
  <c r="F151" i="3"/>
  <c r="F122" i="3"/>
  <c r="K4" i="3"/>
  <c r="F290" i="3"/>
  <c r="F194" i="3"/>
  <c r="F46" i="3"/>
  <c r="F177" i="3"/>
  <c r="F59" i="3"/>
  <c r="F112" i="3"/>
  <c r="F209" i="3"/>
  <c r="F117" i="3"/>
  <c r="F277" i="3"/>
  <c r="F162" i="3"/>
  <c r="F34" i="3"/>
  <c r="F85" i="3"/>
  <c r="F204" i="3"/>
  <c r="F179" i="3"/>
  <c r="F147" i="3"/>
  <c r="F257" i="3"/>
  <c r="F21" i="3"/>
  <c r="F50" i="3"/>
  <c r="F270" i="3"/>
  <c r="F268" i="3"/>
  <c r="F206" i="3"/>
  <c r="F80" i="3"/>
  <c r="F140" i="3"/>
  <c r="F98" i="3"/>
  <c r="F157" i="3"/>
  <c r="F131" i="3"/>
  <c r="F41" i="3"/>
  <c r="F189" i="3"/>
  <c r="F236" i="3"/>
  <c r="F242" i="3"/>
  <c r="F61" i="3"/>
  <c r="F208" i="3"/>
  <c r="F215" i="3"/>
  <c r="F193" i="3"/>
  <c r="F25" i="3"/>
  <c r="F240" i="3"/>
  <c r="F58" i="3"/>
  <c r="F255" i="3"/>
  <c r="F114" i="3"/>
  <c r="F144" i="3"/>
  <c r="F146" i="3"/>
  <c r="F89" i="3"/>
  <c r="F32" i="3"/>
  <c r="F67" i="3"/>
  <c r="F52" i="3"/>
  <c r="F210" i="3"/>
  <c r="F274" i="3"/>
  <c r="F261" i="3"/>
  <c r="F225" i="3"/>
  <c r="F178" i="3"/>
  <c r="F272" i="3"/>
  <c r="F30" i="3"/>
  <c r="F284" i="3"/>
  <c r="F271" i="3"/>
  <c r="F77" i="3"/>
  <c r="F43" i="3"/>
  <c r="F132" i="3"/>
  <c r="F190" i="3"/>
  <c r="F237" i="3"/>
  <c r="F55" i="3"/>
  <c r="F188" i="3"/>
  <c r="F231" i="3"/>
  <c r="F195" i="3"/>
  <c r="F173" i="3"/>
  <c r="F119" i="3"/>
  <c r="F27" i="3"/>
  <c r="F222" i="3"/>
  <c r="F60" i="3"/>
  <c r="F220" i="3"/>
  <c r="F88" i="3"/>
  <c r="F156" i="3"/>
  <c r="F158" i="3"/>
  <c r="F234" i="3"/>
  <c r="F283" i="3"/>
  <c r="F247" i="3"/>
  <c r="F94" i="3"/>
  <c r="F207" i="3"/>
  <c r="F143" i="3"/>
  <c r="F289" i="3"/>
  <c r="F200" i="3"/>
  <c r="F256" i="3"/>
  <c r="F170" i="3"/>
  <c r="F239" i="3"/>
  <c r="F135" i="3"/>
  <c r="F185" i="3"/>
  <c r="F107" i="3"/>
  <c r="F224" i="3"/>
  <c r="F199" i="3"/>
  <c r="F100" i="3"/>
  <c r="F160" i="3"/>
  <c r="F228" i="3"/>
  <c r="F196" i="3"/>
  <c r="F164" i="3"/>
  <c r="F95" i="3"/>
  <c r="F166" i="3"/>
  <c r="F181" i="3"/>
  <c r="F113" i="3"/>
  <c r="F155" i="3"/>
  <c r="F150" i="3"/>
  <c r="F62" i="3"/>
  <c r="F229" i="3"/>
  <c r="F262" i="3"/>
  <c r="F103" i="3"/>
  <c r="F165" i="3"/>
  <c r="F227" i="3"/>
  <c r="F253" i="3"/>
  <c r="F69" i="3"/>
  <c r="F235" i="3"/>
  <c r="F129" i="3"/>
  <c r="F182" i="3"/>
  <c r="F263" i="3"/>
  <c r="F13" i="3"/>
  <c r="F16" i="3"/>
  <c r="F19" i="3"/>
  <c r="F14" i="3"/>
  <c r="F15" i="3"/>
  <c r="AC4" i="3"/>
  <c r="F104" i="3"/>
  <c r="F70" i="3"/>
  <c r="F174" i="3"/>
  <c r="F232" i="3"/>
  <c r="F145" i="3"/>
  <c r="F246" i="3"/>
  <c r="F153" i="3"/>
  <c r="F187" i="3"/>
  <c r="F90" i="3"/>
  <c r="F214" i="3"/>
  <c r="F73" i="3"/>
  <c r="F40" i="3"/>
  <c r="F10" i="3"/>
  <c r="F91" i="3"/>
  <c r="F96" i="3"/>
  <c r="F115" i="3"/>
  <c r="F79" i="3"/>
  <c r="F238" i="3"/>
  <c r="F167" i="3"/>
  <c r="F54" i="3"/>
  <c r="F38" i="3"/>
  <c r="F118" i="3"/>
  <c r="F33" i="3"/>
  <c r="F99" i="3"/>
  <c r="F138" i="3"/>
  <c r="F17" i="3"/>
  <c r="F191" i="3"/>
  <c r="F39" i="3"/>
  <c r="F216" i="3"/>
  <c r="F6" i="3"/>
  <c r="F171" i="3"/>
  <c r="F71" i="3"/>
  <c r="F72" i="3"/>
  <c r="F83" i="3"/>
  <c r="F176" i="3"/>
  <c r="F161" i="3"/>
  <c r="F35" i="3"/>
  <c r="F56" i="3"/>
  <c r="F142" i="3"/>
  <c r="F264" i="3"/>
  <c r="F111" i="3"/>
  <c r="F8" i="3"/>
  <c r="F49" i="3"/>
  <c r="F51" i="3"/>
  <c r="F106" i="3"/>
  <c r="F172" i="3"/>
  <c r="F121" i="3"/>
  <c r="F251" i="3"/>
  <c r="F183" i="3"/>
  <c r="F288" i="3"/>
  <c r="F203" i="3"/>
  <c r="F110" i="3"/>
  <c r="F76" i="3"/>
  <c r="F48" i="3"/>
  <c r="F120" i="3"/>
  <c r="F23" i="3"/>
  <c r="F78" i="3"/>
  <c r="F102" i="3"/>
  <c r="F139" i="3"/>
  <c r="F168" i="3"/>
  <c r="F116" i="3"/>
  <c r="F175" i="3"/>
  <c r="F9" i="3"/>
  <c r="F63" i="3"/>
  <c r="F109" i="3"/>
  <c r="F126" i="3"/>
  <c r="F279" i="3"/>
  <c r="F163" i="3"/>
  <c r="F254" i="3"/>
  <c r="F7" i="3"/>
  <c r="F28" i="3"/>
  <c r="F233" i="3"/>
  <c r="F36" i="3"/>
  <c r="F169" i="3"/>
  <c r="F202" i="3"/>
  <c r="F37" i="3"/>
  <c r="F75" i="3"/>
  <c r="F198" i="3"/>
  <c r="F287" i="3"/>
  <c r="F221" i="3"/>
  <c r="F205" i="3"/>
  <c r="F244" i="3"/>
  <c r="F18" i="3"/>
  <c r="F82" i="3"/>
  <c r="F212" i="3"/>
  <c r="F127" i="3"/>
  <c r="F136" i="3"/>
  <c r="F42" i="3"/>
  <c r="F250" i="3"/>
  <c r="F258" i="3"/>
  <c r="F133" i="3"/>
  <c r="F45" i="3"/>
  <c r="F148" i="3"/>
  <c r="F285" i="3"/>
  <c r="F230" i="3"/>
  <c r="F92" i="3"/>
  <c r="F84" i="3"/>
  <c r="F226" i="3"/>
  <c r="F24" i="3"/>
  <c r="F249" i="3"/>
  <c r="F266" i="3"/>
  <c r="F141" i="3"/>
  <c r="F159" i="3"/>
  <c r="F66" i="3"/>
  <c r="F217" i="3"/>
  <c r="F105" i="3"/>
  <c r="F259" i="3"/>
  <c r="F12" i="3"/>
  <c r="F134" i="3"/>
  <c r="F273" i="3"/>
  <c r="F74" i="3"/>
  <c r="F252" i="3"/>
  <c r="F65" i="3"/>
  <c r="F192" i="3"/>
  <c r="F245" i="3"/>
  <c r="F241" i="3"/>
  <c r="F57" i="3"/>
  <c r="F87" i="3"/>
  <c r="F86" i="3"/>
  <c r="F22" i="3"/>
  <c r="F211" i="3"/>
  <c r="F267" i="3"/>
  <c r="F213" i="3"/>
  <c r="F31" i="3"/>
  <c r="F278" i="3"/>
  <c r="F101" i="3"/>
  <c r="F11" i="3"/>
  <c r="E4" i="3"/>
  <c r="F5" i="3"/>
  <c r="AX25" i="10" l="1"/>
  <c r="BC260" i="3" s="1"/>
  <c r="H178" i="14"/>
  <c r="I178" i="14" s="1"/>
  <c r="J178" i="14" s="1"/>
  <c r="P177" i="3" s="1"/>
  <c r="H240" i="14"/>
  <c r="I240" i="14" s="1"/>
  <c r="J240" i="14" s="1"/>
  <c r="P239" i="3" s="1"/>
  <c r="CF85" i="3"/>
  <c r="CG85" i="3" s="1"/>
  <c r="CH85" i="3" s="1"/>
  <c r="CF153" i="3"/>
  <c r="CG153" i="3" s="1"/>
  <c r="CH153" i="3" s="1"/>
  <c r="CF209" i="3"/>
  <c r="CG209" i="3" s="1"/>
  <c r="CH209" i="3" s="1"/>
  <c r="CF189" i="3"/>
  <c r="CG189" i="3" s="1"/>
  <c r="CH189" i="3" s="1"/>
  <c r="CF78" i="3"/>
  <c r="CG78" i="3" s="1"/>
  <c r="CH78" i="3" s="1"/>
  <c r="CF146" i="3"/>
  <c r="CG146" i="3" s="1"/>
  <c r="CH146" i="3" s="1"/>
  <c r="CF162" i="3"/>
  <c r="CG162" i="3" s="1"/>
  <c r="CH162" i="3" s="1"/>
  <c r="CF174" i="3"/>
  <c r="CG174" i="3" s="1"/>
  <c r="CH174" i="3" s="1"/>
  <c r="CF178" i="3"/>
  <c r="CG178" i="3" s="1"/>
  <c r="CH178" i="3" s="1"/>
  <c r="CF190" i="3"/>
  <c r="CG190" i="3" s="1"/>
  <c r="CH190" i="3" s="1"/>
  <c r="CF206" i="3"/>
  <c r="CG206" i="3" s="1"/>
  <c r="CH206" i="3" s="1"/>
  <c r="CF210" i="3"/>
  <c r="CG210" i="3" s="1"/>
  <c r="CH210" i="3" s="1"/>
  <c r="CF246" i="3"/>
  <c r="CG246" i="3" s="1"/>
  <c r="CH246" i="3" s="1"/>
  <c r="CF250" i="3"/>
  <c r="CG250" i="3" s="1"/>
  <c r="CH250" i="3" s="1"/>
  <c r="CF254" i="3"/>
  <c r="CG254" i="3" s="1"/>
  <c r="CH254" i="3" s="1"/>
  <c r="CF270" i="3"/>
  <c r="CG270" i="3" s="1"/>
  <c r="CH270" i="3" s="1"/>
  <c r="CF117" i="3"/>
  <c r="CG117" i="3" s="1"/>
  <c r="CH117" i="3" s="1"/>
  <c r="CF157" i="3"/>
  <c r="CG157" i="3" s="1"/>
  <c r="CH157" i="3" s="1"/>
  <c r="CF225" i="3"/>
  <c r="CG225" i="3" s="1"/>
  <c r="CH225" i="3" s="1"/>
  <c r="CF73" i="3"/>
  <c r="CG73" i="3" s="1"/>
  <c r="CH73" i="3" s="1"/>
  <c r="CF19" i="3"/>
  <c r="CG19" i="3" s="1"/>
  <c r="CH19" i="3" s="1"/>
  <c r="CF23" i="3"/>
  <c r="CG23" i="3" s="1"/>
  <c r="CH23" i="3" s="1"/>
  <c r="CF43" i="3"/>
  <c r="CG43" i="3" s="1"/>
  <c r="CH43" i="3" s="1"/>
  <c r="CF47" i="3"/>
  <c r="CG47" i="3" s="1"/>
  <c r="CH47" i="3" s="1"/>
  <c r="CF99" i="3"/>
  <c r="CG99" i="3" s="1"/>
  <c r="CH99" i="3" s="1"/>
  <c r="CF271" i="3"/>
  <c r="CG271" i="3" s="1"/>
  <c r="CH271" i="3" s="1"/>
  <c r="CF279" i="3"/>
  <c r="CG279" i="3" s="1"/>
  <c r="CH279" i="3" s="1"/>
  <c r="CF129" i="3"/>
  <c r="CG129" i="3" s="1"/>
  <c r="CH129" i="3" s="1"/>
  <c r="CF165" i="3"/>
  <c r="CG165" i="3" s="1"/>
  <c r="CH165" i="3" s="1"/>
  <c r="CF33" i="3"/>
  <c r="CG33" i="3" s="1"/>
  <c r="CH33" i="3" s="1"/>
  <c r="CF20" i="3"/>
  <c r="CG20" i="3" s="1"/>
  <c r="CH20" i="3" s="1"/>
  <c r="CF72" i="3"/>
  <c r="CG72" i="3" s="1"/>
  <c r="CH72" i="3" s="1"/>
  <c r="CF88" i="3"/>
  <c r="CG88" i="3" s="1"/>
  <c r="CH88" i="3" s="1"/>
  <c r="CF128" i="3"/>
  <c r="CG128" i="3" s="1"/>
  <c r="CH128" i="3" s="1"/>
  <c r="CF156" i="3"/>
  <c r="CG156" i="3" s="1"/>
  <c r="CH156" i="3" s="1"/>
  <c r="CF216" i="3"/>
  <c r="CG216" i="3" s="1"/>
  <c r="CH216" i="3" s="1"/>
  <c r="CF224" i="3"/>
  <c r="CG224" i="3" s="1"/>
  <c r="CH224" i="3" s="1"/>
  <c r="CF232" i="3"/>
  <c r="CG232" i="3" s="1"/>
  <c r="CH232" i="3" s="1"/>
  <c r="CF248" i="3"/>
  <c r="CG248" i="3" s="1"/>
  <c r="CH248" i="3" s="1"/>
  <c r="CF264" i="3"/>
  <c r="CG264" i="3" s="1"/>
  <c r="CH264" i="3" s="1"/>
  <c r="CF276" i="3"/>
  <c r="CG276" i="3" s="1"/>
  <c r="CH276" i="3" s="1"/>
  <c r="AJ72" i="3"/>
  <c r="X151" i="3"/>
  <c r="X72" i="3"/>
  <c r="V139" i="3"/>
  <c r="V143" i="3"/>
  <c r="V167" i="3"/>
  <c r="V20" i="3"/>
  <c r="V28" i="3"/>
  <c r="V80" i="3"/>
  <c r="V148" i="3"/>
  <c r="V236" i="3"/>
  <c r="V264" i="3"/>
  <c r="V157" i="3"/>
  <c r="V173" i="3"/>
  <c r="V74" i="3"/>
  <c r="AE10" i="3"/>
  <c r="AE22" i="3"/>
  <c r="AE74" i="3"/>
  <c r="E73" i="19" s="1"/>
  <c r="AE78" i="3"/>
  <c r="AE82" i="3"/>
  <c r="AE90" i="3"/>
  <c r="AE94" i="3"/>
  <c r="AE98" i="3"/>
  <c r="AE106" i="3"/>
  <c r="AE114" i="3"/>
  <c r="AE130" i="3"/>
  <c r="AE134" i="3"/>
  <c r="AE138" i="3"/>
  <c r="AE146" i="3"/>
  <c r="AE150" i="3"/>
  <c r="E149" i="19" s="1"/>
  <c r="AE154" i="3"/>
  <c r="AE158" i="3"/>
  <c r="AE162" i="3"/>
  <c r="AE186" i="3"/>
  <c r="AE190" i="3"/>
  <c r="AE194" i="3"/>
  <c r="AE198" i="3"/>
  <c r="AE202" i="3"/>
  <c r="AE206" i="3"/>
  <c r="AE210" i="3"/>
  <c r="AE214" i="3"/>
  <c r="AE226" i="3"/>
  <c r="AE230" i="3"/>
  <c r="AE234" i="3"/>
  <c r="AE238" i="3"/>
  <c r="AE242" i="3"/>
  <c r="E241" i="19" s="1"/>
  <c r="AE246" i="3"/>
  <c r="AE254" i="3"/>
  <c r="AE278" i="3"/>
  <c r="E277" i="19" s="1"/>
  <c r="AE282" i="3"/>
  <c r="E281" i="19" s="1"/>
  <c r="AE19" i="3"/>
  <c r="E18" i="19" s="1"/>
  <c r="AE71" i="3"/>
  <c r="AE87" i="3"/>
  <c r="AE127" i="3"/>
  <c r="AE135" i="3"/>
  <c r="E134" i="19" s="1"/>
  <c r="AE139" i="3"/>
  <c r="AE143" i="3"/>
  <c r="AE155" i="3"/>
  <c r="AE167" i="3"/>
  <c r="E166" i="19" s="1"/>
  <c r="AE171" i="3"/>
  <c r="AE175" i="3"/>
  <c r="AE179" i="3"/>
  <c r="AE183" i="3"/>
  <c r="AE187" i="3"/>
  <c r="AE191" i="3"/>
  <c r="AE195" i="3"/>
  <c r="AE203" i="3"/>
  <c r="AE207" i="3"/>
  <c r="AE215" i="3"/>
  <c r="AE223" i="3"/>
  <c r="E222" i="19" s="1"/>
  <c r="AE227" i="3"/>
  <c r="E226" i="19" s="1"/>
  <c r="AE231" i="3"/>
  <c r="AE247" i="3"/>
  <c r="AE263" i="3"/>
  <c r="AE267" i="3"/>
  <c r="AE271" i="3"/>
  <c r="E270" i="19" s="1"/>
  <c r="AE275" i="3"/>
  <c r="E274" i="19" s="1"/>
  <c r="AE279" i="3"/>
  <c r="E278" i="19" s="1"/>
  <c r="AE283" i="3"/>
  <c r="E282" i="19" s="1"/>
  <c r="AE287" i="3"/>
  <c r="E286" i="19" s="1"/>
  <c r="AE47" i="3"/>
  <c r="E46" i="19" s="1"/>
  <c r="AE20" i="3"/>
  <c r="AE24" i="3"/>
  <c r="AE32" i="3"/>
  <c r="AE36" i="3"/>
  <c r="E35" i="19" s="1"/>
  <c r="AE48" i="3"/>
  <c r="AE52" i="3"/>
  <c r="AE64" i="3"/>
  <c r="AE68" i="3"/>
  <c r="AE72" i="3"/>
  <c r="E71" i="19" s="1"/>
  <c r="AE76" i="3"/>
  <c r="E75" i="19" s="1"/>
  <c r="AE100" i="3"/>
  <c r="AE104" i="3"/>
  <c r="AE108" i="3"/>
  <c r="AE112" i="3"/>
  <c r="AE120" i="3"/>
  <c r="AE124" i="3"/>
  <c r="AE132" i="3"/>
  <c r="E131" i="19" s="1"/>
  <c r="AE136" i="3"/>
  <c r="AE140" i="3"/>
  <c r="AE144" i="3"/>
  <c r="E143" i="19" s="1"/>
  <c r="AE152" i="3"/>
  <c r="AE160" i="3"/>
  <c r="E159" i="19" s="1"/>
  <c r="AE164" i="3"/>
  <c r="E163" i="19" s="1"/>
  <c r="AE168" i="3"/>
  <c r="E167" i="19" s="1"/>
  <c r="AE172" i="3"/>
  <c r="E171" i="19" s="1"/>
  <c r="AE180" i="3"/>
  <c r="AE184" i="3"/>
  <c r="AE188" i="3"/>
  <c r="E187" i="19" s="1"/>
  <c r="AE212" i="3"/>
  <c r="AE216" i="3"/>
  <c r="AE220" i="3"/>
  <c r="AE224" i="3"/>
  <c r="AE232" i="3"/>
  <c r="AE240" i="3"/>
  <c r="E239" i="19" s="1"/>
  <c r="AE244" i="3"/>
  <c r="AE252" i="3"/>
  <c r="E251" i="19" s="1"/>
  <c r="AE256" i="3"/>
  <c r="E255" i="19" s="1"/>
  <c r="AE260" i="3"/>
  <c r="AE264" i="3"/>
  <c r="AE272" i="3"/>
  <c r="E271" i="19" s="1"/>
  <c r="AE276" i="3"/>
  <c r="E275" i="19" s="1"/>
  <c r="AE55" i="3"/>
  <c r="AE83" i="3"/>
  <c r="AE131" i="3"/>
  <c r="E130" i="19" s="1"/>
  <c r="AE15" i="3"/>
  <c r="AE59" i="3"/>
  <c r="AE13" i="3"/>
  <c r="AE21" i="3"/>
  <c r="E20" i="19" s="1"/>
  <c r="AE29" i="3"/>
  <c r="AE37" i="3"/>
  <c r="E36" i="19" s="1"/>
  <c r="AE45" i="3"/>
  <c r="E44" i="19" s="1"/>
  <c r="AE65" i="3"/>
  <c r="AE81" i="3"/>
  <c r="E80" i="19" s="1"/>
  <c r="AE85" i="3"/>
  <c r="AE89" i="3"/>
  <c r="AE93" i="3"/>
  <c r="E92" i="19" s="1"/>
  <c r="AE97" i="3"/>
  <c r="AE121" i="3"/>
  <c r="E120" i="19" s="1"/>
  <c r="AE129" i="3"/>
  <c r="E128" i="19" s="1"/>
  <c r="AE157" i="3"/>
  <c r="AE161" i="3"/>
  <c r="E160" i="19" s="1"/>
  <c r="AE169" i="3"/>
  <c r="AE177" i="3"/>
  <c r="E176" i="19" s="1"/>
  <c r="AE193" i="3"/>
  <c r="E192" i="19" s="1"/>
  <c r="AE197" i="3"/>
  <c r="E196" i="19" s="1"/>
  <c r="AE201" i="3"/>
  <c r="E200" i="19" s="1"/>
  <c r="AE205" i="3"/>
  <c r="AE209" i="3"/>
  <c r="E208" i="19" s="1"/>
  <c r="AE217" i="3"/>
  <c r="CT221" i="3"/>
  <c r="AE225" i="3"/>
  <c r="E224" i="19" s="1"/>
  <c r="AE249" i="3"/>
  <c r="E248" i="19" s="1"/>
  <c r="AE253" i="3"/>
  <c r="AE261" i="3"/>
  <c r="AE265" i="3"/>
  <c r="E264" i="19" s="1"/>
  <c r="AE269" i="3"/>
  <c r="E268" i="19" s="1"/>
  <c r="AE281" i="3"/>
  <c r="E280" i="19" s="1"/>
  <c r="AE289" i="3"/>
  <c r="E288" i="19" s="1"/>
  <c r="AA68" i="3"/>
  <c r="AA72" i="3"/>
  <c r="B26" i="6"/>
  <c r="H159" i="14"/>
  <c r="I159" i="14" s="1"/>
  <c r="J159" i="14" s="1"/>
  <c r="P158" i="3" s="1"/>
  <c r="H57" i="14"/>
  <c r="I57" i="14" s="1"/>
  <c r="J57" i="14" s="1"/>
  <c r="P56" i="3" s="1"/>
  <c r="H82" i="14"/>
  <c r="I82" i="14" s="1"/>
  <c r="J82" i="14" s="1"/>
  <c r="P81" i="3" s="1"/>
  <c r="H189" i="14"/>
  <c r="I189" i="14" s="1"/>
  <c r="J189" i="14" s="1"/>
  <c r="P188" i="3" s="1"/>
  <c r="H9" i="14"/>
  <c r="I9" i="14" s="1"/>
  <c r="J9" i="14" s="1"/>
  <c r="P8" i="3" s="1"/>
  <c r="H41" i="14"/>
  <c r="I41" i="14" s="1"/>
  <c r="J41" i="14" s="1"/>
  <c r="P40" i="3" s="1"/>
  <c r="H112" i="14"/>
  <c r="I112" i="14" s="1"/>
  <c r="J112" i="14" s="1"/>
  <c r="P111" i="3" s="1"/>
  <c r="H66" i="14"/>
  <c r="I66" i="14" s="1"/>
  <c r="J66" i="14" s="1"/>
  <c r="P65" i="3" s="1"/>
  <c r="H75" i="14"/>
  <c r="I75" i="14" s="1"/>
  <c r="J75" i="14" s="1"/>
  <c r="P74" i="3" s="1"/>
  <c r="H130" i="14"/>
  <c r="I130" i="14" s="1"/>
  <c r="J130" i="14" s="1"/>
  <c r="P129" i="3" s="1"/>
  <c r="H290" i="14"/>
  <c r="I290" i="14" s="1"/>
  <c r="J290" i="14" s="1"/>
  <c r="P289" i="3" s="1"/>
  <c r="H54" i="14"/>
  <c r="I54" i="14" s="1"/>
  <c r="J54" i="14" s="1"/>
  <c r="P53" i="3" s="1"/>
  <c r="H97" i="14"/>
  <c r="I97" i="14" s="1"/>
  <c r="J97" i="14" s="1"/>
  <c r="P96" i="3" s="1"/>
  <c r="H286" i="14"/>
  <c r="I286" i="14" s="1"/>
  <c r="J286" i="14" s="1"/>
  <c r="P285" i="3" s="1"/>
  <c r="H74" i="14"/>
  <c r="I74" i="14" s="1"/>
  <c r="J74" i="14" s="1"/>
  <c r="P73" i="3" s="1"/>
  <c r="H111" i="14"/>
  <c r="I111" i="14" s="1"/>
  <c r="J111" i="14" s="1"/>
  <c r="P110" i="3" s="1"/>
  <c r="H138" i="14"/>
  <c r="I138" i="14" s="1"/>
  <c r="J138" i="14" s="1"/>
  <c r="P137" i="3" s="1"/>
  <c r="H168" i="14"/>
  <c r="I168" i="14" s="1"/>
  <c r="J168" i="14" s="1"/>
  <c r="P167" i="3" s="1"/>
  <c r="H213" i="14"/>
  <c r="I213" i="14" s="1"/>
  <c r="J213" i="14" s="1"/>
  <c r="P212" i="3" s="1"/>
  <c r="H268" i="14"/>
  <c r="I268" i="14" s="1"/>
  <c r="J268" i="14" s="1"/>
  <c r="P267" i="3" s="1"/>
  <c r="H212" i="14"/>
  <c r="I212" i="14" s="1"/>
  <c r="J212" i="14" s="1"/>
  <c r="P211" i="3" s="1"/>
  <c r="H226" i="14"/>
  <c r="I226" i="14" s="1"/>
  <c r="J226" i="14" s="1"/>
  <c r="P225" i="3" s="1"/>
  <c r="H277" i="14"/>
  <c r="I277" i="14" s="1"/>
  <c r="J277" i="14" s="1"/>
  <c r="P276" i="3" s="1"/>
  <c r="H201" i="14"/>
  <c r="I201" i="14" s="1"/>
  <c r="J201" i="14" s="1"/>
  <c r="P200" i="3" s="1"/>
  <c r="H129" i="14"/>
  <c r="I129" i="14" s="1"/>
  <c r="J129" i="14" s="1"/>
  <c r="P128" i="3" s="1"/>
  <c r="H274" i="14"/>
  <c r="I274" i="14" s="1"/>
  <c r="J274" i="14" s="1"/>
  <c r="P273" i="3" s="1"/>
  <c r="H216" i="14"/>
  <c r="I216" i="14" s="1"/>
  <c r="J216" i="14" s="1"/>
  <c r="P215" i="3" s="1"/>
  <c r="H8" i="14"/>
  <c r="I8" i="14" s="1"/>
  <c r="J8" i="14" s="1"/>
  <c r="P7" i="3" s="1"/>
  <c r="H188" i="14"/>
  <c r="I188" i="14" s="1"/>
  <c r="J188" i="14" s="1"/>
  <c r="P187" i="3" s="1"/>
  <c r="H147" i="14"/>
  <c r="I147" i="14" s="1"/>
  <c r="J147" i="14" s="1"/>
  <c r="P146" i="3" s="1"/>
  <c r="H92" i="14"/>
  <c r="I92" i="14" s="1"/>
  <c r="J92" i="14" s="1"/>
  <c r="P91" i="3" s="1"/>
  <c r="H252" i="14"/>
  <c r="I252" i="14" s="1"/>
  <c r="J252" i="14" s="1"/>
  <c r="P251" i="3" s="1"/>
  <c r="H101" i="14"/>
  <c r="I101" i="14" s="1"/>
  <c r="J101" i="14" s="1"/>
  <c r="P100" i="3" s="1"/>
  <c r="H231" i="14"/>
  <c r="I231" i="14" s="1"/>
  <c r="J231" i="14" s="1"/>
  <c r="P230" i="3" s="1"/>
  <c r="H65" i="14"/>
  <c r="I65" i="14" s="1"/>
  <c r="J65" i="14" s="1"/>
  <c r="P64" i="3" s="1"/>
  <c r="H24" i="14"/>
  <c r="I24" i="14" s="1"/>
  <c r="J24" i="14" s="1"/>
  <c r="P23" i="3" s="1"/>
  <c r="H40" i="14"/>
  <c r="I40" i="14" s="1"/>
  <c r="J40" i="14" s="1"/>
  <c r="P39" i="3" s="1"/>
  <c r="BA112" i="3"/>
  <c r="H242" i="14"/>
  <c r="I242" i="14" s="1"/>
  <c r="J242" i="14" s="1"/>
  <c r="P241" i="3" s="1"/>
  <c r="H59" i="14"/>
  <c r="I59" i="14" s="1"/>
  <c r="J59" i="14" s="1"/>
  <c r="P58" i="3" s="1"/>
  <c r="H260" i="14"/>
  <c r="I260" i="14" s="1"/>
  <c r="J260" i="14" s="1"/>
  <c r="P259" i="3" s="1"/>
  <c r="B13" i="6"/>
  <c r="H39" i="6"/>
  <c r="BA175" i="3"/>
  <c r="BA167" i="3"/>
  <c r="BA159" i="3"/>
  <c r="BA151" i="3"/>
  <c r="BA143" i="3"/>
  <c r="BA135" i="3"/>
  <c r="BA127" i="3"/>
  <c r="BA119" i="3"/>
  <c r="BA111" i="3"/>
  <c r="BA103" i="3"/>
  <c r="BA95" i="3"/>
  <c r="BA87" i="3"/>
  <c r="BA79" i="3"/>
  <c r="BA71" i="3"/>
  <c r="BA63" i="3"/>
  <c r="BA55" i="3"/>
  <c r="BA47" i="3"/>
  <c r="BA39" i="3"/>
  <c r="BA31" i="3"/>
  <c r="BA23" i="3"/>
  <c r="BA15" i="3"/>
  <c r="BA7" i="3"/>
  <c r="H150" i="14"/>
  <c r="I150" i="14" s="1"/>
  <c r="J150" i="14" s="1"/>
  <c r="P149" i="3" s="1"/>
  <c r="H94" i="14"/>
  <c r="I94" i="14" s="1"/>
  <c r="J94" i="14" s="1"/>
  <c r="P93" i="3" s="1"/>
  <c r="H83" i="14"/>
  <c r="I83" i="14" s="1"/>
  <c r="J83" i="14" s="1"/>
  <c r="P82" i="3" s="1"/>
  <c r="H220" i="14"/>
  <c r="I220" i="14" s="1"/>
  <c r="J220" i="14" s="1"/>
  <c r="P219" i="3" s="1"/>
  <c r="H164" i="14"/>
  <c r="I164" i="14" s="1"/>
  <c r="J164" i="14" s="1"/>
  <c r="P163" i="3" s="1"/>
  <c r="H262" i="14"/>
  <c r="I262" i="14" s="1"/>
  <c r="J262" i="14" s="1"/>
  <c r="P261" i="3" s="1"/>
  <c r="H16" i="14"/>
  <c r="I16" i="14" s="1"/>
  <c r="J16" i="14" s="1"/>
  <c r="P15" i="3" s="1"/>
  <c r="H190" i="14"/>
  <c r="I190" i="14" s="1"/>
  <c r="J190" i="14" s="1"/>
  <c r="P189" i="3" s="1"/>
  <c r="H253" i="14"/>
  <c r="I253" i="14" s="1"/>
  <c r="J253" i="14" s="1"/>
  <c r="P252" i="3" s="1"/>
  <c r="H120" i="14"/>
  <c r="I120" i="14" s="1"/>
  <c r="J120" i="14" s="1"/>
  <c r="P119" i="3" s="1"/>
  <c r="H76" i="14"/>
  <c r="I76" i="14" s="1"/>
  <c r="J76" i="14" s="1"/>
  <c r="P75" i="3" s="1"/>
  <c r="H32" i="14"/>
  <c r="I32" i="14" s="1"/>
  <c r="J32" i="14" s="1"/>
  <c r="P31" i="3" s="1"/>
  <c r="BA289" i="3"/>
  <c r="BA257" i="3"/>
  <c r="BA193" i="3"/>
  <c r="BA113" i="3"/>
  <c r="BA33" i="3"/>
  <c r="H77" i="14"/>
  <c r="I77" i="14" s="1"/>
  <c r="J77" i="14" s="1"/>
  <c r="P76" i="3" s="1"/>
  <c r="H204" i="14"/>
  <c r="I204" i="14" s="1"/>
  <c r="J204" i="14" s="1"/>
  <c r="P203" i="3" s="1"/>
  <c r="H183" i="14"/>
  <c r="I183" i="14" s="1"/>
  <c r="J183" i="14" s="1"/>
  <c r="P182" i="3" s="1"/>
  <c r="H244" i="14"/>
  <c r="I244" i="14" s="1"/>
  <c r="J244" i="14" s="1"/>
  <c r="P243" i="3" s="1"/>
  <c r="H261" i="14"/>
  <c r="I261" i="14" s="1"/>
  <c r="J261" i="14" s="1"/>
  <c r="P260" i="3" s="1"/>
  <c r="H44" i="14"/>
  <c r="I44" i="14" s="1"/>
  <c r="J44" i="14" s="1"/>
  <c r="P43" i="3" s="1"/>
  <c r="H163" i="14"/>
  <c r="I163" i="14" s="1"/>
  <c r="J163" i="14" s="1"/>
  <c r="P162" i="3" s="1"/>
  <c r="H173" i="14"/>
  <c r="I173" i="14" s="1"/>
  <c r="J173" i="14" s="1"/>
  <c r="P172" i="3" s="1"/>
  <c r="H172" i="14"/>
  <c r="I172" i="14" s="1"/>
  <c r="J172" i="14" s="1"/>
  <c r="P171" i="3" s="1"/>
  <c r="H219" i="14"/>
  <c r="I219" i="14" s="1"/>
  <c r="J219" i="14" s="1"/>
  <c r="P218" i="3" s="1"/>
  <c r="H143" i="14"/>
  <c r="I143" i="14" s="1"/>
  <c r="J143" i="14" s="1"/>
  <c r="P142" i="3" s="1"/>
  <c r="H12" i="14"/>
  <c r="I12" i="14" s="1"/>
  <c r="J12" i="14" s="1"/>
  <c r="P11" i="3" s="1"/>
  <c r="H281" i="14"/>
  <c r="I281" i="14" s="1"/>
  <c r="J281" i="14" s="1"/>
  <c r="P280" i="3" s="1"/>
  <c r="H133" i="14"/>
  <c r="I133" i="14" s="1"/>
  <c r="J133" i="14" s="1"/>
  <c r="P132" i="3" s="1"/>
  <c r="H88" i="14"/>
  <c r="I88" i="14" s="1"/>
  <c r="J88" i="14" s="1"/>
  <c r="P87" i="3" s="1"/>
  <c r="H106" i="14"/>
  <c r="I106" i="14" s="1"/>
  <c r="J106" i="14" s="1"/>
  <c r="P105" i="3" s="1"/>
  <c r="H210" i="14"/>
  <c r="I210" i="14" s="1"/>
  <c r="J210" i="14" s="1"/>
  <c r="P209" i="3" s="1"/>
  <c r="H266" i="14"/>
  <c r="I266" i="14" s="1"/>
  <c r="J266" i="14" s="1"/>
  <c r="P265" i="3" s="1"/>
  <c r="B65" i="6"/>
  <c r="H81" i="14"/>
  <c r="I81" i="14" s="1"/>
  <c r="J81" i="14" s="1"/>
  <c r="P80" i="3" s="1"/>
  <c r="H145" i="14"/>
  <c r="I145" i="14" s="1"/>
  <c r="J145" i="14" s="1"/>
  <c r="P144" i="3" s="1"/>
  <c r="H186" i="14"/>
  <c r="I186" i="14" s="1"/>
  <c r="J186" i="14" s="1"/>
  <c r="P185" i="3" s="1"/>
  <c r="H63" i="14"/>
  <c r="I63" i="14" s="1"/>
  <c r="J63" i="14" s="1"/>
  <c r="P62" i="3" s="1"/>
  <c r="H142" i="14"/>
  <c r="I142" i="14" s="1"/>
  <c r="J142" i="14" s="1"/>
  <c r="P141" i="3" s="1"/>
  <c r="H108" i="14"/>
  <c r="I108" i="14" s="1"/>
  <c r="J108" i="14" s="1"/>
  <c r="P107" i="3" s="1"/>
  <c r="H22" i="14"/>
  <c r="I22" i="14" s="1"/>
  <c r="J22" i="14" s="1"/>
  <c r="P21" i="3" s="1"/>
  <c r="H283" i="14"/>
  <c r="I283" i="14" s="1"/>
  <c r="J283" i="14" s="1"/>
  <c r="P282" i="3" s="1"/>
  <c r="H247" i="14"/>
  <c r="I247" i="14" s="1"/>
  <c r="J247" i="14" s="1"/>
  <c r="P246" i="3" s="1"/>
  <c r="H264" i="14"/>
  <c r="I264" i="14" s="1"/>
  <c r="J264" i="14" s="1"/>
  <c r="P263" i="3" s="1"/>
  <c r="H196" i="14"/>
  <c r="I196" i="14" s="1"/>
  <c r="J196" i="14" s="1"/>
  <c r="P195" i="3" s="1"/>
  <c r="H78" i="14"/>
  <c r="I78" i="14" s="1"/>
  <c r="J78" i="14" s="1"/>
  <c r="P77" i="3" s="1"/>
  <c r="H30" i="14"/>
  <c r="I30" i="14" s="1"/>
  <c r="J30" i="14" s="1"/>
  <c r="P29" i="3" s="1"/>
  <c r="H38" i="14"/>
  <c r="I38" i="14" s="1"/>
  <c r="J38" i="14" s="1"/>
  <c r="P37" i="3" s="1"/>
  <c r="H229" i="14"/>
  <c r="I229" i="14" s="1"/>
  <c r="J229" i="14" s="1"/>
  <c r="P228" i="3" s="1"/>
  <c r="H235" i="14"/>
  <c r="I235" i="14" s="1"/>
  <c r="J235" i="14" s="1"/>
  <c r="P234" i="3" s="1"/>
  <c r="H55" i="14"/>
  <c r="I55" i="14" s="1"/>
  <c r="J55" i="14" s="1"/>
  <c r="P54" i="3" s="1"/>
  <c r="H90" i="14"/>
  <c r="I90" i="14" s="1"/>
  <c r="J90" i="14" s="1"/>
  <c r="P89" i="3" s="1"/>
  <c r="H206" i="14"/>
  <c r="I206" i="14" s="1"/>
  <c r="J206" i="14" s="1"/>
  <c r="P205" i="3" s="1"/>
  <c r="H99" i="14"/>
  <c r="I99" i="14" s="1"/>
  <c r="J99" i="14" s="1"/>
  <c r="P98" i="3" s="1"/>
  <c r="H176" i="14"/>
  <c r="I176" i="14" s="1"/>
  <c r="J176" i="14" s="1"/>
  <c r="P175" i="3" s="1"/>
  <c r="H275" i="14"/>
  <c r="I275" i="14" s="1"/>
  <c r="J275" i="14" s="1"/>
  <c r="P274" i="3" s="1"/>
  <c r="H46" i="14"/>
  <c r="I46" i="14" s="1"/>
  <c r="J46" i="14" s="1"/>
  <c r="P45" i="3" s="1"/>
  <c r="H14" i="14"/>
  <c r="I14" i="14" s="1"/>
  <c r="J14" i="14" s="1"/>
  <c r="P13" i="3" s="1"/>
  <c r="H127" i="14"/>
  <c r="I127" i="14" s="1"/>
  <c r="J127" i="14" s="1"/>
  <c r="P126" i="3" s="1"/>
  <c r="H165" i="14"/>
  <c r="I165" i="14" s="1"/>
  <c r="J165" i="14" s="1"/>
  <c r="P164" i="3" s="1"/>
  <c r="H249" i="14"/>
  <c r="I249" i="14" s="1"/>
  <c r="J249" i="14" s="1"/>
  <c r="P248" i="3" s="1"/>
  <c r="H224" i="14"/>
  <c r="I224" i="14" s="1"/>
  <c r="J224" i="14" s="1"/>
  <c r="P223" i="3" s="1"/>
  <c r="H155" i="14"/>
  <c r="I155" i="14" s="1"/>
  <c r="J155" i="14" s="1"/>
  <c r="P154" i="3" s="1"/>
  <c r="H136" i="14"/>
  <c r="I136" i="14" s="1"/>
  <c r="J136" i="14" s="1"/>
  <c r="P135" i="3" s="1"/>
  <c r="H211" i="14"/>
  <c r="I211" i="14" s="1"/>
  <c r="J211" i="14" s="1"/>
  <c r="P210" i="3" s="1"/>
  <c r="J1088" i="15"/>
  <c r="K1088" i="15" s="1"/>
  <c r="B78" i="6"/>
  <c r="H245" i="14"/>
  <c r="I245" i="14" s="1"/>
  <c r="J245" i="14" s="1"/>
  <c r="P244" i="3" s="1"/>
  <c r="H69" i="14"/>
  <c r="I69" i="14" s="1"/>
  <c r="J69" i="14" s="1"/>
  <c r="P68" i="3" s="1"/>
  <c r="S68" i="3" s="1"/>
  <c r="BZ68" i="3" s="1"/>
  <c r="H124" i="14"/>
  <c r="I124" i="14" s="1"/>
  <c r="J124" i="14" s="1"/>
  <c r="P123" i="3" s="1"/>
  <c r="H36" i="14"/>
  <c r="I36" i="14" s="1"/>
  <c r="J36" i="14" s="1"/>
  <c r="P35" i="3" s="1"/>
  <c r="H272" i="14"/>
  <c r="I272" i="14" s="1"/>
  <c r="J272" i="14" s="1"/>
  <c r="P271" i="3" s="1"/>
  <c r="H126" i="14"/>
  <c r="I126" i="14" s="1"/>
  <c r="J126" i="14" s="1"/>
  <c r="P125" i="3" s="1"/>
  <c r="H208" i="14"/>
  <c r="I208" i="14" s="1"/>
  <c r="J208" i="14" s="1"/>
  <c r="P207" i="3" s="1"/>
  <c r="H222" i="14"/>
  <c r="I222" i="14" s="1"/>
  <c r="J222" i="14" s="1"/>
  <c r="P221" i="3" s="1"/>
  <c r="H194" i="14"/>
  <c r="I194" i="14" s="1"/>
  <c r="J194" i="14" s="1"/>
  <c r="P193" i="3" s="1"/>
  <c r="H52" i="14"/>
  <c r="I52" i="14" s="1"/>
  <c r="J52" i="14" s="1"/>
  <c r="P51" i="3" s="1"/>
  <c r="H153" i="14"/>
  <c r="I153" i="14" s="1"/>
  <c r="J153" i="14" s="1"/>
  <c r="P152" i="3" s="1"/>
  <c r="H184" i="14"/>
  <c r="I184" i="14" s="1"/>
  <c r="J184" i="14" s="1"/>
  <c r="P183" i="3" s="1"/>
  <c r="H199" i="14"/>
  <c r="I199" i="14" s="1"/>
  <c r="J199" i="14" s="1"/>
  <c r="P198" i="3" s="1"/>
  <c r="H48" i="14"/>
  <c r="I48" i="14" s="1"/>
  <c r="J48" i="14" s="1"/>
  <c r="P47" i="3" s="1"/>
  <c r="H96" i="14"/>
  <c r="I96" i="14" s="1"/>
  <c r="J96" i="14" s="1"/>
  <c r="P95" i="3" s="1"/>
  <c r="H271" i="14"/>
  <c r="I271" i="14" s="1"/>
  <c r="J271" i="14" s="1"/>
  <c r="P270" i="3" s="1"/>
  <c r="H123" i="14"/>
  <c r="I123" i="14" s="1"/>
  <c r="J123" i="14" s="1"/>
  <c r="P122" i="3" s="1"/>
  <c r="H60" i="14"/>
  <c r="I60" i="14" s="1"/>
  <c r="J60" i="14" s="1"/>
  <c r="P59" i="3" s="1"/>
  <c r="H11" i="14"/>
  <c r="I11" i="14" s="1"/>
  <c r="J11" i="14" s="1"/>
  <c r="P10" i="3" s="1"/>
  <c r="H280" i="14"/>
  <c r="I280" i="14" s="1"/>
  <c r="J280" i="14" s="1"/>
  <c r="P279" i="3" s="1"/>
  <c r="H218" i="14"/>
  <c r="I218" i="14" s="1"/>
  <c r="J218" i="14" s="1"/>
  <c r="P217" i="3" s="1"/>
  <c r="H35" i="14"/>
  <c r="I35" i="14" s="1"/>
  <c r="J35" i="14" s="1"/>
  <c r="P34" i="3" s="1"/>
  <c r="H87" i="14"/>
  <c r="I87" i="14" s="1"/>
  <c r="J87" i="14" s="1"/>
  <c r="P86" i="3" s="1"/>
  <c r="H239" i="14"/>
  <c r="I239" i="14" s="1"/>
  <c r="J239" i="14" s="1"/>
  <c r="P238" i="3" s="1"/>
  <c r="H259" i="14"/>
  <c r="I259" i="14" s="1"/>
  <c r="J259" i="14" s="1"/>
  <c r="P258" i="3" s="1"/>
  <c r="H289" i="14"/>
  <c r="I289" i="14" s="1"/>
  <c r="J289" i="14" s="1"/>
  <c r="P288" i="3" s="1"/>
  <c r="H118" i="14"/>
  <c r="I118" i="14" s="1"/>
  <c r="J118" i="14" s="1"/>
  <c r="P117" i="3" s="1"/>
  <c r="H171" i="14"/>
  <c r="I171" i="14" s="1"/>
  <c r="J171" i="14" s="1"/>
  <c r="P170" i="3" s="1"/>
  <c r="H19" i="14"/>
  <c r="I19" i="14" s="1"/>
  <c r="J19" i="14" s="1"/>
  <c r="P18" i="3" s="1"/>
  <c r="H198" i="14"/>
  <c r="I198" i="14" s="1"/>
  <c r="J198" i="14" s="1"/>
  <c r="P197" i="3" s="1"/>
  <c r="H141" i="14"/>
  <c r="I141" i="14" s="1"/>
  <c r="J141" i="14" s="1"/>
  <c r="P140" i="3" s="1"/>
  <c r="H6" i="14"/>
  <c r="I6" i="14" s="1"/>
  <c r="J6" i="14" s="1"/>
  <c r="P5" i="3" s="1"/>
  <c r="S5" i="3" s="1"/>
  <c r="H193" i="14"/>
  <c r="I193" i="14" s="1"/>
  <c r="J193" i="14" s="1"/>
  <c r="P192" i="3" s="1"/>
  <c r="H43" i="14"/>
  <c r="I43" i="14" s="1"/>
  <c r="J43" i="14" s="1"/>
  <c r="P42" i="3" s="1"/>
  <c r="H105" i="14"/>
  <c r="I105" i="14" s="1"/>
  <c r="J105" i="14" s="1"/>
  <c r="P104" i="3" s="1"/>
  <c r="H114" i="14"/>
  <c r="I114" i="14" s="1"/>
  <c r="J114" i="14" s="1"/>
  <c r="P113" i="3" s="1"/>
  <c r="H232" i="14"/>
  <c r="I232" i="14" s="1"/>
  <c r="J232" i="14" s="1"/>
  <c r="P231" i="3" s="1"/>
  <c r="H132" i="14"/>
  <c r="I132" i="14" s="1"/>
  <c r="J132" i="14" s="1"/>
  <c r="P131" i="3" s="1"/>
  <c r="H243" i="14"/>
  <c r="I243" i="14" s="1"/>
  <c r="J243" i="14" s="1"/>
  <c r="P242" i="3" s="1"/>
  <c r="H166" i="14"/>
  <c r="I166" i="14" s="1"/>
  <c r="J166" i="14" s="1"/>
  <c r="P165" i="3" s="1"/>
  <c r="H162" i="14"/>
  <c r="I162" i="14" s="1"/>
  <c r="J162" i="14" s="1"/>
  <c r="P161" i="3" s="1"/>
  <c r="H27" i="14"/>
  <c r="I27" i="14" s="1"/>
  <c r="J27" i="14" s="1"/>
  <c r="P26" i="3" s="1"/>
  <c r="H68" i="14"/>
  <c r="I68" i="14" s="1"/>
  <c r="J68" i="14" s="1"/>
  <c r="P67" i="3" s="1"/>
  <c r="H152" i="14"/>
  <c r="I152" i="14" s="1"/>
  <c r="J152" i="14" s="1"/>
  <c r="P151" i="3" s="1"/>
  <c r="H51" i="14"/>
  <c r="I51" i="14" s="1"/>
  <c r="J51" i="14" s="1"/>
  <c r="P50" i="3" s="1"/>
  <c r="H257" i="14"/>
  <c r="I257" i="14" s="1"/>
  <c r="J257" i="14" s="1"/>
  <c r="P256" i="3" s="1"/>
  <c r="H221" i="14"/>
  <c r="I221" i="14" s="1"/>
  <c r="J221" i="14" s="1"/>
  <c r="P220" i="3" s="1"/>
  <c r="H128" i="14"/>
  <c r="I128" i="14" s="1"/>
  <c r="J128" i="14" s="1"/>
  <c r="P127" i="3" s="1"/>
  <c r="H64" i="14"/>
  <c r="I64" i="14" s="1"/>
  <c r="J64" i="14" s="1"/>
  <c r="P63" i="3" s="1"/>
  <c r="H230" i="14"/>
  <c r="I230" i="14" s="1"/>
  <c r="J230" i="14" s="1"/>
  <c r="P229" i="3" s="1"/>
  <c r="H157" i="14"/>
  <c r="I157" i="14" s="1"/>
  <c r="J157" i="14" s="1"/>
  <c r="P156" i="3" s="1"/>
  <c r="H7" i="14"/>
  <c r="I7" i="14" s="1"/>
  <c r="J7" i="14" s="1"/>
  <c r="P6" i="3" s="1"/>
  <c r="CH258" i="3"/>
  <c r="CH5" i="3"/>
  <c r="H125" i="14"/>
  <c r="I125" i="14" s="1"/>
  <c r="J125" i="14" s="1"/>
  <c r="P124" i="3" s="1"/>
  <c r="H37" i="14"/>
  <c r="I37" i="14" s="1"/>
  <c r="J37" i="14" s="1"/>
  <c r="P36" i="3" s="1"/>
  <c r="H134" i="14"/>
  <c r="I134" i="14" s="1"/>
  <c r="J134" i="14" s="1"/>
  <c r="P133" i="3" s="1"/>
  <c r="CF180" i="3"/>
  <c r="CG180" i="3" s="1"/>
  <c r="CF152" i="3"/>
  <c r="CG152" i="3" s="1"/>
  <c r="CF57" i="3"/>
  <c r="CG57" i="3" s="1"/>
  <c r="CF221" i="3"/>
  <c r="CG221" i="3" s="1"/>
  <c r="CF265" i="3"/>
  <c r="CG265" i="3" s="1"/>
  <c r="CF176" i="3"/>
  <c r="CG176" i="3" s="1"/>
  <c r="CF102" i="3"/>
  <c r="CG102" i="3" s="1"/>
  <c r="CF163" i="3"/>
  <c r="CG163" i="3" s="1"/>
  <c r="CF158" i="3"/>
  <c r="CG158" i="3" s="1"/>
  <c r="CF193" i="3"/>
  <c r="CG193" i="3" s="1"/>
  <c r="CF155" i="3"/>
  <c r="CG155" i="3" s="1"/>
  <c r="CF96" i="3"/>
  <c r="CG96" i="3" s="1"/>
  <c r="CF263" i="3"/>
  <c r="CG263" i="3" s="1"/>
  <c r="CF236" i="3"/>
  <c r="CG236" i="3" s="1"/>
  <c r="CF228" i="3"/>
  <c r="CG228" i="3" s="1"/>
  <c r="CF185" i="3"/>
  <c r="CG185" i="3" s="1"/>
  <c r="CF113" i="3"/>
  <c r="CG113" i="3" s="1"/>
  <c r="CF54" i="3"/>
  <c r="CG54" i="3" s="1"/>
  <c r="CF289" i="3"/>
  <c r="CG289" i="3" s="1"/>
  <c r="CF196" i="3"/>
  <c r="CG196" i="3" s="1"/>
  <c r="CF257" i="3"/>
  <c r="CG257" i="3" s="1"/>
  <c r="CF31" i="3"/>
  <c r="CG31" i="3" s="1"/>
  <c r="CF60" i="3"/>
  <c r="CG60" i="3" s="1"/>
  <c r="BA285" i="3"/>
  <c r="BA277" i="3"/>
  <c r="BA269" i="3"/>
  <c r="BA261" i="3"/>
  <c r="BA253" i="3"/>
  <c r="BA245" i="3"/>
  <c r="BA237" i="3"/>
  <c r="BA229" i="3"/>
  <c r="BA221" i="3"/>
  <c r="BA213" i="3"/>
  <c r="BA205" i="3"/>
  <c r="BA276" i="3"/>
  <c r="BA164" i="3"/>
  <c r="BA68" i="3"/>
  <c r="CF18" i="3"/>
  <c r="CG18" i="3" s="1"/>
  <c r="CF252" i="3"/>
  <c r="CG252" i="3" s="1"/>
  <c r="CF125" i="3"/>
  <c r="CG125" i="3" s="1"/>
  <c r="CF89" i="3"/>
  <c r="CG89" i="3" s="1"/>
  <c r="CF48" i="3"/>
  <c r="CG48" i="3" s="1"/>
  <c r="CF197" i="3"/>
  <c r="CG197" i="3" s="1"/>
  <c r="CF207" i="3"/>
  <c r="CG207" i="3" s="1"/>
  <c r="CF134" i="3"/>
  <c r="CG134" i="3" s="1"/>
  <c r="CF14" i="3"/>
  <c r="CG14" i="3" s="1"/>
  <c r="CF65" i="3"/>
  <c r="CG65" i="3" s="1"/>
  <c r="CF37" i="3"/>
  <c r="CG37" i="3" s="1"/>
  <c r="CF235" i="3"/>
  <c r="CG235" i="3" s="1"/>
  <c r="CF170" i="3"/>
  <c r="CG170" i="3" s="1"/>
  <c r="CF188" i="3"/>
  <c r="CG188" i="3" s="1"/>
  <c r="CF120" i="3"/>
  <c r="CG120" i="3" s="1"/>
  <c r="CF80" i="3"/>
  <c r="CG80" i="3" s="1"/>
  <c r="CF286" i="3"/>
  <c r="CG286" i="3" s="1"/>
  <c r="CF247" i="3"/>
  <c r="CG247" i="3" s="1"/>
  <c r="CF214" i="3"/>
  <c r="CG214" i="3" s="1"/>
  <c r="CF140" i="3"/>
  <c r="CG140" i="3" s="1"/>
  <c r="CF87" i="3"/>
  <c r="CG87" i="3" s="1"/>
  <c r="CF39" i="3"/>
  <c r="CG39" i="3" s="1"/>
  <c r="CF195" i="3"/>
  <c r="CG195" i="3" s="1"/>
  <c r="CF136" i="3"/>
  <c r="CG136" i="3" s="1"/>
  <c r="CF44" i="3"/>
  <c r="CG44" i="3" s="1"/>
  <c r="CF25" i="3"/>
  <c r="CG25" i="3" s="1"/>
  <c r="CF267" i="3"/>
  <c r="CG267" i="3" s="1"/>
  <c r="CF231" i="3"/>
  <c r="CG231" i="3" s="1"/>
  <c r="CF280" i="3"/>
  <c r="CG280" i="3" s="1"/>
  <c r="CF222" i="3"/>
  <c r="CG222" i="3" s="1"/>
  <c r="CF107" i="3"/>
  <c r="CG107" i="3" s="1"/>
  <c r="CF38" i="3"/>
  <c r="CG38" i="3" s="1"/>
  <c r="CF7" i="3"/>
  <c r="CG7" i="3" s="1"/>
  <c r="CF259" i="3"/>
  <c r="CG259" i="3" s="1"/>
  <c r="CF83" i="3"/>
  <c r="CG83" i="3" s="1"/>
  <c r="CF58" i="3"/>
  <c r="CG58" i="3" s="1"/>
  <c r="CF203" i="3"/>
  <c r="CG203" i="3" s="1"/>
  <c r="CF186" i="3"/>
  <c r="CG186" i="3" s="1"/>
  <c r="CF110" i="3"/>
  <c r="CG110" i="3" s="1"/>
  <c r="CF70" i="3"/>
  <c r="CG70" i="3" s="1"/>
  <c r="CF208" i="3"/>
  <c r="CG208" i="3" s="1"/>
  <c r="CF278" i="3"/>
  <c r="CG278" i="3" s="1"/>
  <c r="CF51" i="3"/>
  <c r="CG51" i="3" s="1"/>
  <c r="CF127" i="3"/>
  <c r="CG127" i="3" s="1"/>
  <c r="CF149" i="3"/>
  <c r="CG149" i="3" s="1"/>
  <c r="CF143" i="3"/>
  <c r="CG143" i="3" s="1"/>
  <c r="CF121" i="3"/>
  <c r="CG121" i="3" s="1"/>
  <c r="CF81" i="3"/>
  <c r="CG81" i="3" s="1"/>
  <c r="CF30" i="3"/>
  <c r="CG30" i="3" s="1"/>
  <c r="CH30" i="3" s="1"/>
  <c r="CF272" i="3"/>
  <c r="CG272" i="3" s="1"/>
  <c r="CF183" i="3"/>
  <c r="CG183" i="3" s="1"/>
  <c r="CF69" i="3"/>
  <c r="CG69" i="3" s="1"/>
  <c r="CF15" i="3"/>
  <c r="CG15" i="3" s="1"/>
  <c r="CF287" i="3"/>
  <c r="CG287" i="3" s="1"/>
  <c r="CF198" i="3"/>
  <c r="CG198" i="3" s="1"/>
  <c r="CF132" i="3"/>
  <c r="CG132" i="3" s="1"/>
  <c r="CF253" i="3"/>
  <c r="CG253" i="3" s="1"/>
  <c r="CF268" i="3"/>
  <c r="CG268" i="3" s="1"/>
  <c r="CF108" i="3"/>
  <c r="CG108" i="3" s="1"/>
  <c r="CF154" i="3"/>
  <c r="CG154" i="3" s="1"/>
  <c r="CF266" i="3"/>
  <c r="CG266" i="3" s="1"/>
  <c r="CF175" i="3"/>
  <c r="CG175" i="3" s="1"/>
  <c r="CF101" i="3"/>
  <c r="CG101" i="3" s="1"/>
  <c r="CF55" i="3"/>
  <c r="CG55" i="3" s="1"/>
  <c r="CF281" i="3"/>
  <c r="CG281" i="3" s="1"/>
  <c r="CF243" i="3"/>
  <c r="CG243" i="3" s="1"/>
  <c r="CF212" i="3"/>
  <c r="CG212" i="3" s="1"/>
  <c r="CF131" i="3"/>
  <c r="CG131" i="3" s="1"/>
  <c r="CF79" i="3"/>
  <c r="CG79" i="3" s="1"/>
  <c r="CF26" i="3"/>
  <c r="CG26" i="3" s="1"/>
  <c r="CF97" i="3"/>
  <c r="CG97" i="3" s="1"/>
  <c r="CF215" i="3"/>
  <c r="CG215" i="3" s="1"/>
  <c r="CF111" i="3"/>
  <c r="CG111" i="3" s="1"/>
  <c r="CF21" i="3"/>
  <c r="CG21" i="3" s="1"/>
  <c r="CF32" i="3"/>
  <c r="CG32" i="3" s="1"/>
  <c r="CF116" i="3"/>
  <c r="CG116" i="3" s="1"/>
  <c r="CF104" i="3"/>
  <c r="CG104" i="3" s="1"/>
  <c r="CF40" i="3"/>
  <c r="CG40" i="3" s="1"/>
  <c r="CF151" i="3"/>
  <c r="CG151" i="3" s="1"/>
  <c r="CF92" i="3"/>
  <c r="CG92" i="3" s="1"/>
  <c r="CF50" i="3"/>
  <c r="CG50" i="3" s="1"/>
  <c r="CF284" i="3"/>
  <c r="CG284" i="3" s="1"/>
  <c r="CF199" i="3"/>
  <c r="CG199" i="3" s="1"/>
  <c r="CF219" i="3"/>
  <c r="CG219" i="3" s="1"/>
  <c r="CF137" i="3"/>
  <c r="CG137" i="3" s="1"/>
  <c r="CF16" i="3"/>
  <c r="CG16" i="3" s="1"/>
  <c r="CF106" i="3"/>
  <c r="CG106" i="3" s="1"/>
  <c r="CF94" i="3"/>
  <c r="CG94" i="3" s="1"/>
  <c r="CF159" i="3"/>
  <c r="CG159" i="3" s="1"/>
  <c r="CF290" i="3"/>
  <c r="CG290" i="3" s="1"/>
  <c r="CF6" i="3"/>
  <c r="CG6" i="3" s="1"/>
  <c r="CF256" i="3"/>
  <c r="CG256" i="3" s="1"/>
  <c r="CF220" i="3"/>
  <c r="CG220" i="3" s="1"/>
  <c r="CF167" i="3"/>
  <c r="CG167" i="3" s="1"/>
  <c r="CF100" i="3"/>
  <c r="CG100" i="3" s="1"/>
  <c r="CF45" i="3"/>
  <c r="CG45" i="3" s="1"/>
  <c r="CF218" i="3"/>
  <c r="CG218" i="3" s="1"/>
  <c r="CF138" i="3"/>
  <c r="CG138" i="3" s="1"/>
  <c r="CF234" i="3"/>
  <c r="CG234" i="3" s="1"/>
  <c r="CF114" i="3"/>
  <c r="CG114" i="3" s="1"/>
  <c r="CF241" i="3"/>
  <c r="CG241" i="3" s="1"/>
  <c r="CF9" i="3"/>
  <c r="CG9" i="3" s="1"/>
  <c r="CF285" i="3"/>
  <c r="CG285" i="3" s="1"/>
  <c r="CF139" i="3"/>
  <c r="CG139" i="3" s="1"/>
  <c r="CF46" i="3"/>
  <c r="CG46" i="3" s="1"/>
  <c r="CF242" i="3"/>
  <c r="CG242" i="3" s="1"/>
  <c r="CF71" i="3"/>
  <c r="CG71" i="3" s="1"/>
  <c r="CF105" i="3"/>
  <c r="CG105" i="3" s="1"/>
  <c r="CF59" i="3"/>
  <c r="CG59" i="3" s="1"/>
  <c r="CF12" i="3"/>
  <c r="CG12" i="3" s="1"/>
  <c r="CF249" i="3"/>
  <c r="CG249" i="3" s="1"/>
  <c r="CF61" i="3"/>
  <c r="CG61" i="3" s="1"/>
  <c r="CF277" i="3"/>
  <c r="CG277" i="3" s="1"/>
  <c r="CF184" i="3"/>
  <c r="CG184" i="3" s="1"/>
  <c r="CF109" i="3"/>
  <c r="CG109" i="3" s="1"/>
  <c r="CF172" i="3"/>
  <c r="CG172" i="3" s="1"/>
  <c r="CF171" i="3"/>
  <c r="CG171" i="3" s="1"/>
  <c r="CF217" i="3"/>
  <c r="CG217" i="3" s="1"/>
  <c r="CF90" i="3"/>
  <c r="CG90" i="3" s="1"/>
  <c r="CF204" i="3"/>
  <c r="CG204" i="3" s="1"/>
  <c r="CF56" i="3"/>
  <c r="CG56" i="3" s="1"/>
  <c r="CF239" i="3"/>
  <c r="CG239" i="3" s="1"/>
  <c r="CF173" i="3"/>
  <c r="CG173" i="3" s="1"/>
  <c r="CF98" i="3"/>
  <c r="CG98" i="3" s="1"/>
  <c r="CF8" i="3"/>
  <c r="CG8" i="3" s="1"/>
  <c r="CF269" i="3"/>
  <c r="CG269" i="3" s="1"/>
  <c r="CF237" i="3"/>
  <c r="CG237" i="3" s="1"/>
  <c r="CF230" i="3"/>
  <c r="CG230" i="3" s="1"/>
  <c r="CF194" i="3"/>
  <c r="CG194" i="3" s="1"/>
  <c r="CF126" i="3"/>
  <c r="CG126" i="3" s="1"/>
  <c r="CF66" i="3"/>
  <c r="CG66" i="3" s="1"/>
  <c r="CF10" i="3"/>
  <c r="CG10" i="3" s="1"/>
  <c r="CF42" i="3"/>
  <c r="CG42" i="3" s="1"/>
  <c r="CF49" i="3"/>
  <c r="CG49" i="3" s="1"/>
  <c r="CF164" i="3"/>
  <c r="CG164" i="3" s="1"/>
  <c r="CF262" i="3"/>
  <c r="CG262" i="3" s="1"/>
  <c r="CF169" i="3"/>
  <c r="CG169" i="3" s="1"/>
  <c r="CF288" i="3"/>
  <c r="CG288" i="3" s="1"/>
  <c r="CF122" i="3"/>
  <c r="CG122" i="3" s="1"/>
  <c r="CF251" i="3"/>
  <c r="CG251" i="3" s="1"/>
  <c r="CF124" i="3"/>
  <c r="CG124" i="3" s="1"/>
  <c r="CF24" i="3"/>
  <c r="CG24" i="3" s="1"/>
  <c r="CF150" i="3"/>
  <c r="CG150" i="3" s="1"/>
  <c r="CF283" i="3"/>
  <c r="CG283" i="3" s="1"/>
  <c r="CF245" i="3"/>
  <c r="CG245" i="3" s="1"/>
  <c r="CF213" i="3"/>
  <c r="CG213" i="3" s="1"/>
  <c r="CF135" i="3"/>
  <c r="CG135" i="3" s="1"/>
  <c r="CF86" i="3"/>
  <c r="CG86" i="3" s="1"/>
  <c r="CF27" i="3"/>
  <c r="CG27" i="3" s="1"/>
  <c r="CF142" i="3"/>
  <c r="CG142" i="3" s="1"/>
  <c r="CF144" i="3"/>
  <c r="CG144" i="3" s="1"/>
  <c r="CF28" i="3"/>
  <c r="CG28" i="3" s="1"/>
  <c r="CF273" i="3"/>
  <c r="CG273" i="3" s="1"/>
  <c r="CF115" i="3"/>
  <c r="CG115" i="3" s="1"/>
  <c r="CF22" i="3"/>
  <c r="CG22" i="3" s="1"/>
  <c r="CF36" i="3"/>
  <c r="CG36" i="3" s="1"/>
  <c r="CF187" i="3"/>
  <c r="CG187" i="3" s="1"/>
  <c r="CF200" i="3"/>
  <c r="CG200" i="3" s="1"/>
  <c r="CF160" i="3"/>
  <c r="CG160" i="3" s="1"/>
  <c r="CF103" i="3"/>
  <c r="CG103" i="3" s="1"/>
  <c r="CF52" i="3"/>
  <c r="CG52" i="3" s="1"/>
  <c r="CF76" i="3"/>
  <c r="CG76" i="3" s="1"/>
  <c r="CF211" i="3"/>
  <c r="CG211" i="3" s="1"/>
  <c r="CF244" i="3"/>
  <c r="CG244" i="3" s="1"/>
  <c r="CF63" i="3"/>
  <c r="CG63" i="3" s="1"/>
  <c r="CF161" i="3"/>
  <c r="CG161" i="3" s="1"/>
  <c r="CF141" i="3"/>
  <c r="CG141" i="3" s="1"/>
  <c r="CF181" i="3"/>
  <c r="CG181" i="3" s="1"/>
  <c r="CF41" i="3"/>
  <c r="CG41" i="3" s="1"/>
  <c r="CF192" i="3"/>
  <c r="CG192" i="3" s="1"/>
  <c r="CF130" i="3"/>
  <c r="CG130" i="3" s="1"/>
  <c r="CF95" i="3"/>
  <c r="CG95" i="3" s="1"/>
  <c r="CF261" i="3"/>
  <c r="CG261" i="3" s="1"/>
  <c r="CF227" i="3"/>
  <c r="CG227" i="3" s="1"/>
  <c r="CF179" i="3"/>
  <c r="CG179" i="3" s="1"/>
  <c r="CF112" i="3"/>
  <c r="CG112" i="3" s="1"/>
  <c r="CF53" i="3"/>
  <c r="CG53" i="3" s="1"/>
  <c r="CF64" i="3"/>
  <c r="CG64" i="3" s="1"/>
  <c r="CF147" i="3"/>
  <c r="CG147" i="3" s="1"/>
  <c r="CF74" i="3"/>
  <c r="CG74" i="3" s="1"/>
  <c r="CF238" i="3"/>
  <c r="CG238" i="3" s="1"/>
  <c r="CF148" i="3"/>
  <c r="CG148" i="3" s="1"/>
  <c r="CF168" i="3"/>
  <c r="CG168" i="3" s="1"/>
  <c r="CF62" i="3"/>
  <c r="CG62" i="3" s="1"/>
  <c r="CF275" i="3"/>
  <c r="CG275" i="3" s="1"/>
  <c r="CF133" i="3"/>
  <c r="CG133" i="3" s="1"/>
  <c r="CF13" i="3"/>
  <c r="CG13" i="3" s="1"/>
  <c r="CF274" i="3"/>
  <c r="CG274" i="3" s="1"/>
  <c r="CF84" i="3"/>
  <c r="CG84" i="3" s="1"/>
  <c r="CF11" i="3"/>
  <c r="CG11" i="3" s="1"/>
  <c r="CF118" i="3"/>
  <c r="CG118" i="3" s="1"/>
  <c r="CF68" i="3"/>
  <c r="CG68" i="3" s="1"/>
  <c r="CF29" i="3"/>
  <c r="CG29" i="3" s="1"/>
  <c r="CF255" i="3"/>
  <c r="CG255" i="3" s="1"/>
  <c r="CF93" i="3"/>
  <c r="CG93" i="3" s="1"/>
  <c r="CF82" i="3"/>
  <c r="CG82" i="3" s="1"/>
  <c r="CF123" i="3"/>
  <c r="CG123" i="3" s="1"/>
  <c r="CF282" i="3"/>
  <c r="CG282" i="3" s="1"/>
  <c r="CF191" i="3"/>
  <c r="CG191" i="3" s="1"/>
  <c r="CF119" i="3"/>
  <c r="CG119" i="3" s="1"/>
  <c r="CF202" i="3"/>
  <c r="CG202" i="3" s="1"/>
  <c r="CF226" i="3"/>
  <c r="CG226" i="3" s="1"/>
  <c r="CF260" i="3"/>
  <c r="CG260" i="3" s="1"/>
  <c r="CF229" i="3"/>
  <c r="CG229" i="3" s="1"/>
  <c r="CF205" i="3"/>
  <c r="CG205" i="3" s="1"/>
  <c r="CF91" i="3"/>
  <c r="CG91" i="3" s="1"/>
  <c r="CF35" i="3"/>
  <c r="CG35" i="3" s="1"/>
  <c r="CF166" i="3"/>
  <c r="CG166" i="3" s="1"/>
  <c r="CF240" i="3"/>
  <c r="CG240" i="3" s="1"/>
  <c r="CF233" i="3"/>
  <c r="CG233" i="3" s="1"/>
  <c r="CF201" i="3"/>
  <c r="CG201" i="3" s="1"/>
  <c r="CF75" i="3"/>
  <c r="CG75" i="3" s="1"/>
  <c r="CF17" i="3"/>
  <c r="CG17" i="3" s="1"/>
  <c r="CF67" i="3"/>
  <c r="CG67" i="3" s="1"/>
  <c r="CF182" i="3"/>
  <c r="CG182" i="3" s="1"/>
  <c r="CF77" i="3"/>
  <c r="CG77" i="3" s="1"/>
  <c r="CF177" i="3"/>
  <c r="CG177" i="3" s="1"/>
  <c r="J1205" i="15"/>
  <c r="K1205" i="15" s="1"/>
  <c r="J1265" i="15"/>
  <c r="L1265" i="15" s="1"/>
  <c r="J343" i="15"/>
  <c r="L343" i="15" s="1"/>
  <c r="J360" i="15"/>
  <c r="K360" i="15" s="1"/>
  <c r="J1168" i="15"/>
  <c r="K1168" i="15" s="1"/>
  <c r="J1057" i="15"/>
  <c r="K1057" i="15" s="1"/>
  <c r="J1113" i="15"/>
  <c r="L1113" i="15" s="1"/>
  <c r="J1145" i="15"/>
  <c r="K1145" i="15" s="1"/>
  <c r="J1173" i="15"/>
  <c r="L1173" i="15" s="1"/>
  <c r="J1197" i="15"/>
  <c r="K1197" i="15" s="1"/>
  <c r="J1225" i="15"/>
  <c r="K1225" i="15" s="1"/>
  <c r="J1293" i="15"/>
  <c r="K1293" i="15" s="1"/>
  <c r="J1297" i="15"/>
  <c r="L1297" i="15" s="1"/>
  <c r="J612" i="15"/>
  <c r="L612" i="15" s="1"/>
  <c r="J752" i="15"/>
  <c r="L752" i="15" s="1"/>
  <c r="J784" i="15"/>
  <c r="K784" i="15" s="1"/>
  <c r="J940" i="15"/>
  <c r="K940" i="15" s="1"/>
  <c r="J1092" i="15"/>
  <c r="K1092" i="15" s="1"/>
  <c r="J1116" i="15"/>
  <c r="K1116" i="15" s="1"/>
  <c r="J1124" i="15"/>
  <c r="K1124" i="15" s="1"/>
  <c r="J1192" i="15"/>
  <c r="K1192" i="15" s="1"/>
  <c r="J1220" i="15"/>
  <c r="L1220" i="15" s="1"/>
  <c r="J1248" i="15"/>
  <c r="L1248" i="15" s="1"/>
  <c r="J1260" i="15"/>
  <c r="K1260" i="15" s="1"/>
  <c r="J1284" i="15"/>
  <c r="L1284" i="15" s="1"/>
  <c r="J1292" i="15"/>
  <c r="K1292" i="15" s="1"/>
  <c r="J1296" i="15"/>
  <c r="K1296" i="15" s="1"/>
  <c r="J240" i="15"/>
  <c r="K240" i="15" s="1"/>
  <c r="J492" i="15"/>
  <c r="K492" i="15" s="1"/>
  <c r="J19" i="15"/>
  <c r="K19" i="15" s="1"/>
  <c r="J23" i="15"/>
  <c r="L23" i="15" s="1"/>
  <c r="J711" i="15"/>
  <c r="L711" i="15" s="1"/>
  <c r="J763" i="15"/>
  <c r="L763" i="15" s="1"/>
  <c r="J907" i="15"/>
  <c r="K907" i="15" s="1"/>
  <c r="J1015" i="15"/>
  <c r="L1015" i="15" s="1"/>
  <c r="J1023" i="15"/>
  <c r="K1023" i="15" s="1"/>
  <c r="J1091" i="15"/>
  <c r="L1091" i="15" s="1"/>
  <c r="J1127" i="15"/>
  <c r="K1127" i="15" s="1"/>
  <c r="J1143" i="15"/>
  <c r="L1143" i="15" s="1"/>
  <c r="J1223" i="15"/>
  <c r="K1223" i="15" s="1"/>
  <c r="J1235" i="15"/>
  <c r="L1235" i="15" s="1"/>
  <c r="J1299" i="15"/>
  <c r="K1299" i="15" s="1"/>
  <c r="J994" i="15"/>
  <c r="K994" i="15" s="1"/>
  <c r="J152" i="15"/>
  <c r="L152" i="15" s="1"/>
  <c r="J160" i="15"/>
  <c r="L160" i="15" s="1"/>
  <c r="J204" i="15"/>
  <c r="L204" i="15" s="1"/>
  <c r="J224" i="15"/>
  <c r="L224" i="15" s="1"/>
  <c r="J252" i="15"/>
  <c r="K252" i="15" s="1"/>
  <c r="J276" i="15"/>
  <c r="L276" i="15" s="1"/>
  <c r="J352" i="15"/>
  <c r="K352" i="15" s="1"/>
  <c r="J396" i="15"/>
  <c r="K396" i="15" s="1"/>
  <c r="J404" i="15"/>
  <c r="L404" i="15" s="1"/>
  <c r="J412" i="15"/>
  <c r="L412" i="15" s="1"/>
  <c r="J460" i="15"/>
  <c r="K460" i="15" s="1"/>
  <c r="J468" i="15"/>
  <c r="K468" i="15" s="1"/>
  <c r="J488" i="15"/>
  <c r="L488" i="15" s="1"/>
  <c r="J496" i="15"/>
  <c r="K496" i="15" s="1"/>
  <c r="J504" i="15"/>
  <c r="K504" i="15" s="1"/>
  <c r="J512" i="15"/>
  <c r="L512" i="15" s="1"/>
  <c r="J576" i="15"/>
  <c r="L576" i="15" s="1"/>
  <c r="J620" i="15"/>
  <c r="L620" i="15" s="1"/>
  <c r="J656" i="15"/>
  <c r="L656" i="15" s="1"/>
  <c r="J684" i="15"/>
  <c r="L684" i="15" s="1"/>
  <c r="J692" i="15"/>
  <c r="L692" i="15" s="1"/>
  <c r="J704" i="15"/>
  <c r="L704" i="15" s="1"/>
  <c r="J712" i="15"/>
  <c r="K712" i="15" s="1"/>
  <c r="J724" i="15"/>
  <c r="L724" i="15" s="1"/>
  <c r="J728" i="15"/>
  <c r="L728" i="15" s="1"/>
  <c r="J772" i="15"/>
  <c r="K772" i="15" s="1"/>
  <c r="J776" i="15"/>
  <c r="L776" i="15" s="1"/>
  <c r="J792" i="15"/>
  <c r="L792" i="15" s="1"/>
  <c r="J804" i="15"/>
  <c r="K804" i="15" s="1"/>
  <c r="J816" i="15"/>
  <c r="J832" i="15"/>
  <c r="L832" i="15" s="1"/>
  <c r="J840" i="15"/>
  <c r="L840" i="15" s="1"/>
  <c r="J844" i="15"/>
  <c r="K844" i="15" s="1"/>
  <c r="J848" i="15"/>
  <c r="L848" i="15" s="1"/>
  <c r="J852" i="15"/>
  <c r="K852" i="15" s="1"/>
  <c r="J864" i="15"/>
  <c r="K864" i="15" s="1"/>
  <c r="J880" i="15"/>
  <c r="L880" i="15" s="1"/>
  <c r="J884" i="15"/>
  <c r="K884" i="15" s="1"/>
  <c r="J908" i="15"/>
  <c r="K908" i="15" s="1"/>
  <c r="J936" i="15"/>
  <c r="K936" i="15" s="1"/>
  <c r="J944" i="15"/>
  <c r="K944" i="15" s="1"/>
  <c r="J948" i="15"/>
  <c r="K948" i="15" s="1"/>
  <c r="J952" i="15"/>
  <c r="J956" i="15"/>
  <c r="L956" i="15" s="1"/>
  <c r="J968" i="15"/>
  <c r="L968" i="15" s="1"/>
  <c r="J976" i="15"/>
  <c r="K976" i="15" s="1"/>
  <c r="J980" i="15"/>
  <c r="L980" i="15" s="1"/>
  <c r="J1000" i="15"/>
  <c r="L1000" i="15" s="1"/>
  <c r="J1004" i="15"/>
  <c r="L1004" i="15" s="1"/>
  <c r="J1008" i="15"/>
  <c r="L1008" i="15" s="1"/>
  <c r="J1012" i="15"/>
  <c r="L1012" i="15" s="1"/>
  <c r="J1020" i="15"/>
  <c r="L1020" i="15" s="1"/>
  <c r="J1044" i="15"/>
  <c r="L1044" i="15" s="1"/>
  <c r="J1060" i="15"/>
  <c r="L1060" i="15" s="1"/>
  <c r="J1084" i="15"/>
  <c r="K1084" i="15" s="1"/>
  <c r="J1148" i="15"/>
  <c r="L1148" i="15" s="1"/>
  <c r="J1156" i="15"/>
  <c r="L1156" i="15" s="1"/>
  <c r="J1160" i="15"/>
  <c r="K1160" i="15" s="1"/>
  <c r="J1164" i="15"/>
  <c r="J1172" i="15"/>
  <c r="L1172" i="15" s="1"/>
  <c r="J1176" i="15"/>
  <c r="L1176" i="15" s="1"/>
  <c r="J1180" i="15"/>
  <c r="K1180" i="15" s="1"/>
  <c r="J1188" i="15"/>
  <c r="K1188" i="15" s="1"/>
  <c r="J1204" i="15"/>
  <c r="L1204" i="15" s="1"/>
  <c r="J1232" i="15"/>
  <c r="K1232" i="15" s="1"/>
  <c r="J1268" i="15"/>
  <c r="L1268" i="15" s="1"/>
  <c r="J1276" i="15"/>
  <c r="K1276" i="15" s="1"/>
  <c r="J1288" i="15"/>
  <c r="K1288" i="15" s="1"/>
  <c r="J993" i="15"/>
  <c r="L993" i="15" s="1"/>
  <c r="J399" i="15"/>
  <c r="K399" i="15" s="1"/>
  <c r="J427" i="15"/>
  <c r="L427" i="15" s="1"/>
  <c r="J471" i="15"/>
  <c r="L471" i="15" s="1"/>
  <c r="J523" i="15"/>
  <c r="K523" i="15" s="1"/>
  <c r="J535" i="15"/>
  <c r="K535" i="15" s="1"/>
  <c r="J575" i="15"/>
  <c r="L575" i="15" s="1"/>
  <c r="J659" i="15"/>
  <c r="K659" i="15" s="1"/>
  <c r="J671" i="15"/>
  <c r="L671" i="15" s="1"/>
  <c r="J731" i="15"/>
  <c r="L731" i="15" s="1"/>
  <c r="J771" i="15"/>
  <c r="K771" i="15" s="1"/>
  <c r="J775" i="15"/>
  <c r="K775" i="15" s="1"/>
  <c r="J823" i="15"/>
  <c r="L823" i="15" s="1"/>
  <c r="J855" i="15"/>
  <c r="K855" i="15" s="1"/>
  <c r="J867" i="15"/>
  <c r="K867" i="15" s="1"/>
  <c r="J871" i="15"/>
  <c r="K871" i="15" s="1"/>
  <c r="J879" i="15"/>
  <c r="K879" i="15" s="1"/>
  <c r="J887" i="15"/>
  <c r="K887" i="15" s="1"/>
  <c r="J899" i="15"/>
  <c r="L899" i="15" s="1"/>
  <c r="J923" i="15"/>
  <c r="K923" i="15" s="1"/>
  <c r="J951" i="15"/>
  <c r="J979" i="15"/>
  <c r="L979" i="15" s="1"/>
  <c r="J991" i="15"/>
  <c r="L991" i="15" s="1"/>
  <c r="J1019" i="15"/>
  <c r="J1031" i="15"/>
  <c r="L1031" i="15" s="1"/>
  <c r="J1059" i="15"/>
  <c r="L1059" i="15" s="1"/>
  <c r="J1107" i="15"/>
  <c r="L1107" i="15" s="1"/>
  <c r="J1115" i="15"/>
  <c r="K1115" i="15" s="1"/>
  <c r="J1139" i="15"/>
  <c r="L1139" i="15" s="1"/>
  <c r="J1179" i="15"/>
  <c r="L1179" i="15" s="1"/>
  <c r="J1199" i="15"/>
  <c r="L1199" i="15" s="1"/>
  <c r="J1215" i="15"/>
  <c r="K1215" i="15" s="1"/>
  <c r="J1231" i="15"/>
  <c r="L1231" i="15" s="1"/>
  <c r="J1251" i="15"/>
  <c r="L1251" i="15" s="1"/>
  <c r="J1283" i="15"/>
  <c r="L1283" i="15" s="1"/>
  <c r="J253" i="15"/>
  <c r="K253" i="15" s="1"/>
  <c r="J1017" i="15"/>
  <c r="K1017" i="15" s="1"/>
  <c r="J1065" i="15"/>
  <c r="L1065" i="15" s="1"/>
  <c r="J1081" i="15"/>
  <c r="L1081" i="15" s="1"/>
  <c r="J79" i="15"/>
  <c r="K79" i="15" s="1"/>
  <c r="J87" i="15"/>
  <c r="L87" i="15" s="1"/>
  <c r="J103" i="15"/>
  <c r="K103" i="15" s="1"/>
  <c r="J111" i="15"/>
  <c r="L111" i="15" s="1"/>
  <c r="J123" i="15"/>
  <c r="K123" i="15" s="1"/>
  <c r="J159" i="15"/>
  <c r="K159" i="15" s="1"/>
  <c r="J163" i="15"/>
  <c r="L163" i="15" s="1"/>
  <c r="J191" i="15"/>
  <c r="L191" i="15" s="1"/>
  <c r="J247" i="15"/>
  <c r="K247" i="15" s="1"/>
  <c r="J255" i="15"/>
  <c r="K255" i="15" s="1"/>
  <c r="J271" i="15"/>
  <c r="K271" i="15" s="1"/>
  <c r="J291" i="15"/>
  <c r="K291" i="15" s="1"/>
  <c r="J303" i="15"/>
  <c r="K303" i="15" s="1"/>
  <c r="J307" i="15"/>
  <c r="L307" i="15" s="1"/>
  <c r="J319" i="15"/>
  <c r="L319" i="15" s="1"/>
  <c r="J327" i="15"/>
  <c r="K327" i="15" s="1"/>
  <c r="J331" i="15"/>
  <c r="K331" i="15" s="1"/>
  <c r="J347" i="15"/>
  <c r="K347" i="15" s="1"/>
  <c r="J351" i="15"/>
  <c r="K351" i="15" s="1"/>
  <c r="J355" i="15"/>
  <c r="L355" i="15" s="1"/>
  <c r="J359" i="15"/>
  <c r="L359" i="15" s="1"/>
  <c r="J371" i="15"/>
  <c r="K371" i="15" s="1"/>
  <c r="J375" i="15"/>
  <c r="J383" i="15"/>
  <c r="K383" i="15" s="1"/>
  <c r="J387" i="15"/>
  <c r="L387" i="15" s="1"/>
  <c r="J1068" i="15"/>
  <c r="L1068" i="15" s="1"/>
  <c r="J215" i="15"/>
  <c r="K215" i="15" s="1"/>
  <c r="J263" i="15"/>
  <c r="K263" i="15" s="1"/>
  <c r="J379" i="15"/>
  <c r="K379" i="15" s="1"/>
  <c r="J391" i="15"/>
  <c r="L391" i="15" s="1"/>
  <c r="J403" i="15"/>
  <c r="L403" i="15" s="1"/>
  <c r="J407" i="15"/>
  <c r="L407" i="15" s="1"/>
  <c r="J415" i="15"/>
  <c r="L415" i="15" s="1"/>
  <c r="J431" i="15"/>
  <c r="L431" i="15" s="1"/>
  <c r="J435" i="15"/>
  <c r="J447" i="15"/>
  <c r="K447" i="15" s="1"/>
  <c r="J451" i="15"/>
  <c r="L451" i="15" s="1"/>
  <c r="J459" i="15"/>
  <c r="L459" i="15" s="1"/>
  <c r="J463" i="15"/>
  <c r="K463" i="15" s="1"/>
  <c r="J467" i="15"/>
  <c r="K467" i="15" s="1"/>
  <c r="J475" i="15"/>
  <c r="J479" i="15"/>
  <c r="J483" i="15"/>
  <c r="L483" i="15" s="1"/>
  <c r="J495" i="15"/>
  <c r="L495" i="15" s="1"/>
  <c r="J499" i="15"/>
  <c r="K499" i="15" s="1"/>
  <c r="J503" i="15"/>
  <c r="K503" i="15" s="1"/>
  <c r="J507" i="15"/>
  <c r="K507" i="15" s="1"/>
  <c r="J531" i="15"/>
  <c r="L531" i="15" s="1"/>
  <c r="J539" i="15"/>
  <c r="K539" i="15" s="1"/>
  <c r="J547" i="15"/>
  <c r="L547" i="15" s="1"/>
  <c r="J555" i="15"/>
  <c r="K555" i="15" s="1"/>
  <c r="J559" i="15"/>
  <c r="L559" i="15" s="1"/>
  <c r="J563" i="15"/>
  <c r="K563" i="15" s="1"/>
  <c r="J567" i="15"/>
  <c r="K567" i="15" s="1"/>
  <c r="J571" i="15"/>
  <c r="K571" i="15" s="1"/>
  <c r="J583" i="15"/>
  <c r="J591" i="15"/>
  <c r="J603" i="15"/>
  <c r="K603" i="15" s="1"/>
  <c r="J607" i="15"/>
  <c r="L607" i="15" s="1"/>
  <c r="J611" i="15"/>
  <c r="J615" i="15"/>
  <c r="K615" i="15" s="1"/>
  <c r="J623" i="15"/>
  <c r="K623" i="15" s="1"/>
  <c r="J627" i="15"/>
  <c r="J635" i="15"/>
  <c r="J639" i="15"/>
  <c r="L639" i="15" s="1"/>
  <c r="J643" i="15"/>
  <c r="J647" i="15"/>
  <c r="J675" i="15"/>
  <c r="L675" i="15" s="1"/>
  <c r="J679" i="15"/>
  <c r="L679" i="15" s="1"/>
  <c r="J687" i="15"/>
  <c r="K687" i="15" s="1"/>
  <c r="J691" i="15"/>
  <c r="K691" i="15" s="1"/>
  <c r="J695" i="15"/>
  <c r="L695" i="15" s="1"/>
  <c r="J699" i="15"/>
  <c r="K699" i="15" s="1"/>
  <c r="J707" i="15"/>
  <c r="K707" i="15" s="1"/>
  <c r="J715" i="15"/>
  <c r="K715" i="15" s="1"/>
  <c r="J719" i="15"/>
  <c r="K719" i="15" s="1"/>
  <c r="J727" i="15"/>
  <c r="J739" i="15"/>
  <c r="J747" i="15"/>
  <c r="J751" i="15"/>
  <c r="J767" i="15"/>
  <c r="K767" i="15" s="1"/>
  <c r="J783" i="15"/>
  <c r="L783" i="15" s="1"/>
  <c r="J787" i="15"/>
  <c r="L787" i="15" s="1"/>
  <c r="J791" i="15"/>
  <c r="L791" i="15" s="1"/>
  <c r="J795" i="15"/>
  <c r="J799" i="15"/>
  <c r="J803" i="15"/>
  <c r="J811" i="15"/>
  <c r="L811" i="15" s="1"/>
  <c r="J819" i="15"/>
  <c r="J827" i="15"/>
  <c r="J831" i="15"/>
  <c r="J843" i="15"/>
  <c r="J851" i="15"/>
  <c r="K851" i="15" s="1"/>
  <c r="J875" i="15"/>
  <c r="K875" i="15" s="1"/>
  <c r="J903" i="15"/>
  <c r="K903" i="15" s="1"/>
  <c r="J919" i="15"/>
  <c r="L919" i="15" s="1"/>
  <c r="J927" i="15"/>
  <c r="K927" i="15" s="1"/>
  <c r="J939" i="15"/>
  <c r="J947" i="15"/>
  <c r="J963" i="15"/>
  <c r="J967" i="15"/>
  <c r="J971" i="15"/>
  <c r="K971" i="15" s="1"/>
  <c r="J975" i="15"/>
  <c r="J987" i="15"/>
  <c r="J1007" i="15"/>
  <c r="L1007" i="15" s="1"/>
  <c r="J1011" i="15"/>
  <c r="J1027" i="15"/>
  <c r="J1039" i="15"/>
  <c r="L1039" i="15" s="1"/>
  <c r="J1043" i="15"/>
  <c r="J1051" i="15"/>
  <c r="J1063" i="15"/>
  <c r="J1067" i="15"/>
  <c r="J1071" i="15"/>
  <c r="J1087" i="15"/>
  <c r="K1087" i="15" s="1"/>
  <c r="J60" i="15"/>
  <c r="L60" i="15" s="1"/>
  <c r="J148" i="15"/>
  <c r="L148" i="15" s="1"/>
  <c r="J216" i="15"/>
  <c r="L216" i="15" s="1"/>
  <c r="J1095" i="15"/>
  <c r="L1095" i="15" s="1"/>
  <c r="J1103" i="15"/>
  <c r="K1103" i="15" s="1"/>
  <c r="J1119" i="15"/>
  <c r="J1131" i="15"/>
  <c r="L1131" i="15" s="1"/>
  <c r="J1135" i="15"/>
  <c r="J1151" i="15"/>
  <c r="L1151" i="15" s="1"/>
  <c r="J1159" i="15"/>
  <c r="J1171" i="15"/>
  <c r="J1187" i="15"/>
  <c r="J1191" i="15"/>
  <c r="J1203" i="15"/>
  <c r="K1203" i="15" s="1"/>
  <c r="J1207" i="15"/>
  <c r="L1207" i="15" s="1"/>
  <c r="J1211" i="15"/>
  <c r="J1219" i="15"/>
  <c r="J1243" i="15"/>
  <c r="J1271" i="15"/>
  <c r="K1271" i="15" s="1"/>
  <c r="J1279" i="15"/>
  <c r="J1287" i="15"/>
  <c r="J1295" i="15"/>
  <c r="J1307" i="15"/>
  <c r="J1311" i="15"/>
  <c r="L1311" i="15" s="1"/>
  <c r="BA86" i="3"/>
  <c r="BA54" i="3"/>
  <c r="BA46" i="3"/>
  <c r="BA38" i="3"/>
  <c r="BA30" i="3"/>
  <c r="BA22" i="3"/>
  <c r="BA14" i="3"/>
  <c r="BA6" i="3"/>
  <c r="AE8" i="3"/>
  <c r="E7" i="19" s="1"/>
  <c r="AE12" i="3"/>
  <c r="E11" i="19" s="1"/>
  <c r="AE16" i="3"/>
  <c r="E15" i="19" s="1"/>
  <c r="AE23" i="3"/>
  <c r="AE34" i="3"/>
  <c r="E33" i="19" s="1"/>
  <c r="AE38" i="3"/>
  <c r="E37" i="19" s="1"/>
  <c r="AE42" i="3"/>
  <c r="AE49" i="3"/>
  <c r="E48" i="19" s="1"/>
  <c r="AE53" i="3"/>
  <c r="E52" i="19" s="1"/>
  <c r="AE57" i="3"/>
  <c r="AE61" i="3"/>
  <c r="AE69" i="3"/>
  <c r="E68" i="19" s="1"/>
  <c r="AE73" i="3"/>
  <c r="E72" i="19" s="1"/>
  <c r="AE80" i="3"/>
  <c r="AE84" i="3"/>
  <c r="E83" i="19" s="1"/>
  <c r="AE91" i="3"/>
  <c r="E90" i="19" s="1"/>
  <c r="AE95" i="3"/>
  <c r="E94" i="19" s="1"/>
  <c r="AE99" i="3"/>
  <c r="AE118" i="3"/>
  <c r="E117" i="19" s="1"/>
  <c r="AE122" i="3"/>
  <c r="AE126" i="3"/>
  <c r="E125" i="19" s="1"/>
  <c r="AE133" i="3"/>
  <c r="AE137" i="3"/>
  <c r="AE141" i="3"/>
  <c r="AE145" i="3"/>
  <c r="AE156" i="3"/>
  <c r="E155" i="19" s="1"/>
  <c r="AE166" i="3"/>
  <c r="E165" i="19" s="1"/>
  <c r="AE170" i="3"/>
  <c r="AE174" i="3"/>
  <c r="E173" i="19" s="1"/>
  <c r="AE181" i="3"/>
  <c r="E180" i="19" s="1"/>
  <c r="AE185" i="3"/>
  <c r="E184" i="19" s="1"/>
  <c r="AE189" i="3"/>
  <c r="AE192" i="3"/>
  <c r="AE196" i="3"/>
  <c r="E195" i="19" s="1"/>
  <c r="AE200" i="3"/>
  <c r="AE204" i="3"/>
  <c r="E203" i="19" s="1"/>
  <c r="AE218" i="3"/>
  <c r="E217" i="19" s="1"/>
  <c r="AE222" i="3"/>
  <c r="AE229" i="3"/>
  <c r="E228" i="19" s="1"/>
  <c r="AE248" i="3"/>
  <c r="AE251" i="3"/>
  <c r="E250" i="19" s="1"/>
  <c r="AE262" i="3"/>
  <c r="E261" i="19" s="1"/>
  <c r="AE27" i="3"/>
  <c r="AE31" i="3"/>
  <c r="E30" i="19" s="1"/>
  <c r="AE46" i="3"/>
  <c r="E45" i="19" s="1"/>
  <c r="AE77" i="3"/>
  <c r="AE88" i="3"/>
  <c r="E87" i="19" s="1"/>
  <c r="AE103" i="3"/>
  <c r="AE107" i="3"/>
  <c r="AE111" i="3"/>
  <c r="E110" i="19" s="1"/>
  <c r="AE115" i="3"/>
  <c r="E114" i="19" s="1"/>
  <c r="AE149" i="3"/>
  <c r="AE153" i="3"/>
  <c r="E152" i="19" s="1"/>
  <c r="AE163" i="3"/>
  <c r="E162" i="19" s="1"/>
  <c r="AE178" i="3"/>
  <c r="AE208" i="3"/>
  <c r="E207" i="19" s="1"/>
  <c r="AE211" i="3"/>
  <c r="E210" i="19" s="1"/>
  <c r="AE233" i="3"/>
  <c r="E232" i="19" s="1"/>
  <c r="AE237" i="3"/>
  <c r="E236" i="19" s="1"/>
  <c r="AE241" i="3"/>
  <c r="AE245" i="3"/>
  <c r="E244" i="19" s="1"/>
  <c r="AE255" i="3"/>
  <c r="E254" i="19" s="1"/>
  <c r="AE266" i="3"/>
  <c r="E265" i="19" s="1"/>
  <c r="AE270" i="3"/>
  <c r="E269" i="19" s="1"/>
  <c r="AE273" i="3"/>
  <c r="E272" i="19" s="1"/>
  <c r="AE280" i="3"/>
  <c r="E279" i="19" s="1"/>
  <c r="AE284" i="3"/>
  <c r="E283" i="19" s="1"/>
  <c r="AE288" i="3"/>
  <c r="E287" i="19" s="1"/>
  <c r="AE258" i="3"/>
  <c r="E257" i="19" s="1"/>
  <c r="BA197" i="3"/>
  <c r="BA189" i="3"/>
  <c r="BA181" i="3"/>
  <c r="BA173" i="3"/>
  <c r="BA165" i="3"/>
  <c r="BA157" i="3"/>
  <c r="BA149" i="3"/>
  <c r="BA141" i="3"/>
  <c r="BA133" i="3"/>
  <c r="BA125" i="3"/>
  <c r="BA117" i="3"/>
  <c r="BA109" i="3"/>
  <c r="BA101" i="3"/>
  <c r="BA93" i="3"/>
  <c r="BA85" i="3"/>
  <c r="BA77" i="3"/>
  <c r="BA69" i="3"/>
  <c r="BA61" i="3"/>
  <c r="BA53" i="3"/>
  <c r="BA45" i="3"/>
  <c r="BA37" i="3"/>
  <c r="BA29" i="3"/>
  <c r="BA21" i="3"/>
  <c r="BA13" i="3"/>
  <c r="AE9" i="3"/>
  <c r="AE17" i="3"/>
  <c r="E16" i="19" s="1"/>
  <c r="CT35" i="3"/>
  <c r="AE39" i="3"/>
  <c r="E38" i="19" s="1"/>
  <c r="AE43" i="3"/>
  <c r="E42" i="19" s="1"/>
  <c r="AE50" i="3"/>
  <c r="E49" i="19" s="1"/>
  <c r="AE54" i="3"/>
  <c r="E53" i="19" s="1"/>
  <c r="AE58" i="3"/>
  <c r="E57" i="19" s="1"/>
  <c r="AE62" i="3"/>
  <c r="AE66" i="3"/>
  <c r="E65" i="19" s="1"/>
  <c r="AE70" i="3"/>
  <c r="AE92" i="3"/>
  <c r="AE96" i="3"/>
  <c r="E95" i="19" s="1"/>
  <c r="AE119" i="3"/>
  <c r="AE123" i="3"/>
  <c r="E122" i="19" s="1"/>
  <c r="AE142" i="3"/>
  <c r="E141" i="19" s="1"/>
  <c r="AE182" i="3"/>
  <c r="E181" i="19" s="1"/>
  <c r="AE277" i="3"/>
  <c r="E276" i="19" s="1"/>
  <c r="AE28" i="3"/>
  <c r="E27" i="19" s="1"/>
  <c r="AE274" i="3"/>
  <c r="E273" i="19" s="1"/>
  <c r="AE6" i="3"/>
  <c r="E5" i="19" s="1"/>
  <c r="AE14" i="3"/>
  <c r="E13" i="19" s="1"/>
  <c r="AE18" i="3"/>
  <c r="E17" i="19" s="1"/>
  <c r="AE40" i="3"/>
  <c r="E39" i="19" s="1"/>
  <c r="AE51" i="3"/>
  <c r="E50" i="19" s="1"/>
  <c r="AE63" i="3"/>
  <c r="E62" i="19" s="1"/>
  <c r="AE67" i="3"/>
  <c r="CT128" i="3"/>
  <c r="AE33" i="3"/>
  <c r="E32" i="19" s="1"/>
  <c r="AE44" i="3"/>
  <c r="E43" i="19" s="1"/>
  <c r="AE75" i="3"/>
  <c r="E74" i="19" s="1"/>
  <c r="AE86" i="3"/>
  <c r="E85" i="19" s="1"/>
  <c r="AE101" i="3"/>
  <c r="E100" i="19" s="1"/>
  <c r="AE105" i="3"/>
  <c r="E104" i="19" s="1"/>
  <c r="AE109" i="3"/>
  <c r="CT113" i="3"/>
  <c r="AE117" i="3"/>
  <c r="E116" i="19" s="1"/>
  <c r="AE147" i="3"/>
  <c r="AE151" i="3"/>
  <c r="E150" i="19" s="1"/>
  <c r="AE165" i="3"/>
  <c r="E164" i="19" s="1"/>
  <c r="AE176" i="3"/>
  <c r="CT213" i="3"/>
  <c r="AE235" i="3"/>
  <c r="E234" i="19" s="1"/>
  <c r="AE239" i="3"/>
  <c r="E238" i="19" s="1"/>
  <c r="AE243" i="3"/>
  <c r="AE250" i="3"/>
  <c r="AE257" i="3"/>
  <c r="E256" i="19" s="1"/>
  <c r="AE268" i="3"/>
  <c r="E267" i="19" s="1"/>
  <c r="AE286" i="3"/>
  <c r="E285" i="19" s="1"/>
  <c r="AE290" i="3"/>
  <c r="E289" i="19" s="1"/>
  <c r="AE7" i="3"/>
  <c r="E6" i="19" s="1"/>
  <c r="AE11" i="3"/>
  <c r="E10" i="19" s="1"/>
  <c r="AE41" i="3"/>
  <c r="E40" i="19" s="1"/>
  <c r="AE56" i="3"/>
  <c r="E55" i="19" s="1"/>
  <c r="AE60" i="3"/>
  <c r="E59" i="19" s="1"/>
  <c r="AE79" i="3"/>
  <c r="E78" i="19" s="1"/>
  <c r="AE125" i="3"/>
  <c r="E124" i="19" s="1"/>
  <c r="AE173" i="3"/>
  <c r="E172" i="19" s="1"/>
  <c r="AE26" i="3"/>
  <c r="E25" i="19" s="1"/>
  <c r="CT30" i="3"/>
  <c r="AE148" i="3"/>
  <c r="E147" i="19" s="1"/>
  <c r="BA238" i="3"/>
  <c r="BA158" i="3"/>
  <c r="BA286" i="3"/>
  <c r="BA278" i="3"/>
  <c r="BA270" i="3"/>
  <c r="BA262" i="3"/>
  <c r="BA254" i="3"/>
  <c r="BA246" i="3"/>
  <c r="BA230" i="3"/>
  <c r="BA222" i="3"/>
  <c r="BA214" i="3"/>
  <c r="BA206" i="3"/>
  <c r="BA198" i="3"/>
  <c r="BA190" i="3"/>
  <c r="BA182" i="3"/>
  <c r="BA174" i="3"/>
  <c r="BA166" i="3"/>
  <c r="BA150" i="3"/>
  <c r="BA142" i="3"/>
  <c r="BA134" i="3"/>
  <c r="BA126" i="3"/>
  <c r="BA118" i="3"/>
  <c r="BA110" i="3"/>
  <c r="BA102" i="3"/>
  <c r="BA94" i="3"/>
  <c r="BA78" i="3"/>
  <c r="BA70" i="3"/>
  <c r="BA62" i="3"/>
  <c r="BA284" i="3"/>
  <c r="BA268" i="3"/>
  <c r="BA260" i="3"/>
  <c r="BA252" i="3"/>
  <c r="BA244" i="3"/>
  <c r="BA236" i="3"/>
  <c r="BA228" i="3"/>
  <c r="BA220" i="3"/>
  <c r="BA212" i="3"/>
  <c r="BA204" i="3"/>
  <c r="BA196" i="3"/>
  <c r="BA188" i="3"/>
  <c r="BA180" i="3"/>
  <c r="BA172" i="3"/>
  <c r="BA156" i="3"/>
  <c r="BA148" i="3"/>
  <c r="BA140" i="3"/>
  <c r="BA132" i="3"/>
  <c r="BA124" i="3"/>
  <c r="BA116" i="3"/>
  <c r="BA108" i="3"/>
  <c r="BA100" i="3"/>
  <c r="BA92" i="3"/>
  <c r="BA84" i="3"/>
  <c r="BA76" i="3"/>
  <c r="BA60" i="3"/>
  <c r="BA52" i="3"/>
  <c r="BA44" i="3"/>
  <c r="BA36" i="3"/>
  <c r="BA28" i="3"/>
  <c r="BA20" i="3"/>
  <c r="BA12" i="3"/>
  <c r="AE228" i="3"/>
  <c r="E227" i="19" s="1"/>
  <c r="AE236" i="3"/>
  <c r="E235" i="19" s="1"/>
  <c r="AE25" i="3"/>
  <c r="AE116" i="3"/>
  <c r="E115" i="19" s="1"/>
  <c r="AE102" i="3"/>
  <c r="E101" i="19" s="1"/>
  <c r="AE110" i="3"/>
  <c r="E109" i="19" s="1"/>
  <c r="AE159" i="3"/>
  <c r="E158" i="19" s="1"/>
  <c r="BA233" i="3"/>
  <c r="BA201" i="3"/>
  <c r="BA161" i="3"/>
  <c r="BA137" i="3"/>
  <c r="BA105" i="3"/>
  <c r="BA49" i="3"/>
  <c r="AE199" i="3"/>
  <c r="E198" i="19" s="1"/>
  <c r="AE285" i="3"/>
  <c r="E284" i="19" s="1"/>
  <c r="AJ274" i="3"/>
  <c r="AE219" i="3"/>
  <c r="E218" i="19" s="1"/>
  <c r="AE259" i="3"/>
  <c r="E258" i="19" s="1"/>
  <c r="H209" i="14"/>
  <c r="I209" i="14" s="1"/>
  <c r="J209" i="14" s="1"/>
  <c r="P208" i="3" s="1"/>
  <c r="H282" i="14"/>
  <c r="I282" i="14" s="1"/>
  <c r="J282" i="14" s="1"/>
  <c r="P281" i="3" s="1"/>
  <c r="H263" i="14"/>
  <c r="I263" i="14" s="1"/>
  <c r="J263" i="14" s="1"/>
  <c r="P262" i="3" s="1"/>
  <c r="H175" i="14"/>
  <c r="I175" i="14" s="1"/>
  <c r="J175" i="14" s="1"/>
  <c r="P174" i="3" s="1"/>
  <c r="H248" i="14"/>
  <c r="I248" i="14" s="1"/>
  <c r="J248" i="14" s="1"/>
  <c r="P247" i="3" s="1"/>
  <c r="H174" i="14"/>
  <c r="I174" i="14" s="1"/>
  <c r="J174" i="14" s="1"/>
  <c r="P173" i="3" s="1"/>
  <c r="H246" i="14"/>
  <c r="I246" i="14" s="1"/>
  <c r="J246" i="14" s="1"/>
  <c r="P245" i="3" s="1"/>
  <c r="H135" i="14"/>
  <c r="I135" i="14" s="1"/>
  <c r="J135" i="14" s="1"/>
  <c r="P134" i="3" s="1"/>
  <c r="H154" i="14"/>
  <c r="I154" i="14" s="1"/>
  <c r="J154" i="14" s="1"/>
  <c r="P153" i="3" s="1"/>
  <c r="H223" i="14"/>
  <c r="I223" i="14" s="1"/>
  <c r="J223" i="14" s="1"/>
  <c r="P222" i="3" s="1"/>
  <c r="H45" i="14"/>
  <c r="I45" i="14" s="1"/>
  <c r="J45" i="14" s="1"/>
  <c r="P44" i="3" s="1"/>
  <c r="H144" i="14"/>
  <c r="I144" i="14" s="1"/>
  <c r="J144" i="14" s="1"/>
  <c r="P143" i="3" s="1"/>
  <c r="H273" i="14"/>
  <c r="I273" i="14" s="1"/>
  <c r="J273" i="14" s="1"/>
  <c r="P272" i="3" s="1"/>
  <c r="H70" i="14"/>
  <c r="I70" i="14" s="1"/>
  <c r="J70" i="14" s="1"/>
  <c r="P69" i="3" s="1"/>
  <c r="H89" i="14"/>
  <c r="I89" i="14" s="1"/>
  <c r="J89" i="14" s="1"/>
  <c r="P88" i="3" s="1"/>
  <c r="H98" i="14"/>
  <c r="I98" i="14" s="1"/>
  <c r="J98" i="14" s="1"/>
  <c r="P97" i="3" s="1"/>
  <c r="H291" i="14"/>
  <c r="I291" i="14" s="1"/>
  <c r="J291" i="14" s="1"/>
  <c r="P290" i="3" s="1"/>
  <c r="H107" i="14"/>
  <c r="I107" i="14" s="1"/>
  <c r="J107" i="14" s="1"/>
  <c r="P106" i="3" s="1"/>
  <c r="H80" i="14"/>
  <c r="I80" i="14" s="1"/>
  <c r="J80" i="14" s="1"/>
  <c r="P79" i="3" s="1"/>
  <c r="H185" i="14"/>
  <c r="I185" i="14" s="1"/>
  <c r="J185" i="14" s="1"/>
  <c r="P184" i="3" s="1"/>
  <c r="H29" i="14"/>
  <c r="I29" i="14" s="1"/>
  <c r="J29" i="14" s="1"/>
  <c r="P28" i="3" s="1"/>
  <c r="H13" i="14"/>
  <c r="I13" i="14" s="1"/>
  <c r="J13" i="14" s="1"/>
  <c r="P12" i="3" s="1"/>
  <c r="H62" i="14"/>
  <c r="I62" i="14" s="1"/>
  <c r="J62" i="14" s="1"/>
  <c r="P61" i="3" s="1"/>
  <c r="H205" i="14"/>
  <c r="I205" i="14" s="1"/>
  <c r="J205" i="14" s="1"/>
  <c r="P204" i="3" s="1"/>
  <c r="H195" i="14"/>
  <c r="I195" i="14" s="1"/>
  <c r="J195" i="14" s="1"/>
  <c r="P194" i="3" s="1"/>
  <c r="H53" i="14"/>
  <c r="I53" i="14" s="1"/>
  <c r="J53" i="14" s="1"/>
  <c r="P52" i="3" s="1"/>
  <c r="H21" i="14"/>
  <c r="I21" i="14" s="1"/>
  <c r="J21" i="14" s="1"/>
  <c r="P20" i="3" s="1"/>
  <c r="H234" i="14"/>
  <c r="I234" i="14" s="1"/>
  <c r="J234" i="14" s="1"/>
  <c r="P233" i="3" s="1"/>
  <c r="S233" i="3" s="1"/>
  <c r="BZ233" i="3" s="1"/>
  <c r="AJ18" i="3"/>
  <c r="V13" i="3"/>
  <c r="AA152" i="3"/>
  <c r="AA11" i="3"/>
  <c r="AJ149" i="3"/>
  <c r="V252" i="3"/>
  <c r="X118" i="3"/>
  <c r="AJ104" i="3"/>
  <c r="AA103" i="3"/>
  <c r="X68" i="3"/>
  <c r="AJ57" i="3"/>
  <c r="AA52" i="3"/>
  <c r="V48" i="3"/>
  <c r="X29" i="3"/>
  <c r="AJ7" i="3"/>
  <c r="AA76" i="3"/>
  <c r="AJ38" i="3"/>
  <c r="V18" i="3"/>
  <c r="X13" i="3"/>
  <c r="AJ288" i="3"/>
  <c r="AJ143" i="3"/>
  <c r="X252" i="3"/>
  <c r="X125" i="3"/>
  <c r="AJ121" i="3"/>
  <c r="AA118" i="3"/>
  <c r="AJ127" i="3"/>
  <c r="X18" i="3"/>
  <c r="AA13" i="3"/>
  <c r="V288" i="3"/>
  <c r="AJ122" i="3"/>
  <c r="X149" i="3"/>
  <c r="AA252" i="3"/>
  <c r="AA125" i="3"/>
  <c r="X38" i="3"/>
  <c r="AA18" i="3"/>
  <c r="X288" i="3"/>
  <c r="AA151" i="3"/>
  <c r="AJ251" i="3"/>
  <c r="AA149" i="3"/>
  <c r="X143" i="3"/>
  <c r="X121" i="3"/>
  <c r="AJ105" i="3"/>
  <c r="AA104" i="3"/>
  <c r="V92" i="3"/>
  <c r="X81" i="3"/>
  <c r="AJ59" i="3"/>
  <c r="AA57" i="3"/>
  <c r="X30" i="3"/>
  <c r="AJ12" i="3"/>
  <c r="AA7" i="3"/>
  <c r="X272" i="3"/>
  <c r="AJ249" i="3"/>
  <c r="AA221" i="3"/>
  <c r="X183" i="3"/>
  <c r="AJ61" i="3"/>
  <c r="X69" i="3"/>
  <c r="X15" i="3"/>
  <c r="X287" i="3"/>
  <c r="AJ277" i="3"/>
  <c r="AA265" i="3"/>
  <c r="X198" i="3"/>
  <c r="AJ184" i="3"/>
  <c r="AA176" i="3"/>
  <c r="V137" i="3"/>
  <c r="X132" i="3"/>
  <c r="AJ109" i="3"/>
  <c r="AA102" i="3"/>
  <c r="AJ172" i="3"/>
  <c r="AA163" i="3"/>
  <c r="X127" i="3"/>
  <c r="AA38" i="3"/>
  <c r="AA288" i="3"/>
  <c r="X122" i="3"/>
  <c r="AJ84" i="3"/>
  <c r="AJ160" i="3"/>
  <c r="AA143" i="3"/>
  <c r="AJ259" i="3"/>
  <c r="AJ124" i="3"/>
  <c r="AA121" i="3"/>
  <c r="X92" i="3"/>
  <c r="AJ83" i="3"/>
  <c r="AA81" i="3"/>
  <c r="V59" i="3"/>
  <c r="X50" i="3"/>
  <c r="AJ36" i="3"/>
  <c r="AA30" i="3"/>
  <c r="X284" i="3"/>
  <c r="AJ275" i="3"/>
  <c r="AA272" i="3"/>
  <c r="V249" i="3"/>
  <c r="X199" i="3"/>
  <c r="AJ187" i="3"/>
  <c r="AA183" i="3"/>
  <c r="AA69" i="3"/>
  <c r="AA15" i="3"/>
  <c r="AA287" i="3"/>
  <c r="X219" i="3"/>
  <c r="AJ200" i="3"/>
  <c r="AA198" i="3"/>
  <c r="V184" i="3"/>
  <c r="X137" i="3"/>
  <c r="AJ133" i="3"/>
  <c r="AA132" i="3"/>
  <c r="V109" i="3"/>
  <c r="X16" i="3"/>
  <c r="V172" i="3"/>
  <c r="X106" i="3"/>
  <c r="AA127" i="3"/>
  <c r="X274" i="3"/>
  <c r="AJ152" i="3"/>
  <c r="AA122" i="3"/>
  <c r="X251" i="3"/>
  <c r="AJ11" i="3"/>
  <c r="V124" i="3"/>
  <c r="X105" i="3"/>
  <c r="AJ103" i="3"/>
  <c r="AA92" i="3"/>
  <c r="X59" i="3"/>
  <c r="AA274" i="3"/>
  <c r="V152" i="3"/>
  <c r="X84" i="3"/>
  <c r="AA251" i="3"/>
  <c r="X160" i="3"/>
  <c r="X259" i="3"/>
  <c r="X124" i="3"/>
  <c r="AJ118" i="3"/>
  <c r="AJ13" i="3"/>
  <c r="X152" i="3"/>
  <c r="AJ151" i="3"/>
  <c r="AA84" i="3"/>
  <c r="AA160" i="3"/>
  <c r="X11" i="3"/>
  <c r="AJ252" i="3"/>
  <c r="AA259" i="3"/>
  <c r="AJ125" i="3"/>
  <c r="AA124" i="3"/>
  <c r="X103" i="3"/>
  <c r="AJ89" i="3"/>
  <c r="AA83" i="3"/>
  <c r="X52" i="3"/>
  <c r="AJ48" i="3"/>
  <c r="AA36" i="3"/>
  <c r="V29" i="3"/>
  <c r="AA105" i="3"/>
  <c r="X83" i="3"/>
  <c r="AJ68" i="3"/>
  <c r="AA59" i="3"/>
  <c r="V52" i="3"/>
  <c r="X36" i="3"/>
  <c r="AJ29" i="3"/>
  <c r="AA12" i="3"/>
  <c r="V76" i="3"/>
  <c r="X275" i="3"/>
  <c r="AJ255" i="3"/>
  <c r="AA249" i="3"/>
  <c r="X187" i="3"/>
  <c r="AJ93" i="3"/>
  <c r="AA61" i="3"/>
  <c r="AJ82" i="3"/>
  <c r="AJ123" i="3"/>
  <c r="AJ282" i="3"/>
  <c r="AA277" i="3"/>
  <c r="V244" i="3"/>
  <c r="X200" i="3"/>
  <c r="AJ191" i="3"/>
  <c r="AA184" i="3"/>
  <c r="X133" i="3"/>
  <c r="AJ119" i="3"/>
  <c r="AA109" i="3"/>
  <c r="V63" i="3"/>
  <c r="AJ202" i="3"/>
  <c r="AA172" i="3"/>
  <c r="X58" i="3"/>
  <c r="AJ20" i="3"/>
  <c r="X171" i="3"/>
  <c r="AJ141" i="3"/>
  <c r="AA94" i="3"/>
  <c r="X217" i="3"/>
  <c r="AJ181" i="3"/>
  <c r="AA159" i="3"/>
  <c r="X90" i="3"/>
  <c r="X204" i="3"/>
  <c r="AJ145" i="3"/>
  <c r="AA290" i="3"/>
  <c r="V150" i="3"/>
  <c r="X56" i="3"/>
  <c r="AJ41" i="3"/>
  <c r="AA6" i="3"/>
  <c r="X117" i="3"/>
  <c r="X266" i="3"/>
  <c r="AJ239" i="3"/>
  <c r="AA208" i="3"/>
  <c r="X175" i="3"/>
  <c r="AJ173" i="3"/>
  <c r="AA155" i="3"/>
  <c r="X101" i="3"/>
  <c r="AJ98" i="3"/>
  <c r="AA96" i="3"/>
  <c r="X76" i="3"/>
  <c r="AJ278" i="3"/>
  <c r="AA275" i="3"/>
  <c r="X211" i="3"/>
  <c r="AJ197" i="3"/>
  <c r="AA187" i="3"/>
  <c r="V282" i="3"/>
  <c r="X244" i="3"/>
  <c r="AJ207" i="3"/>
  <c r="AA200" i="3"/>
  <c r="X146" i="3"/>
  <c r="AJ134" i="3"/>
  <c r="AA133" i="3"/>
  <c r="X63" i="3"/>
  <c r="AJ14" i="3"/>
  <c r="V202" i="3"/>
  <c r="X161" i="3"/>
  <c r="AJ65" i="3"/>
  <c r="AA58" i="3"/>
  <c r="AJ226" i="3"/>
  <c r="AA171" i="3"/>
  <c r="V141" i="3"/>
  <c r="AJ260" i="3"/>
  <c r="AA217" i="3"/>
  <c r="V181" i="3"/>
  <c r="X24" i="3"/>
  <c r="AA90" i="3"/>
  <c r="AJ229" i="3"/>
  <c r="AJ205" i="3"/>
  <c r="AA204" i="3"/>
  <c r="V145" i="3"/>
  <c r="X150" i="3"/>
  <c r="AJ91" i="3"/>
  <c r="AA56" i="3"/>
  <c r="X203" i="3"/>
  <c r="AJ35" i="3"/>
  <c r="AA117" i="3"/>
  <c r="AJ166" i="3"/>
  <c r="AA266" i="3"/>
  <c r="V239" i="3"/>
  <c r="X189" i="3"/>
  <c r="AJ186" i="3"/>
  <c r="AA175" i="3"/>
  <c r="X129" i="3"/>
  <c r="AJ110" i="3"/>
  <c r="AA101" i="3"/>
  <c r="V98" i="3"/>
  <c r="X85" i="3"/>
  <c r="X255" i="3"/>
  <c r="AJ221" i="3"/>
  <c r="AA211" i="3"/>
  <c r="X93" i="3"/>
  <c r="X82" i="3"/>
  <c r="X123" i="3"/>
  <c r="X282" i="3"/>
  <c r="AJ265" i="3"/>
  <c r="AA244" i="3"/>
  <c r="X191" i="3"/>
  <c r="AJ176" i="3"/>
  <c r="AA146" i="3"/>
  <c r="X119" i="3"/>
  <c r="AJ102" i="3"/>
  <c r="AA63" i="3"/>
  <c r="V14" i="3"/>
  <c r="X202" i="3"/>
  <c r="AJ163" i="3"/>
  <c r="AA161" i="3"/>
  <c r="X20" i="3"/>
  <c r="X141" i="3"/>
  <c r="X181" i="3"/>
  <c r="AJ37" i="3"/>
  <c r="AA24" i="3"/>
  <c r="V229" i="3"/>
  <c r="V205" i="3"/>
  <c r="X145" i="3"/>
  <c r="AJ32" i="3"/>
  <c r="AJ235" i="3"/>
  <c r="AA150" i="3"/>
  <c r="V91" i="3"/>
  <c r="X41" i="3"/>
  <c r="AJ34" i="3"/>
  <c r="AA203" i="3"/>
  <c r="V35" i="3"/>
  <c r="AJ170" i="3"/>
  <c r="X239" i="3"/>
  <c r="AJ192" i="3"/>
  <c r="AA189" i="3"/>
  <c r="V186" i="3"/>
  <c r="X173" i="3"/>
  <c r="AJ130" i="3"/>
  <c r="AA129" i="3"/>
  <c r="V110" i="3"/>
  <c r="X98" i="3"/>
  <c r="AJ95" i="3"/>
  <c r="AA85" i="3"/>
  <c r="V70" i="3"/>
  <c r="X8" i="3"/>
  <c r="AJ283" i="3"/>
  <c r="AA281" i="3"/>
  <c r="X256" i="3"/>
  <c r="AJ245" i="3"/>
  <c r="AA243" i="3"/>
  <c r="V237" i="3"/>
  <c r="AA236" i="3"/>
  <c r="X89" i="3"/>
  <c r="AJ81" i="3"/>
  <c r="X48" i="3"/>
  <c r="AJ30" i="3"/>
  <c r="AA29" i="3"/>
  <c r="X278" i="3"/>
  <c r="AJ272" i="3"/>
  <c r="AA255" i="3"/>
  <c r="X197" i="3"/>
  <c r="AJ183" i="3"/>
  <c r="AA93" i="3"/>
  <c r="AJ69" i="3"/>
  <c r="AA82" i="3"/>
  <c r="AJ15" i="3"/>
  <c r="AA123" i="3"/>
  <c r="AJ287" i="3"/>
  <c r="AA282" i="3"/>
  <c r="V265" i="3"/>
  <c r="X207" i="3"/>
  <c r="AJ198" i="3"/>
  <c r="AA191" i="3"/>
  <c r="V176" i="3"/>
  <c r="X134" i="3"/>
  <c r="AJ132" i="3"/>
  <c r="AA119" i="3"/>
  <c r="V102" i="3"/>
  <c r="X14" i="3"/>
  <c r="AA202" i="3"/>
  <c r="X65" i="3"/>
  <c r="AA20" i="3"/>
  <c r="X226" i="3"/>
  <c r="AJ158" i="3"/>
  <c r="AA141" i="3"/>
  <c r="X260" i="3"/>
  <c r="AJ193" i="3"/>
  <c r="AA181" i="3"/>
  <c r="X229" i="3"/>
  <c r="X205" i="3"/>
  <c r="AJ156" i="3"/>
  <c r="AA145" i="3"/>
  <c r="V32" i="3"/>
  <c r="V235" i="3"/>
  <c r="X91" i="3"/>
  <c r="AJ51" i="3"/>
  <c r="AA41" i="3"/>
  <c r="V34" i="3"/>
  <c r="X35" i="3"/>
  <c r="X166" i="3"/>
  <c r="V170" i="3"/>
  <c r="AJ246" i="3"/>
  <c r="AA239" i="3"/>
  <c r="X186" i="3"/>
  <c r="AJ174" i="3"/>
  <c r="AA173" i="3"/>
  <c r="V130" i="3"/>
  <c r="X110" i="3"/>
  <c r="AJ99" i="3"/>
  <c r="AA98" i="3"/>
  <c r="V95" i="3"/>
  <c r="X70" i="3"/>
  <c r="AJ33" i="3"/>
  <c r="AA8" i="3"/>
  <c r="X104" i="3"/>
  <c r="AJ92" i="3"/>
  <c r="AA89" i="3"/>
  <c r="X57" i="3"/>
  <c r="AJ50" i="3"/>
  <c r="AA48" i="3"/>
  <c r="X7" i="3"/>
  <c r="AJ284" i="3"/>
  <c r="AA278" i="3"/>
  <c r="V272" i="3"/>
  <c r="X221" i="3"/>
  <c r="AJ199" i="3"/>
  <c r="AA197" i="3"/>
  <c r="V183" i="3"/>
  <c r="V15" i="3"/>
  <c r="V287" i="3"/>
  <c r="X265" i="3"/>
  <c r="AJ219" i="3"/>
  <c r="AA207" i="3"/>
  <c r="X176" i="3"/>
  <c r="AJ137" i="3"/>
  <c r="AA134" i="3"/>
  <c r="X102" i="3"/>
  <c r="AJ16" i="3"/>
  <c r="AA14" i="3"/>
  <c r="X163" i="3"/>
  <c r="AJ106" i="3"/>
  <c r="AA65" i="3"/>
  <c r="AJ253" i="3"/>
  <c r="AA226" i="3"/>
  <c r="AA260" i="3"/>
  <c r="X37" i="3"/>
  <c r="AJ268" i="3"/>
  <c r="AA229" i="3"/>
  <c r="AA205" i="3"/>
  <c r="V156" i="3"/>
  <c r="X32" i="3"/>
  <c r="X235" i="3"/>
  <c r="AJ108" i="3"/>
  <c r="AA91" i="3"/>
  <c r="V51" i="3"/>
  <c r="X34" i="3"/>
  <c r="AJ154" i="3"/>
  <c r="AA35" i="3"/>
  <c r="AA166" i="3"/>
  <c r="X170" i="3"/>
  <c r="V246" i="3"/>
  <c r="X192" i="3"/>
  <c r="AJ188" i="3"/>
  <c r="AA186" i="3"/>
  <c r="V174" i="3"/>
  <c r="X130" i="3"/>
  <c r="AJ120" i="3"/>
  <c r="AA110" i="3"/>
  <c r="X95" i="3"/>
  <c r="AJ80" i="3"/>
  <c r="AA70" i="3"/>
  <c r="V33" i="3"/>
  <c r="X158" i="3"/>
  <c r="AJ94" i="3"/>
  <c r="X193" i="3"/>
  <c r="AJ159" i="3"/>
  <c r="AA37" i="3"/>
  <c r="X156" i="3"/>
  <c r="AJ290" i="3"/>
  <c r="AA32" i="3"/>
  <c r="AA235" i="3"/>
  <c r="V108" i="3"/>
  <c r="X51" i="3"/>
  <c r="AJ6" i="3"/>
  <c r="AA34" i="3"/>
  <c r="V154" i="3"/>
  <c r="AA170" i="3"/>
  <c r="X246" i="3"/>
  <c r="AJ208" i="3"/>
  <c r="AA192" i="3"/>
  <c r="V188" i="3"/>
  <c r="X174" i="3"/>
  <c r="AJ155" i="3"/>
  <c r="AA130" i="3"/>
  <c r="V120" i="3"/>
  <c r="X99" i="3"/>
  <c r="AJ96" i="3"/>
  <c r="AA95" i="3"/>
  <c r="X33" i="3"/>
  <c r="AJ58" i="3"/>
  <c r="X253" i="3"/>
  <c r="AJ171" i="3"/>
  <c r="AA158" i="3"/>
  <c r="V94" i="3"/>
  <c r="AJ217" i="3"/>
  <c r="AA193" i="3"/>
  <c r="AJ90" i="3"/>
  <c r="X268" i="3"/>
  <c r="AJ204" i="3"/>
  <c r="AA156" i="3"/>
  <c r="X108" i="3"/>
  <c r="AJ56" i="3"/>
  <c r="AA51" i="3"/>
  <c r="V6" i="3"/>
  <c r="X154" i="3"/>
  <c r="AJ117" i="3"/>
  <c r="AJ266" i="3"/>
  <c r="AA246" i="3"/>
  <c r="V208" i="3"/>
  <c r="X188" i="3"/>
  <c r="AJ175" i="3"/>
  <c r="AA174" i="3"/>
  <c r="V155" i="3"/>
  <c r="X120" i="3"/>
  <c r="AJ101" i="3"/>
  <c r="AA99" i="3"/>
  <c r="V96" i="3"/>
  <c r="X80" i="3"/>
  <c r="AJ55" i="3"/>
  <c r="AA33" i="3"/>
  <c r="V286" i="3"/>
  <c r="X271" i="3"/>
  <c r="AJ263" i="3"/>
  <c r="AA261" i="3"/>
  <c r="V247" i="3"/>
  <c r="X240" i="3"/>
  <c r="AJ236" i="3"/>
  <c r="AA230" i="3"/>
  <c r="V227" i="3"/>
  <c r="X213" i="3"/>
  <c r="AJ201" i="3"/>
  <c r="AA194" i="3"/>
  <c r="V179" i="3"/>
  <c r="X135" i="3"/>
  <c r="AJ128" i="3"/>
  <c r="AA126" i="3"/>
  <c r="V112" i="3"/>
  <c r="X86" i="3"/>
  <c r="AJ75" i="3"/>
  <c r="AJ52" i="3"/>
  <c r="AA50" i="3"/>
  <c r="V36" i="3"/>
  <c r="X12" i="3"/>
  <c r="AJ76" i="3"/>
  <c r="AA284" i="3"/>
  <c r="X249" i="3"/>
  <c r="AJ211" i="3"/>
  <c r="AA199" i="3"/>
  <c r="V187" i="3"/>
  <c r="X61" i="3"/>
  <c r="X277" i="3"/>
  <c r="AJ244" i="3"/>
  <c r="AA219" i="3"/>
  <c r="X184" i="3"/>
  <c r="AJ146" i="3"/>
  <c r="AA137" i="3"/>
  <c r="V133" i="3"/>
  <c r="X109" i="3"/>
  <c r="AJ63" i="3"/>
  <c r="AA16" i="3"/>
  <c r="X172" i="3"/>
  <c r="AJ161" i="3"/>
  <c r="AA106" i="3"/>
  <c r="AA253" i="3"/>
  <c r="V171" i="3"/>
  <c r="X94" i="3"/>
  <c r="V217" i="3"/>
  <c r="X159" i="3"/>
  <c r="AJ24" i="3"/>
  <c r="AA268" i="3"/>
  <c r="V204" i="3"/>
  <c r="X290" i="3"/>
  <c r="AJ150" i="3"/>
  <c r="AA108" i="3"/>
  <c r="V56" i="3"/>
  <c r="X6" i="3"/>
  <c r="AJ203" i="3"/>
  <c r="AA154" i="3"/>
  <c r="X208" i="3"/>
  <c r="AJ189" i="3"/>
  <c r="AA188" i="3"/>
  <c r="V175" i="3"/>
  <c r="X155" i="3"/>
  <c r="AJ129" i="3"/>
  <c r="AA120" i="3"/>
  <c r="V101" i="3"/>
  <c r="X96" i="3"/>
  <c r="AJ85" i="3"/>
  <c r="AA80" i="3"/>
  <c r="V55" i="3"/>
  <c r="X286" i="3"/>
  <c r="AJ281" i="3"/>
  <c r="AA271" i="3"/>
  <c r="V263" i="3"/>
  <c r="X247" i="3"/>
  <c r="AJ243" i="3"/>
  <c r="AA240" i="3"/>
  <c r="X233" i="3"/>
  <c r="X227" i="3"/>
  <c r="AJ214" i="3"/>
  <c r="AJ70" i="3"/>
  <c r="AA55" i="3"/>
  <c r="V8" i="3"/>
  <c r="X281" i="3"/>
  <c r="AJ269" i="3"/>
  <c r="AA263" i="3"/>
  <c r="V256" i="3"/>
  <c r="X243" i="3"/>
  <c r="AJ237" i="3"/>
  <c r="X236" i="3"/>
  <c r="X214" i="3"/>
  <c r="AJ212" i="3"/>
  <c r="AA201" i="3"/>
  <c r="V185" i="3"/>
  <c r="X140" i="3"/>
  <c r="AJ131" i="3"/>
  <c r="AA128" i="3"/>
  <c r="V113" i="3"/>
  <c r="X87" i="3"/>
  <c r="AJ79" i="3"/>
  <c r="AA75" i="3"/>
  <c r="V54" i="3"/>
  <c r="X39" i="3"/>
  <c r="AJ26" i="3"/>
  <c r="AA17" i="3"/>
  <c r="V289" i="3"/>
  <c r="X195" i="3"/>
  <c r="AJ88" i="3"/>
  <c r="AA67" i="3"/>
  <c r="X136" i="3"/>
  <c r="X153" i="3"/>
  <c r="X190" i="3"/>
  <c r="V44" i="3"/>
  <c r="X74" i="3"/>
  <c r="X209" i="3"/>
  <c r="AJ270" i="3"/>
  <c r="X241" i="3"/>
  <c r="AJ206" i="3"/>
  <c r="AA97" i="3"/>
  <c r="AJ254" i="3"/>
  <c r="AA238" i="3"/>
  <c r="X177" i="3"/>
  <c r="AJ157" i="3"/>
  <c r="AA148" i="3"/>
  <c r="AJ276" i="3"/>
  <c r="AJ258" i="3"/>
  <c r="X248" i="3"/>
  <c r="X232" i="3"/>
  <c r="AJ180" i="3"/>
  <c r="AA168" i="3"/>
  <c r="V162" i="3"/>
  <c r="X78" i="3"/>
  <c r="AJ71" i="3"/>
  <c r="AA62" i="3"/>
  <c r="V43" i="3"/>
  <c r="X19" i="3"/>
  <c r="V116" i="3"/>
  <c r="BA123" i="3"/>
  <c r="BA67" i="3"/>
  <c r="BA59" i="3"/>
  <c r="BA11" i="3"/>
  <c r="X228" i="3"/>
  <c r="AJ220" i="3"/>
  <c r="AA214" i="3"/>
  <c r="V212" i="3"/>
  <c r="X185" i="3"/>
  <c r="AJ167" i="3"/>
  <c r="AA140" i="3"/>
  <c r="V131" i="3"/>
  <c r="X113" i="3"/>
  <c r="AJ100" i="3"/>
  <c r="AA87" i="3"/>
  <c r="V79" i="3"/>
  <c r="X54" i="3"/>
  <c r="AJ45" i="3"/>
  <c r="AA39" i="3"/>
  <c r="X289" i="3"/>
  <c r="AJ218" i="3"/>
  <c r="AA195" i="3"/>
  <c r="V88" i="3"/>
  <c r="X40" i="3"/>
  <c r="X196" i="3"/>
  <c r="X257" i="3"/>
  <c r="AJ138" i="3"/>
  <c r="AA136" i="3"/>
  <c r="AJ234" i="3"/>
  <c r="AA153" i="3"/>
  <c r="AA190" i="3"/>
  <c r="X44" i="3"/>
  <c r="AA74" i="3"/>
  <c r="X182" i="3"/>
  <c r="AJ31" i="3"/>
  <c r="AA209" i="3"/>
  <c r="AJ60" i="3"/>
  <c r="AJ250" i="3"/>
  <c r="AJ279" i="3"/>
  <c r="AA241" i="3"/>
  <c r="X9" i="3"/>
  <c r="X280" i="3"/>
  <c r="X222" i="3"/>
  <c r="AJ215" i="3"/>
  <c r="AA177" i="3"/>
  <c r="X107" i="3"/>
  <c r="V276" i="3"/>
  <c r="AA248" i="3"/>
  <c r="AA232" i="3"/>
  <c r="V180" i="3"/>
  <c r="X162" i="3"/>
  <c r="AJ111" i="3"/>
  <c r="AA78" i="3"/>
  <c r="V71" i="3"/>
  <c r="X43" i="3"/>
  <c r="AJ21" i="3"/>
  <c r="AA19" i="3"/>
  <c r="X116" i="3"/>
  <c r="V283" i="3"/>
  <c r="X269" i="3"/>
  <c r="AJ261" i="3"/>
  <c r="AA256" i="3"/>
  <c r="V245" i="3"/>
  <c r="X237" i="3"/>
  <c r="AJ230" i="3"/>
  <c r="AA228" i="3"/>
  <c r="X212" i="3"/>
  <c r="AJ194" i="3"/>
  <c r="AA185" i="3"/>
  <c r="X131" i="3"/>
  <c r="AJ126" i="3"/>
  <c r="AA113" i="3"/>
  <c r="V100" i="3"/>
  <c r="X79" i="3"/>
  <c r="AJ66" i="3"/>
  <c r="AA54" i="3"/>
  <c r="V45" i="3"/>
  <c r="X26" i="3"/>
  <c r="AJ10" i="3"/>
  <c r="AA289" i="3"/>
  <c r="V218" i="3"/>
  <c r="X88" i="3"/>
  <c r="AJ42" i="3"/>
  <c r="AA40" i="3"/>
  <c r="V5" i="3"/>
  <c r="Y5" i="3" s="1"/>
  <c r="AJ223" i="3"/>
  <c r="AA196" i="3"/>
  <c r="AA257" i="3"/>
  <c r="V138" i="3"/>
  <c r="AJ114" i="3"/>
  <c r="AA44" i="3"/>
  <c r="AA182" i="3"/>
  <c r="V60" i="3"/>
  <c r="V250" i="3"/>
  <c r="AA178" i="3"/>
  <c r="AA25" i="3"/>
  <c r="X270" i="3"/>
  <c r="X206" i="3"/>
  <c r="AJ77" i="3"/>
  <c r="AJ264" i="3"/>
  <c r="AA9" i="3"/>
  <c r="AJ285" i="3"/>
  <c r="AA280" i="3"/>
  <c r="X254" i="3"/>
  <c r="AJ225" i="3"/>
  <c r="AA222" i="3"/>
  <c r="X157" i="3"/>
  <c r="AJ139" i="3"/>
  <c r="AA107" i="3"/>
  <c r="AJ46" i="3"/>
  <c r="X276" i="3"/>
  <c r="AJ242" i="3"/>
  <c r="H181" i="14"/>
  <c r="I181" i="14" s="1"/>
  <c r="J181" i="14" s="1"/>
  <c r="P180" i="3" s="1"/>
  <c r="X180" i="3"/>
  <c r="AJ165" i="3"/>
  <c r="AA162" i="3"/>
  <c r="V111" i="3"/>
  <c r="X71" i="3"/>
  <c r="AJ47" i="3"/>
  <c r="AA43" i="3"/>
  <c r="V21" i="3"/>
  <c r="AA116" i="3"/>
  <c r="X283" i="3"/>
  <c r="AJ271" i="3"/>
  <c r="AA269" i="3"/>
  <c r="V261" i="3"/>
  <c r="X245" i="3"/>
  <c r="AJ240" i="3"/>
  <c r="AA237" i="3"/>
  <c r="V230" i="3"/>
  <c r="X220" i="3"/>
  <c r="AJ213" i="3"/>
  <c r="AA212" i="3"/>
  <c r="X167" i="3"/>
  <c r="AJ135" i="3"/>
  <c r="AA131" i="3"/>
  <c r="V126" i="3"/>
  <c r="X100" i="3"/>
  <c r="AJ86" i="3"/>
  <c r="AA79" i="3"/>
  <c r="V66" i="3"/>
  <c r="X45" i="3"/>
  <c r="AJ27" i="3"/>
  <c r="AA26" i="3"/>
  <c r="X218" i="3"/>
  <c r="AJ142" i="3"/>
  <c r="AA88" i="3"/>
  <c r="V42" i="3"/>
  <c r="V223" i="3"/>
  <c r="X138" i="3"/>
  <c r="X234" i="3"/>
  <c r="AJ144" i="3"/>
  <c r="X31" i="3"/>
  <c r="X60" i="3"/>
  <c r="X250" i="3"/>
  <c r="X178" i="3"/>
  <c r="X25" i="3"/>
  <c r="AJ267" i="3"/>
  <c r="AA270" i="3"/>
  <c r="X279" i="3"/>
  <c r="AJ231" i="3"/>
  <c r="AA206" i="3"/>
  <c r="AJ262" i="3"/>
  <c r="AA254" i="3"/>
  <c r="X215" i="3"/>
  <c r="AJ169" i="3"/>
  <c r="AA157" i="3"/>
  <c r="V46" i="3"/>
  <c r="AA276" i="3"/>
  <c r="V258" i="3"/>
  <c r="V242" i="3"/>
  <c r="AJ210" i="3"/>
  <c r="AA180" i="3"/>
  <c r="V165" i="3"/>
  <c r="X111" i="3"/>
  <c r="AJ73" i="3"/>
  <c r="AA71" i="3"/>
  <c r="V47" i="3"/>
  <c r="X21" i="3"/>
  <c r="AJ286" i="3"/>
  <c r="AA283" i="3"/>
  <c r="V271" i="3"/>
  <c r="X261" i="3"/>
  <c r="AJ247" i="3"/>
  <c r="AA245" i="3"/>
  <c r="V240" i="3"/>
  <c r="AJ233" i="3"/>
  <c r="X230" i="3"/>
  <c r="AJ227" i="3"/>
  <c r="AA220" i="3"/>
  <c r="X194" i="3"/>
  <c r="AJ179" i="3"/>
  <c r="AA167" i="3"/>
  <c r="V135" i="3"/>
  <c r="X126" i="3"/>
  <c r="AJ112" i="3"/>
  <c r="AA100" i="3"/>
  <c r="V86" i="3"/>
  <c r="X66" i="3"/>
  <c r="AJ53" i="3"/>
  <c r="AA45" i="3"/>
  <c r="V27" i="3"/>
  <c r="X10" i="3"/>
  <c r="AJ224" i="3"/>
  <c r="AA218" i="3"/>
  <c r="V142" i="3"/>
  <c r="X42" i="3"/>
  <c r="AJ23" i="3"/>
  <c r="X223" i="3"/>
  <c r="AJ64" i="3"/>
  <c r="AJ147" i="3"/>
  <c r="AA138" i="3"/>
  <c r="AA234" i="3"/>
  <c r="X114" i="3"/>
  <c r="AJ28" i="3"/>
  <c r="AJ49" i="3"/>
  <c r="AA31" i="3"/>
  <c r="AA60" i="3"/>
  <c r="AJ164" i="3"/>
  <c r="AA250" i="3"/>
  <c r="V178" i="3"/>
  <c r="V25" i="3"/>
  <c r="AA279" i="3"/>
  <c r="X77" i="3"/>
  <c r="X264" i="3"/>
  <c r="X285" i="3"/>
  <c r="X225" i="3"/>
  <c r="AJ216" i="3"/>
  <c r="AA215" i="3"/>
  <c r="X139" i="3"/>
  <c r="X46" i="3"/>
  <c r="AJ273" i="3"/>
  <c r="X258" i="3"/>
  <c r="X242" i="3"/>
  <c r="V210" i="3"/>
  <c r="X165" i="3"/>
  <c r="AJ115" i="3"/>
  <c r="AA111" i="3"/>
  <c r="V73" i="3"/>
  <c r="X47" i="3"/>
  <c r="AJ22" i="3"/>
  <c r="AA21" i="3"/>
  <c r="AA66" i="3"/>
  <c r="V53" i="3"/>
  <c r="X27" i="3"/>
  <c r="AJ17" i="3"/>
  <c r="AA10" i="3"/>
  <c r="V224" i="3"/>
  <c r="X142" i="3"/>
  <c r="AJ67" i="3"/>
  <c r="AA42" i="3"/>
  <c r="V23" i="3"/>
  <c r="AA223" i="3"/>
  <c r="V64" i="3"/>
  <c r="X144" i="3"/>
  <c r="AA114" i="3"/>
  <c r="X267" i="3"/>
  <c r="X231" i="3"/>
  <c r="AJ97" i="3"/>
  <c r="AA77" i="3"/>
  <c r="AA264" i="3"/>
  <c r="AA285" i="3"/>
  <c r="X262" i="3"/>
  <c r="AJ238" i="3"/>
  <c r="AA225" i="3"/>
  <c r="X169" i="3"/>
  <c r="AJ148" i="3"/>
  <c r="AA139" i="3"/>
  <c r="AA46" i="3"/>
  <c r="V273" i="3"/>
  <c r="AA258" i="3"/>
  <c r="AA242" i="3"/>
  <c r="X210" i="3"/>
  <c r="AJ168" i="3"/>
  <c r="AA165" i="3"/>
  <c r="V115" i="3"/>
  <c r="X73" i="3"/>
  <c r="AJ62" i="3"/>
  <c r="AA47" i="3"/>
  <c r="V22" i="3"/>
  <c r="AA213" i="3"/>
  <c r="X179" i="3"/>
  <c r="AJ140" i="3"/>
  <c r="AA135" i="3"/>
  <c r="X112" i="3"/>
  <c r="AJ87" i="3"/>
  <c r="AA86" i="3"/>
  <c r="V75" i="3"/>
  <c r="X53" i="3"/>
  <c r="AJ39" i="3"/>
  <c r="AA27" i="3"/>
  <c r="V17" i="3"/>
  <c r="X224" i="3"/>
  <c r="AJ195" i="3"/>
  <c r="AA142" i="3"/>
  <c r="X23" i="3"/>
  <c r="X64" i="3"/>
  <c r="X147" i="3"/>
  <c r="AJ136" i="3"/>
  <c r="AJ153" i="3"/>
  <c r="AA144" i="3"/>
  <c r="AJ190" i="3"/>
  <c r="X28" i="3"/>
  <c r="AJ74" i="3"/>
  <c r="X49" i="3"/>
  <c r="AJ209" i="3"/>
  <c r="X164" i="3"/>
  <c r="AJ25" i="3"/>
  <c r="AA267" i="3"/>
  <c r="AJ241" i="3"/>
  <c r="AA231" i="3"/>
  <c r="AA262" i="3"/>
  <c r="X216" i="3"/>
  <c r="AJ177" i="3"/>
  <c r="AA169" i="3"/>
  <c r="X273" i="3"/>
  <c r="AJ248" i="3"/>
  <c r="AJ232" i="3"/>
  <c r="AA210" i="3"/>
  <c r="V168" i="3"/>
  <c r="X115" i="3"/>
  <c r="AJ78" i="3"/>
  <c r="AA73" i="3"/>
  <c r="V62" i="3"/>
  <c r="X22" i="3"/>
  <c r="AJ19" i="3"/>
  <c r="X55" i="3"/>
  <c r="AJ8" i="3"/>
  <c r="AA286" i="3"/>
  <c r="X263" i="3"/>
  <c r="AJ256" i="3"/>
  <c r="AA247" i="3"/>
  <c r="V243" i="3"/>
  <c r="AA233" i="3"/>
  <c r="AJ228" i="3"/>
  <c r="AA227" i="3"/>
  <c r="X201" i="3"/>
  <c r="AJ185" i="3"/>
  <c r="AA179" i="3"/>
  <c r="V140" i="3"/>
  <c r="X128" i="3"/>
  <c r="AJ113" i="3"/>
  <c r="AA112" i="3"/>
  <c r="V87" i="3"/>
  <c r="X75" i="3"/>
  <c r="AJ54" i="3"/>
  <c r="AA53" i="3"/>
  <c r="X17" i="3"/>
  <c r="AJ289" i="3"/>
  <c r="AA224" i="3"/>
  <c r="X67" i="3"/>
  <c r="AJ40" i="3"/>
  <c r="AA23" i="3"/>
  <c r="AJ196" i="3"/>
  <c r="AA64" i="3"/>
  <c r="AJ257" i="3"/>
  <c r="AA147" i="3"/>
  <c r="AJ44" i="3"/>
  <c r="AA28" i="3"/>
  <c r="AJ182" i="3"/>
  <c r="AA49" i="3"/>
  <c r="AA164" i="3"/>
  <c r="AJ178" i="3"/>
  <c r="X97" i="3"/>
  <c r="AJ9" i="3"/>
  <c r="AJ280" i="3"/>
  <c r="X238" i="3"/>
  <c r="AJ222" i="3"/>
  <c r="AA216" i="3"/>
  <c r="V177" i="3"/>
  <c r="X148" i="3"/>
  <c r="AJ107" i="3"/>
  <c r="AA273" i="3"/>
  <c r="V248" i="3"/>
  <c r="V232" i="3"/>
  <c r="X168" i="3"/>
  <c r="AJ162" i="3"/>
  <c r="AA115" i="3"/>
  <c r="V78" i="3"/>
  <c r="X62" i="3"/>
  <c r="AJ43" i="3"/>
  <c r="AA22" i="3"/>
  <c r="V19" i="3"/>
  <c r="AJ116" i="3"/>
  <c r="B39" i="6"/>
  <c r="B52" i="6"/>
  <c r="J170" i="15"/>
  <c r="K170" i="15" s="1"/>
  <c r="J334" i="15"/>
  <c r="K334" i="15" s="1"/>
  <c r="J526" i="15"/>
  <c r="L526" i="15" s="1"/>
  <c r="J626" i="15"/>
  <c r="K626" i="15" s="1"/>
  <c r="J754" i="15"/>
  <c r="L754" i="15" s="1"/>
  <c r="J782" i="15"/>
  <c r="J854" i="15"/>
  <c r="L854" i="15" s="1"/>
  <c r="J886" i="15"/>
  <c r="K886" i="15" s="1"/>
  <c r="J962" i="15"/>
  <c r="L962" i="15" s="1"/>
  <c r="J1066" i="15"/>
  <c r="L1066" i="15" s="1"/>
  <c r="J1082" i="15"/>
  <c r="L1082" i="15" s="1"/>
  <c r="J1146" i="15"/>
  <c r="L1146" i="15" s="1"/>
  <c r="J1206" i="15"/>
  <c r="K1206" i="15" s="1"/>
  <c r="J1246" i="15"/>
  <c r="J1258" i="15"/>
  <c r="L1258" i="15" s="1"/>
  <c r="J1274" i="15"/>
  <c r="K1274" i="15" s="1"/>
  <c r="J1306" i="15"/>
  <c r="K1306" i="15" s="1"/>
  <c r="J44" i="15"/>
  <c r="K44" i="15" s="1"/>
  <c r="J104" i="15"/>
  <c r="L104" i="15" s="1"/>
  <c r="J425" i="15"/>
  <c r="J1037" i="15"/>
  <c r="J1061" i="15"/>
  <c r="J1085" i="15"/>
  <c r="J1101" i="15"/>
  <c r="J1157" i="15"/>
  <c r="J1161" i="15"/>
  <c r="J1165" i="15"/>
  <c r="J1169" i="15"/>
  <c r="J1213" i="15"/>
  <c r="J1241" i="15"/>
  <c r="K1241" i="15" s="1"/>
  <c r="J1249" i="15"/>
  <c r="L1249" i="15" s="1"/>
  <c r="J1253" i="15"/>
  <c r="L1253" i="15" s="1"/>
  <c r="J1305" i="15"/>
  <c r="J294" i="15"/>
  <c r="K294" i="15" s="1"/>
  <c r="J310" i="15"/>
  <c r="J314" i="15"/>
  <c r="L314" i="15" s="1"/>
  <c r="J318" i="15"/>
  <c r="K318" i="15" s="1"/>
  <c r="J326" i="15"/>
  <c r="L326" i="15" s="1"/>
  <c r="J346" i="15"/>
  <c r="L346" i="15" s="1"/>
  <c r="J350" i="15"/>
  <c r="K350" i="15" s="1"/>
  <c r="J362" i="15"/>
  <c r="K362" i="15" s="1"/>
  <c r="J366" i="15"/>
  <c r="J382" i="15"/>
  <c r="L382" i="15" s="1"/>
  <c r="J390" i="15"/>
  <c r="J398" i="15"/>
  <c r="J406" i="15"/>
  <c r="L406" i="15" s="1"/>
  <c r="J422" i="15"/>
  <c r="J426" i="15"/>
  <c r="L426" i="15" s="1"/>
  <c r="J438" i="15"/>
  <c r="J446" i="15"/>
  <c r="J450" i="15"/>
  <c r="K450" i="15" s="1"/>
  <c r="J458" i="15"/>
  <c r="J462" i="15"/>
  <c r="L462" i="15" s="1"/>
  <c r="J466" i="15"/>
  <c r="J470" i="15"/>
  <c r="J482" i="15"/>
  <c r="J486" i="15"/>
  <c r="K486" i="15" s="1"/>
  <c r="J494" i="15"/>
  <c r="J498" i="15"/>
  <c r="J510" i="15"/>
  <c r="L510" i="15" s="1"/>
  <c r="J514" i="15"/>
  <c r="L514" i="15" s="1"/>
  <c r="J518" i="15"/>
  <c r="K518" i="15" s="1"/>
  <c r="J530" i="15"/>
  <c r="J542" i="15"/>
  <c r="L542" i="15" s="1"/>
  <c r="J546" i="15"/>
  <c r="J550" i="15"/>
  <c r="L550" i="15" s="1"/>
  <c r="J558" i="15"/>
  <c r="K558" i="15" s="1"/>
  <c r="J562" i="15"/>
  <c r="J578" i="15"/>
  <c r="K578" i="15" s="1"/>
  <c r="J582" i="15"/>
  <c r="J594" i="15"/>
  <c r="J606" i="15"/>
  <c r="J618" i="15"/>
  <c r="J642" i="15"/>
  <c r="J650" i="15"/>
  <c r="J658" i="15"/>
  <c r="L658" i="15" s="1"/>
  <c r="J674" i="15"/>
  <c r="J682" i="15"/>
  <c r="L682" i="15" s="1"/>
  <c r="J694" i="15"/>
  <c r="K694" i="15" s="1"/>
  <c r="J706" i="15"/>
  <c r="L706" i="15" s="1"/>
  <c r="J710" i="15"/>
  <c r="L710" i="15" s="1"/>
  <c r="J296" i="15"/>
  <c r="J316" i="15"/>
  <c r="J320" i="15"/>
  <c r="L320" i="15" s="1"/>
  <c r="J332" i="15"/>
  <c r="J364" i="15"/>
  <c r="J368" i="15"/>
  <c r="L368" i="15" s="1"/>
  <c r="J376" i="15"/>
  <c r="J380" i="15"/>
  <c r="J408" i="15"/>
  <c r="J416" i="15"/>
  <c r="K416" i="15" s="1"/>
  <c r="J420" i="15"/>
  <c r="J424" i="15"/>
  <c r="J428" i="15"/>
  <c r="J432" i="15"/>
  <c r="J436" i="15"/>
  <c r="L436" i="15" s="1"/>
  <c r="J440" i="15"/>
  <c r="K440" i="15" s="1"/>
  <c r="J444" i="15"/>
  <c r="K444" i="15" s="1"/>
  <c r="J448" i="15"/>
  <c r="J452" i="15"/>
  <c r="J456" i="15"/>
  <c r="J464" i="15"/>
  <c r="J472" i="15"/>
  <c r="J476" i="15"/>
  <c r="K476" i="15" s="1"/>
  <c r="J484" i="15"/>
  <c r="J500" i="15"/>
  <c r="K500" i="15" s="1"/>
  <c r="J508" i="15"/>
  <c r="J516" i="15"/>
  <c r="J520" i="15"/>
  <c r="J524" i="15"/>
  <c r="J528" i="15"/>
  <c r="J532" i="15"/>
  <c r="J536" i="15"/>
  <c r="L536" i="15" s="1"/>
  <c r="J540" i="15"/>
  <c r="J544" i="15"/>
  <c r="L544" i="15" s="1"/>
  <c r="J552" i="15"/>
  <c r="J556" i="15"/>
  <c r="J560" i="15"/>
  <c r="J564" i="15"/>
  <c r="J568" i="15"/>
  <c r="J580" i="15"/>
  <c r="J584" i="15"/>
  <c r="J588" i="15"/>
  <c r="K588" i="15" s="1"/>
  <c r="J592" i="15"/>
  <c r="J596" i="15"/>
  <c r="K596" i="15" s="1"/>
  <c r="J600" i="15"/>
  <c r="J604" i="15"/>
  <c r="L604" i="15" s="1"/>
  <c r="J608" i="15"/>
  <c r="L608" i="15" s="1"/>
  <c r="J616" i="15"/>
  <c r="J624" i="15"/>
  <c r="K624" i="15" s="1"/>
  <c r="J628" i="15"/>
  <c r="J632" i="15"/>
  <c r="J636" i="15"/>
  <c r="J640" i="15"/>
  <c r="L640" i="15" s="1"/>
  <c r="J644" i="15"/>
  <c r="K644" i="15" s="1"/>
  <c r="J648" i="15"/>
  <c r="J652" i="15"/>
  <c r="J660" i="15"/>
  <c r="J664" i="15"/>
  <c r="J668" i="15"/>
  <c r="L668" i="15" s="1"/>
  <c r="J672" i="15"/>
  <c r="J726" i="15"/>
  <c r="J738" i="15"/>
  <c r="K738" i="15" s="1"/>
  <c r="J746" i="15"/>
  <c r="J758" i="15"/>
  <c r="J766" i="15"/>
  <c r="L766" i="15" s="1"/>
  <c r="J774" i="15"/>
  <c r="L774" i="15" s="1"/>
  <c r="J778" i="15"/>
  <c r="J790" i="15"/>
  <c r="J798" i="15"/>
  <c r="L798" i="15" s="1"/>
  <c r="J806" i="15"/>
  <c r="J814" i="15"/>
  <c r="J818" i="15"/>
  <c r="L818" i="15" s="1"/>
  <c r="J830" i="15"/>
  <c r="L830" i="15" s="1"/>
  <c r="J858" i="15"/>
  <c r="J862" i="15"/>
  <c r="J878" i="15"/>
  <c r="J882" i="15"/>
  <c r="L882" i="15" s="1"/>
  <c r="J894" i="15"/>
  <c r="K894" i="15" s="1"/>
  <c r="J898" i="15"/>
  <c r="J906" i="15"/>
  <c r="J914" i="15"/>
  <c r="J918" i="15"/>
  <c r="K918" i="15" s="1"/>
  <c r="J922" i="15"/>
  <c r="J926" i="15"/>
  <c r="K926" i="15" s="1"/>
  <c r="J930" i="15"/>
  <c r="J938" i="15"/>
  <c r="J946" i="15"/>
  <c r="K946" i="15" s="1"/>
  <c r="J954" i="15"/>
  <c r="J970" i="15"/>
  <c r="J974" i="15"/>
  <c r="K974" i="15" s="1"/>
  <c r="J982" i="15"/>
  <c r="J998" i="15"/>
  <c r="L998" i="15" s="1"/>
  <c r="J1002" i="15"/>
  <c r="K1002" i="15" s="1"/>
  <c r="J1006" i="15"/>
  <c r="J1010" i="15"/>
  <c r="J1014" i="15"/>
  <c r="J1018" i="15"/>
  <c r="J1026" i="15"/>
  <c r="K1026" i="15" s="1"/>
  <c r="J1030" i="15"/>
  <c r="J1034" i="15"/>
  <c r="K1034" i="15" s="1"/>
  <c r="J1038" i="15"/>
  <c r="J1042" i="15"/>
  <c r="J1054" i="15"/>
  <c r="L1054" i="15" s="1"/>
  <c r="J1058" i="15"/>
  <c r="K1058" i="15" s="1"/>
  <c r="J1062" i="15"/>
  <c r="J1074" i="15"/>
  <c r="L1074" i="15" s="1"/>
  <c r="J1086" i="15"/>
  <c r="L1086" i="15" s="1"/>
  <c r="J1090" i="15"/>
  <c r="L1090" i="15" s="1"/>
  <c r="J1102" i="15"/>
  <c r="L1102" i="15" s="1"/>
  <c r="J1106" i="15"/>
  <c r="L1106" i="15" s="1"/>
  <c r="J1110" i="15"/>
  <c r="L1110" i="15" s="1"/>
  <c r="J1114" i="15"/>
  <c r="J1122" i="15"/>
  <c r="J1126" i="15"/>
  <c r="J1134" i="15"/>
  <c r="L1134" i="15" s="1"/>
  <c r="J1138" i="15"/>
  <c r="L1138" i="15" s="1"/>
  <c r="J1150" i="15"/>
  <c r="J1154" i="15"/>
  <c r="J1162" i="15"/>
  <c r="J1166" i="15"/>
  <c r="L1166" i="15" s="1"/>
  <c r="J1170" i="15"/>
  <c r="K1170" i="15" s="1"/>
  <c r="J1174" i="15"/>
  <c r="L1174" i="15" s="1"/>
  <c r="J1178" i="15"/>
  <c r="L1178" i="15" s="1"/>
  <c r="J1182" i="15"/>
  <c r="K1182" i="15" s="1"/>
  <c r="J1186" i="15"/>
  <c r="J1190" i="15"/>
  <c r="K1190" i="15" s="1"/>
  <c r="J1198" i="15"/>
  <c r="J1202" i="15"/>
  <c r="K1202" i="15" s="1"/>
  <c r="J1210" i="15"/>
  <c r="J1214" i="15"/>
  <c r="J1218" i="15"/>
  <c r="L1218" i="15" s="1"/>
  <c r="J1222" i="15"/>
  <c r="J1230" i="15"/>
  <c r="J1234" i="15"/>
  <c r="J1242" i="15"/>
  <c r="J1250" i="15"/>
  <c r="J1254" i="15"/>
  <c r="J1266" i="15"/>
  <c r="J1270" i="15"/>
  <c r="J1282" i="15"/>
  <c r="K1282" i="15" s="1"/>
  <c r="J1286" i="15"/>
  <c r="L1286" i="15" s="1"/>
  <c r="J1290" i="15"/>
  <c r="J1298" i="15"/>
  <c r="J1302" i="15"/>
  <c r="L1302" i="15" s="1"/>
  <c r="J1310" i="15"/>
  <c r="L1310" i="15" s="1"/>
  <c r="H140" i="14"/>
  <c r="I140" i="14" s="1"/>
  <c r="J140" i="14" s="1"/>
  <c r="P139" i="3" s="1"/>
  <c r="H158" i="14"/>
  <c r="I158" i="14" s="1"/>
  <c r="J158" i="14" s="1"/>
  <c r="P157" i="3" s="1"/>
  <c r="H104" i="14"/>
  <c r="I104" i="14" s="1"/>
  <c r="J104" i="14" s="1"/>
  <c r="P103" i="3" s="1"/>
  <c r="H151" i="14"/>
  <c r="I151" i="14" s="1"/>
  <c r="J151" i="14" s="1"/>
  <c r="P150" i="3" s="1"/>
  <c r="H215" i="14"/>
  <c r="I215" i="14" s="1"/>
  <c r="J215" i="14" s="1"/>
  <c r="P214" i="3" s="1"/>
  <c r="H192" i="14"/>
  <c r="I192" i="14" s="1"/>
  <c r="J192" i="14" s="1"/>
  <c r="P191" i="3" s="1"/>
  <c r="H42" i="14"/>
  <c r="I42" i="14" s="1"/>
  <c r="J42" i="14" s="1"/>
  <c r="P41" i="3" s="1"/>
  <c r="H197" i="14"/>
  <c r="I197" i="14" s="1"/>
  <c r="J197" i="14" s="1"/>
  <c r="P196" i="3" s="1"/>
  <c r="H180" i="14"/>
  <c r="I180" i="14" s="1"/>
  <c r="J180" i="14" s="1"/>
  <c r="P179" i="3" s="1"/>
  <c r="H110" i="14"/>
  <c r="I110" i="14" s="1"/>
  <c r="J110" i="14" s="1"/>
  <c r="P109" i="3" s="1"/>
  <c r="H113" i="14"/>
  <c r="I113" i="14" s="1"/>
  <c r="J113" i="14" s="1"/>
  <c r="P112" i="3" s="1"/>
  <c r="H279" i="14"/>
  <c r="I279" i="14" s="1"/>
  <c r="J279" i="14" s="1"/>
  <c r="P278" i="3" s="1"/>
  <c r="H238" i="14"/>
  <c r="I238" i="14" s="1"/>
  <c r="J238" i="14" s="1"/>
  <c r="P237" i="3" s="1"/>
  <c r="H131" i="14"/>
  <c r="I131" i="14" s="1"/>
  <c r="J131" i="14" s="1"/>
  <c r="P130" i="3" s="1"/>
  <c r="H122" i="14"/>
  <c r="I122" i="14" s="1"/>
  <c r="J122" i="14" s="1"/>
  <c r="P121" i="3" s="1"/>
  <c r="H288" i="14"/>
  <c r="I288" i="14" s="1"/>
  <c r="J288" i="14" s="1"/>
  <c r="P287" i="3" s="1"/>
  <c r="H34" i="14"/>
  <c r="I34" i="14" s="1"/>
  <c r="J34" i="14" s="1"/>
  <c r="P33" i="3" s="1"/>
  <c r="H270" i="14"/>
  <c r="I270" i="14" s="1"/>
  <c r="J270" i="14" s="1"/>
  <c r="P269" i="3" s="1"/>
  <c r="H10" i="14"/>
  <c r="I10" i="14" s="1"/>
  <c r="J10" i="14" s="1"/>
  <c r="P9" i="3" s="1"/>
  <c r="H217" i="14"/>
  <c r="I217" i="14" s="1"/>
  <c r="J217" i="14" s="1"/>
  <c r="P216" i="3" s="1"/>
  <c r="H50" i="14"/>
  <c r="I50" i="14" s="1"/>
  <c r="J50" i="14" s="1"/>
  <c r="P49" i="3" s="1"/>
  <c r="H203" i="14"/>
  <c r="I203" i="14" s="1"/>
  <c r="J203" i="14" s="1"/>
  <c r="P202" i="3" s="1"/>
  <c r="H67" i="14"/>
  <c r="I67" i="14" s="1"/>
  <c r="J67" i="14" s="1"/>
  <c r="P66" i="3" s="1"/>
  <c r="H26" i="14"/>
  <c r="I26" i="14" s="1"/>
  <c r="J26" i="14" s="1"/>
  <c r="P25" i="3" s="1"/>
  <c r="H161" i="14"/>
  <c r="I161" i="14" s="1"/>
  <c r="J161" i="14" s="1"/>
  <c r="P160" i="3" s="1"/>
  <c r="H85" i="14"/>
  <c r="I85" i="14" s="1"/>
  <c r="J85" i="14" s="1"/>
  <c r="P84" i="3" s="1"/>
  <c r="S84" i="3" s="1"/>
  <c r="BU84" i="3" s="1"/>
  <c r="H95" i="14"/>
  <c r="I95" i="14" s="1"/>
  <c r="J95" i="14" s="1"/>
  <c r="P94" i="3" s="1"/>
  <c r="H156" i="14"/>
  <c r="I156" i="14" s="1"/>
  <c r="J156" i="14" s="1"/>
  <c r="P155" i="3" s="1"/>
  <c r="H139" i="14"/>
  <c r="I139" i="14" s="1"/>
  <c r="J139" i="14" s="1"/>
  <c r="P138" i="3" s="1"/>
  <c r="H84" i="14"/>
  <c r="I84" i="14" s="1"/>
  <c r="J84" i="14" s="1"/>
  <c r="P83" i="3" s="1"/>
  <c r="H269" i="14"/>
  <c r="I269" i="14" s="1"/>
  <c r="J269" i="14" s="1"/>
  <c r="P268" i="3" s="1"/>
  <c r="H121" i="14"/>
  <c r="I121" i="14" s="1"/>
  <c r="J121" i="14" s="1"/>
  <c r="P120" i="3" s="1"/>
  <c r="H25" i="14"/>
  <c r="I25" i="14" s="1"/>
  <c r="J25" i="14" s="1"/>
  <c r="P24" i="3" s="1"/>
  <c r="H179" i="14"/>
  <c r="I179" i="14" s="1"/>
  <c r="J179" i="14" s="1"/>
  <c r="P178" i="3" s="1"/>
  <c r="H256" i="14"/>
  <c r="I256" i="14" s="1"/>
  <c r="J256" i="14" s="1"/>
  <c r="P255" i="3" s="1"/>
  <c r="H17" i="14"/>
  <c r="I17" i="14" s="1"/>
  <c r="J17" i="14" s="1"/>
  <c r="P16" i="3" s="1"/>
  <c r="H254" i="14"/>
  <c r="I254" i="14" s="1"/>
  <c r="J254" i="14" s="1"/>
  <c r="P253" i="3" s="1"/>
  <c r="H49" i="14"/>
  <c r="I49" i="14" s="1"/>
  <c r="J49" i="14" s="1"/>
  <c r="P48" i="3" s="1"/>
  <c r="H116" i="14"/>
  <c r="I116" i="14" s="1"/>
  <c r="J116" i="14" s="1"/>
  <c r="P115" i="3" s="1"/>
  <c r="H102" i="14"/>
  <c r="I102" i="14" s="1"/>
  <c r="J102" i="14" s="1"/>
  <c r="P101" i="3" s="1"/>
  <c r="H58" i="14"/>
  <c r="I58" i="14" s="1"/>
  <c r="J58" i="14" s="1"/>
  <c r="P57" i="3" s="1"/>
  <c r="H237" i="14"/>
  <c r="I237" i="14" s="1"/>
  <c r="J237" i="14" s="1"/>
  <c r="P236" i="3" s="1"/>
  <c r="H287" i="14"/>
  <c r="I287" i="14" s="1"/>
  <c r="J287" i="14" s="1"/>
  <c r="P286" i="3" s="1"/>
  <c r="H93" i="14"/>
  <c r="I93" i="14" s="1"/>
  <c r="J93" i="14" s="1"/>
  <c r="P92" i="3" s="1"/>
  <c r="H169" i="14"/>
  <c r="I169" i="14" s="1"/>
  <c r="J169" i="14" s="1"/>
  <c r="P168" i="3" s="1"/>
  <c r="H202" i="14"/>
  <c r="I202" i="14" s="1"/>
  <c r="J202" i="14" s="1"/>
  <c r="P201" i="3" s="1"/>
  <c r="H258" i="14"/>
  <c r="I258" i="14" s="1"/>
  <c r="J258" i="14" s="1"/>
  <c r="P257" i="3" s="1"/>
  <c r="H170" i="14"/>
  <c r="I170" i="14" s="1"/>
  <c r="J170" i="14" s="1"/>
  <c r="P169" i="3" s="1"/>
  <c r="H227" i="14"/>
  <c r="I227" i="14" s="1"/>
  <c r="J227" i="14" s="1"/>
  <c r="P226" i="3" s="1"/>
  <c r="H103" i="14"/>
  <c r="I103" i="14" s="1"/>
  <c r="J103" i="14" s="1"/>
  <c r="P102" i="3" s="1"/>
  <c r="H33" i="14"/>
  <c r="I33" i="14" s="1"/>
  <c r="J33" i="14" s="1"/>
  <c r="P32" i="3" s="1"/>
  <c r="H284" i="14"/>
  <c r="I284" i="14" s="1"/>
  <c r="J284" i="14" s="1"/>
  <c r="P283" i="3" s="1"/>
  <c r="H191" i="14"/>
  <c r="I191" i="14" s="1"/>
  <c r="J191" i="14" s="1"/>
  <c r="P190" i="3" s="1"/>
  <c r="H233" i="14"/>
  <c r="I233" i="14" s="1"/>
  <c r="J233" i="14" s="1"/>
  <c r="P232" i="3" s="1"/>
  <c r="H79" i="14"/>
  <c r="I79" i="14" s="1"/>
  <c r="J79" i="14" s="1"/>
  <c r="P78" i="3" s="1"/>
  <c r="H20" i="14"/>
  <c r="I20" i="14" s="1"/>
  <c r="J20" i="14" s="1"/>
  <c r="P19" i="3" s="1"/>
  <c r="H241" i="14"/>
  <c r="I241" i="14" s="1"/>
  <c r="J241" i="14" s="1"/>
  <c r="P240" i="3" s="1"/>
  <c r="H214" i="14"/>
  <c r="I214" i="14" s="1"/>
  <c r="J214" i="14" s="1"/>
  <c r="P213" i="3" s="1"/>
  <c r="H278" i="14"/>
  <c r="I278" i="14" s="1"/>
  <c r="J278" i="14" s="1"/>
  <c r="P277" i="3" s="1"/>
  <c r="H160" i="14"/>
  <c r="I160" i="14" s="1"/>
  <c r="J160" i="14" s="1"/>
  <c r="P159" i="3" s="1"/>
  <c r="H228" i="14"/>
  <c r="I228" i="14" s="1"/>
  <c r="J228" i="14" s="1"/>
  <c r="P227" i="3" s="1"/>
  <c r="H255" i="14"/>
  <c r="I255" i="14" s="1"/>
  <c r="J255" i="14" s="1"/>
  <c r="P254" i="3" s="1"/>
  <c r="H149" i="14"/>
  <c r="I149" i="14" s="1"/>
  <c r="J149" i="14" s="1"/>
  <c r="P148" i="3" s="1"/>
  <c r="BA5" i="3"/>
  <c r="BA283" i="3"/>
  <c r="BA275" i="3"/>
  <c r="BA267" i="3"/>
  <c r="BA259" i="3"/>
  <c r="BA251" i="3"/>
  <c r="BA243" i="3"/>
  <c r="BA235" i="3"/>
  <c r="BA227" i="3"/>
  <c r="BA219" i="3"/>
  <c r="BA211" i="3"/>
  <c r="BA203" i="3"/>
  <c r="BA195" i="3"/>
  <c r="BA187" i="3"/>
  <c r="BA179" i="3"/>
  <c r="BA171" i="3"/>
  <c r="BA163" i="3"/>
  <c r="BA155" i="3"/>
  <c r="BA147" i="3"/>
  <c r="BA139" i="3"/>
  <c r="BA131" i="3"/>
  <c r="BA115" i="3"/>
  <c r="BA107" i="3"/>
  <c r="BA99" i="3"/>
  <c r="BA91" i="3"/>
  <c r="BA83" i="3"/>
  <c r="BA75" i="3"/>
  <c r="BA51" i="3"/>
  <c r="BA43" i="3"/>
  <c r="BA35" i="3"/>
  <c r="BA27" i="3"/>
  <c r="BA19" i="3"/>
  <c r="CT25" i="3"/>
  <c r="CV25" i="3" s="1"/>
  <c r="BA287" i="3"/>
  <c r="BA263" i="3"/>
  <c r="BA223" i="3"/>
  <c r="BA191" i="3"/>
  <c r="CT258" i="3"/>
  <c r="CU258" i="3" s="1"/>
  <c r="BA96" i="3"/>
  <c r="BA279" i="3"/>
  <c r="BA271" i="3"/>
  <c r="BA255" i="3"/>
  <c r="BA247" i="3"/>
  <c r="BA239" i="3"/>
  <c r="BA231" i="3"/>
  <c r="BA215" i="3"/>
  <c r="BA207" i="3"/>
  <c r="BA199" i="3"/>
  <c r="BA183" i="3"/>
  <c r="BA249" i="3"/>
  <c r="BA225" i="3"/>
  <c r="BA185" i="3"/>
  <c r="BA177" i="3"/>
  <c r="BA169" i="3"/>
  <c r="BA153" i="3"/>
  <c r="BA145" i="3"/>
  <c r="BA129" i="3"/>
  <c r="BA121" i="3"/>
  <c r="BA97" i="3"/>
  <c r="BA89" i="3"/>
  <c r="BA81" i="3"/>
  <c r="BA73" i="3"/>
  <c r="BA65" i="3"/>
  <c r="BA57" i="3"/>
  <c r="BA41" i="3"/>
  <c r="BA25" i="3"/>
  <c r="BA17" i="3"/>
  <c r="BA9" i="3"/>
  <c r="BA290" i="3"/>
  <c r="BA282" i="3"/>
  <c r="BA274" i="3"/>
  <c r="BA266" i="3"/>
  <c r="BA258" i="3"/>
  <c r="BA250" i="3"/>
  <c r="BA242" i="3"/>
  <c r="BA234" i="3"/>
  <c r="BA226" i="3"/>
  <c r="BA218" i="3"/>
  <c r="BA210" i="3"/>
  <c r="BA202" i="3"/>
  <c r="BA194" i="3"/>
  <c r="BA186" i="3"/>
  <c r="BA178" i="3"/>
  <c r="BA170" i="3"/>
  <c r="BA162" i="3"/>
  <c r="BA154" i="3"/>
  <c r="BA146" i="3"/>
  <c r="BA138" i="3"/>
  <c r="BA130" i="3"/>
  <c r="BA122" i="3"/>
  <c r="BA114" i="3"/>
  <c r="BA106" i="3"/>
  <c r="BA98" i="3"/>
  <c r="BA90" i="3"/>
  <c r="BA82" i="3"/>
  <c r="BA74" i="3"/>
  <c r="BA66" i="3"/>
  <c r="BA58" i="3"/>
  <c r="BA50" i="3"/>
  <c r="BA42" i="3"/>
  <c r="BA34" i="3"/>
  <c r="BA26" i="3"/>
  <c r="BA18" i="3"/>
  <c r="BA10" i="3"/>
  <c r="BA280" i="3"/>
  <c r="BA272" i="3"/>
  <c r="BA192" i="3"/>
  <c r="BA184" i="3"/>
  <c r="BA88" i="3"/>
  <c r="BA56" i="3"/>
  <c r="BA8" i="3"/>
  <c r="BA288" i="3"/>
  <c r="BA264" i="3"/>
  <c r="BA256" i="3"/>
  <c r="BA248" i="3"/>
  <c r="BA240" i="3"/>
  <c r="BA232" i="3"/>
  <c r="BA224" i="3"/>
  <c r="BA216" i="3"/>
  <c r="BA208" i="3"/>
  <c r="BA200" i="3"/>
  <c r="BA176" i="3"/>
  <c r="BA168" i="3"/>
  <c r="BA160" i="3"/>
  <c r="BA152" i="3"/>
  <c r="BA144" i="3"/>
  <c r="BA136" i="3"/>
  <c r="BA128" i="3"/>
  <c r="BA120" i="3"/>
  <c r="BA104" i="3"/>
  <c r="BA80" i="3"/>
  <c r="BA72" i="3"/>
  <c r="BA64" i="3"/>
  <c r="BA48" i="3"/>
  <c r="BA40" i="3"/>
  <c r="BA32" i="3"/>
  <c r="BA24" i="3"/>
  <c r="BA16" i="3"/>
  <c r="AY4" i="3"/>
  <c r="BA217" i="3"/>
  <c r="BA209" i="3"/>
  <c r="J15" i="15"/>
  <c r="J27" i="15"/>
  <c r="J35" i="15"/>
  <c r="J39" i="15"/>
  <c r="J43" i="15"/>
  <c r="J51" i="15"/>
  <c r="J59" i="15"/>
  <c r="J63" i="15"/>
  <c r="J67" i="15"/>
  <c r="J91" i="15"/>
  <c r="K91" i="15" s="1"/>
  <c r="J95" i="15"/>
  <c r="J99" i="15"/>
  <c r="J131" i="15"/>
  <c r="K131" i="15" s="1"/>
  <c r="J139" i="15"/>
  <c r="L139" i="15" s="1"/>
  <c r="J151" i="15"/>
  <c r="J155" i="15"/>
  <c r="K155" i="15" s="1"/>
  <c r="J175" i="15"/>
  <c r="L175" i="15" s="1"/>
  <c r="J183" i="15"/>
  <c r="L183" i="15" s="1"/>
  <c r="J195" i="15"/>
  <c r="L195" i="15" s="1"/>
  <c r="J199" i="15"/>
  <c r="J207" i="15"/>
  <c r="J223" i="15"/>
  <c r="K223" i="15" s="1"/>
  <c r="J231" i="15"/>
  <c r="J243" i="15"/>
  <c r="K243" i="15" s="1"/>
  <c r="J251" i="15"/>
  <c r="J259" i="15"/>
  <c r="L259" i="15" s="1"/>
  <c r="J267" i="15"/>
  <c r="J275" i="15"/>
  <c r="J287" i="15"/>
  <c r="J40" i="15"/>
  <c r="J52" i="15"/>
  <c r="J56" i="15"/>
  <c r="L56" i="15" s="1"/>
  <c r="J76" i="15"/>
  <c r="J108" i="15"/>
  <c r="J112" i="15"/>
  <c r="J116" i="15"/>
  <c r="J124" i="15"/>
  <c r="K124" i="15" s="1"/>
  <c r="J132" i="15"/>
  <c r="J136" i="15"/>
  <c r="J188" i="15"/>
  <c r="J196" i="15"/>
  <c r="K196" i="15" s="1"/>
  <c r="J212" i="15"/>
  <c r="J236" i="15"/>
  <c r="K236" i="15" s="1"/>
  <c r="J244" i="15"/>
  <c r="L244" i="15" s="1"/>
  <c r="J264" i="15"/>
  <c r="K264" i="15" s="1"/>
  <c r="J284" i="15"/>
  <c r="K284" i="15" s="1"/>
  <c r="J288" i="15"/>
  <c r="K288" i="15" s="1"/>
  <c r="J18" i="15"/>
  <c r="K18" i="15" s="1"/>
  <c r="J26" i="15"/>
  <c r="K26" i="15" s="1"/>
  <c r="J38" i="15"/>
  <c r="J46" i="15"/>
  <c r="J50" i="15"/>
  <c r="L50" i="15" s="1"/>
  <c r="J62" i="15"/>
  <c r="J66" i="15"/>
  <c r="J74" i="15"/>
  <c r="J82" i="15"/>
  <c r="K82" i="15" s="1"/>
  <c r="J94" i="15"/>
  <c r="J98" i="15"/>
  <c r="J110" i="15"/>
  <c r="J114" i="15"/>
  <c r="K114" i="15" s="1"/>
  <c r="J126" i="15"/>
  <c r="K126" i="15" s="1"/>
  <c r="J138" i="15"/>
  <c r="L138" i="15" s="1"/>
  <c r="J142" i="15"/>
  <c r="L142" i="15" s="1"/>
  <c r="J146" i="15"/>
  <c r="J158" i="15"/>
  <c r="K158" i="15" s="1"/>
  <c r="J174" i="15"/>
  <c r="J186" i="15"/>
  <c r="J194" i="15"/>
  <c r="J210" i="15"/>
  <c r="K210" i="15" s="1"/>
  <c r="J214" i="15"/>
  <c r="L214" i="15" s="1"/>
  <c r="J226" i="15"/>
  <c r="L226" i="15" s="1"/>
  <c r="J230" i="15"/>
  <c r="J234" i="15"/>
  <c r="J238" i="15"/>
  <c r="J242" i="15"/>
  <c r="J262" i="15"/>
  <c r="J270" i="15"/>
  <c r="K270" i="15" s="1"/>
  <c r="J274" i="15"/>
  <c r="K274" i="15" s="1"/>
  <c r="J278" i="15"/>
  <c r="J290" i="15"/>
  <c r="K290" i="15" s="1"/>
  <c r="H267" i="14"/>
  <c r="I267" i="14" s="1"/>
  <c r="J267" i="14" s="1"/>
  <c r="P266" i="3" s="1"/>
  <c r="H187" i="14"/>
  <c r="I187" i="14" s="1"/>
  <c r="J187" i="14" s="1"/>
  <c r="P186" i="3" s="1"/>
  <c r="H39" i="14"/>
  <c r="I39" i="14" s="1"/>
  <c r="J39" i="14" s="1"/>
  <c r="P38" i="3" s="1"/>
  <c r="H31" i="14"/>
  <c r="I31" i="14" s="1"/>
  <c r="J31" i="14" s="1"/>
  <c r="P30" i="3" s="1"/>
  <c r="H167" i="14"/>
  <c r="I167" i="14" s="1"/>
  <c r="J167" i="14" s="1"/>
  <c r="P166" i="3" s="1"/>
  <c r="H100" i="14"/>
  <c r="I100" i="14" s="1"/>
  <c r="J100" i="14" s="1"/>
  <c r="P99" i="3" s="1"/>
  <c r="H86" i="14"/>
  <c r="I86" i="14" s="1"/>
  <c r="J86" i="14" s="1"/>
  <c r="P85" i="3" s="1"/>
  <c r="H15" i="14"/>
  <c r="I15" i="14" s="1"/>
  <c r="J15" i="14" s="1"/>
  <c r="P14" i="3" s="1"/>
  <c r="H109" i="14"/>
  <c r="I109" i="14" s="1"/>
  <c r="J109" i="14" s="1"/>
  <c r="P108" i="3" s="1"/>
  <c r="H137" i="14"/>
  <c r="I137" i="14" s="1"/>
  <c r="J137" i="14" s="1"/>
  <c r="P136" i="3" s="1"/>
  <c r="H47" i="14"/>
  <c r="I47" i="14" s="1"/>
  <c r="J47" i="14" s="1"/>
  <c r="P46" i="3" s="1"/>
  <c r="H285" i="14"/>
  <c r="I285" i="14" s="1"/>
  <c r="J285" i="14" s="1"/>
  <c r="P284" i="3" s="1"/>
  <c r="H200" i="14"/>
  <c r="I200" i="14" s="1"/>
  <c r="J200" i="14" s="1"/>
  <c r="P199" i="3" s="1"/>
  <c r="H177" i="14"/>
  <c r="I177" i="14" s="1"/>
  <c r="J177" i="14" s="1"/>
  <c r="P176" i="3" s="1"/>
  <c r="H265" i="14"/>
  <c r="I265" i="14" s="1"/>
  <c r="J265" i="14" s="1"/>
  <c r="P264" i="3" s="1"/>
  <c r="H250" i="14"/>
  <c r="I250" i="14" s="1"/>
  <c r="J250" i="14" s="1"/>
  <c r="P249" i="3" s="1"/>
  <c r="H182" i="14"/>
  <c r="I182" i="14" s="1"/>
  <c r="J182" i="14" s="1"/>
  <c r="P181" i="3" s="1"/>
  <c r="H73" i="14"/>
  <c r="I73" i="14" s="1"/>
  <c r="J73" i="14" s="1"/>
  <c r="P72" i="3" s="1"/>
  <c r="H56" i="14"/>
  <c r="I56" i="14" s="1"/>
  <c r="J56" i="14" s="1"/>
  <c r="P55" i="3" s="1"/>
  <c r="H91" i="14"/>
  <c r="I91" i="14" s="1"/>
  <c r="J91" i="14" s="1"/>
  <c r="P90" i="3" s="1"/>
  <c r="H119" i="14"/>
  <c r="I119" i="14" s="1"/>
  <c r="J119" i="14" s="1"/>
  <c r="P118" i="3" s="1"/>
  <c r="H276" i="14"/>
  <c r="I276" i="14" s="1"/>
  <c r="J276" i="14" s="1"/>
  <c r="P275" i="3" s="1"/>
  <c r="H146" i="14"/>
  <c r="I146" i="14" s="1"/>
  <c r="J146" i="14" s="1"/>
  <c r="P145" i="3" s="1"/>
  <c r="H236" i="14"/>
  <c r="I236" i="14" s="1"/>
  <c r="J236" i="14" s="1"/>
  <c r="P235" i="3" s="1"/>
  <c r="H225" i="14"/>
  <c r="I225" i="14" s="1"/>
  <c r="J225" i="14" s="1"/>
  <c r="P224" i="3" s="1"/>
  <c r="H148" i="14"/>
  <c r="I148" i="14" s="1"/>
  <c r="J148" i="14" s="1"/>
  <c r="P147" i="3" s="1"/>
  <c r="H61" i="14"/>
  <c r="I61" i="14" s="1"/>
  <c r="J61" i="14" s="1"/>
  <c r="P60" i="3" s="1"/>
  <c r="H251" i="14"/>
  <c r="I251" i="14" s="1"/>
  <c r="J251" i="14" s="1"/>
  <c r="P250" i="3" s="1"/>
  <c r="H207" i="14"/>
  <c r="I207" i="14" s="1"/>
  <c r="J207" i="14" s="1"/>
  <c r="P206" i="3" s="1"/>
  <c r="H28" i="14"/>
  <c r="I28" i="14" s="1"/>
  <c r="J28" i="14" s="1"/>
  <c r="P27" i="3" s="1"/>
  <c r="H115" i="14"/>
  <c r="I115" i="14" s="1"/>
  <c r="J115" i="14" s="1"/>
  <c r="P114" i="3" s="1"/>
  <c r="H72" i="14"/>
  <c r="I72" i="14" s="1"/>
  <c r="J72" i="14" s="1"/>
  <c r="P71" i="3" s="1"/>
  <c r="H23" i="14"/>
  <c r="I23" i="14" s="1"/>
  <c r="J23" i="14" s="1"/>
  <c r="P22" i="3" s="1"/>
  <c r="CF34" i="3"/>
  <c r="CG34" i="3" s="1"/>
  <c r="H117" i="14"/>
  <c r="I117" i="14" s="1"/>
  <c r="J117" i="14" s="1"/>
  <c r="P116" i="3" s="1"/>
  <c r="BA281" i="3"/>
  <c r="BA273" i="3"/>
  <c r="BA265" i="3"/>
  <c r="BA241" i="3"/>
  <c r="AU4" i="3"/>
  <c r="AX4" i="3"/>
  <c r="CF223" i="3"/>
  <c r="CG223" i="3" s="1"/>
  <c r="CF145" i="3"/>
  <c r="CG145" i="3" s="1"/>
  <c r="L17" i="3"/>
  <c r="H18" i="14" s="1"/>
  <c r="I18" i="14" s="1"/>
  <c r="J18" i="14" s="1"/>
  <c r="P17" i="3" s="1"/>
  <c r="AB4" i="3"/>
  <c r="V266" i="3"/>
  <c r="AP4" i="3"/>
  <c r="E13" i="6"/>
  <c r="V151" i="3"/>
  <c r="V198" i="3"/>
  <c r="V160" i="3"/>
  <c r="V40" i="3"/>
  <c r="E39" i="6"/>
  <c r="J48" i="15"/>
  <c r="J92" i="15"/>
  <c r="J676" i="15"/>
  <c r="J680" i="15"/>
  <c r="J688" i="15"/>
  <c r="J696" i="15"/>
  <c r="J700" i="15"/>
  <c r="J708" i="15"/>
  <c r="J716" i="15"/>
  <c r="J720" i="15"/>
  <c r="J732" i="15"/>
  <c r="J736" i="15"/>
  <c r="J740" i="15"/>
  <c r="J744" i="15"/>
  <c r="J748" i="15"/>
  <c r="J760" i="15"/>
  <c r="J764" i="15"/>
  <c r="J768" i="15"/>
  <c r="J780" i="15"/>
  <c r="J788" i="15"/>
  <c r="J796" i="15"/>
  <c r="J808" i="15"/>
  <c r="J812" i="15"/>
  <c r="K812" i="15" s="1"/>
  <c r="J820" i="15"/>
  <c r="J824" i="15"/>
  <c r="J828" i="15"/>
  <c r="J836" i="15"/>
  <c r="J860" i="15"/>
  <c r="J868" i="15"/>
  <c r="J872" i="15"/>
  <c r="J876" i="15"/>
  <c r="J888" i="15"/>
  <c r="J892" i="15"/>
  <c r="J896" i="15"/>
  <c r="J900" i="15"/>
  <c r="J904" i="15"/>
  <c r="J912" i="15"/>
  <c r="J916" i="15"/>
  <c r="J920" i="15"/>
  <c r="L920" i="15" s="1"/>
  <c r="J924" i="15"/>
  <c r="J928" i="15"/>
  <c r="J932" i="15"/>
  <c r="J964" i="15"/>
  <c r="J972" i="15"/>
  <c r="J984" i="15"/>
  <c r="J988" i="15"/>
  <c r="J992" i="15"/>
  <c r="J996" i="15"/>
  <c r="J1016" i="15"/>
  <c r="J1028" i="15"/>
  <c r="J1032" i="15"/>
  <c r="J1036" i="15"/>
  <c r="J1040" i="15"/>
  <c r="J1048" i="15"/>
  <c r="J1052" i="15"/>
  <c r="J1056" i="15"/>
  <c r="J1064" i="15"/>
  <c r="J1076" i="15"/>
  <c r="J1080" i="15"/>
  <c r="J1100" i="15"/>
  <c r="J1104" i="15"/>
  <c r="J1108" i="15"/>
  <c r="J1112" i="15"/>
  <c r="J1128" i="15"/>
  <c r="J1132" i="15"/>
  <c r="J1136" i="15"/>
  <c r="J1144" i="15"/>
  <c r="J1152" i="15"/>
  <c r="J1184" i="15"/>
  <c r="J1200" i="15"/>
  <c r="L1200" i="15" s="1"/>
  <c r="J1212" i="15"/>
  <c r="J1216" i="15"/>
  <c r="J1224" i="15"/>
  <c r="J1228" i="15"/>
  <c r="J1236" i="15"/>
  <c r="J1240" i="15"/>
  <c r="J1244" i="15"/>
  <c r="J1256" i="15"/>
  <c r="J1264" i="15"/>
  <c r="J1272" i="15"/>
  <c r="J1280" i="15"/>
  <c r="J1300" i="15"/>
  <c r="V203" i="3"/>
  <c r="V196" i="3"/>
  <c r="V189" i="3"/>
  <c r="V129" i="3"/>
  <c r="V39" i="3"/>
  <c r="V10" i="3"/>
  <c r="V220" i="3"/>
  <c r="V201" i="3"/>
  <c r="V128" i="3"/>
  <c r="E78" i="6"/>
  <c r="J1005" i="15"/>
  <c r="J1021" i="15"/>
  <c r="J1033" i="15"/>
  <c r="J1049" i="15"/>
  <c r="J1093" i="15"/>
  <c r="J1105" i="15"/>
  <c r="J1121" i="15"/>
  <c r="J1133" i="15"/>
  <c r="J1141" i="15"/>
  <c r="J1149" i="15"/>
  <c r="J1153" i="15"/>
  <c r="J1185" i="15"/>
  <c r="J1201" i="15"/>
  <c r="J1217" i="15"/>
  <c r="L1217" i="15" s="1"/>
  <c r="J1221" i="15"/>
  <c r="J1237" i="15"/>
  <c r="J1269" i="15"/>
  <c r="J1301" i="15"/>
  <c r="J1309" i="15"/>
  <c r="V107" i="3"/>
  <c r="V163" i="3"/>
  <c r="CT102" i="3"/>
  <c r="CT110" i="3"/>
  <c r="CT116" i="3"/>
  <c r="E26" i="6"/>
  <c r="V132" i="3"/>
  <c r="J9" i="15"/>
  <c r="J13" i="15"/>
  <c r="J17" i="15"/>
  <c r="K17" i="15" s="1"/>
  <c r="J21" i="15"/>
  <c r="L21" i="15" s="1"/>
  <c r="J25" i="15"/>
  <c r="J29" i="15"/>
  <c r="K29" i="15" s="1"/>
  <c r="J33" i="15"/>
  <c r="K33" i="15" s="1"/>
  <c r="J37" i="15"/>
  <c r="L37" i="15" s="1"/>
  <c r="J41" i="15"/>
  <c r="J45" i="15"/>
  <c r="L45" i="15" s="1"/>
  <c r="J49" i="15"/>
  <c r="K49" i="15" s="1"/>
  <c r="J53" i="15"/>
  <c r="K53" i="15" s="1"/>
  <c r="J57" i="15"/>
  <c r="J61" i="15"/>
  <c r="K61" i="15" s="1"/>
  <c r="J65" i="15"/>
  <c r="L65" i="15" s="1"/>
  <c r="J69" i="15"/>
  <c r="J73" i="15"/>
  <c r="L73" i="15" s="1"/>
  <c r="J77" i="15"/>
  <c r="J81" i="15"/>
  <c r="L81" i="15" s="1"/>
  <c r="J85" i="15"/>
  <c r="J89" i="15"/>
  <c r="J93" i="15"/>
  <c r="L93" i="15" s="1"/>
  <c r="J97" i="15"/>
  <c r="J101" i="15"/>
  <c r="K101" i="15" s="1"/>
  <c r="J105" i="15"/>
  <c r="J109" i="15"/>
  <c r="L109" i="15" s="1"/>
  <c r="J113" i="15"/>
  <c r="J117" i="15"/>
  <c r="K117" i="15" s="1"/>
  <c r="J121" i="15"/>
  <c r="J125" i="15"/>
  <c r="L125" i="15" s="1"/>
  <c r="J129" i="15"/>
  <c r="K129" i="15" s="1"/>
  <c r="J133" i="15"/>
  <c r="J137" i="15"/>
  <c r="J141" i="15"/>
  <c r="J145" i="15"/>
  <c r="J149" i="15"/>
  <c r="J153" i="15"/>
  <c r="J157" i="15"/>
  <c r="L157" i="15" s="1"/>
  <c r="J161" i="15"/>
  <c r="J165" i="15"/>
  <c r="K165" i="15" s="1"/>
  <c r="J169" i="15"/>
  <c r="J173" i="15"/>
  <c r="K173" i="15" s="1"/>
  <c r="J177" i="15"/>
  <c r="L177" i="15" s="1"/>
  <c r="J181" i="15"/>
  <c r="J185" i="15"/>
  <c r="J189" i="15"/>
  <c r="L189" i="15" s="1"/>
  <c r="J193" i="15"/>
  <c r="J197" i="15"/>
  <c r="J201" i="15"/>
  <c r="J205" i="15"/>
  <c r="K205" i="15" s="1"/>
  <c r="J209" i="15"/>
  <c r="L209" i="15" s="1"/>
  <c r="J213" i="15"/>
  <c r="K213" i="15" s="1"/>
  <c r="J217" i="15"/>
  <c r="J221" i="15"/>
  <c r="J225" i="15"/>
  <c r="J229" i="15"/>
  <c r="J233" i="15"/>
  <c r="J237" i="15"/>
  <c r="J241" i="15"/>
  <c r="L241" i="15" s="1"/>
  <c r="J245" i="15"/>
  <c r="J249" i="15"/>
  <c r="J257" i="15"/>
  <c r="J261" i="15"/>
  <c r="J265" i="15"/>
  <c r="K265" i="15" s="1"/>
  <c r="J269" i="15"/>
  <c r="J273" i="15"/>
  <c r="L273" i="15" s="1"/>
  <c r="J277" i="15"/>
  <c r="K277" i="15" s="1"/>
  <c r="J281" i="15"/>
  <c r="K281" i="15" s="1"/>
  <c r="J285" i="15"/>
  <c r="K285" i="15" s="1"/>
  <c r="J289" i="15"/>
  <c r="K289" i="15" s="1"/>
  <c r="J293" i="15"/>
  <c r="J297" i="15"/>
  <c r="J301" i="15"/>
  <c r="J305" i="15"/>
  <c r="K305" i="15" s="1"/>
  <c r="J309" i="15"/>
  <c r="J313" i="15"/>
  <c r="J317" i="15"/>
  <c r="J321" i="15"/>
  <c r="J325" i="15"/>
  <c r="L325" i="15" s="1"/>
  <c r="J329" i="15"/>
  <c r="K329" i="15" s="1"/>
  <c r="J333" i="15"/>
  <c r="J337" i="15"/>
  <c r="L337" i="15" s="1"/>
  <c r="J341" i="15"/>
  <c r="L341" i="15" s="1"/>
  <c r="J345" i="15"/>
  <c r="L345" i="15" s="1"/>
  <c r="J349" i="15"/>
  <c r="J353" i="15"/>
  <c r="J357" i="15"/>
  <c r="J361" i="15"/>
  <c r="J365" i="15"/>
  <c r="J369" i="15"/>
  <c r="K369" i="15" s="1"/>
  <c r="J373" i="15"/>
  <c r="L373" i="15" s="1"/>
  <c r="J377" i="15"/>
  <c r="K377" i="15" s="1"/>
  <c r="J381" i="15"/>
  <c r="J385" i="15"/>
  <c r="K385" i="15" s="1"/>
  <c r="J389" i="15"/>
  <c r="J393" i="15"/>
  <c r="J397" i="15"/>
  <c r="J401" i="15"/>
  <c r="L401" i="15" s="1"/>
  <c r="J405" i="15"/>
  <c r="K405" i="15" s="1"/>
  <c r="J409" i="15"/>
  <c r="L409" i="15" s="1"/>
  <c r="J413" i="15"/>
  <c r="J417" i="15"/>
  <c r="K417" i="15" s="1"/>
  <c r="J421" i="15"/>
  <c r="L421" i="15" s="1"/>
  <c r="J429" i="15"/>
  <c r="K429" i="15" s="1"/>
  <c r="J433" i="15"/>
  <c r="J437" i="15"/>
  <c r="J441" i="15"/>
  <c r="L441" i="15" s="1"/>
  <c r="J445" i="15"/>
  <c r="K445" i="15" s="1"/>
  <c r="J449" i="15"/>
  <c r="J453" i="15"/>
  <c r="L453" i="15" s="1"/>
  <c r="J457" i="15"/>
  <c r="K457" i="15" s="1"/>
  <c r="J461" i="15"/>
  <c r="J465" i="15"/>
  <c r="J469" i="15"/>
  <c r="L469" i="15" s="1"/>
  <c r="H13" i="6"/>
  <c r="E52" i="6"/>
  <c r="J7" i="15"/>
  <c r="J11" i="15"/>
  <c r="J83" i="15"/>
  <c r="J115" i="15"/>
  <c r="J135" i="15"/>
  <c r="J147" i="15"/>
  <c r="J187" i="15"/>
  <c r="J211" i="15"/>
  <c r="J295" i="15"/>
  <c r="J311" i="15"/>
  <c r="J335" i="15"/>
  <c r="J339" i="15"/>
  <c r="J411" i="15"/>
  <c r="J419" i="15"/>
  <c r="J491" i="15"/>
  <c r="L491" i="15" s="1"/>
  <c r="J511" i="15"/>
  <c r="J519" i="15"/>
  <c r="J543" i="15"/>
  <c r="J619" i="15"/>
  <c r="J631" i="15"/>
  <c r="J655" i="15"/>
  <c r="J663" i="15"/>
  <c r="J723" i="15"/>
  <c r="J759" i="15"/>
  <c r="J815" i="15"/>
  <c r="J835" i="15"/>
  <c r="L835" i="15" s="1"/>
  <c r="J895" i="15"/>
  <c r="J911" i="15"/>
  <c r="J931" i="15"/>
  <c r="J943" i="15"/>
  <c r="J955" i="15"/>
  <c r="L955" i="15" s="1"/>
  <c r="J995" i="15"/>
  <c r="J1003" i="15"/>
  <c r="J1047" i="15"/>
  <c r="J1099" i="15"/>
  <c r="J1123" i="15"/>
  <c r="J1147" i="15"/>
  <c r="J1175" i="15"/>
  <c r="J1183" i="15"/>
  <c r="J1247" i="15"/>
  <c r="J1263" i="15"/>
  <c r="J1267" i="15"/>
  <c r="J1303" i="15"/>
  <c r="J8" i="15"/>
  <c r="J12" i="15"/>
  <c r="J20" i="15"/>
  <c r="J24" i="15"/>
  <c r="J28" i="15"/>
  <c r="J32" i="15"/>
  <c r="J36" i="15"/>
  <c r="J64" i="15"/>
  <c r="J68" i="15"/>
  <c r="J72" i="15"/>
  <c r="J80" i="15"/>
  <c r="J84" i="15"/>
  <c r="J88" i="15"/>
  <c r="J96" i="15"/>
  <c r="J100" i="15"/>
  <c r="J120" i="15"/>
  <c r="J128" i="15"/>
  <c r="J140" i="15"/>
  <c r="J144" i="15"/>
  <c r="J156" i="15"/>
  <c r="J164" i="15"/>
  <c r="J168" i="15"/>
  <c r="J172" i="15"/>
  <c r="J176" i="15"/>
  <c r="J180" i="15"/>
  <c r="J184" i="15"/>
  <c r="J192" i="15"/>
  <c r="J200" i="15"/>
  <c r="J208" i="15"/>
  <c r="J220" i="15"/>
  <c r="J228" i="15"/>
  <c r="J232" i="15"/>
  <c r="J248" i="15"/>
  <c r="J256" i="15"/>
  <c r="J260" i="15"/>
  <c r="J268" i="15"/>
  <c r="J272" i="15"/>
  <c r="J280" i="15"/>
  <c r="J300" i="15"/>
  <c r="J304" i="15"/>
  <c r="J308" i="15"/>
  <c r="J312" i="15"/>
  <c r="J324" i="15"/>
  <c r="J328" i="15"/>
  <c r="J336" i="15"/>
  <c r="J340" i="15"/>
  <c r="J344" i="15"/>
  <c r="J348" i="15"/>
  <c r="J356" i="15"/>
  <c r="J372" i="15"/>
  <c r="J384" i="15"/>
  <c r="L384" i="15" s="1"/>
  <c r="J388" i="15"/>
  <c r="J392" i="15"/>
  <c r="J400" i="15"/>
  <c r="V50" i="3"/>
  <c r="V191" i="3"/>
  <c r="J473" i="15"/>
  <c r="J477" i="15"/>
  <c r="K477" i="15" s="1"/>
  <c r="J481" i="15"/>
  <c r="J485" i="15"/>
  <c r="J489" i="15"/>
  <c r="L489" i="15" s="1"/>
  <c r="J493" i="15"/>
  <c r="J497" i="15"/>
  <c r="J501" i="15"/>
  <c r="K501" i="15" s="1"/>
  <c r="J505" i="15"/>
  <c r="K505" i="15" s="1"/>
  <c r="J509" i="15"/>
  <c r="J513" i="15"/>
  <c r="L513" i="15" s="1"/>
  <c r="J517" i="15"/>
  <c r="K517" i="15" s="1"/>
  <c r="J521" i="15"/>
  <c r="L521" i="15" s="1"/>
  <c r="J525" i="15"/>
  <c r="J529" i="15"/>
  <c r="L529" i="15" s="1"/>
  <c r="J533" i="15"/>
  <c r="L533" i="15" s="1"/>
  <c r="J537" i="15"/>
  <c r="J541" i="15"/>
  <c r="K541" i="15" s="1"/>
  <c r="J545" i="15"/>
  <c r="L545" i="15" s="1"/>
  <c r="J549" i="15"/>
  <c r="J553" i="15"/>
  <c r="J557" i="15"/>
  <c r="J561" i="15"/>
  <c r="J565" i="15"/>
  <c r="J569" i="15"/>
  <c r="L569" i="15" s="1"/>
  <c r="J573" i="15"/>
  <c r="L573" i="15" s="1"/>
  <c r="J577" i="15"/>
  <c r="K577" i="15" s="1"/>
  <c r="J581" i="15"/>
  <c r="J585" i="15"/>
  <c r="J589" i="15"/>
  <c r="L589" i="15" s="1"/>
  <c r="J593" i="15"/>
  <c r="L593" i="15" s="1"/>
  <c r="J597" i="15"/>
  <c r="K597" i="15" s="1"/>
  <c r="J601" i="15"/>
  <c r="L601" i="15" s="1"/>
  <c r="J605" i="15"/>
  <c r="J609" i="15"/>
  <c r="L609" i="15" s="1"/>
  <c r="J613" i="15"/>
  <c r="L613" i="15" s="1"/>
  <c r="J617" i="15"/>
  <c r="J621" i="15"/>
  <c r="L621" i="15" s="1"/>
  <c r="J625" i="15"/>
  <c r="K625" i="15" s="1"/>
  <c r="J629" i="15"/>
  <c r="L629" i="15" s="1"/>
  <c r="J633" i="15"/>
  <c r="K633" i="15" s="1"/>
  <c r="J637" i="15"/>
  <c r="J641" i="15"/>
  <c r="K641" i="15" s="1"/>
  <c r="J645" i="15"/>
  <c r="J649" i="15"/>
  <c r="L649" i="15" s="1"/>
  <c r="J653" i="15"/>
  <c r="J657" i="15"/>
  <c r="J661" i="15"/>
  <c r="K661" i="15" s="1"/>
  <c r="J665" i="15"/>
  <c r="J669" i="15"/>
  <c r="K669" i="15" s="1"/>
  <c r="J673" i="15"/>
  <c r="K673" i="15" s="1"/>
  <c r="J677" i="15"/>
  <c r="J681" i="15"/>
  <c r="L681" i="15" s="1"/>
  <c r="J685" i="15"/>
  <c r="J689" i="15"/>
  <c r="L689" i="15" s="1"/>
  <c r="J693" i="15"/>
  <c r="J697" i="15"/>
  <c r="K697" i="15" s="1"/>
  <c r="J701" i="15"/>
  <c r="L701" i="15" s="1"/>
  <c r="J705" i="15"/>
  <c r="J709" i="15"/>
  <c r="J713" i="15"/>
  <c r="L713" i="15" s="1"/>
  <c r="J717" i="15"/>
  <c r="J721" i="15"/>
  <c r="K721" i="15" s="1"/>
  <c r="J725" i="15"/>
  <c r="J729" i="15"/>
  <c r="J733" i="15"/>
  <c r="L733" i="15" s="1"/>
  <c r="J737" i="15"/>
  <c r="L737" i="15" s="1"/>
  <c r="J741" i="15"/>
  <c r="J745" i="15"/>
  <c r="L745" i="15" s="1"/>
  <c r="J749" i="15"/>
  <c r="J753" i="15"/>
  <c r="L753" i="15" s="1"/>
  <c r="J757" i="15"/>
  <c r="J761" i="15"/>
  <c r="J765" i="15"/>
  <c r="K765" i="15" s="1"/>
  <c r="J769" i="15"/>
  <c r="L769" i="15" s="1"/>
  <c r="J773" i="15"/>
  <c r="J777" i="15"/>
  <c r="L777" i="15" s="1"/>
  <c r="J781" i="15"/>
  <c r="J785" i="15"/>
  <c r="K785" i="15" s="1"/>
  <c r="J789" i="15"/>
  <c r="J793" i="15"/>
  <c r="J797" i="15"/>
  <c r="K797" i="15" s="1"/>
  <c r="J801" i="15"/>
  <c r="K801" i="15" s="1"/>
  <c r="J805" i="15"/>
  <c r="J809" i="15"/>
  <c r="J813" i="15"/>
  <c r="J817" i="15"/>
  <c r="K817" i="15" s="1"/>
  <c r="J821" i="15"/>
  <c r="L821" i="15" s="1"/>
  <c r="J825" i="15"/>
  <c r="L825" i="15" s="1"/>
  <c r="J829" i="15"/>
  <c r="J833" i="15"/>
  <c r="K833" i="15" s="1"/>
  <c r="J837" i="15"/>
  <c r="J841" i="15"/>
  <c r="J845" i="15"/>
  <c r="J849" i="15"/>
  <c r="J853" i="15"/>
  <c r="L853" i="15" s="1"/>
  <c r="J857" i="15"/>
  <c r="J861" i="15"/>
  <c r="J865" i="15"/>
  <c r="K865" i="15" s="1"/>
  <c r="J869" i="15"/>
  <c r="K869" i="15" s="1"/>
  <c r="J873" i="15"/>
  <c r="J877" i="15"/>
  <c r="J881" i="15"/>
  <c r="J885" i="15"/>
  <c r="K885" i="15" s="1"/>
  <c r="J889" i="15"/>
  <c r="K889" i="15" s="1"/>
  <c r="J893" i="15"/>
  <c r="J897" i="15"/>
  <c r="L897" i="15" s="1"/>
  <c r="J901" i="15"/>
  <c r="J905" i="15"/>
  <c r="J909" i="15"/>
  <c r="J913" i="15"/>
  <c r="K913" i="15" s="1"/>
  <c r="J917" i="15"/>
  <c r="J921" i="15"/>
  <c r="L921" i="15" s="1"/>
  <c r="J925" i="15"/>
  <c r="K925" i="15" s="1"/>
  <c r="J929" i="15"/>
  <c r="J933" i="15"/>
  <c r="J937" i="15"/>
  <c r="J941" i="15"/>
  <c r="J945" i="15"/>
  <c r="J949" i="15"/>
  <c r="J953" i="15"/>
  <c r="L953" i="15" s="1"/>
  <c r="J957" i="15"/>
  <c r="L957" i="15" s="1"/>
  <c r="J961" i="15"/>
  <c r="L961" i="15" s="1"/>
  <c r="J965" i="15"/>
  <c r="J969" i="15"/>
  <c r="J973" i="15"/>
  <c r="J977" i="15"/>
  <c r="J981" i="15"/>
  <c r="K981" i="15" s="1"/>
  <c r="J985" i="15"/>
  <c r="J989" i="15"/>
  <c r="J997" i="15"/>
  <c r="L997" i="15" s="1"/>
  <c r="J1001" i="15"/>
  <c r="J1009" i="15"/>
  <c r="J1013" i="15"/>
  <c r="J1025" i="15"/>
  <c r="K1025" i="15" s="1"/>
  <c r="J1029" i="15"/>
  <c r="K1029" i="15" s="1"/>
  <c r="J1041" i="15"/>
  <c r="L1041" i="15" s="1"/>
  <c r="J1045" i="15"/>
  <c r="J1053" i="15"/>
  <c r="L1053" i="15" s="1"/>
  <c r="J1069" i="15"/>
  <c r="K1069" i="15" s="1"/>
  <c r="J1073" i="15"/>
  <c r="J1077" i="15"/>
  <c r="J1089" i="15"/>
  <c r="J1097" i="15"/>
  <c r="J1109" i="15"/>
  <c r="J1117" i="15"/>
  <c r="J1125" i="15"/>
  <c r="J1129" i="15"/>
  <c r="J1137" i="15"/>
  <c r="J1177" i="15"/>
  <c r="J1181" i="15"/>
  <c r="J1189" i="15"/>
  <c r="J1193" i="15"/>
  <c r="J1209" i="15"/>
  <c r="J1229" i="15"/>
  <c r="J1233" i="15"/>
  <c r="J1245" i="15"/>
  <c r="J1257" i="15"/>
  <c r="J1261" i="15"/>
  <c r="J1273" i="15"/>
  <c r="J1277" i="15"/>
  <c r="J1281" i="15"/>
  <c r="J1285" i="15"/>
  <c r="J1289" i="15"/>
  <c r="H52" i="6"/>
  <c r="V82" i="3"/>
  <c r="V260" i="3"/>
  <c r="V192" i="3"/>
  <c r="V281" i="3"/>
  <c r="V285" i="3"/>
  <c r="V147" i="3"/>
  <c r="V153" i="3"/>
  <c r="CT199" i="3"/>
  <c r="CT219" i="3"/>
  <c r="J6" i="15"/>
  <c r="F4" i="15"/>
  <c r="J14" i="15"/>
  <c r="J54" i="15"/>
  <c r="J106" i="15"/>
  <c r="J386" i="15"/>
  <c r="J402" i="15"/>
  <c r="J418" i="15"/>
  <c r="J434" i="15"/>
  <c r="J454" i="15"/>
  <c r="J474" i="15"/>
  <c r="J490" i="15"/>
  <c r="J506" i="15"/>
  <c r="J522" i="15"/>
  <c r="J538" i="15"/>
  <c r="J554" i="15"/>
  <c r="J570" i="15"/>
  <c r="J586" i="15"/>
  <c r="J602" i="15"/>
  <c r="J622" i="15"/>
  <c r="J638" i="15"/>
  <c r="J654" i="15"/>
  <c r="J670" i="15"/>
  <c r="J686" i="15"/>
  <c r="J702" i="15"/>
  <c r="J718" i="15"/>
  <c r="J734" i="15"/>
  <c r="J750" i="15"/>
  <c r="J770" i="15"/>
  <c r="J794" i="15"/>
  <c r="J810" i="15"/>
  <c r="J826" i="15"/>
  <c r="J850" i="15"/>
  <c r="J866" i="15"/>
  <c r="J978" i="15"/>
  <c r="J1070" i="15"/>
  <c r="V89" i="3"/>
  <c r="J31" i="15"/>
  <c r="J47" i="15"/>
  <c r="J55" i="15"/>
  <c r="J71" i="15"/>
  <c r="J75" i="15"/>
  <c r="J107" i="15"/>
  <c r="J119" i="15"/>
  <c r="J127" i="15"/>
  <c r="J171" i="15"/>
  <c r="J179" i="15"/>
  <c r="J219" i="15"/>
  <c r="J227" i="15"/>
  <c r="J235" i="15"/>
  <c r="J239" i="15"/>
  <c r="J279" i="15"/>
  <c r="J283" i="15"/>
  <c r="J299" i="15"/>
  <c r="J323" i="15"/>
  <c r="J363" i="15"/>
  <c r="J367" i="15"/>
  <c r="J395" i="15"/>
  <c r="J423" i="15"/>
  <c r="J439" i="15"/>
  <c r="J443" i="15"/>
  <c r="J455" i="15"/>
  <c r="J487" i="15"/>
  <c r="J515" i="15"/>
  <c r="K515" i="15" s="1"/>
  <c r="J527" i="15"/>
  <c r="J551" i="15"/>
  <c r="J579" i="15"/>
  <c r="J587" i="15"/>
  <c r="J595" i="15"/>
  <c r="J599" i="15"/>
  <c r="J651" i="15"/>
  <c r="J667" i="15"/>
  <c r="J683" i="15"/>
  <c r="J703" i="15"/>
  <c r="J735" i="15"/>
  <c r="J743" i="15"/>
  <c r="J755" i="15"/>
  <c r="K755" i="15" s="1"/>
  <c r="J779" i="15"/>
  <c r="J807" i="15"/>
  <c r="J839" i="15"/>
  <c r="J847" i="15"/>
  <c r="V38" i="3"/>
  <c r="V149" i="3"/>
  <c r="V104" i="3"/>
  <c r="V268" i="3"/>
  <c r="H65" i="6"/>
  <c r="V99" i="3"/>
  <c r="V85" i="3"/>
  <c r="V216" i="3"/>
  <c r="J859" i="15"/>
  <c r="J863" i="15"/>
  <c r="J883" i="15"/>
  <c r="J891" i="15"/>
  <c r="V26" i="3"/>
  <c r="V253" i="3"/>
  <c r="J915" i="15"/>
  <c r="J935" i="15"/>
  <c r="J959" i="15"/>
  <c r="J983" i="15"/>
  <c r="J999" i="15"/>
  <c r="J1035" i="15"/>
  <c r="J1055" i="15"/>
  <c r="J1075" i="15"/>
  <c r="J1079" i="15"/>
  <c r="J1083" i="15"/>
  <c r="J1111" i="15"/>
  <c r="J1155" i="15"/>
  <c r="J1163" i="15"/>
  <c r="J1167" i="15"/>
  <c r="J1195" i="15"/>
  <c r="J1227" i="15"/>
  <c r="J1239" i="15"/>
  <c r="J1255" i="15"/>
  <c r="J1259" i="15"/>
  <c r="J1275" i="15"/>
  <c r="J1291" i="15"/>
  <c r="V123" i="3"/>
  <c r="V67" i="3"/>
  <c r="V228" i="3"/>
  <c r="V119" i="3"/>
  <c r="V195" i="3"/>
  <c r="V49" i="3"/>
  <c r="V169" i="3"/>
  <c r="V238" i="3"/>
  <c r="V77" i="3"/>
  <c r="V225" i="3"/>
  <c r="CT159" i="3"/>
  <c r="CT228" i="3"/>
  <c r="CT236" i="3"/>
  <c r="CT259" i="3"/>
  <c r="CT285" i="3"/>
  <c r="H26" i="6"/>
  <c r="J5" i="15"/>
  <c r="J30" i="15"/>
  <c r="J42" i="15"/>
  <c r="J70" i="15"/>
  <c r="J86" i="15"/>
  <c r="J90" i="15"/>
  <c r="J122" i="15"/>
  <c r="K122" i="15" s="1"/>
  <c r="J130" i="15"/>
  <c r="J154" i="15"/>
  <c r="J162" i="15"/>
  <c r="J178" i="15"/>
  <c r="J182" i="15"/>
  <c r="J198" i="15"/>
  <c r="J202" i="15"/>
  <c r="J218" i="15"/>
  <c r="J246" i="15"/>
  <c r="J254" i="15"/>
  <c r="J258" i="15"/>
  <c r="J282" i="15"/>
  <c r="J298" i="15"/>
  <c r="J306" i="15"/>
  <c r="J330" i="15"/>
  <c r="L330" i="15" s="1"/>
  <c r="J342" i="15"/>
  <c r="J358" i="15"/>
  <c r="J374" i="15"/>
  <c r="J378" i="15"/>
  <c r="J394" i="15"/>
  <c r="K394" i="15" s="1"/>
  <c r="J410" i="15"/>
  <c r="J414" i="15"/>
  <c r="J430" i="15"/>
  <c r="J442" i="15"/>
  <c r="J478" i="15"/>
  <c r="J502" i="15"/>
  <c r="L502" i="15" s="1"/>
  <c r="J534" i="15"/>
  <c r="J566" i="15"/>
  <c r="J574" i="15"/>
  <c r="J590" i="15"/>
  <c r="J598" i="15"/>
  <c r="J610" i="15"/>
  <c r="J614" i="15"/>
  <c r="J630" i="15"/>
  <c r="J634" i="15"/>
  <c r="J646" i="15"/>
  <c r="J662" i="15"/>
  <c r="J666" i="15"/>
  <c r="J678" i="15"/>
  <c r="J690" i="15"/>
  <c r="J698" i="15"/>
  <c r="J714" i="15"/>
  <c r="J722" i="15"/>
  <c r="J730" i="15"/>
  <c r="J742" i="15"/>
  <c r="J762" i="15"/>
  <c r="J786" i="15"/>
  <c r="J802" i="15"/>
  <c r="J822" i="15"/>
  <c r="J834" i="15"/>
  <c r="J838" i="15"/>
  <c r="J842" i="15"/>
  <c r="J846" i="15"/>
  <c r="J870" i="15"/>
  <c r="J874" i="15"/>
  <c r="J890" i="15"/>
  <c r="J902" i="15"/>
  <c r="J910" i="15"/>
  <c r="J934" i="15"/>
  <c r="J942" i="15"/>
  <c r="J950" i="15"/>
  <c r="J958" i="15"/>
  <c r="J966" i="15"/>
  <c r="J986" i="15"/>
  <c r="J990" i="15"/>
  <c r="J1022" i="15"/>
  <c r="K1022" i="15" s="1"/>
  <c r="J1046" i="15"/>
  <c r="J1050" i="15"/>
  <c r="J1078" i="15"/>
  <c r="J1094" i="15"/>
  <c r="J1098" i="15"/>
  <c r="J1118" i="15"/>
  <c r="J1130" i="15"/>
  <c r="J1142" i="15"/>
  <c r="J1158" i="15"/>
  <c r="J1194" i="15"/>
  <c r="J1226" i="15"/>
  <c r="J1238" i="15"/>
  <c r="J1262" i="15"/>
  <c r="J1278" i="15"/>
  <c r="L1278" i="15" s="1"/>
  <c r="J1294" i="15"/>
  <c r="V81" i="3"/>
  <c r="AT4" i="3"/>
  <c r="J480" i="15"/>
  <c r="J572" i="15"/>
  <c r="J800" i="15"/>
  <c r="J856" i="15"/>
  <c r="J960" i="15"/>
  <c r="J1024" i="15"/>
  <c r="J1072" i="15"/>
  <c r="J1096" i="15"/>
  <c r="J1120" i="15"/>
  <c r="J1140" i="15"/>
  <c r="J1196" i="15"/>
  <c r="L1196" i="15" s="1"/>
  <c r="J1208" i="15"/>
  <c r="J1252" i="15"/>
  <c r="J1304" i="15"/>
  <c r="K1304" i="15" s="1"/>
  <c r="J1308" i="15"/>
  <c r="V259" i="3"/>
  <c r="V12" i="3"/>
  <c r="V290" i="3"/>
  <c r="V117" i="3"/>
  <c r="J143" i="15"/>
  <c r="J167" i="15"/>
  <c r="J203" i="15"/>
  <c r="J315" i="15"/>
  <c r="V269" i="3"/>
  <c r="V214" i="3"/>
  <c r="V194" i="3"/>
  <c r="V206" i="3"/>
  <c r="V270" i="3"/>
  <c r="V231" i="3"/>
  <c r="BL68" i="3"/>
  <c r="BL4" i="3" s="1"/>
  <c r="E291" i="9"/>
  <c r="V105" i="3"/>
  <c r="V30" i="3"/>
  <c r="V275" i="3"/>
  <c r="I4" i="15"/>
  <c r="V11" i="3"/>
  <c r="V61" i="3"/>
  <c r="V121" i="3"/>
  <c r="V274" i="3"/>
  <c r="J4" i="3"/>
  <c r="V255" i="3"/>
  <c r="E65" i="6"/>
  <c r="V284" i="3"/>
  <c r="J16" i="15"/>
  <c r="J548" i="15"/>
  <c r="V68" i="3"/>
  <c r="V193" i="3"/>
  <c r="V146" i="3"/>
  <c r="V161" i="3"/>
  <c r="V158" i="3"/>
  <c r="V24" i="3"/>
  <c r="V69" i="3"/>
  <c r="V134" i="3"/>
  <c r="V159" i="3"/>
  <c r="V226" i="3"/>
  <c r="V233" i="3"/>
  <c r="V257" i="3"/>
  <c r="V114" i="3"/>
  <c r="V213" i="3"/>
  <c r="V215" i="3"/>
  <c r="F4" i="3"/>
  <c r="J10" i="15"/>
  <c r="J22" i="15"/>
  <c r="J34" i="15"/>
  <c r="J58" i="15"/>
  <c r="V278" i="3"/>
  <c r="P5" i="17"/>
  <c r="Q5" i="17" s="1"/>
  <c r="V125" i="3"/>
  <c r="V207" i="3"/>
  <c r="V200" i="3"/>
  <c r="J292" i="15"/>
  <c r="J756" i="15"/>
  <c r="V7" i="3"/>
  <c r="V103" i="3"/>
  <c r="V199" i="3"/>
  <c r="V16" i="3"/>
  <c r="V251" i="3"/>
  <c r="V118" i="3"/>
  <c r="V57" i="3"/>
  <c r="V84" i="3"/>
  <c r="V211" i="3"/>
  <c r="V277" i="3"/>
  <c r="J78" i="15"/>
  <c r="J102" i="15"/>
  <c r="J118" i="15"/>
  <c r="J134" i="15"/>
  <c r="J150" i="15"/>
  <c r="J166" i="15"/>
  <c r="J190" i="15"/>
  <c r="J206" i="15"/>
  <c r="J222" i="15"/>
  <c r="J250" i="15"/>
  <c r="J266" i="15"/>
  <c r="J286" i="15"/>
  <c r="J302" i="15"/>
  <c r="J322" i="15"/>
  <c r="J338" i="15"/>
  <c r="J354" i="15"/>
  <c r="J370" i="15"/>
  <c r="V65" i="3"/>
  <c r="V90" i="3"/>
  <c r="V136" i="3"/>
  <c r="V97" i="3"/>
  <c r="V144" i="3"/>
  <c r="V234" i="3"/>
  <c r="V72" i="3"/>
  <c r="V280" i="3"/>
  <c r="V279" i="3"/>
  <c r="V254" i="3"/>
  <c r="I4" i="3"/>
  <c r="CI4" i="3"/>
  <c r="V127" i="3"/>
  <c r="V122" i="3"/>
  <c r="V83" i="3"/>
  <c r="V93" i="3"/>
  <c r="V221" i="3"/>
  <c r="V197" i="3"/>
  <c r="V37" i="3"/>
  <c r="V58" i="3"/>
  <c r="V106" i="3"/>
  <c r="V219" i="3"/>
  <c r="V41" i="3"/>
  <c r="V166" i="3"/>
  <c r="V209" i="3"/>
  <c r="V31" i="3"/>
  <c r="V182" i="3"/>
  <c r="V190" i="3"/>
  <c r="V164" i="3"/>
  <c r="V267" i="3"/>
  <c r="V241" i="3"/>
  <c r="V222" i="3"/>
  <c r="V262" i="3"/>
  <c r="E240" i="19" l="1"/>
  <c r="E169" i="19"/>
  <c r="E121" i="19"/>
  <c r="E22" i="19"/>
  <c r="E260" i="19"/>
  <c r="E54" i="19"/>
  <c r="E179" i="19"/>
  <c r="E135" i="19"/>
  <c r="E23" i="19"/>
  <c r="E266" i="19"/>
  <c r="E202" i="19"/>
  <c r="E229" i="19"/>
  <c r="E189" i="19"/>
  <c r="E133" i="19"/>
  <c r="E77" i="19"/>
  <c r="E249" i="19"/>
  <c r="E146" i="19"/>
  <c r="E118" i="19"/>
  <c r="E26" i="19"/>
  <c r="E199" i="19"/>
  <c r="E60" i="19"/>
  <c r="E252" i="19"/>
  <c r="E96" i="19"/>
  <c r="E19" i="19"/>
  <c r="E262" i="19"/>
  <c r="E194" i="19"/>
  <c r="E154" i="19"/>
  <c r="E185" i="19"/>
  <c r="E129" i="19"/>
  <c r="E242" i="19"/>
  <c r="E98" i="19"/>
  <c r="E56" i="19"/>
  <c r="E223" i="19"/>
  <c r="E123" i="19"/>
  <c r="E67" i="19"/>
  <c r="E246" i="19"/>
  <c r="E190" i="19"/>
  <c r="E142" i="19"/>
  <c r="E213" i="19"/>
  <c r="E161" i="19"/>
  <c r="E113" i="19"/>
  <c r="E21" i="19"/>
  <c r="E24" i="19"/>
  <c r="E91" i="19"/>
  <c r="E106" i="19"/>
  <c r="E191" i="19"/>
  <c r="E144" i="19"/>
  <c r="E88" i="19"/>
  <c r="E12" i="19"/>
  <c r="E263" i="19"/>
  <c r="E219" i="19"/>
  <c r="E119" i="19"/>
  <c r="E63" i="19"/>
  <c r="E230" i="19"/>
  <c r="E186" i="19"/>
  <c r="E138" i="19"/>
  <c r="E253" i="19"/>
  <c r="E209" i="19"/>
  <c r="E157" i="19"/>
  <c r="E105" i="19"/>
  <c r="E9" i="19"/>
  <c r="E108" i="19"/>
  <c r="E66" i="19"/>
  <c r="E69" i="19"/>
  <c r="E102" i="19"/>
  <c r="E247" i="19"/>
  <c r="E188" i="19"/>
  <c r="E140" i="19"/>
  <c r="E168" i="19"/>
  <c r="E84" i="19"/>
  <c r="E58" i="19"/>
  <c r="E259" i="19"/>
  <c r="E215" i="19"/>
  <c r="E111" i="19"/>
  <c r="E51" i="19"/>
  <c r="E182" i="19"/>
  <c r="E245" i="19"/>
  <c r="E205" i="19"/>
  <c r="E153" i="19"/>
  <c r="E97" i="19"/>
  <c r="H71" i="14"/>
  <c r="I71" i="14" s="1"/>
  <c r="J71" i="14" s="1"/>
  <c r="P70" i="3" s="1"/>
  <c r="S70" i="3" s="1"/>
  <c r="CD70" i="3" s="1"/>
  <c r="E177" i="19"/>
  <c r="E136" i="19"/>
  <c r="E41" i="19"/>
  <c r="E216" i="19"/>
  <c r="E14" i="19"/>
  <c r="E211" i="19"/>
  <c r="E151" i="19"/>
  <c r="E107" i="19"/>
  <c r="E47" i="19"/>
  <c r="E178" i="19"/>
  <c r="E126" i="19"/>
  <c r="E201" i="19"/>
  <c r="E93" i="19"/>
  <c r="E175" i="19"/>
  <c r="E61" i="19"/>
  <c r="E8" i="19"/>
  <c r="E76" i="19"/>
  <c r="E221" i="19"/>
  <c r="E132" i="19"/>
  <c r="E79" i="19"/>
  <c r="E156" i="19"/>
  <c r="E64" i="19"/>
  <c r="E103" i="19"/>
  <c r="E214" i="19"/>
  <c r="E174" i="19"/>
  <c r="E237" i="19"/>
  <c r="E197" i="19"/>
  <c r="E145" i="19"/>
  <c r="E89" i="19"/>
  <c r="E204" i="19"/>
  <c r="E82" i="19"/>
  <c r="E243" i="19"/>
  <c r="E183" i="19"/>
  <c r="E139" i="19"/>
  <c r="E99" i="19"/>
  <c r="E31" i="19"/>
  <c r="E206" i="19"/>
  <c r="E170" i="19"/>
  <c r="E70" i="19"/>
  <c r="E233" i="19"/>
  <c r="E193" i="19"/>
  <c r="E137" i="19"/>
  <c r="E4" i="19"/>
  <c r="Y114" i="3"/>
  <c r="AX26" i="10"/>
  <c r="BC265" i="3" s="1"/>
  <c r="CT197" i="3"/>
  <c r="CV197" i="3" s="1"/>
  <c r="CT97" i="3"/>
  <c r="CU97" i="3" s="1"/>
  <c r="CT276" i="3"/>
  <c r="CV276" i="3" s="1"/>
  <c r="CT282" i="3"/>
  <c r="CV282" i="3" s="1"/>
  <c r="CT29" i="3"/>
  <c r="CV29" i="3" s="1"/>
  <c r="CT253" i="3"/>
  <c r="CV253" i="3" s="1"/>
  <c r="CT172" i="3"/>
  <c r="CU172" i="3" s="1"/>
  <c r="CT74" i="3"/>
  <c r="CV74" i="3" s="1"/>
  <c r="CT132" i="3"/>
  <c r="CV132" i="3" s="1"/>
  <c r="CT72" i="3"/>
  <c r="CV72" i="3" s="1"/>
  <c r="CT226" i="3"/>
  <c r="CV226" i="3" s="1"/>
  <c r="CT20" i="3"/>
  <c r="CV20" i="3" s="1"/>
  <c r="CT186" i="3"/>
  <c r="CV186" i="3" s="1"/>
  <c r="CT130" i="3"/>
  <c r="CU130" i="3" s="1"/>
  <c r="CT155" i="3"/>
  <c r="CU155" i="3" s="1"/>
  <c r="CT195" i="3"/>
  <c r="CU195" i="3" s="1"/>
  <c r="CT263" i="3"/>
  <c r="CV263" i="3" s="1"/>
  <c r="L784" i="15"/>
  <c r="M784" i="15" s="1"/>
  <c r="CT275" i="3"/>
  <c r="CV275" i="3" s="1"/>
  <c r="CT214" i="3"/>
  <c r="CV214" i="3" s="1"/>
  <c r="CT168" i="3"/>
  <c r="CV168" i="3" s="1"/>
  <c r="CT193" i="3"/>
  <c r="CV193" i="3" s="1"/>
  <c r="CT55" i="3"/>
  <c r="CV55" i="3" s="1"/>
  <c r="CT85" i="3"/>
  <c r="CU85" i="3" s="1"/>
  <c r="CT283" i="3"/>
  <c r="CV283" i="3" s="1"/>
  <c r="CT129" i="3"/>
  <c r="CV129" i="3" s="1"/>
  <c r="CT138" i="3"/>
  <c r="CV138" i="3" s="1"/>
  <c r="CT230" i="3"/>
  <c r="CV230" i="3" s="1"/>
  <c r="CT24" i="3"/>
  <c r="CV24" i="3" s="1"/>
  <c r="CT19" i="3"/>
  <c r="CU19" i="3" s="1"/>
  <c r="CT267" i="3"/>
  <c r="CV267" i="3" s="1"/>
  <c r="CT121" i="3"/>
  <c r="CU121" i="3" s="1"/>
  <c r="CT201" i="3"/>
  <c r="CV201" i="3" s="1"/>
  <c r="CT261" i="3"/>
  <c r="CV261" i="3" s="1"/>
  <c r="CT180" i="3"/>
  <c r="CV180" i="3" s="1"/>
  <c r="CT240" i="3"/>
  <c r="CV240" i="3" s="1"/>
  <c r="CT167" i="3"/>
  <c r="CV167" i="3" s="1"/>
  <c r="CT134" i="3"/>
  <c r="CU134" i="3" s="1"/>
  <c r="CT78" i="3"/>
  <c r="CV78" i="3" s="1"/>
  <c r="CT135" i="3"/>
  <c r="CU135" i="3" s="1"/>
  <c r="AK4" i="3"/>
  <c r="CT169" i="3"/>
  <c r="CU169" i="3" s="1"/>
  <c r="CT160" i="3"/>
  <c r="CV160" i="3" s="1"/>
  <c r="CT252" i="3"/>
  <c r="CV252" i="3" s="1"/>
  <c r="CT238" i="3"/>
  <c r="CU238" i="3" s="1"/>
  <c r="CT144" i="3"/>
  <c r="CV144" i="3" s="1"/>
  <c r="CT90" i="3"/>
  <c r="CV90" i="3" s="1"/>
  <c r="CT209" i="3"/>
  <c r="CV209" i="3" s="1"/>
  <c r="CT157" i="3"/>
  <c r="CV157" i="3" s="1"/>
  <c r="CT87" i="3"/>
  <c r="CV87" i="3" s="1"/>
  <c r="CT36" i="3"/>
  <c r="CV36" i="3" s="1"/>
  <c r="CT198" i="3"/>
  <c r="CV198" i="3" s="1"/>
  <c r="CT188" i="3"/>
  <c r="CV188" i="3" s="1"/>
  <c r="CT65" i="3"/>
  <c r="CU65" i="3" s="1"/>
  <c r="CT179" i="3"/>
  <c r="CV179" i="3" s="1"/>
  <c r="CT15" i="3"/>
  <c r="CU15" i="3" s="1"/>
  <c r="CT256" i="3"/>
  <c r="CV256" i="3" s="1"/>
  <c r="CT212" i="3"/>
  <c r="CU212" i="3" s="1"/>
  <c r="CT281" i="3"/>
  <c r="CV281" i="3" s="1"/>
  <c r="CT279" i="3"/>
  <c r="CV279" i="3" s="1"/>
  <c r="CT202" i="3"/>
  <c r="CV202" i="3" s="1"/>
  <c r="CT223" i="3"/>
  <c r="CV223" i="3" s="1"/>
  <c r="CT152" i="3"/>
  <c r="CV152" i="3" s="1"/>
  <c r="CT161" i="3"/>
  <c r="CV161" i="3" s="1"/>
  <c r="CT150" i="3"/>
  <c r="CV150" i="3" s="1"/>
  <c r="CT48" i="3"/>
  <c r="CV48" i="3" s="1"/>
  <c r="CT217" i="3"/>
  <c r="CV217" i="3" s="1"/>
  <c r="CT81" i="3"/>
  <c r="CV81" i="3" s="1"/>
  <c r="CT108" i="3"/>
  <c r="CU108" i="3" s="1"/>
  <c r="CT47" i="3"/>
  <c r="CV47" i="3" s="1"/>
  <c r="CT191" i="3"/>
  <c r="CU191" i="3" s="1"/>
  <c r="CT162" i="3"/>
  <c r="CU162" i="3" s="1"/>
  <c r="CT124" i="3"/>
  <c r="CV124" i="3" s="1"/>
  <c r="CT278" i="3"/>
  <c r="CV278" i="3" s="1"/>
  <c r="CT22" i="3"/>
  <c r="CU22" i="3" s="1"/>
  <c r="CT143" i="3"/>
  <c r="CV143" i="3" s="1"/>
  <c r="CT249" i="3"/>
  <c r="CV249" i="3" s="1"/>
  <c r="CT114" i="3"/>
  <c r="CV114" i="3" s="1"/>
  <c r="CT68" i="3"/>
  <c r="CV68" i="3" s="1"/>
  <c r="CT224" i="3"/>
  <c r="CV224" i="3" s="1"/>
  <c r="CT247" i="3"/>
  <c r="CV247" i="3" s="1"/>
  <c r="Y72" i="3"/>
  <c r="CT171" i="3"/>
  <c r="CV171" i="3" s="1"/>
  <c r="CT83" i="3"/>
  <c r="CV83" i="3" s="1"/>
  <c r="CT265" i="3"/>
  <c r="CV265" i="3" s="1"/>
  <c r="CT234" i="3"/>
  <c r="CV234" i="3" s="1"/>
  <c r="Y151" i="3"/>
  <c r="CT100" i="3"/>
  <c r="CU100" i="3" s="1"/>
  <c r="CT184" i="3"/>
  <c r="CV184" i="3" s="1"/>
  <c r="Y173" i="3"/>
  <c r="CT10" i="3"/>
  <c r="CV10" i="3" s="1"/>
  <c r="CT264" i="3"/>
  <c r="CV264" i="3" s="1"/>
  <c r="CT187" i="3"/>
  <c r="CV187" i="3" s="1"/>
  <c r="CT164" i="3"/>
  <c r="CV164" i="3" s="1"/>
  <c r="CT13" i="3"/>
  <c r="CV13" i="3" s="1"/>
  <c r="Y167" i="3"/>
  <c r="I166" i="19" s="1"/>
  <c r="CT254" i="3"/>
  <c r="CV254" i="3" s="1"/>
  <c r="CT158" i="3"/>
  <c r="CV158" i="3" s="1"/>
  <c r="CT106" i="3"/>
  <c r="CV106" i="3" s="1"/>
  <c r="CT64" i="3"/>
  <c r="CU64" i="3" s="1"/>
  <c r="CT89" i="3"/>
  <c r="CV89" i="3" s="1"/>
  <c r="CT231" i="3"/>
  <c r="CV231" i="3" s="1"/>
  <c r="CT120" i="3"/>
  <c r="CV120" i="3" s="1"/>
  <c r="Y148" i="3"/>
  <c r="CT139" i="3"/>
  <c r="CV139" i="3" s="1"/>
  <c r="CT225" i="3"/>
  <c r="CU225" i="3" s="1"/>
  <c r="CT210" i="3"/>
  <c r="CV210" i="3" s="1"/>
  <c r="CT227" i="3"/>
  <c r="CU227" i="3" s="1"/>
  <c r="Y139" i="3"/>
  <c r="Y80" i="3"/>
  <c r="Y28" i="3"/>
  <c r="CT52" i="3"/>
  <c r="CV52" i="3" s="1"/>
  <c r="CT246" i="3"/>
  <c r="CV246" i="3" s="1"/>
  <c r="CT59" i="3"/>
  <c r="CU59" i="3" s="1"/>
  <c r="CT260" i="3"/>
  <c r="CV260" i="3" s="1"/>
  <c r="Y157" i="3"/>
  <c r="CT216" i="3"/>
  <c r="CV216" i="3" s="1"/>
  <c r="Y143" i="3"/>
  <c r="CT183" i="3"/>
  <c r="CU183" i="3" s="1"/>
  <c r="Y264" i="3"/>
  <c r="Y74" i="3"/>
  <c r="Y236" i="3"/>
  <c r="Y20" i="3"/>
  <c r="CT112" i="3"/>
  <c r="CV112" i="3" s="1"/>
  <c r="CT289" i="3"/>
  <c r="CV289" i="3" s="1"/>
  <c r="CT242" i="3"/>
  <c r="CV242" i="3" s="1"/>
  <c r="CT127" i="3"/>
  <c r="CV127" i="3" s="1"/>
  <c r="CT215" i="3"/>
  <c r="CV215" i="3" s="1"/>
  <c r="AE221" i="3"/>
  <c r="E220" i="19" s="1"/>
  <c r="CT98" i="3"/>
  <c r="CV98" i="3" s="1"/>
  <c r="CT272" i="3"/>
  <c r="CV272" i="3" s="1"/>
  <c r="CT76" i="3"/>
  <c r="CU76" i="3" s="1"/>
  <c r="CT21" i="3"/>
  <c r="CV21" i="3" s="1"/>
  <c r="CT232" i="3"/>
  <c r="CV232" i="3" s="1"/>
  <c r="CT93" i="3"/>
  <c r="CV93" i="3" s="1"/>
  <c r="CT154" i="3"/>
  <c r="CV154" i="3" s="1"/>
  <c r="CT271" i="3"/>
  <c r="CU271" i="3" s="1"/>
  <c r="CT206" i="3"/>
  <c r="CU206" i="3" s="1"/>
  <c r="CT37" i="3"/>
  <c r="CV37" i="3" s="1"/>
  <c r="CT94" i="3"/>
  <c r="CV94" i="3" s="1"/>
  <c r="CT269" i="3"/>
  <c r="CV269" i="3" s="1"/>
  <c r="CT287" i="3"/>
  <c r="CV287" i="3" s="1"/>
  <c r="CT177" i="3"/>
  <c r="CV177" i="3" s="1"/>
  <c r="CT146" i="3"/>
  <c r="CV146" i="3" s="1"/>
  <c r="CT175" i="3"/>
  <c r="CV175" i="3" s="1"/>
  <c r="CT203" i="3"/>
  <c r="CV203" i="3" s="1"/>
  <c r="CT104" i="3"/>
  <c r="CV104" i="3" s="1"/>
  <c r="CT220" i="3"/>
  <c r="CV220" i="3" s="1"/>
  <c r="CT190" i="3"/>
  <c r="CV190" i="3" s="1"/>
  <c r="CT136" i="3"/>
  <c r="CV136" i="3" s="1"/>
  <c r="CT131" i="3"/>
  <c r="CV131" i="3" s="1"/>
  <c r="CT205" i="3"/>
  <c r="CV205" i="3" s="1"/>
  <c r="CT82" i="3"/>
  <c r="CV82" i="3" s="1"/>
  <c r="CT45" i="3"/>
  <c r="CV45" i="3" s="1"/>
  <c r="CT140" i="3"/>
  <c r="CV140" i="3" s="1"/>
  <c r="CT32" i="3"/>
  <c r="CV32" i="3" s="1"/>
  <c r="CT244" i="3"/>
  <c r="CV244" i="3" s="1"/>
  <c r="CT71" i="3"/>
  <c r="CV71" i="3" s="1"/>
  <c r="CT194" i="3"/>
  <c r="CV194" i="3" s="1"/>
  <c r="CT207" i="3"/>
  <c r="CV207" i="3" s="1"/>
  <c r="Y217" i="3"/>
  <c r="Y36" i="3"/>
  <c r="Y138" i="3"/>
  <c r="Y265" i="3"/>
  <c r="Y6" i="3"/>
  <c r="Y286" i="3"/>
  <c r="K1297" i="15"/>
  <c r="M1297" i="15" s="1"/>
  <c r="L1103" i="15"/>
  <c r="M1103" i="15" s="1"/>
  <c r="K1081" i="15"/>
  <c r="M1081" i="15" s="1"/>
  <c r="K656" i="15"/>
  <c r="M656" i="15" s="1"/>
  <c r="K204" i="15"/>
  <c r="M204" i="15" s="1"/>
  <c r="L1124" i="15"/>
  <c r="M1124" i="15" s="1"/>
  <c r="K728" i="15"/>
  <c r="M728" i="15" s="1"/>
  <c r="L523" i="15"/>
  <c r="M523" i="15" s="1"/>
  <c r="K307" i="15"/>
  <c r="M307" i="15" s="1"/>
  <c r="K1249" i="15"/>
  <c r="M1249" i="15" s="1"/>
  <c r="K1265" i="15"/>
  <c r="M1265" i="15" s="1"/>
  <c r="L215" i="15"/>
  <c r="M215" i="15" s="1"/>
  <c r="K343" i="15"/>
  <c r="M343" i="15" s="1"/>
  <c r="K1000" i="15"/>
  <c r="M1000" i="15" s="1"/>
  <c r="L303" i="15"/>
  <c r="M303" i="15" s="1"/>
  <c r="S53" i="3"/>
  <c r="BV53" i="3" s="1"/>
  <c r="BW53" i="3" s="1"/>
  <c r="K1258" i="15"/>
  <c r="M1258" i="15" s="1"/>
  <c r="L444" i="15"/>
  <c r="M444" i="15" s="1"/>
  <c r="L1203" i="15"/>
  <c r="M1203" i="15" s="1"/>
  <c r="L1088" i="15"/>
  <c r="M1088" i="15" s="1"/>
  <c r="K1139" i="15"/>
  <c r="M1139" i="15" s="1"/>
  <c r="L496" i="15"/>
  <c r="M496" i="15" s="1"/>
  <c r="CT67" i="3"/>
  <c r="CV67" i="3" s="1"/>
  <c r="K544" i="15"/>
  <c r="M544" i="15" s="1"/>
  <c r="CT248" i="3"/>
  <c r="CU248" i="3" s="1"/>
  <c r="Y105" i="3"/>
  <c r="L852" i="15"/>
  <c r="M852" i="15" s="1"/>
  <c r="K1220" i="15"/>
  <c r="M1220" i="15" s="1"/>
  <c r="K1012" i="15"/>
  <c r="M1012" i="15" s="1"/>
  <c r="L460" i="15"/>
  <c r="M460" i="15" s="1"/>
  <c r="L867" i="15"/>
  <c r="M867" i="15" s="1"/>
  <c r="L691" i="15"/>
  <c r="M691" i="15" s="1"/>
  <c r="K575" i="15"/>
  <c r="M575" i="15" s="1"/>
  <c r="L571" i="15"/>
  <c r="M571" i="15" s="1"/>
  <c r="L1276" i="15"/>
  <c r="M1276" i="15" s="1"/>
  <c r="K776" i="15"/>
  <c r="M776" i="15" s="1"/>
  <c r="L19" i="15"/>
  <c r="M19" i="15" s="1"/>
  <c r="K991" i="15"/>
  <c r="M991" i="15" s="1"/>
  <c r="L1057" i="15"/>
  <c r="M1057" i="15" s="1"/>
  <c r="K1199" i="15"/>
  <c r="M1199" i="15" s="1"/>
  <c r="K1007" i="15"/>
  <c r="M1007" i="15" s="1"/>
  <c r="L1205" i="15"/>
  <c r="M1205" i="15" s="1"/>
  <c r="K1082" i="15"/>
  <c r="M1082" i="15" s="1"/>
  <c r="L124" i="15"/>
  <c r="M124" i="15" s="1"/>
  <c r="S14" i="3"/>
  <c r="CD14" i="3" s="1"/>
  <c r="L918" i="15"/>
  <c r="M918" i="15" s="1"/>
  <c r="K835" i="15"/>
  <c r="M835" i="15" s="1"/>
  <c r="S105" i="3"/>
  <c r="BV105" i="3" s="1"/>
  <c r="BX105" i="3" s="1"/>
  <c r="BY105" i="3" s="1"/>
  <c r="K183" i="15"/>
  <c r="M183" i="15" s="1"/>
  <c r="S104" i="3"/>
  <c r="CD104" i="3" s="1"/>
  <c r="S96" i="3"/>
  <c r="BV96" i="3" s="1"/>
  <c r="BW96" i="3" s="1"/>
  <c r="S281" i="3"/>
  <c r="BU281" i="3" s="1"/>
  <c r="S86" i="3"/>
  <c r="BZ86" i="3" s="1"/>
  <c r="CA86" i="3" s="1"/>
  <c r="CB86" i="3" s="1"/>
  <c r="CC86" i="3" s="1"/>
  <c r="CJ47" i="3"/>
  <c r="S97" i="3"/>
  <c r="CD97" i="3" s="1"/>
  <c r="S285" i="3"/>
  <c r="CD285" i="3" s="1"/>
  <c r="S210" i="3"/>
  <c r="BV210" i="3" s="1"/>
  <c r="BW210" i="3" s="1"/>
  <c r="K152" i="15"/>
  <c r="M152" i="15" s="1"/>
  <c r="L1023" i="15"/>
  <c r="M1023" i="15" s="1"/>
  <c r="L1293" i="15"/>
  <c r="M1293" i="15" s="1"/>
  <c r="L844" i="15"/>
  <c r="M844" i="15" s="1"/>
  <c r="L371" i="15"/>
  <c r="M371" i="15" s="1"/>
  <c r="S279" i="3"/>
  <c r="BV279" i="3" s="1"/>
  <c r="BW279" i="3" s="1"/>
  <c r="K404" i="15"/>
  <c r="M404" i="15" s="1"/>
  <c r="L1017" i="15"/>
  <c r="M1017" i="15" s="1"/>
  <c r="L240" i="15"/>
  <c r="M240" i="15" s="1"/>
  <c r="K1004" i="15"/>
  <c r="M1004" i="15" s="1"/>
  <c r="L360" i="15"/>
  <c r="M360" i="15" s="1"/>
  <c r="L159" i="15"/>
  <c r="M159" i="15" s="1"/>
  <c r="L944" i="15"/>
  <c r="M944" i="15" s="1"/>
  <c r="K1148" i="15"/>
  <c r="M1148" i="15" s="1"/>
  <c r="S141" i="3"/>
  <c r="BU141" i="3" s="1"/>
  <c r="S129" i="3"/>
  <c r="BV129" i="3" s="1"/>
  <c r="BW129" i="3" s="1"/>
  <c r="S217" i="3"/>
  <c r="BU217" i="3" s="1"/>
  <c r="S18" i="3"/>
  <c r="BV18" i="3" s="1"/>
  <c r="BW18" i="3" s="1"/>
  <c r="L1002" i="15"/>
  <c r="M1002" i="15" s="1"/>
  <c r="CT6" i="3"/>
  <c r="CV6" i="3" s="1"/>
  <c r="CT43" i="3"/>
  <c r="CV43" i="3" s="1"/>
  <c r="CT243" i="3"/>
  <c r="CU243" i="3" s="1"/>
  <c r="CT117" i="3"/>
  <c r="CV117" i="3" s="1"/>
  <c r="K1179" i="15"/>
  <c r="M1179" i="15" s="1"/>
  <c r="S89" i="3"/>
  <c r="BV89" i="3" s="1"/>
  <c r="BX89" i="3" s="1"/>
  <c r="BY89" i="3" s="1"/>
  <c r="K326" i="15"/>
  <c r="M326" i="15" s="1"/>
  <c r="K640" i="15"/>
  <c r="M640" i="15" s="1"/>
  <c r="K798" i="15"/>
  <c r="M798" i="15" s="1"/>
  <c r="L1168" i="15"/>
  <c r="M1168" i="15" s="1"/>
  <c r="S98" i="3"/>
  <c r="BU98" i="3" s="1"/>
  <c r="L785" i="15"/>
  <c r="M785" i="15" s="1"/>
  <c r="K1102" i="15"/>
  <c r="M1102" i="15" s="1"/>
  <c r="K406" i="15"/>
  <c r="M406" i="15" s="1"/>
  <c r="K882" i="15"/>
  <c r="M882" i="15" s="1"/>
  <c r="S10" i="3"/>
  <c r="BV10" i="3" s="1"/>
  <c r="BW10" i="3" s="1"/>
  <c r="L44" i="15"/>
  <c r="M44" i="15" s="1"/>
  <c r="S113" i="3"/>
  <c r="BZ113" i="3" s="1"/>
  <c r="CA113" i="3" s="1"/>
  <c r="K576" i="15"/>
  <c r="K1156" i="15"/>
  <c r="M1156" i="15" s="1"/>
  <c r="S282" i="3"/>
  <c r="BZ282" i="3" s="1"/>
  <c r="CA282" i="3" s="1"/>
  <c r="CB282" i="3" s="1"/>
  <c r="CC282" i="3" s="1"/>
  <c r="S63" i="3"/>
  <c r="CD63" i="3" s="1"/>
  <c r="CT218" i="3"/>
  <c r="CU218" i="3" s="1"/>
  <c r="CT204" i="3"/>
  <c r="CV204" i="3" s="1"/>
  <c r="S12" i="3"/>
  <c r="CD12" i="3" s="1"/>
  <c r="CT31" i="3"/>
  <c r="CU31" i="3" s="1"/>
  <c r="CT23" i="3"/>
  <c r="CV23" i="3" s="1"/>
  <c r="CT60" i="3"/>
  <c r="CV60" i="3" s="1"/>
  <c r="CT151" i="3"/>
  <c r="CV151" i="3" s="1"/>
  <c r="CT123" i="3"/>
  <c r="CU123" i="3" s="1"/>
  <c r="CT54" i="3"/>
  <c r="CU54" i="3" s="1"/>
  <c r="CT149" i="3"/>
  <c r="CV149" i="3" s="1"/>
  <c r="CT288" i="3"/>
  <c r="CV288" i="3" s="1"/>
  <c r="CT170" i="3"/>
  <c r="CV170" i="3" s="1"/>
  <c r="S126" i="3"/>
  <c r="BZ126" i="3" s="1"/>
  <c r="CA126" i="3" s="1"/>
  <c r="CB126" i="3" s="1"/>
  <c r="CC126" i="3" s="1"/>
  <c r="CT75" i="3"/>
  <c r="CV75" i="3" s="1"/>
  <c r="CT122" i="3"/>
  <c r="CV122" i="3" s="1"/>
  <c r="CT69" i="3"/>
  <c r="CV69" i="3" s="1"/>
  <c r="CT241" i="3"/>
  <c r="CU241" i="3" s="1"/>
  <c r="CT86" i="3"/>
  <c r="CV86" i="3" s="1"/>
  <c r="CT142" i="3"/>
  <c r="CV142" i="3" s="1"/>
  <c r="CT34" i="3"/>
  <c r="CV34" i="3" s="1"/>
  <c r="S290" i="3"/>
  <c r="CD290" i="3" s="1"/>
  <c r="CT165" i="3"/>
  <c r="CV165" i="3" s="1"/>
  <c r="CT79" i="3"/>
  <c r="CV79" i="3" s="1"/>
  <c r="S149" i="3"/>
  <c r="CD149" i="3" s="1"/>
  <c r="CT174" i="3"/>
  <c r="CV174" i="3" s="1"/>
  <c r="CT46" i="3"/>
  <c r="CV46" i="3" s="1"/>
  <c r="S274" i="3"/>
  <c r="BZ274" i="3" s="1"/>
  <c r="CA274" i="3" s="1"/>
  <c r="CB274" i="3" s="1"/>
  <c r="CC274" i="3" s="1"/>
  <c r="CT73" i="3"/>
  <c r="CV73" i="3" s="1"/>
  <c r="CT40" i="3"/>
  <c r="CV40" i="3" s="1"/>
  <c r="S94" i="3"/>
  <c r="BV94" i="3" s="1"/>
  <c r="BX94" i="3" s="1"/>
  <c r="BY94" i="3" s="1"/>
  <c r="S103" i="3"/>
  <c r="CD103" i="3" s="1"/>
  <c r="Y127" i="3"/>
  <c r="S76" i="3"/>
  <c r="BZ76" i="3" s="1"/>
  <c r="CA76" i="3" s="1"/>
  <c r="CB76" i="3" s="1"/>
  <c r="CC76" i="3" s="1"/>
  <c r="CT245" i="3"/>
  <c r="CV245" i="3" s="1"/>
  <c r="S235" i="3"/>
  <c r="BV235" i="3" s="1"/>
  <c r="BX235" i="3" s="1"/>
  <c r="BY235" i="3" s="1"/>
  <c r="S215" i="3"/>
  <c r="BZ215" i="3" s="1"/>
  <c r="CA215" i="3" s="1"/>
  <c r="CT153" i="3"/>
  <c r="CV153" i="3" s="1"/>
  <c r="CT126" i="3"/>
  <c r="CV126" i="3" s="1"/>
  <c r="CT58" i="3"/>
  <c r="CV58" i="3" s="1"/>
  <c r="Y196" i="3"/>
  <c r="S218" i="3"/>
  <c r="BU218" i="3" s="1"/>
  <c r="S183" i="3"/>
  <c r="CD183" i="3" s="1"/>
  <c r="S261" i="3"/>
  <c r="BZ261" i="3" s="1"/>
  <c r="CA261" i="3" s="1"/>
  <c r="S79" i="3"/>
  <c r="BU79" i="3" s="1"/>
  <c r="S288" i="3"/>
  <c r="BZ288" i="3" s="1"/>
  <c r="CA288" i="3" s="1"/>
  <c r="CT77" i="3"/>
  <c r="CV77" i="3" s="1"/>
  <c r="Y197" i="3"/>
  <c r="CT222" i="3"/>
  <c r="CV222" i="3" s="1"/>
  <c r="CT133" i="3"/>
  <c r="CU133" i="3" s="1"/>
  <c r="CT51" i="3"/>
  <c r="CV51" i="3" s="1"/>
  <c r="CT255" i="3"/>
  <c r="CV255" i="3" s="1"/>
  <c r="CT62" i="3"/>
  <c r="CV62" i="3" s="1"/>
  <c r="CT38" i="3"/>
  <c r="CV38" i="3" s="1"/>
  <c r="CT286" i="3"/>
  <c r="CV286" i="3" s="1"/>
  <c r="CT80" i="3"/>
  <c r="CV80" i="3" s="1"/>
  <c r="CT9" i="3"/>
  <c r="CU9" i="3" s="1"/>
  <c r="Y134" i="3"/>
  <c r="CT181" i="3"/>
  <c r="CU181" i="3" s="1"/>
  <c r="Y163" i="3"/>
  <c r="S100" i="3"/>
  <c r="BV100" i="3" s="1"/>
  <c r="BW100" i="3" s="1"/>
  <c r="BX100" i="3" s="1"/>
  <c r="BY100" i="3" s="1"/>
  <c r="CT163" i="3"/>
  <c r="CV163" i="3" s="1"/>
  <c r="CJ224" i="3"/>
  <c r="CJ258" i="3"/>
  <c r="CJ157" i="3"/>
  <c r="CJ72" i="3"/>
  <c r="CJ206" i="3"/>
  <c r="CJ73" i="3"/>
  <c r="Y21" i="3"/>
  <c r="Y120" i="3"/>
  <c r="Y16" i="3"/>
  <c r="Y223" i="3"/>
  <c r="S88" i="3"/>
  <c r="BV88" i="3" s="1"/>
  <c r="BW88" i="3" s="1"/>
  <c r="Y35" i="3"/>
  <c r="S133" i="3"/>
  <c r="BU133" i="3" s="1"/>
  <c r="S75" i="3"/>
  <c r="BU75" i="3" s="1"/>
  <c r="S187" i="3"/>
  <c r="BV187" i="3" s="1"/>
  <c r="BW187" i="3" s="1"/>
  <c r="S248" i="3"/>
  <c r="BV248" i="3" s="1"/>
  <c r="BW248" i="3" s="1"/>
  <c r="CJ43" i="3"/>
  <c r="CK43" i="3" s="1"/>
  <c r="CJ153" i="3"/>
  <c r="CJ88" i="3"/>
  <c r="CJ23" i="3"/>
  <c r="CJ210" i="3"/>
  <c r="CJ225" i="3"/>
  <c r="CJ162" i="3"/>
  <c r="CJ209" i="3"/>
  <c r="CJ85" i="3"/>
  <c r="CJ216" i="3"/>
  <c r="CJ279" i="3"/>
  <c r="CJ264" i="3"/>
  <c r="CJ271" i="3"/>
  <c r="CJ276" i="3"/>
  <c r="CJ254" i="3"/>
  <c r="CJ174" i="3"/>
  <c r="S13" i="3"/>
  <c r="CD13" i="3" s="1"/>
  <c r="S170" i="3"/>
  <c r="BZ170" i="3" s="1"/>
  <c r="CB170" i="3" s="1"/>
  <c r="CC170" i="3" s="1"/>
  <c r="S194" i="3"/>
  <c r="BU194" i="3" s="1"/>
  <c r="CT185" i="3"/>
  <c r="CV185" i="3" s="1"/>
  <c r="Y87" i="3"/>
  <c r="Y55" i="3"/>
  <c r="Y70" i="3"/>
  <c r="S41" i="3"/>
  <c r="BU41" i="3" s="1"/>
  <c r="S127" i="3"/>
  <c r="BZ127" i="3" s="1"/>
  <c r="CA127" i="3" s="1"/>
  <c r="CT277" i="3"/>
  <c r="CV277" i="3" s="1"/>
  <c r="CT266" i="3"/>
  <c r="CV266" i="3" s="1"/>
  <c r="S9" i="3"/>
  <c r="CD9" i="3" s="1"/>
  <c r="CT88" i="3"/>
  <c r="CU88" i="3" s="1"/>
  <c r="S59" i="3"/>
  <c r="BU59" i="3" s="1"/>
  <c r="S139" i="3"/>
  <c r="BU139" i="3" s="1"/>
  <c r="S175" i="3"/>
  <c r="BU175" i="3" s="1"/>
  <c r="S267" i="3"/>
  <c r="BU267" i="3" s="1"/>
  <c r="S137" i="3"/>
  <c r="CD137" i="3" s="1"/>
  <c r="S242" i="3"/>
  <c r="BZ242" i="3" s="1"/>
  <c r="CB242" i="3" s="1"/>
  <c r="CC242" i="3" s="1"/>
  <c r="S214" i="3"/>
  <c r="BU214" i="3" s="1"/>
  <c r="Y277" i="3"/>
  <c r="I276" i="19" s="1"/>
  <c r="S130" i="3"/>
  <c r="BV130" i="3" s="1"/>
  <c r="BX130" i="3" s="1"/>
  <c r="BY130" i="3" s="1"/>
  <c r="Y149" i="3"/>
  <c r="CT290" i="3"/>
  <c r="CV290" i="3" s="1"/>
  <c r="Y175" i="3"/>
  <c r="S107" i="3"/>
  <c r="S224" i="3"/>
  <c r="CD224" i="3" s="1"/>
  <c r="Y83" i="3"/>
  <c r="Y257" i="3"/>
  <c r="Y284" i="3"/>
  <c r="I283" i="19" s="1"/>
  <c r="Y123" i="3"/>
  <c r="I122" i="19" s="1"/>
  <c r="Y253" i="3"/>
  <c r="Y153" i="3"/>
  <c r="CT84" i="3"/>
  <c r="CV84" i="3" s="1"/>
  <c r="CT42" i="3"/>
  <c r="CV42" i="3" s="1"/>
  <c r="CT178" i="3"/>
  <c r="CV178" i="3" s="1"/>
  <c r="S223" i="3"/>
  <c r="CD223" i="3" s="1"/>
  <c r="S151" i="3"/>
  <c r="BZ151" i="3" s="1"/>
  <c r="CA151" i="3" s="1"/>
  <c r="CB151" i="3" s="1"/>
  <c r="CC151" i="3" s="1"/>
  <c r="S237" i="3"/>
  <c r="BV237" i="3" s="1"/>
  <c r="BW237" i="3" s="1"/>
  <c r="S161" i="3"/>
  <c r="BU161" i="3" s="1"/>
  <c r="Y31" i="3"/>
  <c r="CT137" i="3"/>
  <c r="CV137" i="3" s="1"/>
  <c r="Y85" i="3"/>
  <c r="CT229" i="3"/>
  <c r="CV229" i="3" s="1"/>
  <c r="Y147" i="3"/>
  <c r="CT17" i="3"/>
  <c r="CV17" i="3" s="1"/>
  <c r="S38" i="3"/>
  <c r="CD38" i="3" s="1"/>
  <c r="Y248" i="3"/>
  <c r="Y53" i="3"/>
  <c r="Y96" i="3"/>
  <c r="Y154" i="3"/>
  <c r="CT173" i="3"/>
  <c r="CV173" i="3" s="1"/>
  <c r="CT105" i="3"/>
  <c r="CV105" i="3" s="1"/>
  <c r="CT63" i="3"/>
  <c r="CV63" i="3" s="1"/>
  <c r="S72" i="3"/>
  <c r="BU72" i="3" s="1"/>
  <c r="S159" i="3"/>
  <c r="BV159" i="3" s="1"/>
  <c r="BW159" i="3" s="1"/>
  <c r="S155" i="3"/>
  <c r="BU155" i="3" s="1"/>
  <c r="S132" i="3"/>
  <c r="CD132" i="3" s="1"/>
  <c r="S20" i="3"/>
  <c r="BV20" i="3" s="1"/>
  <c r="S188" i="3"/>
  <c r="BV188" i="3" s="1"/>
  <c r="BX188" i="3" s="1"/>
  <c r="BY188" i="3" s="1"/>
  <c r="S51" i="3"/>
  <c r="CD51" i="3" s="1"/>
  <c r="S177" i="3"/>
  <c r="CD177" i="3" s="1"/>
  <c r="S111" i="3"/>
  <c r="BU111" i="3" s="1"/>
  <c r="S164" i="3"/>
  <c r="CD164" i="3" s="1"/>
  <c r="Y10" i="3"/>
  <c r="Y243" i="3"/>
  <c r="Y86" i="3"/>
  <c r="CJ250" i="3"/>
  <c r="CJ5" i="3"/>
  <c r="CJ178" i="3"/>
  <c r="CJ128" i="3"/>
  <c r="CJ246" i="3"/>
  <c r="CJ117" i="3"/>
  <c r="CJ248" i="3"/>
  <c r="CJ19" i="3"/>
  <c r="CJ189" i="3"/>
  <c r="CJ232" i="3"/>
  <c r="CJ270" i="3"/>
  <c r="CJ165" i="3"/>
  <c r="CJ129" i="3"/>
  <c r="CJ99" i="3"/>
  <c r="CJ146" i="3"/>
  <c r="CJ156" i="3"/>
  <c r="CJ78" i="3"/>
  <c r="CJ20" i="3"/>
  <c r="CJ190" i="3"/>
  <c r="CJ33" i="3"/>
  <c r="CH177" i="3"/>
  <c r="CH29" i="3"/>
  <c r="CH41" i="3"/>
  <c r="CH245" i="3"/>
  <c r="CH194" i="3"/>
  <c r="CH242" i="3"/>
  <c r="CH284" i="3"/>
  <c r="CH268" i="3"/>
  <c r="CH259" i="3"/>
  <c r="CH247" i="3"/>
  <c r="CH252" i="3"/>
  <c r="CH228" i="3"/>
  <c r="S122" i="3"/>
  <c r="BZ122" i="3" s="1"/>
  <c r="CA122" i="3" s="1"/>
  <c r="CB122" i="3" s="1"/>
  <c r="CC122" i="3" s="1"/>
  <c r="CH77" i="3"/>
  <c r="CH166" i="3"/>
  <c r="CH119" i="3"/>
  <c r="CH68" i="3"/>
  <c r="CH62" i="3"/>
  <c r="CH112" i="3"/>
  <c r="CH181" i="3"/>
  <c r="CH103" i="3"/>
  <c r="CH28" i="3"/>
  <c r="CH283" i="3"/>
  <c r="CH262" i="3"/>
  <c r="CH230" i="3"/>
  <c r="CH204" i="3"/>
  <c r="CH61" i="3"/>
  <c r="CH46" i="3"/>
  <c r="CH218" i="3"/>
  <c r="CH159" i="3"/>
  <c r="CH50" i="3"/>
  <c r="CH111" i="3"/>
  <c r="CH281" i="3"/>
  <c r="CH253" i="3"/>
  <c r="CH208" i="3"/>
  <c r="CH7" i="3"/>
  <c r="CH44" i="3"/>
  <c r="CH286" i="3"/>
  <c r="CH14" i="3"/>
  <c r="CH18" i="3"/>
  <c r="CH31" i="3"/>
  <c r="CH236" i="3"/>
  <c r="CH176" i="3"/>
  <c r="CH202" i="3"/>
  <c r="CH275" i="3"/>
  <c r="CH52" i="3"/>
  <c r="CH169" i="3"/>
  <c r="CH277" i="3"/>
  <c r="CH138" i="3"/>
  <c r="CH21" i="3"/>
  <c r="CH272" i="3"/>
  <c r="CH25" i="3"/>
  <c r="CH102" i="3"/>
  <c r="S259" i="3"/>
  <c r="BZ259" i="3" s="1"/>
  <c r="CB259" i="3" s="1"/>
  <c r="CC259" i="3" s="1"/>
  <c r="Y41" i="3"/>
  <c r="CT250" i="3"/>
  <c r="CV250" i="3" s="1"/>
  <c r="CH34" i="3"/>
  <c r="CH182" i="3"/>
  <c r="CH35" i="3"/>
  <c r="CH191" i="3"/>
  <c r="CH118" i="3"/>
  <c r="CH168" i="3"/>
  <c r="CH179" i="3"/>
  <c r="CH141" i="3"/>
  <c r="CH160" i="3"/>
  <c r="CH144" i="3"/>
  <c r="CH150" i="3"/>
  <c r="CH164" i="3"/>
  <c r="CH237" i="3"/>
  <c r="CH90" i="3"/>
  <c r="CH249" i="3"/>
  <c r="CH139" i="3"/>
  <c r="CH45" i="3"/>
  <c r="CH94" i="3"/>
  <c r="CH92" i="3"/>
  <c r="CH215" i="3"/>
  <c r="CH55" i="3"/>
  <c r="CH132" i="3"/>
  <c r="CH81" i="3"/>
  <c r="CH70" i="3"/>
  <c r="CH38" i="3"/>
  <c r="CH136" i="3"/>
  <c r="CH80" i="3"/>
  <c r="CH134" i="3"/>
  <c r="CH257" i="3"/>
  <c r="CH263" i="3"/>
  <c r="CH265" i="3"/>
  <c r="CH240" i="3"/>
  <c r="CH53" i="3"/>
  <c r="CH273" i="3"/>
  <c r="CH56" i="3"/>
  <c r="CH290" i="3"/>
  <c r="CH243" i="3"/>
  <c r="CH278" i="3"/>
  <c r="CH65" i="3"/>
  <c r="CH60" i="3"/>
  <c r="CH145" i="3"/>
  <c r="CH67" i="3"/>
  <c r="CH91" i="3"/>
  <c r="CH282" i="3"/>
  <c r="CH11" i="3"/>
  <c r="CH148" i="3"/>
  <c r="CH227" i="3"/>
  <c r="CH161" i="3"/>
  <c r="CH200" i="3"/>
  <c r="CH142" i="3"/>
  <c r="CH24" i="3"/>
  <c r="CH49" i="3"/>
  <c r="CH269" i="3"/>
  <c r="CH217" i="3"/>
  <c r="CH12" i="3"/>
  <c r="CH285" i="3"/>
  <c r="CH100" i="3"/>
  <c r="CH106" i="3"/>
  <c r="CH151" i="3"/>
  <c r="CH97" i="3"/>
  <c r="CH101" i="3"/>
  <c r="CH198" i="3"/>
  <c r="CH121" i="3"/>
  <c r="CH110" i="3"/>
  <c r="CH107" i="3"/>
  <c r="CH195" i="3"/>
  <c r="CH120" i="3"/>
  <c r="CH207" i="3"/>
  <c r="CH196" i="3"/>
  <c r="CH96" i="3"/>
  <c r="CH221" i="3"/>
  <c r="CH17" i="3"/>
  <c r="CH205" i="3"/>
  <c r="CH123" i="3"/>
  <c r="CH84" i="3"/>
  <c r="CH238" i="3"/>
  <c r="CH261" i="3"/>
  <c r="CH63" i="3"/>
  <c r="CH187" i="3"/>
  <c r="CH27" i="3"/>
  <c r="CH124" i="3"/>
  <c r="CH42" i="3"/>
  <c r="CH8" i="3"/>
  <c r="CH171" i="3"/>
  <c r="CH59" i="3"/>
  <c r="CH9" i="3"/>
  <c r="CH167" i="3"/>
  <c r="CH16" i="3"/>
  <c r="CH40" i="3"/>
  <c r="CH26" i="3"/>
  <c r="CH175" i="3"/>
  <c r="CH287" i="3"/>
  <c r="CH143" i="3"/>
  <c r="CH186" i="3"/>
  <c r="CH222" i="3"/>
  <c r="CH39" i="3"/>
  <c r="CH188" i="3"/>
  <c r="CH197" i="3"/>
  <c r="CH289" i="3"/>
  <c r="CH155" i="3"/>
  <c r="CH57" i="3"/>
  <c r="CH75" i="3"/>
  <c r="CH229" i="3"/>
  <c r="CH82" i="3"/>
  <c r="CH274" i="3"/>
  <c r="CH74" i="3"/>
  <c r="CH95" i="3"/>
  <c r="CH244" i="3"/>
  <c r="CH36" i="3"/>
  <c r="CH86" i="3"/>
  <c r="CH251" i="3"/>
  <c r="CH10" i="3"/>
  <c r="CH98" i="3"/>
  <c r="CH172" i="3"/>
  <c r="CH105" i="3"/>
  <c r="CH241" i="3"/>
  <c r="CH220" i="3"/>
  <c r="CH137" i="3"/>
  <c r="CH104" i="3"/>
  <c r="CH79" i="3"/>
  <c r="CH266" i="3"/>
  <c r="CH15" i="3"/>
  <c r="CH149" i="3"/>
  <c r="CH203" i="3"/>
  <c r="CH280" i="3"/>
  <c r="CH87" i="3"/>
  <c r="CH170" i="3"/>
  <c r="CH48" i="3"/>
  <c r="CH54" i="3"/>
  <c r="CH193" i="3"/>
  <c r="CH152" i="3"/>
  <c r="S153" i="3"/>
  <c r="BZ153" i="3" s="1"/>
  <c r="CA153" i="3" s="1"/>
  <c r="CB153" i="3" s="1"/>
  <c r="CC153" i="3" s="1"/>
  <c r="S253" i="3"/>
  <c r="BU253" i="3" s="1"/>
  <c r="CH201" i="3"/>
  <c r="CH260" i="3"/>
  <c r="CH93" i="3"/>
  <c r="CH13" i="3"/>
  <c r="CH147" i="3"/>
  <c r="CH130" i="3"/>
  <c r="CH211" i="3"/>
  <c r="CH22" i="3"/>
  <c r="CH135" i="3"/>
  <c r="CH122" i="3"/>
  <c r="CH66" i="3"/>
  <c r="CH173" i="3"/>
  <c r="CH109" i="3"/>
  <c r="CH114" i="3"/>
  <c r="CH256" i="3"/>
  <c r="CH219" i="3"/>
  <c r="CH116" i="3"/>
  <c r="CH131" i="3"/>
  <c r="CH154" i="3"/>
  <c r="CH69" i="3"/>
  <c r="CH127" i="3"/>
  <c r="CH58" i="3"/>
  <c r="CH231" i="3"/>
  <c r="CH140" i="3"/>
  <c r="CH235" i="3"/>
  <c r="CH89" i="3"/>
  <c r="CH113" i="3"/>
  <c r="CH158" i="3"/>
  <c r="CH180" i="3"/>
  <c r="CH223" i="3"/>
  <c r="CH233" i="3"/>
  <c r="CH226" i="3"/>
  <c r="CH255" i="3"/>
  <c r="CH133" i="3"/>
  <c r="CH64" i="3"/>
  <c r="CH192" i="3"/>
  <c r="CH76" i="3"/>
  <c r="CH115" i="3"/>
  <c r="CH213" i="3"/>
  <c r="CH288" i="3"/>
  <c r="CH126" i="3"/>
  <c r="CH239" i="3"/>
  <c r="CH184" i="3"/>
  <c r="CH71" i="3"/>
  <c r="CH234" i="3"/>
  <c r="CH6" i="3"/>
  <c r="CH199" i="3"/>
  <c r="CH32" i="3"/>
  <c r="CH212" i="3"/>
  <c r="CH108" i="3"/>
  <c r="CH183" i="3"/>
  <c r="CH51" i="3"/>
  <c r="CH83" i="3"/>
  <c r="CH267" i="3"/>
  <c r="CH214" i="3"/>
  <c r="CH37" i="3"/>
  <c r="CH125" i="3"/>
  <c r="CH185" i="3"/>
  <c r="CH163" i="3"/>
  <c r="S265" i="3"/>
  <c r="BZ265" i="3" s="1"/>
  <c r="CA265" i="3" s="1"/>
  <c r="CT274" i="3"/>
  <c r="CV274" i="3" s="1"/>
  <c r="Y245" i="3"/>
  <c r="Y289" i="3"/>
  <c r="I288" i="19" s="1"/>
  <c r="Y185" i="3"/>
  <c r="Y156" i="3"/>
  <c r="Y282" i="3"/>
  <c r="Y76" i="3"/>
  <c r="S106" i="3"/>
  <c r="BU106" i="3" s="1"/>
  <c r="CT8" i="3"/>
  <c r="CV8" i="3" s="1"/>
  <c r="CT92" i="3"/>
  <c r="CV92" i="3" s="1"/>
  <c r="CT11" i="3"/>
  <c r="CV11" i="3" s="1"/>
  <c r="CT95" i="3"/>
  <c r="CU95" i="3" s="1"/>
  <c r="S179" i="3"/>
  <c r="BU179" i="3" s="1"/>
  <c r="S252" i="3"/>
  <c r="BU252" i="3" s="1"/>
  <c r="S174" i="3"/>
  <c r="CD174" i="3" s="1"/>
  <c r="S117" i="3"/>
  <c r="BZ117" i="3" s="1"/>
  <c r="CA117" i="3" s="1"/>
  <c r="Y90" i="3"/>
  <c r="Y158" i="3"/>
  <c r="Y255" i="3"/>
  <c r="S289" i="3"/>
  <c r="BU289" i="3" s="1"/>
  <c r="Y179" i="3"/>
  <c r="Y237" i="3"/>
  <c r="Y8" i="3"/>
  <c r="H4" i="19" s="1"/>
  <c r="S115" i="3"/>
  <c r="CD115" i="3" s="1"/>
  <c r="S243" i="3"/>
  <c r="BZ243" i="3" s="1"/>
  <c r="CA243" i="3" s="1"/>
  <c r="CT103" i="3"/>
  <c r="CV103" i="3" s="1"/>
  <c r="CT70" i="3"/>
  <c r="CU70" i="3" s="1"/>
  <c r="CT28" i="3"/>
  <c r="CV28" i="3" s="1"/>
  <c r="S81" i="3"/>
  <c r="BZ81" i="3" s="1"/>
  <c r="CA81" i="3" s="1"/>
  <c r="S28" i="3"/>
  <c r="BU28" i="3" s="1"/>
  <c r="S44" i="3"/>
  <c r="BU44" i="3" s="1"/>
  <c r="S172" i="3"/>
  <c r="BZ172" i="3" s="1"/>
  <c r="CA172" i="3" s="1"/>
  <c r="CB172" i="3" s="1"/>
  <c r="CC172" i="3" s="1"/>
  <c r="S258" i="3"/>
  <c r="BZ258" i="3" s="1"/>
  <c r="CA258" i="3" s="1"/>
  <c r="Y69" i="3"/>
  <c r="CT26" i="3"/>
  <c r="CV26" i="3" s="1"/>
  <c r="S19" i="3"/>
  <c r="CD19" i="3" s="1"/>
  <c r="S196" i="3"/>
  <c r="CD196" i="3" s="1"/>
  <c r="S144" i="3"/>
  <c r="CD144" i="3" s="1"/>
  <c r="CT235" i="3"/>
  <c r="CV235" i="3" s="1"/>
  <c r="Y198" i="3"/>
  <c r="S209" i="3"/>
  <c r="CD209" i="3" s="1"/>
  <c r="S226" i="3"/>
  <c r="BZ226" i="3" s="1"/>
  <c r="CA226" i="3" s="1"/>
  <c r="CB226" i="3" s="1"/>
  <c r="CC226" i="3" s="1"/>
  <c r="S147" i="3"/>
  <c r="BV147" i="3" s="1"/>
  <c r="BX147" i="3" s="1"/>
  <c r="BY147" i="3" s="1"/>
  <c r="Y279" i="3"/>
  <c r="Y99" i="3"/>
  <c r="Y268" i="3"/>
  <c r="S87" i="3"/>
  <c r="BZ87" i="3" s="1"/>
  <c r="CB87" i="3" s="1"/>
  <c r="CC87" i="3" s="1"/>
  <c r="S240" i="3"/>
  <c r="BU240" i="3" s="1"/>
  <c r="S138" i="3"/>
  <c r="BU138" i="3" s="1"/>
  <c r="Y57" i="3"/>
  <c r="I56" i="19" s="1"/>
  <c r="Y184" i="3"/>
  <c r="S110" i="3"/>
  <c r="BU110" i="3" s="1"/>
  <c r="Y226" i="3"/>
  <c r="S278" i="3"/>
  <c r="CD278" i="3" s="1"/>
  <c r="Y171" i="3"/>
  <c r="S202" i="3"/>
  <c r="BZ202" i="3" s="1"/>
  <c r="CA202" i="3" s="1"/>
  <c r="Y97" i="3"/>
  <c r="Y218" i="3"/>
  <c r="Y95" i="3"/>
  <c r="S71" i="3"/>
  <c r="CT119" i="3"/>
  <c r="CU119" i="3" s="1"/>
  <c r="CT44" i="3"/>
  <c r="CV44" i="3" s="1"/>
  <c r="CT148" i="3"/>
  <c r="CV148" i="3" s="1"/>
  <c r="CT147" i="3"/>
  <c r="CU147" i="3" s="1"/>
  <c r="Y177" i="3"/>
  <c r="Y124" i="3"/>
  <c r="CT27" i="3"/>
  <c r="CU27" i="3" s="1"/>
  <c r="AE113" i="3"/>
  <c r="E112" i="19" s="1"/>
  <c r="CT115" i="3"/>
  <c r="CV115" i="3" s="1"/>
  <c r="CT118" i="3"/>
  <c r="CV118" i="3" s="1"/>
  <c r="CT50" i="3"/>
  <c r="CV50" i="3" s="1"/>
  <c r="CT284" i="3"/>
  <c r="CU284" i="3" s="1"/>
  <c r="CT239" i="3"/>
  <c r="CV239" i="3" s="1"/>
  <c r="CT237" i="3"/>
  <c r="CV237" i="3" s="1"/>
  <c r="CT166" i="3"/>
  <c r="CU166" i="3" s="1"/>
  <c r="CT200" i="3"/>
  <c r="CV200" i="3" s="1"/>
  <c r="CT125" i="3"/>
  <c r="CV125" i="3" s="1"/>
  <c r="CT16" i="3"/>
  <c r="CV16" i="3" s="1"/>
  <c r="CT96" i="3"/>
  <c r="CV96" i="3" s="1"/>
  <c r="CT61" i="3"/>
  <c r="CV61" i="3" s="1"/>
  <c r="CT273" i="3"/>
  <c r="CV273" i="3" s="1"/>
  <c r="CT14" i="3"/>
  <c r="CU14" i="3" s="1"/>
  <c r="CT257" i="3"/>
  <c r="CV257" i="3" s="1"/>
  <c r="CT176" i="3"/>
  <c r="CV176" i="3" s="1"/>
  <c r="CT182" i="3"/>
  <c r="CV182" i="3" s="1"/>
  <c r="CT41" i="3"/>
  <c r="CV41" i="3" s="1"/>
  <c r="CT251" i="3"/>
  <c r="CU251" i="3" s="1"/>
  <c r="CT56" i="3"/>
  <c r="CV56" i="3" s="1"/>
  <c r="AE35" i="3"/>
  <c r="E34" i="19" s="1"/>
  <c r="CT57" i="3"/>
  <c r="CV57" i="3" s="1"/>
  <c r="CT39" i="3"/>
  <c r="CV39" i="3" s="1"/>
  <c r="CT268" i="3"/>
  <c r="CV268" i="3" s="1"/>
  <c r="CT233" i="3"/>
  <c r="CV233" i="3" s="1"/>
  <c r="CT145" i="3"/>
  <c r="CV145" i="3" s="1"/>
  <c r="CT109" i="3"/>
  <c r="CV109" i="3" s="1"/>
  <c r="CT156" i="3"/>
  <c r="CV156" i="3" s="1"/>
  <c r="CT192" i="3"/>
  <c r="CV192" i="3" s="1"/>
  <c r="CT107" i="3"/>
  <c r="CU107" i="3" s="1"/>
  <c r="CT53" i="3"/>
  <c r="CV53" i="3" s="1"/>
  <c r="CT18" i="3"/>
  <c r="CU18" i="3" s="1"/>
  <c r="CT211" i="3"/>
  <c r="CV211" i="3" s="1"/>
  <c r="CT66" i="3"/>
  <c r="CV66" i="3" s="1"/>
  <c r="CT33" i="3"/>
  <c r="CV33" i="3" s="1"/>
  <c r="Y267" i="3"/>
  <c r="Y285" i="3"/>
  <c r="I284" i="19" s="1"/>
  <c r="Y262" i="3"/>
  <c r="Y270" i="3"/>
  <c r="Y49" i="3"/>
  <c r="Y232" i="3"/>
  <c r="Y194" i="3"/>
  <c r="S251" i="3"/>
  <c r="BV251" i="3" s="1"/>
  <c r="BX251" i="3" s="1"/>
  <c r="BY251" i="3" s="1"/>
  <c r="S143" i="3"/>
  <c r="BV143" i="3" s="1"/>
  <c r="BX143" i="3" s="1"/>
  <c r="BY143" i="3" s="1"/>
  <c r="S239" i="3"/>
  <c r="BU239" i="3" s="1"/>
  <c r="S39" i="3"/>
  <c r="BZ39" i="3" s="1"/>
  <c r="CA39" i="3" s="1"/>
  <c r="CB39" i="3" s="1"/>
  <c r="CC39" i="3" s="1"/>
  <c r="S201" i="3"/>
  <c r="CD201" i="3" s="1"/>
  <c r="K792" i="15"/>
  <c r="M792" i="15" s="1"/>
  <c r="K692" i="15"/>
  <c r="M692" i="15" s="1"/>
  <c r="L79" i="15"/>
  <c r="M79" i="15" s="1"/>
  <c r="L247" i="15"/>
  <c r="M247" i="15" s="1"/>
  <c r="K752" i="15"/>
  <c r="M752" i="15" s="1"/>
  <c r="L383" i="15"/>
  <c r="M383" i="15" s="1"/>
  <c r="K612" i="15"/>
  <c r="M612" i="15" s="1"/>
  <c r="K787" i="15"/>
  <c r="M787" i="15" s="1"/>
  <c r="K431" i="15"/>
  <c r="M431" i="15" s="1"/>
  <c r="L440" i="15"/>
  <c r="M440" i="15" s="1"/>
  <c r="L1127" i="15"/>
  <c r="M1127" i="15" s="1"/>
  <c r="K1253" i="15"/>
  <c r="M1253" i="15" s="1"/>
  <c r="K774" i="15"/>
  <c r="M774" i="15" s="1"/>
  <c r="K1044" i="15"/>
  <c r="M1044" i="15" s="1"/>
  <c r="L879" i="15"/>
  <c r="M879" i="15" s="1"/>
  <c r="K139" i="15"/>
  <c r="M139" i="15" s="1"/>
  <c r="L255" i="15"/>
  <c r="M255" i="15" s="1"/>
  <c r="L450" i="15"/>
  <c r="M450" i="15" s="1"/>
  <c r="K968" i="15"/>
  <c r="M968" i="15" s="1"/>
  <c r="K880" i="15"/>
  <c r="M880" i="15" s="1"/>
  <c r="K1074" i="15"/>
  <c r="M1074" i="15" s="1"/>
  <c r="K671" i="15"/>
  <c r="K1231" i="15"/>
  <c r="M1231" i="15" s="1"/>
  <c r="K1174" i="15"/>
  <c r="M1174" i="15" s="1"/>
  <c r="K1143" i="15"/>
  <c r="M1143" i="15" s="1"/>
  <c r="K23" i="15"/>
  <c r="M23" i="15" s="1"/>
  <c r="L223" i="15"/>
  <c r="M223" i="15" s="1"/>
  <c r="K224" i="15"/>
  <c r="M224" i="15" s="1"/>
  <c r="L558" i="15"/>
  <c r="M558" i="15" s="1"/>
  <c r="L500" i="15"/>
  <c r="M500" i="15" s="1"/>
  <c r="L659" i="15"/>
  <c r="M659" i="15" s="1"/>
  <c r="K607" i="15"/>
  <c r="M607" i="15" s="1"/>
  <c r="L588" i="15"/>
  <c r="M588" i="15" s="1"/>
  <c r="L1215" i="15"/>
  <c r="M1215" i="15" s="1"/>
  <c r="L871" i="15"/>
  <c r="M871" i="15" s="1"/>
  <c r="L974" i="15"/>
  <c r="M974" i="15" s="1"/>
  <c r="L864" i="15"/>
  <c r="M864" i="15" s="1"/>
  <c r="K1311" i="15"/>
  <c r="M1311" i="15" s="1"/>
  <c r="L1145" i="15"/>
  <c r="M1145" i="15" s="1"/>
  <c r="L715" i="15"/>
  <c r="M715" i="15" s="1"/>
  <c r="K1310" i="15"/>
  <c r="M1310" i="15" s="1"/>
  <c r="L1288" i="15"/>
  <c r="M1288" i="15" s="1"/>
  <c r="K684" i="15"/>
  <c r="M684" i="15" s="1"/>
  <c r="L1026" i="15"/>
  <c r="M1026" i="15" s="1"/>
  <c r="K382" i="15"/>
  <c r="M382" i="15" s="1"/>
  <c r="L416" i="15"/>
  <c r="M416" i="15" s="1"/>
  <c r="L555" i="15"/>
  <c r="M555" i="15" s="1"/>
  <c r="K1020" i="15"/>
  <c r="K60" i="15"/>
  <c r="M60" i="15" s="1"/>
  <c r="L331" i="15"/>
  <c r="M331" i="15" s="1"/>
  <c r="L347" i="15"/>
  <c r="M347" i="15" s="1"/>
  <c r="K993" i="15"/>
  <c r="M993" i="15" s="1"/>
  <c r="K753" i="15"/>
  <c r="M753" i="15" s="1"/>
  <c r="K593" i="15"/>
  <c r="M593" i="15" s="1"/>
  <c r="K491" i="15"/>
  <c r="M491" i="15" s="1"/>
  <c r="K955" i="15"/>
  <c r="M955" i="15" s="1"/>
  <c r="L913" i="15"/>
  <c r="M913" i="15" s="1"/>
  <c r="K658" i="15"/>
  <c r="M658" i="15" s="1"/>
  <c r="L563" i="15"/>
  <c r="M563" i="15" s="1"/>
  <c r="K1173" i="15"/>
  <c r="M1173" i="15" s="1"/>
  <c r="L33" i="15"/>
  <c r="M33" i="15" s="1"/>
  <c r="K226" i="15"/>
  <c r="M226" i="15" s="1"/>
  <c r="L196" i="15"/>
  <c r="M196" i="15" s="1"/>
  <c r="K65" i="15"/>
  <c r="M65" i="15" s="1"/>
  <c r="L457" i="15"/>
  <c r="M457" i="15" s="1"/>
  <c r="L155" i="15"/>
  <c r="M155" i="15" s="1"/>
  <c r="K536" i="15"/>
  <c r="M536" i="15" s="1"/>
  <c r="L264" i="15"/>
  <c r="M264" i="15" s="1"/>
  <c r="K818" i="15"/>
  <c r="M818" i="15" s="1"/>
  <c r="K1248" i="15"/>
  <c r="M1248" i="15" s="1"/>
  <c r="L1058" i="15"/>
  <c r="M1058" i="15" s="1"/>
  <c r="L445" i="15"/>
  <c r="M445" i="15" s="1"/>
  <c r="K682" i="15"/>
  <c r="M682" i="15" s="1"/>
  <c r="L518" i="15"/>
  <c r="M518" i="15" s="1"/>
  <c r="L851" i="15"/>
  <c r="M851" i="15" s="1"/>
  <c r="K1286" i="15"/>
  <c r="M1286" i="15" s="1"/>
  <c r="K1302" i="15"/>
  <c r="M1302" i="15" s="1"/>
  <c r="L91" i="15"/>
  <c r="M91" i="15" s="1"/>
  <c r="K259" i="15"/>
  <c r="M259" i="15" s="1"/>
  <c r="L468" i="15"/>
  <c r="M468" i="15" s="1"/>
  <c r="K679" i="15"/>
  <c r="M679" i="15" s="1"/>
  <c r="L515" i="15"/>
  <c r="M515" i="15" s="1"/>
  <c r="L362" i="15"/>
  <c r="M362" i="15" s="1"/>
  <c r="L114" i="15"/>
  <c r="M114" i="15" s="1"/>
  <c r="L1202" i="15"/>
  <c r="M1202" i="15" s="1"/>
  <c r="K1113" i="15"/>
  <c r="M1113" i="15" s="1"/>
  <c r="K1172" i="15"/>
  <c r="M1172" i="15" s="1"/>
  <c r="L1092" i="15"/>
  <c r="M1092" i="15" s="1"/>
  <c r="K469" i="15"/>
  <c r="K710" i="15"/>
  <c r="M710" i="15" s="1"/>
  <c r="K451" i="15"/>
  <c r="M451" i="15" s="1"/>
  <c r="K50" i="15"/>
  <c r="M50" i="15" s="1"/>
  <c r="L492" i="15"/>
  <c r="M492" i="15" s="1"/>
  <c r="K1207" i="15"/>
  <c r="M1207" i="15" s="1"/>
  <c r="K724" i="15"/>
  <c r="M724" i="15" s="1"/>
  <c r="L123" i="15"/>
  <c r="M123" i="15" s="1"/>
  <c r="L767" i="15"/>
  <c r="M767" i="15" s="1"/>
  <c r="K325" i="15"/>
  <c r="M325" i="15" s="1"/>
  <c r="K1176" i="15"/>
  <c r="M1176" i="15" s="1"/>
  <c r="L1115" i="15"/>
  <c r="M1115" i="15" s="1"/>
  <c r="L804" i="15"/>
  <c r="M804" i="15" s="1"/>
  <c r="K359" i="15"/>
  <c r="M359" i="15" s="1"/>
  <c r="L253" i="15"/>
  <c r="M253" i="15" s="1"/>
  <c r="K840" i="15"/>
  <c r="M840" i="15" s="1"/>
  <c r="L923" i="15"/>
  <c r="M923" i="15" s="1"/>
  <c r="L1306" i="15"/>
  <c r="M1306" i="15" s="1"/>
  <c r="L994" i="15"/>
  <c r="M994" i="15" s="1"/>
  <c r="K471" i="15"/>
  <c r="K512" i="15"/>
  <c r="M512" i="15" s="1"/>
  <c r="K1278" i="15"/>
  <c r="M1278" i="15" s="1"/>
  <c r="L396" i="15"/>
  <c r="M396" i="15" s="1"/>
  <c r="K421" i="15"/>
  <c r="M421" i="15" s="1"/>
  <c r="K854" i="15"/>
  <c r="M854" i="15" s="1"/>
  <c r="K142" i="15"/>
  <c r="M142" i="15" s="1"/>
  <c r="L252" i="15"/>
  <c r="M252" i="15" s="1"/>
  <c r="K1204" i="15"/>
  <c r="M1204" i="15" s="1"/>
  <c r="L1260" i="15"/>
  <c r="M1260" i="15" s="1"/>
  <c r="K459" i="15"/>
  <c r="M459" i="15" s="1"/>
  <c r="L775" i="15"/>
  <c r="M775" i="15" s="1"/>
  <c r="L1296" i="15"/>
  <c r="M1296" i="15" s="1"/>
  <c r="L927" i="15"/>
  <c r="M927" i="15" s="1"/>
  <c r="L129" i="15"/>
  <c r="M129" i="15" s="1"/>
  <c r="L1282" i="15"/>
  <c r="M1282" i="15" s="1"/>
  <c r="K711" i="15"/>
  <c r="M711" i="15" s="1"/>
  <c r="K462" i="15"/>
  <c r="M462" i="15" s="1"/>
  <c r="K488" i="15"/>
  <c r="L1292" i="15"/>
  <c r="M1292" i="15" s="1"/>
  <c r="L936" i="15"/>
  <c r="M936" i="15" s="1"/>
  <c r="L1223" i="15"/>
  <c r="M1223" i="15" s="1"/>
  <c r="K695" i="15"/>
  <c r="K426" i="15"/>
  <c r="M426" i="15" s="1"/>
  <c r="K87" i="15"/>
  <c r="M87" i="15" s="1"/>
  <c r="L875" i="15"/>
  <c r="M875" i="15" s="1"/>
  <c r="K1015" i="15"/>
  <c r="M1015" i="15" s="1"/>
  <c r="L1116" i="15"/>
  <c r="M1116" i="15" s="1"/>
  <c r="L687" i="15"/>
  <c r="M687" i="15" s="1"/>
  <c r="K415" i="15"/>
  <c r="M415" i="15" s="1"/>
  <c r="K403" i="15"/>
  <c r="M403" i="15" s="1"/>
  <c r="K1060" i="15"/>
  <c r="M1060" i="15" s="1"/>
  <c r="K276" i="15"/>
  <c r="M276" i="15" s="1"/>
  <c r="K1235" i="15"/>
  <c r="M1235" i="15" s="1"/>
  <c r="L940" i="15"/>
  <c r="M940" i="15" s="1"/>
  <c r="L463" i="15"/>
  <c r="M463" i="15" s="1"/>
  <c r="K704" i="15"/>
  <c r="M704" i="15" s="1"/>
  <c r="K1068" i="15"/>
  <c r="M1068" i="15" s="1"/>
  <c r="L1271" i="15"/>
  <c r="M1271" i="15" s="1"/>
  <c r="L399" i="15"/>
  <c r="M399" i="15" s="1"/>
  <c r="L903" i="15"/>
  <c r="M903" i="15" s="1"/>
  <c r="L1274" i="15"/>
  <c r="M1274" i="15" s="1"/>
  <c r="K731" i="15"/>
  <c r="M731" i="15" s="1"/>
  <c r="K1059" i="15"/>
  <c r="L1197" i="15"/>
  <c r="M1197" i="15" s="1"/>
  <c r="L507" i="15"/>
  <c r="M507" i="15" s="1"/>
  <c r="L886" i="15"/>
  <c r="M886" i="15" s="1"/>
  <c r="L1225" i="15"/>
  <c r="M1225" i="15" s="1"/>
  <c r="K1110" i="15"/>
  <c r="M1110" i="15" s="1"/>
  <c r="K37" i="15"/>
  <c r="M37" i="15" s="1"/>
  <c r="L976" i="15"/>
  <c r="M976" i="15" s="1"/>
  <c r="K1284" i="15"/>
  <c r="M1284" i="15" s="1"/>
  <c r="L615" i="15"/>
  <c r="M615" i="15" s="1"/>
  <c r="K1091" i="15"/>
  <c r="M1091" i="15" s="1"/>
  <c r="L517" i="15"/>
  <c r="L499" i="15"/>
  <c r="M499" i="15" s="1"/>
  <c r="K823" i="15"/>
  <c r="M823" i="15" s="1"/>
  <c r="K216" i="15"/>
  <c r="M216" i="15" s="1"/>
  <c r="L1084" i="15"/>
  <c r="M1084" i="15" s="1"/>
  <c r="K979" i="15"/>
  <c r="M979" i="15" s="1"/>
  <c r="K1065" i="15"/>
  <c r="M1065" i="15" s="1"/>
  <c r="K320" i="15"/>
  <c r="M320" i="15" s="1"/>
  <c r="K387" i="15"/>
  <c r="M387" i="15" s="1"/>
  <c r="K412" i="15"/>
  <c r="M412" i="15" s="1"/>
  <c r="K919" i="15"/>
  <c r="M919" i="15" s="1"/>
  <c r="L772" i="15"/>
  <c r="M772" i="15" s="1"/>
  <c r="K1008" i="15"/>
  <c r="M1008" i="15" s="1"/>
  <c r="L1192" i="15"/>
  <c r="M1192" i="15" s="1"/>
  <c r="L855" i="15"/>
  <c r="M855" i="15" s="1"/>
  <c r="L467" i="15"/>
  <c r="L1160" i="15"/>
  <c r="M1160" i="15" s="1"/>
  <c r="K407" i="15"/>
  <c r="M407" i="15" s="1"/>
  <c r="K1086" i="15"/>
  <c r="K848" i="15"/>
  <c r="M848" i="15" s="1"/>
  <c r="K319" i="15"/>
  <c r="M319" i="15" s="1"/>
  <c r="K1268" i="15"/>
  <c r="M1268" i="15" s="1"/>
  <c r="K956" i="15"/>
  <c r="M956" i="15" s="1"/>
  <c r="L948" i="15"/>
  <c r="M948" i="15" s="1"/>
  <c r="K163" i="15"/>
  <c r="M163" i="15" s="1"/>
  <c r="K620" i="15"/>
  <c r="M620" i="15" s="1"/>
  <c r="L697" i="15"/>
  <c r="M697" i="15" s="1"/>
  <c r="K811" i="15"/>
  <c r="M811" i="15" s="1"/>
  <c r="K531" i="15"/>
  <c r="M531" i="15" s="1"/>
  <c r="L535" i="15"/>
  <c r="M535" i="15" s="1"/>
  <c r="K1217" i="15"/>
  <c r="M1217" i="15" s="1"/>
  <c r="K998" i="15"/>
  <c r="M998" i="15" s="1"/>
  <c r="L505" i="15"/>
  <c r="M505" i="15" s="1"/>
  <c r="K109" i="15"/>
  <c r="M109" i="15" s="1"/>
  <c r="K1178" i="15"/>
  <c r="M1178" i="15" s="1"/>
  <c r="L271" i="15"/>
  <c r="M271" i="15" s="1"/>
  <c r="K1218" i="15"/>
  <c r="M1218" i="15" s="1"/>
  <c r="L707" i="15"/>
  <c r="M707" i="15" s="1"/>
  <c r="K783" i="15"/>
  <c r="M783" i="15" s="1"/>
  <c r="K953" i="15"/>
  <c r="M953" i="15" s="1"/>
  <c r="K920" i="15"/>
  <c r="L812" i="15"/>
  <c r="M812" i="15" s="1"/>
  <c r="K601" i="15"/>
  <c r="M601" i="15" s="1"/>
  <c r="K763" i="15"/>
  <c r="M763" i="15" s="1"/>
  <c r="L103" i="15"/>
  <c r="M103" i="15" s="1"/>
  <c r="L1180" i="15"/>
  <c r="M1180" i="15" s="1"/>
  <c r="K1134" i="15"/>
  <c r="K314" i="15"/>
  <c r="M314" i="15" s="1"/>
  <c r="L889" i="15"/>
  <c r="L405" i="15"/>
  <c r="M405" i="15" s="1"/>
  <c r="L1087" i="15"/>
  <c r="M1087" i="15" s="1"/>
  <c r="K668" i="15"/>
  <c r="M668" i="15" s="1"/>
  <c r="L288" i="15"/>
  <c r="M288" i="15" s="1"/>
  <c r="K547" i="15"/>
  <c r="M547" i="15" s="1"/>
  <c r="L351" i="15"/>
  <c r="M351" i="15" s="1"/>
  <c r="L1299" i="15"/>
  <c r="M1299" i="15" s="1"/>
  <c r="L1034" i="15"/>
  <c r="M1034" i="15" s="1"/>
  <c r="L126" i="15"/>
  <c r="M126" i="15" s="1"/>
  <c r="K514" i="15"/>
  <c r="M514" i="15" s="1"/>
  <c r="K821" i="15"/>
  <c r="M821" i="15" s="1"/>
  <c r="K569" i="15"/>
  <c r="M569" i="15" s="1"/>
  <c r="K337" i="15"/>
  <c r="M337" i="15" s="1"/>
  <c r="L318" i="15"/>
  <c r="M318" i="15" s="1"/>
  <c r="K639" i="15"/>
  <c r="M639" i="15" s="1"/>
  <c r="K1041" i="15"/>
  <c r="K921" i="15"/>
  <c r="M921" i="15" s="1"/>
  <c r="K1146" i="15"/>
  <c r="M1146" i="15" s="1"/>
  <c r="L603" i="15"/>
  <c r="M603" i="15" s="1"/>
  <c r="K510" i="15"/>
  <c r="M510" i="15" s="1"/>
  <c r="L270" i="15"/>
  <c r="M270" i="15" s="1"/>
  <c r="L712" i="15"/>
  <c r="M712" i="15" s="1"/>
  <c r="L539" i="15"/>
  <c r="M539" i="15" s="1"/>
  <c r="L578" i="15"/>
  <c r="M578" i="15" s="1"/>
  <c r="K1131" i="15"/>
  <c r="M1131" i="15" s="1"/>
  <c r="L907" i="15"/>
  <c r="M907" i="15" s="1"/>
  <c r="L699" i="15"/>
  <c r="M699" i="15" s="1"/>
  <c r="L633" i="15"/>
  <c r="M633" i="15" s="1"/>
  <c r="L596" i="15"/>
  <c r="M596" i="15" s="1"/>
  <c r="L305" i="15"/>
  <c r="M305" i="15" s="1"/>
  <c r="L379" i="15"/>
  <c r="M379" i="15" s="1"/>
  <c r="K1031" i="15"/>
  <c r="M1031" i="15" s="1"/>
  <c r="Y204" i="3"/>
  <c r="S171" i="3"/>
  <c r="CD171" i="3" s="1"/>
  <c r="S158" i="3"/>
  <c r="CD158" i="3" s="1"/>
  <c r="Y190" i="3"/>
  <c r="CT7" i="3"/>
  <c r="CV7" i="3" s="1"/>
  <c r="AE30" i="3"/>
  <c r="E29" i="19" s="1"/>
  <c r="AE213" i="3"/>
  <c r="E212" i="19" s="1"/>
  <c r="AE128" i="3"/>
  <c r="E127" i="19" s="1"/>
  <c r="CT101" i="3"/>
  <c r="CU101" i="3" s="1"/>
  <c r="Y119" i="3"/>
  <c r="CT280" i="3"/>
  <c r="CV280" i="3" s="1"/>
  <c r="CT262" i="3"/>
  <c r="CV262" i="3" s="1"/>
  <c r="CT99" i="3"/>
  <c r="CV99" i="3" s="1"/>
  <c r="CT196" i="3"/>
  <c r="CV196" i="3" s="1"/>
  <c r="CT12" i="3"/>
  <c r="CV12" i="3" s="1"/>
  <c r="CT111" i="3"/>
  <c r="CU111" i="3" s="1"/>
  <c r="S249" i="3"/>
  <c r="BU249" i="3" s="1"/>
  <c r="Y142" i="3"/>
  <c r="Y230" i="3"/>
  <c r="Y71" i="3"/>
  <c r="Y116" i="3"/>
  <c r="Y94" i="3"/>
  <c r="Y205" i="3"/>
  <c r="L719" i="15"/>
  <c r="M719" i="15" s="1"/>
  <c r="L946" i="15"/>
  <c r="M946" i="15" s="1"/>
  <c r="K706" i="15"/>
  <c r="M706" i="15" s="1"/>
  <c r="K754" i="15"/>
  <c r="M754" i="15" s="1"/>
  <c r="L352" i="15"/>
  <c r="M352" i="15" s="1"/>
  <c r="L205" i="15"/>
  <c r="M205" i="15" s="1"/>
  <c r="K853" i="15"/>
  <c r="M853" i="15" s="1"/>
  <c r="L661" i="15"/>
  <c r="M661" i="15" s="1"/>
  <c r="L369" i="15"/>
  <c r="M369" i="15" s="1"/>
  <c r="L173" i="15"/>
  <c r="M173" i="15" s="1"/>
  <c r="K495" i="15"/>
  <c r="M495" i="15" s="1"/>
  <c r="K355" i="15"/>
  <c r="M355" i="15" s="1"/>
  <c r="L291" i="15"/>
  <c r="M291" i="15" s="1"/>
  <c r="L797" i="15"/>
  <c r="M797" i="15" s="1"/>
  <c r="K629" i="15"/>
  <c r="M629" i="15" s="1"/>
  <c r="L541" i="15"/>
  <c r="M541" i="15" s="1"/>
  <c r="K1054" i="15"/>
  <c r="M1054" i="15" s="1"/>
  <c r="L816" i="15"/>
  <c r="K816" i="15"/>
  <c r="K427" i="15"/>
  <c r="M427" i="15" s="1"/>
  <c r="L1029" i="15"/>
  <c r="M1029" i="15" s="1"/>
  <c r="L981" i="15"/>
  <c r="M981" i="15" s="1"/>
  <c r="K533" i="15"/>
  <c r="M533" i="15" s="1"/>
  <c r="K148" i="15"/>
  <c r="M148" i="15" s="1"/>
  <c r="K899" i="15"/>
  <c r="M899" i="15" s="1"/>
  <c r="L476" i="15"/>
  <c r="M476" i="15" s="1"/>
  <c r="K1107" i="15"/>
  <c r="M1107" i="15" s="1"/>
  <c r="K559" i="15"/>
  <c r="M559" i="15" s="1"/>
  <c r="AG111" i="11" s="1"/>
  <c r="K45" i="15"/>
  <c r="M45" i="15" s="1"/>
  <c r="L765" i="15"/>
  <c r="M765" i="15" s="1"/>
  <c r="L350" i="15"/>
  <c r="M350" i="15" s="1"/>
  <c r="L1232" i="15"/>
  <c r="M1232" i="15" s="1"/>
  <c r="L884" i="15"/>
  <c r="M884" i="15" s="1"/>
  <c r="K675" i="15"/>
  <c r="M675" i="15" s="1"/>
  <c r="K401" i="15"/>
  <c r="M401" i="15" s="1"/>
  <c r="K273" i="15"/>
  <c r="M273" i="15" s="1"/>
  <c r="K111" i="15"/>
  <c r="M111" i="15" s="1"/>
  <c r="L1188" i="15"/>
  <c r="M1188" i="15" s="1"/>
  <c r="K160" i="15"/>
  <c r="M160" i="15" s="1"/>
  <c r="L1164" i="15"/>
  <c r="K1164" i="15"/>
  <c r="L952" i="15"/>
  <c r="K952" i="15"/>
  <c r="K791" i="15"/>
  <c r="M791" i="15" s="1"/>
  <c r="K980" i="15"/>
  <c r="M980" i="15" s="1"/>
  <c r="K409" i="15"/>
  <c r="M409" i="15" s="1"/>
  <c r="L597" i="15"/>
  <c r="M597" i="15" s="1"/>
  <c r="L1170" i="15"/>
  <c r="M1170" i="15" s="1"/>
  <c r="K542" i="15"/>
  <c r="M542" i="15" s="1"/>
  <c r="K1039" i="15"/>
  <c r="M1039" i="15" s="1"/>
  <c r="L908" i="15"/>
  <c r="M908" i="15" s="1"/>
  <c r="K832" i="15"/>
  <c r="M832" i="15" s="1"/>
  <c r="L501" i="15"/>
  <c r="M501" i="15" s="1"/>
  <c r="L504" i="15"/>
  <c r="M504" i="15" s="1"/>
  <c r="K1283" i="15"/>
  <c r="M1283" i="15" s="1"/>
  <c r="L771" i="15"/>
  <c r="M771" i="15" s="1"/>
  <c r="L447" i="15"/>
  <c r="M447" i="15" s="1"/>
  <c r="L887" i="15"/>
  <c r="M887" i="15" s="1"/>
  <c r="L1206" i="15"/>
  <c r="M1206" i="15" s="1"/>
  <c r="K1251" i="15"/>
  <c r="M1251" i="15" s="1"/>
  <c r="K1019" i="15"/>
  <c r="L1019" i="15"/>
  <c r="K951" i="15"/>
  <c r="L951" i="15"/>
  <c r="L1069" i="15"/>
  <c r="M1069" i="15" s="1"/>
  <c r="L926" i="15"/>
  <c r="M926" i="15" s="1"/>
  <c r="K613" i="15"/>
  <c r="M613" i="15" s="1"/>
  <c r="K345" i="15"/>
  <c r="M345" i="15" s="1"/>
  <c r="K175" i="15"/>
  <c r="M175" i="15" s="1"/>
  <c r="L375" i="15"/>
  <c r="K375" i="15"/>
  <c r="K1166" i="15"/>
  <c r="M1166" i="15" s="1"/>
  <c r="K1090" i="15"/>
  <c r="M1090" i="15" s="1"/>
  <c r="K483" i="15"/>
  <c r="M483" i="15" s="1"/>
  <c r="K962" i="15"/>
  <c r="M962" i="15" s="1"/>
  <c r="L417" i="15"/>
  <c r="M417" i="15" s="1"/>
  <c r="K384" i="15"/>
  <c r="M384" i="15" s="1"/>
  <c r="K1200" i="15"/>
  <c r="M1200" i="15" s="1"/>
  <c r="L755" i="15"/>
  <c r="M755" i="15" s="1"/>
  <c r="L377" i="15"/>
  <c r="M377" i="15" s="1"/>
  <c r="K957" i="15"/>
  <c r="M957" i="15" s="1"/>
  <c r="K825" i="15"/>
  <c r="M825" i="15" s="1"/>
  <c r="L170" i="15"/>
  <c r="M170" i="15" s="1"/>
  <c r="L131" i="15"/>
  <c r="M131" i="15" s="1"/>
  <c r="L1182" i="15"/>
  <c r="M1182" i="15" s="1"/>
  <c r="K1151" i="15"/>
  <c r="M1151" i="15" s="1"/>
  <c r="L327" i="15"/>
  <c r="M327" i="15" s="1"/>
  <c r="L486" i="15"/>
  <c r="M486" i="15" s="1"/>
  <c r="AG88" i="11" s="1"/>
  <c r="K589" i="15"/>
  <c r="M589" i="15" s="1"/>
  <c r="K604" i="15"/>
  <c r="M604" i="15" s="1"/>
  <c r="K526" i="15"/>
  <c r="M526" i="15" s="1"/>
  <c r="K191" i="15"/>
  <c r="M191" i="15" s="1"/>
  <c r="L385" i="15"/>
  <c r="M385" i="15" s="1"/>
  <c r="K1138" i="15"/>
  <c r="M1138" i="15" s="1"/>
  <c r="K573" i="15"/>
  <c r="M573" i="15" s="1"/>
  <c r="L284" i="15"/>
  <c r="M284" i="15" s="1"/>
  <c r="L799" i="15"/>
  <c r="K799" i="15"/>
  <c r="L739" i="15"/>
  <c r="K739" i="15"/>
  <c r="L577" i="15"/>
  <c r="M577" i="15" s="1"/>
  <c r="L285" i="15"/>
  <c r="M285" i="15" s="1"/>
  <c r="L1190" i="15"/>
  <c r="M1190" i="15" s="1"/>
  <c r="L263" i="15"/>
  <c r="M263" i="15" s="1"/>
  <c r="L626" i="15"/>
  <c r="M626" i="15" s="1"/>
  <c r="L1043" i="15"/>
  <c r="K1043" i="15"/>
  <c r="L967" i="15"/>
  <c r="K967" i="15"/>
  <c r="K795" i="15"/>
  <c r="L795" i="15"/>
  <c r="K727" i="15"/>
  <c r="L727" i="15"/>
  <c r="K1051" i="15"/>
  <c r="L1051" i="15"/>
  <c r="K513" i="15"/>
  <c r="K1106" i="15"/>
  <c r="M1106" i="15" s="1"/>
  <c r="K1053" i="15"/>
  <c r="M1053" i="15" s="1"/>
  <c r="L971" i="15"/>
  <c r="M971" i="15" s="1"/>
  <c r="L738" i="15"/>
  <c r="M738" i="15" s="1"/>
  <c r="K963" i="15"/>
  <c r="L963" i="15"/>
  <c r="L843" i="15"/>
  <c r="K843" i="15"/>
  <c r="L611" i="15"/>
  <c r="K611" i="15"/>
  <c r="K997" i="15"/>
  <c r="M997" i="15" s="1"/>
  <c r="K346" i="15"/>
  <c r="M346" i="15" s="1"/>
  <c r="L503" i="15"/>
  <c r="M503" i="15" s="1"/>
  <c r="L1027" i="15"/>
  <c r="K1027" i="15"/>
  <c r="K947" i="15"/>
  <c r="L947" i="15"/>
  <c r="L831" i="15"/>
  <c r="K831" i="15"/>
  <c r="K647" i="15"/>
  <c r="L647" i="15"/>
  <c r="L435" i="15"/>
  <c r="K435" i="15"/>
  <c r="L1241" i="15"/>
  <c r="M1241" i="15" s="1"/>
  <c r="K1095" i="15"/>
  <c r="M1095" i="15" s="1"/>
  <c r="L894" i="15"/>
  <c r="M894" i="15" s="1"/>
  <c r="L694" i="15"/>
  <c r="M694" i="15" s="1"/>
  <c r="L567" i="15"/>
  <c r="M567" i="15" s="1"/>
  <c r="K1011" i="15"/>
  <c r="L1011" i="15"/>
  <c r="L939" i="15"/>
  <c r="K939" i="15"/>
  <c r="K827" i="15"/>
  <c r="L827" i="15"/>
  <c r="K643" i="15"/>
  <c r="L643" i="15"/>
  <c r="L479" i="15"/>
  <c r="K479" i="15"/>
  <c r="K545" i="15"/>
  <c r="M545" i="15" s="1"/>
  <c r="K391" i="15"/>
  <c r="M391" i="15" s="1"/>
  <c r="L641" i="15"/>
  <c r="L644" i="15"/>
  <c r="M644" i="15" s="1"/>
  <c r="L1071" i="15"/>
  <c r="K1071" i="15"/>
  <c r="L819" i="15"/>
  <c r="K819" i="15"/>
  <c r="L591" i="15"/>
  <c r="K591" i="15"/>
  <c r="L475" i="15"/>
  <c r="K475" i="15"/>
  <c r="K961" i="15"/>
  <c r="M961" i="15" s="1"/>
  <c r="K368" i="15"/>
  <c r="M368" i="15" s="1"/>
  <c r="K1067" i="15"/>
  <c r="L1067" i="15"/>
  <c r="L987" i="15"/>
  <c r="K987" i="15"/>
  <c r="L751" i="15"/>
  <c r="K751" i="15"/>
  <c r="L635" i="15"/>
  <c r="K635" i="15"/>
  <c r="L583" i="15"/>
  <c r="K583" i="15"/>
  <c r="L623" i="15"/>
  <c r="M623" i="15" s="1"/>
  <c r="L1063" i="15"/>
  <c r="K1063" i="15"/>
  <c r="L975" i="15"/>
  <c r="K975" i="15"/>
  <c r="K803" i="15"/>
  <c r="L803" i="15"/>
  <c r="K747" i="15"/>
  <c r="L747" i="15"/>
  <c r="L627" i="15"/>
  <c r="K627" i="15"/>
  <c r="K1171" i="15"/>
  <c r="L1171" i="15"/>
  <c r="L1243" i="15"/>
  <c r="K1243" i="15"/>
  <c r="L1159" i="15"/>
  <c r="K1159" i="15"/>
  <c r="L1219" i="15"/>
  <c r="K1219" i="15"/>
  <c r="K1211" i="15"/>
  <c r="L1211" i="15"/>
  <c r="L1135" i="15"/>
  <c r="K1135" i="15"/>
  <c r="K1119" i="15"/>
  <c r="L1119" i="15"/>
  <c r="L1191" i="15"/>
  <c r="K1191" i="15"/>
  <c r="L1187" i="15"/>
  <c r="K1187" i="15"/>
  <c r="K1307" i="15"/>
  <c r="L1307" i="15"/>
  <c r="L1295" i="15"/>
  <c r="K1295" i="15"/>
  <c r="L1287" i="15"/>
  <c r="K1287" i="15"/>
  <c r="K1279" i="15"/>
  <c r="L1279" i="15"/>
  <c r="S271" i="3"/>
  <c r="BU271" i="3" s="1"/>
  <c r="S42" i="3"/>
  <c r="BV42" i="3" s="1"/>
  <c r="BW42" i="3" s="1"/>
  <c r="BX42" i="3" s="1"/>
  <c r="BY42" i="3" s="1"/>
  <c r="Y38" i="3"/>
  <c r="Y266" i="3"/>
  <c r="Y62" i="3"/>
  <c r="Y46" i="3"/>
  <c r="Y54" i="3"/>
  <c r="Y101" i="3"/>
  <c r="Y227" i="3"/>
  <c r="Y110" i="3"/>
  <c r="Y63" i="3"/>
  <c r="I62" i="19" s="1"/>
  <c r="Y219" i="3"/>
  <c r="Y26" i="3"/>
  <c r="CT270" i="3"/>
  <c r="CU270" i="3" s="1"/>
  <c r="CT189" i="3"/>
  <c r="CV189" i="3" s="1"/>
  <c r="Y128" i="3"/>
  <c r="Y178" i="3"/>
  <c r="Y249" i="3"/>
  <c r="Y239" i="3"/>
  <c r="Y18" i="3"/>
  <c r="S123" i="3"/>
  <c r="BU123" i="3" s="1"/>
  <c r="S49" i="3"/>
  <c r="CD49" i="3" s="1"/>
  <c r="S34" i="3"/>
  <c r="CD34" i="3" s="1"/>
  <c r="S11" i="3"/>
  <c r="BZ11" i="3" s="1"/>
  <c r="CA11" i="3" s="1"/>
  <c r="CB11" i="3" s="1"/>
  <c r="CC11" i="3" s="1"/>
  <c r="S230" i="3"/>
  <c r="BV230" i="3" s="1"/>
  <c r="BX230" i="3" s="1"/>
  <c r="BY230" i="3" s="1"/>
  <c r="Y193" i="3"/>
  <c r="I192" i="19" s="1"/>
  <c r="Y269" i="3"/>
  <c r="CT49" i="3"/>
  <c r="CU49" i="3" s="1"/>
  <c r="S186" i="3"/>
  <c r="BU186" i="3" s="1"/>
  <c r="S120" i="3"/>
  <c r="BV120" i="3" s="1"/>
  <c r="BW120" i="3" s="1"/>
  <c r="S203" i="3"/>
  <c r="BV203" i="3" s="1"/>
  <c r="BX203" i="3" s="1"/>
  <c r="BY203" i="3" s="1"/>
  <c r="S140" i="3"/>
  <c r="BV140" i="3" s="1"/>
  <c r="BX140" i="3" s="1"/>
  <c r="BY140" i="3" s="1"/>
  <c r="CT208" i="3"/>
  <c r="CV208" i="3" s="1"/>
  <c r="S266" i="3"/>
  <c r="BZ266" i="3" s="1"/>
  <c r="CA266" i="3" s="1"/>
  <c r="CB266" i="3" s="1"/>
  <c r="CC266" i="3" s="1"/>
  <c r="S195" i="3"/>
  <c r="BU195" i="3" s="1"/>
  <c r="S78" i="3"/>
  <c r="BV78" i="3" s="1"/>
  <c r="BW78" i="3" s="1"/>
  <c r="S222" i="3"/>
  <c r="BZ222" i="3" s="1"/>
  <c r="CA222" i="3" s="1"/>
  <c r="CB222" i="3" s="1"/>
  <c r="CC222" i="3" s="1"/>
  <c r="S47" i="3"/>
  <c r="BV47" i="3" s="1"/>
  <c r="BW47" i="3" s="1"/>
  <c r="Y121" i="3"/>
  <c r="CT141" i="3"/>
  <c r="CV141" i="3" s="1"/>
  <c r="Y40" i="3"/>
  <c r="S206" i="3"/>
  <c r="BV206" i="3" s="1"/>
  <c r="BX206" i="3" s="1"/>
  <c r="BY206" i="3" s="1"/>
  <c r="S85" i="3"/>
  <c r="BZ85" i="3" s="1"/>
  <c r="CA85" i="3" s="1"/>
  <c r="CB85" i="3" s="1"/>
  <c r="CC85" i="3" s="1"/>
  <c r="S275" i="3"/>
  <c r="BZ275" i="3" s="1"/>
  <c r="CB275" i="3" s="1"/>
  <c r="CC275" i="3" s="1"/>
  <c r="S43" i="3"/>
  <c r="BZ43" i="3" s="1"/>
  <c r="CB43" i="3" s="1"/>
  <c r="CC43" i="3" s="1"/>
  <c r="Y213" i="3"/>
  <c r="Y290" i="3"/>
  <c r="CT91" i="3"/>
  <c r="CU91" i="3" s="1"/>
  <c r="Y50" i="3"/>
  <c r="Y29" i="3"/>
  <c r="S54" i="3"/>
  <c r="CD54" i="3" s="1"/>
  <c r="S83" i="3"/>
  <c r="BZ83" i="3" s="1"/>
  <c r="CA83" i="3" s="1"/>
  <c r="S198" i="3"/>
  <c r="BV198" i="3" s="1"/>
  <c r="BW198" i="3" s="1"/>
  <c r="Y84" i="3"/>
  <c r="S60" i="3"/>
  <c r="CD60" i="3" s="1"/>
  <c r="S16" i="3"/>
  <c r="CD16" i="3" s="1"/>
  <c r="Y17" i="3"/>
  <c r="I16" i="19" s="1"/>
  <c r="Y145" i="3"/>
  <c r="Y52" i="3"/>
  <c r="S128" i="3"/>
  <c r="CD128" i="3" s="1"/>
  <c r="Y233" i="3"/>
  <c r="I232" i="19" s="1"/>
  <c r="Y283" i="3"/>
  <c r="Y188" i="3"/>
  <c r="Y170" i="3"/>
  <c r="Y102" i="3"/>
  <c r="Y229" i="3"/>
  <c r="S208" i="3"/>
  <c r="BZ208" i="3" s="1"/>
  <c r="CA208" i="3" s="1"/>
  <c r="S134" i="3"/>
  <c r="BV134" i="3" s="1"/>
  <c r="BX134" i="3" s="1"/>
  <c r="BY134" i="3" s="1"/>
  <c r="S211" i="3"/>
  <c r="BU211" i="3" s="1"/>
  <c r="S238" i="3"/>
  <c r="CD238" i="3" s="1"/>
  <c r="Y200" i="3"/>
  <c r="S108" i="3"/>
  <c r="CD108" i="3" s="1"/>
  <c r="Y75" i="3"/>
  <c r="Y273" i="3"/>
  <c r="Y208" i="3"/>
  <c r="Y91" i="3"/>
  <c r="Y152" i="3"/>
  <c r="S227" i="3"/>
  <c r="BV227" i="3" s="1"/>
  <c r="BX227" i="3" s="1"/>
  <c r="BY227" i="3" s="1"/>
  <c r="Y182" i="3"/>
  <c r="Y259" i="3"/>
  <c r="S219" i="3"/>
  <c r="CD219" i="3" s="1"/>
  <c r="S182" i="3"/>
  <c r="BU182" i="3" s="1"/>
  <c r="Y106" i="3"/>
  <c r="S221" i="3"/>
  <c r="BV221" i="3" s="1"/>
  <c r="BW221" i="3" s="1"/>
  <c r="S156" i="3"/>
  <c r="CD156" i="3" s="1"/>
  <c r="S125" i="3"/>
  <c r="BV125" i="3" s="1"/>
  <c r="BX125" i="3" s="1"/>
  <c r="BY125" i="3" s="1"/>
  <c r="S56" i="3"/>
  <c r="CD56" i="3" s="1"/>
  <c r="S225" i="3"/>
  <c r="BU225" i="3" s="1"/>
  <c r="S234" i="3"/>
  <c r="BU234" i="3" s="1"/>
  <c r="Y234" i="3"/>
  <c r="Y129" i="3"/>
  <c r="I128" i="19" s="1"/>
  <c r="Y118" i="3"/>
  <c r="S200" i="3"/>
  <c r="BZ200" i="3" s="1"/>
  <c r="CA200" i="3" s="1"/>
  <c r="CB200" i="3" s="1"/>
  <c r="CC200" i="3" s="1"/>
  <c r="S142" i="3"/>
  <c r="BV142" i="3" s="1"/>
  <c r="BW142" i="3" s="1"/>
  <c r="S135" i="3"/>
  <c r="BZ135" i="3" s="1"/>
  <c r="CA135" i="3" s="1"/>
  <c r="CB135" i="3" s="1"/>
  <c r="CC135" i="3" s="1"/>
  <c r="S189" i="3"/>
  <c r="BV189" i="3" s="1"/>
  <c r="BW189" i="3" s="1"/>
  <c r="BX189" i="3" s="1"/>
  <c r="BY189" i="3" s="1"/>
  <c r="S131" i="3"/>
  <c r="BU131" i="3" s="1"/>
  <c r="S109" i="3"/>
  <c r="CD109" i="3" s="1"/>
  <c r="S50" i="3"/>
  <c r="BV50" i="3" s="1"/>
  <c r="BW50" i="3" s="1"/>
  <c r="Y24" i="3"/>
  <c r="Y67" i="3"/>
  <c r="Y251" i="3"/>
  <c r="Y117" i="3"/>
  <c r="Y281" i="3"/>
  <c r="S167" i="3"/>
  <c r="BU167" i="3" s="1"/>
  <c r="Y278" i="3"/>
  <c r="S205" i="3"/>
  <c r="BU205" i="3" s="1"/>
  <c r="S269" i="3"/>
  <c r="BZ269" i="3" s="1"/>
  <c r="CB269" i="3" s="1"/>
  <c r="CC269" i="3" s="1"/>
  <c r="Y89" i="3"/>
  <c r="S231" i="3"/>
  <c r="BV231" i="3" s="1"/>
  <c r="BW231" i="3" s="1"/>
  <c r="S272" i="3"/>
  <c r="BV272" i="3" s="1"/>
  <c r="BX272" i="3" s="1"/>
  <c r="BY272" i="3" s="1"/>
  <c r="S255" i="3"/>
  <c r="CD255" i="3" s="1"/>
  <c r="Y111" i="3"/>
  <c r="Y276" i="3"/>
  <c r="Y88" i="3"/>
  <c r="Y44" i="3"/>
  <c r="Y244" i="3"/>
  <c r="Y272" i="3"/>
  <c r="Y252" i="3"/>
  <c r="S229" i="3"/>
  <c r="BU229" i="3" s="1"/>
  <c r="S284" i="3"/>
  <c r="BZ284" i="3" s="1"/>
  <c r="CA284" i="3" s="1"/>
  <c r="CB284" i="3" s="1"/>
  <c r="CC284" i="3" s="1"/>
  <c r="S102" i="3"/>
  <c r="BU102" i="3" s="1"/>
  <c r="S241" i="3"/>
  <c r="BZ241" i="3" s="1"/>
  <c r="CA241" i="3" s="1"/>
  <c r="S31" i="3"/>
  <c r="BV31" i="3" s="1"/>
  <c r="BX31" i="3" s="1"/>
  <c r="BY31" i="3" s="1"/>
  <c r="S191" i="3"/>
  <c r="BV191" i="3" s="1"/>
  <c r="BW191" i="3" s="1"/>
  <c r="Y122" i="3"/>
  <c r="Y254" i="3"/>
  <c r="Y275" i="3"/>
  <c r="Y231" i="3"/>
  <c r="S192" i="3"/>
  <c r="BU192" i="3" s="1"/>
  <c r="Y221" i="3"/>
  <c r="I220" i="19" s="1"/>
  <c r="Y81" i="3"/>
  <c r="S52" i="3"/>
  <c r="CD52" i="3" s="1"/>
  <c r="S257" i="3"/>
  <c r="BZ257" i="3" s="1"/>
  <c r="CA257" i="3" s="1"/>
  <c r="S90" i="3"/>
  <c r="BZ90" i="3" s="1"/>
  <c r="CB90" i="3" s="1"/>
  <c r="CC90" i="3" s="1"/>
  <c r="Y19" i="3"/>
  <c r="Y51" i="3"/>
  <c r="Y130" i="3"/>
  <c r="Y15" i="3"/>
  <c r="Y181" i="3"/>
  <c r="S55" i="3"/>
  <c r="CD55" i="3" s="1"/>
  <c r="S244" i="3"/>
  <c r="BU244" i="3" s="1"/>
  <c r="S46" i="3"/>
  <c r="BV46" i="3" s="1"/>
  <c r="BW46" i="3" s="1"/>
  <c r="S277" i="3"/>
  <c r="CD277" i="3" s="1"/>
  <c r="Y166" i="3"/>
  <c r="Y23" i="3"/>
  <c r="Y45" i="3"/>
  <c r="Y172" i="3"/>
  <c r="Y48" i="3"/>
  <c r="S82" i="3"/>
  <c r="BZ82" i="3" s="1"/>
  <c r="CA82" i="3" s="1"/>
  <c r="S145" i="3"/>
  <c r="BV145" i="3" s="1"/>
  <c r="BX145" i="3" s="1"/>
  <c r="BY145" i="3" s="1"/>
  <c r="Y135" i="3"/>
  <c r="I134" i="19" s="1"/>
  <c r="Y271" i="3"/>
  <c r="I270" i="19" s="1"/>
  <c r="Y258" i="3"/>
  <c r="Y43" i="3"/>
  <c r="Y13" i="3"/>
  <c r="Y241" i="3"/>
  <c r="Y207" i="3"/>
  <c r="S276" i="3"/>
  <c r="BU276" i="3" s="1"/>
  <c r="Y225" i="3"/>
  <c r="Y192" i="3"/>
  <c r="S286" i="3"/>
  <c r="CD286" i="3" s="1"/>
  <c r="S32" i="3"/>
  <c r="BV32" i="3" s="1"/>
  <c r="BW32" i="3" s="1"/>
  <c r="Y131" i="3"/>
  <c r="S212" i="3"/>
  <c r="BV212" i="3" s="1"/>
  <c r="BX212" i="3" s="1"/>
  <c r="BY212" i="3" s="1"/>
  <c r="S176" i="3"/>
  <c r="BU176" i="3" s="1"/>
  <c r="Y246" i="3"/>
  <c r="Y235" i="3"/>
  <c r="Y47" i="3"/>
  <c r="Y73" i="3"/>
  <c r="Y140" i="3"/>
  <c r="I139" i="19" s="1"/>
  <c r="S185" i="3"/>
  <c r="BZ185" i="3" s="1"/>
  <c r="CA185" i="3" s="1"/>
  <c r="Y115" i="3"/>
  <c r="Y27" i="3"/>
  <c r="Y42" i="3"/>
  <c r="Y79" i="3"/>
  <c r="Y180" i="3"/>
  <c r="Y240" i="3"/>
  <c r="Y155" i="3"/>
  <c r="Y34" i="3"/>
  <c r="Y14" i="3"/>
  <c r="Y98" i="3"/>
  <c r="Y56" i="3"/>
  <c r="Y133" i="3"/>
  <c r="Y109" i="3"/>
  <c r="Y228" i="3"/>
  <c r="Y165" i="3"/>
  <c r="Y174" i="3"/>
  <c r="S33" i="3"/>
  <c r="BZ33" i="3" s="1"/>
  <c r="CA33" i="3" s="1"/>
  <c r="Y238" i="3"/>
  <c r="Y195" i="3"/>
  <c r="S283" i="3"/>
  <c r="BU283" i="3" s="1"/>
  <c r="Y32" i="3"/>
  <c r="S8" i="3"/>
  <c r="BU8" i="3" s="1"/>
  <c r="S136" i="3"/>
  <c r="BU136" i="3" s="1"/>
  <c r="Y206" i="3"/>
  <c r="S270" i="3"/>
  <c r="BV270" i="3" s="1"/>
  <c r="BX270" i="3" s="1"/>
  <c r="BY270" i="3" s="1"/>
  <c r="S280" i="3"/>
  <c r="BU280" i="3" s="1"/>
  <c r="S169" i="3"/>
  <c r="BZ169" i="3" s="1"/>
  <c r="CA169" i="3" s="1"/>
  <c r="CB169" i="3" s="1"/>
  <c r="CC169" i="3" s="1"/>
  <c r="S67" i="3"/>
  <c r="BZ67" i="3" s="1"/>
  <c r="CA67" i="3" s="1"/>
  <c r="S26" i="3"/>
  <c r="BV26" i="3" s="1"/>
  <c r="S254" i="3"/>
  <c r="CD254" i="3" s="1"/>
  <c r="Y107" i="3"/>
  <c r="S163" i="3"/>
  <c r="BV163" i="3" s="1"/>
  <c r="BX163" i="3" s="1"/>
  <c r="BY163" i="3" s="1"/>
  <c r="Y136" i="3"/>
  <c r="Y161" i="3"/>
  <c r="I160" i="19" s="1"/>
  <c r="Y112" i="3"/>
  <c r="Y224" i="3"/>
  <c r="Y126" i="3"/>
  <c r="Y261" i="3"/>
  <c r="Y212" i="3"/>
  <c r="Y113" i="3"/>
  <c r="I112" i="19" s="1"/>
  <c r="Y187" i="3"/>
  <c r="Y92" i="3"/>
  <c r="S58" i="3"/>
  <c r="BZ58" i="3" s="1"/>
  <c r="CA58" i="3" s="1"/>
  <c r="CB58" i="3" s="1"/>
  <c r="CC58" i="3" s="1"/>
  <c r="S37" i="3"/>
  <c r="CD37" i="3" s="1"/>
  <c r="Y146" i="3"/>
  <c r="Y68" i="3"/>
  <c r="S92" i="3"/>
  <c r="BZ92" i="3" s="1"/>
  <c r="CA92" i="3" s="1"/>
  <c r="S216" i="3"/>
  <c r="BZ216" i="3" s="1"/>
  <c r="CB216" i="3" s="1"/>
  <c r="CC216" i="3" s="1"/>
  <c r="S150" i="3"/>
  <c r="BZ150" i="3" s="1"/>
  <c r="CA150" i="3" s="1"/>
  <c r="CB150" i="3" s="1"/>
  <c r="CC150" i="3" s="1"/>
  <c r="Y22" i="3"/>
  <c r="Y141" i="3"/>
  <c r="S166" i="3"/>
  <c r="BZ166" i="3" s="1"/>
  <c r="CB166" i="3" s="1"/>
  <c r="CC166" i="3" s="1"/>
  <c r="S36" i="3"/>
  <c r="CD36" i="3" s="1"/>
  <c r="S148" i="3"/>
  <c r="CD148" i="3" s="1"/>
  <c r="S73" i="3"/>
  <c r="BU73" i="3" s="1"/>
  <c r="S74" i="3"/>
  <c r="BV74" i="3" s="1"/>
  <c r="BX74" i="3" s="1"/>
  <c r="BY74" i="3" s="1"/>
  <c r="S165" i="3"/>
  <c r="BV165" i="3" s="1"/>
  <c r="BW165" i="3" s="1"/>
  <c r="BX165" i="3" s="1"/>
  <c r="BY165" i="3" s="1"/>
  <c r="S24" i="3"/>
  <c r="BU24" i="3" s="1"/>
  <c r="S7" i="3"/>
  <c r="BU7" i="3" s="1"/>
  <c r="Y160" i="3"/>
  <c r="S112" i="3"/>
  <c r="CD112" i="3" s="1"/>
  <c r="S154" i="3"/>
  <c r="BV154" i="3" s="1"/>
  <c r="BW154" i="3" s="1"/>
  <c r="S184" i="3"/>
  <c r="BU184" i="3" s="1"/>
  <c r="S25" i="3"/>
  <c r="BV25" i="3" s="1"/>
  <c r="Y58" i="3"/>
  <c r="I57" i="19" s="1"/>
  <c r="Y215" i="3"/>
  <c r="Y201" i="3"/>
  <c r="S91" i="3"/>
  <c r="BZ91" i="3" s="1"/>
  <c r="CA91" i="3" s="1"/>
  <c r="CB91" i="3" s="1"/>
  <c r="CC91" i="3" s="1"/>
  <c r="S119" i="3"/>
  <c r="BU119" i="3" s="1"/>
  <c r="S57" i="3"/>
  <c r="BU57" i="3" s="1"/>
  <c r="S162" i="3"/>
  <c r="BV162" i="3" s="1"/>
  <c r="BW162" i="3" s="1"/>
  <c r="Y61" i="3"/>
  <c r="Y82" i="3"/>
  <c r="I81" i="19" s="1"/>
  <c r="S256" i="3"/>
  <c r="BV256" i="3" s="1"/>
  <c r="BX256" i="3" s="1"/>
  <c r="BY256" i="3" s="1"/>
  <c r="S80" i="3"/>
  <c r="BU80" i="3" s="1"/>
  <c r="S287" i="3"/>
  <c r="BV287" i="3" s="1"/>
  <c r="S64" i="3"/>
  <c r="BU64" i="3" s="1"/>
  <c r="S168" i="3"/>
  <c r="BZ168" i="3" s="1"/>
  <c r="CA168" i="3" s="1"/>
  <c r="S232" i="3"/>
  <c r="BV232" i="3" s="1"/>
  <c r="BX232" i="3" s="1"/>
  <c r="BY232" i="3" s="1"/>
  <c r="S93" i="3"/>
  <c r="BV93" i="3" s="1"/>
  <c r="BW93" i="3" s="1"/>
  <c r="S29" i="3"/>
  <c r="CD29" i="3" s="1"/>
  <c r="Y11" i="3"/>
  <c r="Y220" i="3"/>
  <c r="Y189" i="3"/>
  <c r="I188" i="19" s="1"/>
  <c r="S66" i="3"/>
  <c r="BU66" i="3" s="1"/>
  <c r="Y64" i="3"/>
  <c r="Y33" i="3"/>
  <c r="Y242" i="3"/>
  <c r="Y250" i="3"/>
  <c r="Y59" i="3"/>
  <c r="Y288" i="3"/>
  <c r="I287" i="19" s="1"/>
  <c r="Y168" i="3"/>
  <c r="Y100" i="3"/>
  <c r="Y78" i="3"/>
  <c r="Y247" i="3"/>
  <c r="I246" i="19" s="1"/>
  <c r="Y108" i="3"/>
  <c r="Y176" i="3"/>
  <c r="Y186" i="3"/>
  <c r="Y202" i="3"/>
  <c r="Y150" i="3"/>
  <c r="S61" i="3"/>
  <c r="CD61" i="3" s="1"/>
  <c r="S245" i="3"/>
  <c r="BZ245" i="3" s="1"/>
  <c r="CA245" i="3" s="1"/>
  <c r="CB245" i="3" s="1"/>
  <c r="CC245" i="3" s="1"/>
  <c r="Y210" i="3"/>
  <c r="Y25" i="3"/>
  <c r="Y66" i="3"/>
  <c r="S180" i="3"/>
  <c r="BV180" i="3" s="1"/>
  <c r="BX180" i="3" s="1"/>
  <c r="BY180" i="3" s="1"/>
  <c r="Y60" i="3"/>
  <c r="Y162" i="3"/>
  <c r="Y263" i="3"/>
  <c r="I262" i="19" s="1"/>
  <c r="Y256" i="3"/>
  <c r="Y137" i="3"/>
  <c r="I136" i="19" s="1"/>
  <c r="Y287" i="3"/>
  <c r="S69" i="3"/>
  <c r="CD69" i="3" s="1"/>
  <c r="Y222" i="3"/>
  <c r="AI4" i="3"/>
  <c r="S228" i="3"/>
  <c r="BZ228" i="3" s="1"/>
  <c r="CA228" i="3" s="1"/>
  <c r="CB228" i="3" s="1"/>
  <c r="CC228" i="3" s="1"/>
  <c r="S30" i="3"/>
  <c r="CD30" i="3" s="1"/>
  <c r="S21" i="3"/>
  <c r="CD21" i="3" s="1"/>
  <c r="S246" i="3"/>
  <c r="BV246" i="3" s="1"/>
  <c r="BW246" i="3" s="1"/>
  <c r="Y103" i="3"/>
  <c r="Y159" i="3"/>
  <c r="AJ4" i="3"/>
  <c r="Y216" i="3"/>
  <c r="AA4" i="3"/>
  <c r="Y260" i="3"/>
  <c r="Y132" i="3"/>
  <c r="I131" i="19" s="1"/>
  <c r="Y203" i="3"/>
  <c r="S250" i="3"/>
  <c r="BZ250" i="3" s="1"/>
  <c r="CA250" i="3" s="1"/>
  <c r="S213" i="3"/>
  <c r="BV213" i="3" s="1"/>
  <c r="BX213" i="3" s="1"/>
  <c r="BY213" i="3" s="1"/>
  <c r="S236" i="3"/>
  <c r="BZ236" i="3" s="1"/>
  <c r="S178" i="3"/>
  <c r="BU178" i="3" s="1"/>
  <c r="S35" i="3"/>
  <c r="BV35" i="3" s="1"/>
  <c r="BW35" i="3" s="1"/>
  <c r="S262" i="3"/>
  <c r="CD262" i="3" s="1"/>
  <c r="S15" i="3"/>
  <c r="BV15" i="3" s="1"/>
  <c r="BW15" i="3" s="1"/>
  <c r="S181" i="3"/>
  <c r="BZ181" i="3" s="1"/>
  <c r="CA181" i="3" s="1"/>
  <c r="S45" i="3"/>
  <c r="CD45" i="3" s="1"/>
  <c r="Y164" i="3"/>
  <c r="Y37" i="3"/>
  <c r="Y280" i="3"/>
  <c r="Y199" i="3"/>
  <c r="Y7" i="3"/>
  <c r="Y30" i="3"/>
  <c r="I29" i="19" s="1"/>
  <c r="S260" i="3"/>
  <c r="BU260" i="3" s="1"/>
  <c r="W4" i="3"/>
  <c r="Y77" i="3"/>
  <c r="S273" i="3"/>
  <c r="BZ273" i="3" s="1"/>
  <c r="CA273" i="3" s="1"/>
  <c r="CB273" i="3" s="1"/>
  <c r="CC273" i="3" s="1"/>
  <c r="Y39" i="3"/>
  <c r="S27" i="3"/>
  <c r="BU27" i="3" s="1"/>
  <c r="S247" i="3"/>
  <c r="BV247" i="3" s="1"/>
  <c r="BX247" i="3" s="1"/>
  <c r="BY247" i="3" s="1"/>
  <c r="Z4" i="3"/>
  <c r="S48" i="3"/>
  <c r="CD48" i="3" s="1"/>
  <c r="Y93" i="3"/>
  <c r="Y125" i="3"/>
  <c r="Y104" i="3"/>
  <c r="I103" i="19" s="1"/>
  <c r="Y191" i="3"/>
  <c r="S101" i="3"/>
  <c r="BU101" i="3" s="1"/>
  <c r="S146" i="3"/>
  <c r="BU146" i="3" s="1"/>
  <c r="S173" i="3"/>
  <c r="BZ173" i="3" s="1"/>
  <c r="CA173" i="3" s="1"/>
  <c r="CB173" i="3" s="1"/>
  <c r="CC173" i="3" s="1"/>
  <c r="S95" i="3"/>
  <c r="CD95" i="3" s="1"/>
  <c r="S190" i="3"/>
  <c r="CD190" i="3" s="1"/>
  <c r="S152" i="3"/>
  <c r="BU152" i="3" s="1"/>
  <c r="S197" i="3"/>
  <c r="CD197" i="3" s="1"/>
  <c r="S207" i="3"/>
  <c r="BU207" i="3" s="1"/>
  <c r="S23" i="3"/>
  <c r="BZ23" i="3" s="1"/>
  <c r="CA23" i="3" s="1"/>
  <c r="CB23" i="3" s="1"/>
  <c r="CC23" i="3" s="1"/>
  <c r="S6" i="3"/>
  <c r="BU6" i="3" s="1"/>
  <c r="Y274" i="3"/>
  <c r="S193" i="3"/>
  <c r="BV193" i="3" s="1"/>
  <c r="BW193" i="3" s="1"/>
  <c r="BX193" i="3" s="1"/>
  <c r="BY193" i="3" s="1"/>
  <c r="S199" i="3"/>
  <c r="BV199" i="3" s="1"/>
  <c r="BW199" i="3" s="1"/>
  <c r="S121" i="3"/>
  <c r="BZ121" i="3" s="1"/>
  <c r="Q4" i="3"/>
  <c r="S62" i="3"/>
  <c r="BU62" i="3" s="1"/>
  <c r="S263" i="3"/>
  <c r="BZ263" i="3" s="1"/>
  <c r="CB263" i="3" s="1"/>
  <c r="CC263" i="3" s="1"/>
  <c r="S268" i="3"/>
  <c r="CD268" i="3" s="1"/>
  <c r="S204" i="3"/>
  <c r="CD204" i="3" s="1"/>
  <c r="S40" i="3"/>
  <c r="BU40" i="3" s="1"/>
  <c r="S157" i="3"/>
  <c r="BV157" i="3" s="1"/>
  <c r="BW157" i="3" s="1"/>
  <c r="Y65" i="3"/>
  <c r="Y214" i="3"/>
  <c r="Y169" i="3"/>
  <c r="S220" i="3"/>
  <c r="BU220" i="3" s="1"/>
  <c r="S160" i="3"/>
  <c r="CD160" i="3" s="1"/>
  <c r="S17" i="3"/>
  <c r="BV17" i="3" s="1"/>
  <c r="BW17" i="3" s="1"/>
  <c r="S22" i="3"/>
  <c r="BV22" i="3" s="1"/>
  <c r="BW22" i="3" s="1"/>
  <c r="S264" i="3"/>
  <c r="BU264" i="3" s="1"/>
  <c r="S124" i="3"/>
  <c r="BV124" i="3" s="1"/>
  <c r="BW124" i="3" s="1"/>
  <c r="BX124" i="3" s="1"/>
  <c r="BY124" i="3" s="1"/>
  <c r="Y144" i="3"/>
  <c r="S77" i="3"/>
  <c r="CD77" i="3" s="1"/>
  <c r="S65" i="3"/>
  <c r="CD65" i="3" s="1"/>
  <c r="S99" i="3"/>
  <c r="BZ99" i="3" s="1"/>
  <c r="CB99" i="3" s="1"/>
  <c r="CC99" i="3" s="1"/>
  <c r="Y209" i="3"/>
  <c r="Y211" i="3"/>
  <c r="Y12" i="3"/>
  <c r="S118" i="3"/>
  <c r="BV118" i="3" s="1"/>
  <c r="BW118" i="3" s="1"/>
  <c r="S114" i="3"/>
  <c r="CU25" i="3"/>
  <c r="AF25" i="3" s="1"/>
  <c r="K1169" i="15"/>
  <c r="L1169" i="15"/>
  <c r="K425" i="15"/>
  <c r="L425" i="15"/>
  <c r="L865" i="15"/>
  <c r="M865" i="15" s="1"/>
  <c r="K489" i="15"/>
  <c r="M489" i="15" s="1"/>
  <c r="K1165" i="15"/>
  <c r="L1165" i="15"/>
  <c r="K1161" i="15"/>
  <c r="L1161" i="15"/>
  <c r="L673" i="15"/>
  <c r="M673" i="15" s="1"/>
  <c r="K1305" i="15"/>
  <c r="L1305" i="15"/>
  <c r="K1157" i="15"/>
  <c r="L1157" i="15"/>
  <c r="L294" i="15"/>
  <c r="M294" i="15" s="1"/>
  <c r="K766" i="15"/>
  <c r="M766" i="15" s="1"/>
  <c r="K550" i="15"/>
  <c r="M550" i="15" s="1"/>
  <c r="K830" i="15"/>
  <c r="M830" i="15" s="1"/>
  <c r="L624" i="15"/>
  <c r="M624" i="15" s="1"/>
  <c r="L1101" i="15"/>
  <c r="K1101" i="15"/>
  <c r="L1246" i="15"/>
  <c r="K1246" i="15"/>
  <c r="L782" i="15"/>
  <c r="K782" i="15"/>
  <c r="K681" i="15"/>
  <c r="M681" i="15" s="1"/>
  <c r="K701" i="15"/>
  <c r="M701" i="15" s="1"/>
  <c r="K1066" i="15"/>
  <c r="M1066" i="15" s="1"/>
  <c r="L925" i="15"/>
  <c r="M925" i="15" s="1"/>
  <c r="K737" i="15"/>
  <c r="M737" i="15" s="1"/>
  <c r="L669" i="15"/>
  <c r="M669" i="15" s="1"/>
  <c r="K104" i="15"/>
  <c r="M104" i="15" s="1"/>
  <c r="K1085" i="15"/>
  <c r="L1085" i="15"/>
  <c r="L334" i="15"/>
  <c r="M334" i="15" s="1"/>
  <c r="L801" i="15"/>
  <c r="M801" i="15" s="1"/>
  <c r="K733" i="15"/>
  <c r="M733" i="15" s="1"/>
  <c r="K441" i="15"/>
  <c r="M441" i="15" s="1"/>
  <c r="K341" i="15"/>
  <c r="M341" i="15" s="1"/>
  <c r="L210" i="15"/>
  <c r="M210" i="15" s="1"/>
  <c r="K608" i="15"/>
  <c r="M608" i="15" s="1"/>
  <c r="K195" i="15"/>
  <c r="M195" i="15" s="1"/>
  <c r="L1061" i="15"/>
  <c r="K1061" i="15"/>
  <c r="L833" i="15"/>
  <c r="M833" i="15" s="1"/>
  <c r="K73" i="15"/>
  <c r="M73" i="15" s="1"/>
  <c r="K713" i="15"/>
  <c r="K649" i="15"/>
  <c r="M649" i="15" s="1"/>
  <c r="K436" i="15"/>
  <c r="M436" i="15" s="1"/>
  <c r="L1213" i="15"/>
  <c r="K1213" i="15"/>
  <c r="K1037" i="15"/>
  <c r="L1037" i="15"/>
  <c r="L721" i="15"/>
  <c r="M721" i="15" s="1"/>
  <c r="L1230" i="15"/>
  <c r="K1230" i="15"/>
  <c r="K1186" i="15"/>
  <c r="L1186" i="15"/>
  <c r="K1150" i="15"/>
  <c r="L1150" i="15"/>
  <c r="K1038" i="15"/>
  <c r="L1038" i="15"/>
  <c r="K930" i="15"/>
  <c r="L930" i="15"/>
  <c r="L726" i="15"/>
  <c r="K726" i="15"/>
  <c r="K600" i="15"/>
  <c r="L600" i="15"/>
  <c r="L560" i="15"/>
  <c r="K560" i="15"/>
  <c r="K524" i="15"/>
  <c r="L524" i="15"/>
  <c r="K464" i="15"/>
  <c r="L464" i="15"/>
  <c r="L428" i="15"/>
  <c r="K428" i="15"/>
  <c r="K364" i="15"/>
  <c r="L364" i="15"/>
  <c r="L582" i="15"/>
  <c r="K582" i="15"/>
  <c r="L466" i="15"/>
  <c r="K466" i="15"/>
  <c r="K1222" i="15"/>
  <c r="L1222" i="15"/>
  <c r="K878" i="15"/>
  <c r="L878" i="15"/>
  <c r="L790" i="15"/>
  <c r="K790" i="15"/>
  <c r="L672" i="15"/>
  <c r="K672" i="15"/>
  <c r="K636" i="15"/>
  <c r="L636" i="15"/>
  <c r="K556" i="15"/>
  <c r="L556" i="15"/>
  <c r="L520" i="15"/>
  <c r="K520" i="15"/>
  <c r="L456" i="15"/>
  <c r="K456" i="15"/>
  <c r="K424" i="15"/>
  <c r="L424" i="15"/>
  <c r="K332" i="15"/>
  <c r="L332" i="15"/>
  <c r="L674" i="15"/>
  <c r="K674" i="15"/>
  <c r="K398" i="15"/>
  <c r="L398" i="15"/>
  <c r="L1270" i="15"/>
  <c r="K1270" i="15"/>
  <c r="L1030" i="15"/>
  <c r="K1030" i="15"/>
  <c r="K982" i="15"/>
  <c r="L982" i="15"/>
  <c r="K922" i="15"/>
  <c r="L922" i="15"/>
  <c r="K862" i="15"/>
  <c r="L862" i="15"/>
  <c r="L778" i="15"/>
  <c r="K778" i="15"/>
  <c r="L632" i="15"/>
  <c r="K632" i="15"/>
  <c r="K592" i="15"/>
  <c r="L592" i="15"/>
  <c r="L552" i="15"/>
  <c r="K552" i="15"/>
  <c r="L516" i="15"/>
  <c r="K516" i="15"/>
  <c r="K452" i="15"/>
  <c r="L452" i="15"/>
  <c r="L420" i="15"/>
  <c r="K420" i="15"/>
  <c r="K562" i="15"/>
  <c r="L562" i="15"/>
  <c r="K458" i="15"/>
  <c r="L458" i="15"/>
  <c r="L390" i="15"/>
  <c r="K390" i="15"/>
  <c r="K1266" i="15"/>
  <c r="L1266" i="15"/>
  <c r="L1214" i="15"/>
  <c r="K1214" i="15"/>
  <c r="K1126" i="15"/>
  <c r="L1126" i="15"/>
  <c r="L858" i="15"/>
  <c r="K858" i="15"/>
  <c r="K664" i="15"/>
  <c r="L664" i="15"/>
  <c r="K628" i="15"/>
  <c r="L628" i="15"/>
  <c r="L508" i="15"/>
  <c r="K508" i="15"/>
  <c r="K448" i="15"/>
  <c r="L448" i="15"/>
  <c r="K316" i="15"/>
  <c r="L316" i="15"/>
  <c r="L650" i="15"/>
  <c r="K650" i="15"/>
  <c r="K498" i="15"/>
  <c r="L498" i="15"/>
  <c r="L310" i="15"/>
  <c r="K310" i="15"/>
  <c r="L394" i="15"/>
  <c r="M394" i="15" s="1"/>
  <c r="K689" i="15"/>
  <c r="M689" i="15" s="1"/>
  <c r="K1254" i="15"/>
  <c r="L1254" i="15"/>
  <c r="L1210" i="15"/>
  <c r="K1210" i="15"/>
  <c r="K1122" i="15"/>
  <c r="L1122" i="15"/>
  <c r="K1062" i="15"/>
  <c r="L1062" i="15"/>
  <c r="L1018" i="15"/>
  <c r="K1018" i="15"/>
  <c r="K970" i="15"/>
  <c r="L970" i="15"/>
  <c r="L914" i="15"/>
  <c r="K914" i="15"/>
  <c r="K660" i="15"/>
  <c r="L660" i="15"/>
  <c r="K584" i="15"/>
  <c r="L584" i="15"/>
  <c r="L540" i="15"/>
  <c r="K540" i="15"/>
  <c r="K408" i="15"/>
  <c r="L408" i="15"/>
  <c r="K296" i="15"/>
  <c r="L296" i="15"/>
  <c r="L642" i="15"/>
  <c r="K642" i="15"/>
  <c r="K494" i="15"/>
  <c r="L494" i="15"/>
  <c r="K446" i="15"/>
  <c r="L446" i="15"/>
  <c r="L366" i="15"/>
  <c r="K366" i="15"/>
  <c r="K1250" i="15"/>
  <c r="L1250" i="15"/>
  <c r="K1114" i="15"/>
  <c r="L1114" i="15"/>
  <c r="K1014" i="15"/>
  <c r="L1014" i="15"/>
  <c r="K954" i="15"/>
  <c r="L954" i="15"/>
  <c r="L906" i="15"/>
  <c r="K906" i="15"/>
  <c r="L758" i="15"/>
  <c r="K758" i="15"/>
  <c r="L652" i="15"/>
  <c r="K652" i="15"/>
  <c r="K616" i="15"/>
  <c r="L616" i="15"/>
  <c r="K580" i="15"/>
  <c r="L580" i="15"/>
  <c r="K484" i="15"/>
  <c r="L484" i="15"/>
  <c r="L380" i="15"/>
  <c r="K380" i="15"/>
  <c r="L618" i="15"/>
  <c r="K618" i="15"/>
  <c r="K546" i="15"/>
  <c r="L546" i="15"/>
  <c r="K438" i="15"/>
  <c r="L438" i="15"/>
  <c r="L1304" i="15"/>
  <c r="M1304" i="15" s="1"/>
  <c r="L817" i="15"/>
  <c r="L625" i="15"/>
  <c r="L1298" i="15"/>
  <c r="K1298" i="15"/>
  <c r="L1242" i="15"/>
  <c r="K1242" i="15"/>
  <c r="L1198" i="15"/>
  <c r="K1198" i="15"/>
  <c r="L1162" i="15"/>
  <c r="K1162" i="15"/>
  <c r="K1010" i="15"/>
  <c r="L1010" i="15"/>
  <c r="K898" i="15"/>
  <c r="L898" i="15"/>
  <c r="L814" i="15"/>
  <c r="K814" i="15"/>
  <c r="K746" i="15"/>
  <c r="L746" i="15"/>
  <c r="K648" i="15"/>
  <c r="L648" i="15"/>
  <c r="L568" i="15"/>
  <c r="K568" i="15"/>
  <c r="L532" i="15"/>
  <c r="K532" i="15"/>
  <c r="K376" i="15"/>
  <c r="L376" i="15"/>
  <c r="L606" i="15"/>
  <c r="K606" i="15"/>
  <c r="L482" i="15"/>
  <c r="K482" i="15"/>
  <c r="K1290" i="15"/>
  <c r="L1290" i="15"/>
  <c r="K1234" i="15"/>
  <c r="L1234" i="15"/>
  <c r="K1154" i="15"/>
  <c r="L1154" i="15"/>
  <c r="K1042" i="15"/>
  <c r="L1042" i="15"/>
  <c r="L1006" i="15"/>
  <c r="K1006" i="15"/>
  <c r="K938" i="15"/>
  <c r="L938" i="15"/>
  <c r="K806" i="15"/>
  <c r="L806" i="15"/>
  <c r="K564" i="15"/>
  <c r="L564" i="15"/>
  <c r="K528" i="15"/>
  <c r="L528" i="15"/>
  <c r="K472" i="15"/>
  <c r="L472" i="15"/>
  <c r="L432" i="15"/>
  <c r="K432" i="15"/>
  <c r="L594" i="15"/>
  <c r="K594" i="15"/>
  <c r="K530" i="15"/>
  <c r="L530" i="15"/>
  <c r="L470" i="15"/>
  <c r="K470" i="15"/>
  <c r="K422" i="15"/>
  <c r="L422" i="15"/>
  <c r="L4" i="3"/>
  <c r="S116" i="3"/>
  <c r="BV116" i="3" s="1"/>
  <c r="BW116" i="3" s="1"/>
  <c r="BX116" i="3" s="1"/>
  <c r="BY116" i="3" s="1"/>
  <c r="CV258" i="3"/>
  <c r="AF258" i="3" s="1"/>
  <c r="L59" i="15"/>
  <c r="K59" i="15"/>
  <c r="K51" i="15"/>
  <c r="L51" i="15"/>
  <c r="L287" i="15"/>
  <c r="K287" i="15"/>
  <c r="K207" i="15"/>
  <c r="L207" i="15"/>
  <c r="L43" i="15"/>
  <c r="K43" i="15"/>
  <c r="K151" i="15"/>
  <c r="L151" i="15"/>
  <c r="K275" i="15"/>
  <c r="L275" i="15"/>
  <c r="L199" i="15"/>
  <c r="K199" i="15"/>
  <c r="L99" i="15"/>
  <c r="K99" i="15"/>
  <c r="K39" i="15"/>
  <c r="L39" i="15"/>
  <c r="K63" i="15"/>
  <c r="L63" i="15"/>
  <c r="K231" i="15"/>
  <c r="L231" i="15"/>
  <c r="L53" i="15"/>
  <c r="M53" i="15" s="1"/>
  <c r="K209" i="15"/>
  <c r="M209" i="15" s="1"/>
  <c r="L243" i="15"/>
  <c r="M243" i="15" s="1"/>
  <c r="K267" i="15"/>
  <c r="L267" i="15"/>
  <c r="K95" i="15"/>
  <c r="L95" i="15"/>
  <c r="K35" i="15"/>
  <c r="L35" i="15"/>
  <c r="L27" i="15"/>
  <c r="K27" i="15"/>
  <c r="L251" i="15"/>
  <c r="K251" i="15"/>
  <c r="K67" i="15"/>
  <c r="L67" i="15"/>
  <c r="K15" i="15"/>
  <c r="L15" i="15"/>
  <c r="L101" i="15"/>
  <c r="M101" i="15" s="1"/>
  <c r="L158" i="15"/>
  <c r="M158" i="15" s="1"/>
  <c r="K138" i="15"/>
  <c r="M138" i="15" s="1"/>
  <c r="L265" i="15"/>
  <c r="M265" i="15" s="1"/>
  <c r="K56" i="15"/>
  <c r="M56" i="15" s="1"/>
  <c r="K214" i="15"/>
  <c r="M214" i="15" s="1"/>
  <c r="K93" i="15"/>
  <c r="M93" i="15" s="1"/>
  <c r="L82" i="15"/>
  <c r="M82" i="15" s="1"/>
  <c r="K157" i="15"/>
  <c r="M157" i="15" s="1"/>
  <c r="L18" i="15"/>
  <c r="M18" i="15" s="1"/>
  <c r="L29" i="15"/>
  <c r="M29" i="15" s="1"/>
  <c r="K125" i="15"/>
  <c r="M125" i="15" s="1"/>
  <c r="K234" i="15"/>
  <c r="L234" i="15"/>
  <c r="K112" i="15"/>
  <c r="L112" i="15"/>
  <c r="L290" i="15"/>
  <c r="M290" i="15" s="1"/>
  <c r="K278" i="15"/>
  <c r="L278" i="15"/>
  <c r="L74" i="15"/>
  <c r="K74" i="15"/>
  <c r="K212" i="15"/>
  <c r="L212" i="15"/>
  <c r="L108" i="15"/>
  <c r="K108" i="15"/>
  <c r="K94" i="15"/>
  <c r="L94" i="15"/>
  <c r="L117" i="15"/>
  <c r="M117" i="15" s="1"/>
  <c r="K21" i="15"/>
  <c r="M21" i="15" s="1"/>
  <c r="K241" i="15"/>
  <c r="M241" i="15" s="1"/>
  <c r="K244" i="15"/>
  <c r="M244" i="15" s="1"/>
  <c r="K66" i="15"/>
  <c r="L66" i="15"/>
  <c r="L76" i="15"/>
  <c r="K76" i="15"/>
  <c r="L281" i="15"/>
  <c r="M281" i="15" s="1"/>
  <c r="L213" i="15"/>
  <c r="M213" i="15" s="1"/>
  <c r="L274" i="15"/>
  <c r="M274" i="15" s="1"/>
  <c r="L26" i="15"/>
  <c r="M26" i="15" s="1"/>
  <c r="L62" i="15"/>
  <c r="K62" i="15"/>
  <c r="L188" i="15"/>
  <c r="K188" i="15"/>
  <c r="L230" i="15"/>
  <c r="K230" i="15"/>
  <c r="L17" i="15"/>
  <c r="M17" i="15" s="1"/>
  <c r="K262" i="15"/>
  <c r="L262" i="15"/>
  <c r="L194" i="15"/>
  <c r="K194" i="15"/>
  <c r="K136" i="15"/>
  <c r="L136" i="15"/>
  <c r="K52" i="15"/>
  <c r="L52" i="15"/>
  <c r="J4" i="15"/>
  <c r="L116" i="15"/>
  <c r="K116" i="15"/>
  <c r="K177" i="15"/>
  <c r="M177" i="15" s="1"/>
  <c r="L236" i="15"/>
  <c r="M236" i="15" s="1"/>
  <c r="K81" i="15"/>
  <c r="M81" i="15" s="1"/>
  <c r="K242" i="15"/>
  <c r="L242" i="15"/>
  <c r="L186" i="15"/>
  <c r="K186" i="15"/>
  <c r="L110" i="15"/>
  <c r="K110" i="15"/>
  <c r="L46" i="15"/>
  <c r="K46" i="15"/>
  <c r="L132" i="15"/>
  <c r="K132" i="15"/>
  <c r="K40" i="15"/>
  <c r="L40" i="15"/>
  <c r="K146" i="15"/>
  <c r="L146" i="15"/>
  <c r="L277" i="15"/>
  <c r="M277" i="15" s="1"/>
  <c r="L49" i="15"/>
  <c r="M49" i="15" s="1"/>
  <c r="K238" i="15"/>
  <c r="L238" i="15"/>
  <c r="L174" i="15"/>
  <c r="K174" i="15"/>
  <c r="L98" i="15"/>
  <c r="K98" i="15"/>
  <c r="K38" i="15"/>
  <c r="L38" i="15"/>
  <c r="BA4" i="3"/>
  <c r="CF4" i="3"/>
  <c r="X4" i="3"/>
  <c r="Y183" i="3"/>
  <c r="I182" i="19" s="1"/>
  <c r="L933" i="15"/>
  <c r="K933" i="15"/>
  <c r="K901" i="15"/>
  <c r="L901" i="15"/>
  <c r="K773" i="15"/>
  <c r="L773" i="15"/>
  <c r="L741" i="15"/>
  <c r="K741" i="15"/>
  <c r="K413" i="15"/>
  <c r="L413" i="15"/>
  <c r="K349" i="15"/>
  <c r="L349" i="15"/>
  <c r="K185" i="15"/>
  <c r="L185" i="15"/>
  <c r="K153" i="15"/>
  <c r="L153" i="15"/>
  <c r="K121" i="15"/>
  <c r="L121" i="15"/>
  <c r="L869" i="15"/>
  <c r="M869" i="15" s="1"/>
  <c r="K1244" i="15"/>
  <c r="L1244" i="15"/>
  <c r="L1184" i="15"/>
  <c r="K1184" i="15"/>
  <c r="L1104" i="15"/>
  <c r="K1104" i="15"/>
  <c r="L1040" i="15"/>
  <c r="K1040" i="15"/>
  <c r="L984" i="15"/>
  <c r="K984" i="15"/>
  <c r="L912" i="15"/>
  <c r="K912" i="15"/>
  <c r="K868" i="15"/>
  <c r="L868" i="15"/>
  <c r="K796" i="15"/>
  <c r="L796" i="15"/>
  <c r="L740" i="15"/>
  <c r="K740" i="15"/>
  <c r="K688" i="15"/>
  <c r="L688" i="15"/>
  <c r="CV128" i="3"/>
  <c r="CU128" i="3"/>
  <c r="CV102" i="3"/>
  <c r="CU102" i="3"/>
  <c r="L1201" i="15"/>
  <c r="K1201" i="15"/>
  <c r="K1093" i="15"/>
  <c r="L1093" i="15"/>
  <c r="K529" i="15"/>
  <c r="M529" i="15" s="1"/>
  <c r="L885" i="15"/>
  <c r="M885" i="15" s="1"/>
  <c r="L1221" i="15"/>
  <c r="K1221" i="15"/>
  <c r="K1121" i="15"/>
  <c r="L1121" i="15"/>
  <c r="K1264" i="15"/>
  <c r="L1264" i="15"/>
  <c r="L1212" i="15"/>
  <c r="K1212" i="15"/>
  <c r="K1112" i="15"/>
  <c r="L1112" i="15"/>
  <c r="K1052" i="15"/>
  <c r="L1052" i="15"/>
  <c r="K992" i="15"/>
  <c r="L992" i="15"/>
  <c r="K876" i="15"/>
  <c r="L876" i="15"/>
  <c r="K748" i="15"/>
  <c r="L748" i="15"/>
  <c r="K700" i="15"/>
  <c r="L700" i="15"/>
  <c r="K1105" i="15"/>
  <c r="L1105" i="15"/>
  <c r="L1256" i="15"/>
  <c r="K1256" i="15"/>
  <c r="K1108" i="15"/>
  <c r="L1108" i="15"/>
  <c r="L1048" i="15"/>
  <c r="K1048" i="15"/>
  <c r="K988" i="15"/>
  <c r="L988" i="15"/>
  <c r="K916" i="15"/>
  <c r="L916" i="15"/>
  <c r="L872" i="15"/>
  <c r="K872" i="15"/>
  <c r="K808" i="15"/>
  <c r="L808" i="15"/>
  <c r="K744" i="15"/>
  <c r="L744" i="15"/>
  <c r="K696" i="15"/>
  <c r="L696" i="15"/>
  <c r="K521" i="15"/>
  <c r="M521" i="15" s="1"/>
  <c r="CV116" i="3"/>
  <c r="CU116" i="3"/>
  <c r="K1185" i="15"/>
  <c r="L1185" i="15"/>
  <c r="L1049" i="15"/>
  <c r="K1049" i="15"/>
  <c r="K1240" i="15"/>
  <c r="L1240" i="15"/>
  <c r="K1152" i="15"/>
  <c r="L1152" i="15"/>
  <c r="K1100" i="15"/>
  <c r="L1100" i="15"/>
  <c r="K1036" i="15"/>
  <c r="L1036" i="15"/>
  <c r="K972" i="15"/>
  <c r="L972" i="15"/>
  <c r="L904" i="15"/>
  <c r="K904" i="15"/>
  <c r="K860" i="15"/>
  <c r="L860" i="15"/>
  <c r="K788" i="15"/>
  <c r="L788" i="15"/>
  <c r="L736" i="15"/>
  <c r="K736" i="15"/>
  <c r="K680" i="15"/>
  <c r="L680" i="15"/>
  <c r="L1309" i="15"/>
  <c r="K1309" i="15"/>
  <c r="L1153" i="15"/>
  <c r="K1153" i="15"/>
  <c r="K1033" i="15"/>
  <c r="L1033" i="15"/>
  <c r="L1236" i="15"/>
  <c r="K1236" i="15"/>
  <c r="K1144" i="15"/>
  <c r="L1144" i="15"/>
  <c r="K1080" i="15"/>
  <c r="L1080" i="15"/>
  <c r="L1032" i="15"/>
  <c r="K1032" i="15"/>
  <c r="L964" i="15"/>
  <c r="K964" i="15"/>
  <c r="K900" i="15"/>
  <c r="L900" i="15"/>
  <c r="L836" i="15"/>
  <c r="K836" i="15"/>
  <c r="L780" i="15"/>
  <c r="K780" i="15"/>
  <c r="L732" i="15"/>
  <c r="K732" i="15"/>
  <c r="K676" i="15"/>
  <c r="L676" i="15"/>
  <c r="K453" i="15"/>
  <c r="M453" i="15" s="1"/>
  <c r="L1025" i="15"/>
  <c r="M1025" i="15" s="1"/>
  <c r="K897" i="15"/>
  <c r="M897" i="15" s="1"/>
  <c r="K777" i="15"/>
  <c r="M777" i="15" s="1"/>
  <c r="K609" i="15"/>
  <c r="M609" i="15" s="1"/>
  <c r="K373" i="15"/>
  <c r="M373" i="15" s="1"/>
  <c r="L329" i="15"/>
  <c r="M329" i="15" s="1"/>
  <c r="L61" i="15"/>
  <c r="M61" i="15" s="1"/>
  <c r="K1301" i="15"/>
  <c r="L1301" i="15"/>
  <c r="L1149" i="15"/>
  <c r="K1149" i="15"/>
  <c r="L1021" i="15"/>
  <c r="K1021" i="15"/>
  <c r="L1300" i="15"/>
  <c r="K1300" i="15"/>
  <c r="K1228" i="15"/>
  <c r="L1228" i="15"/>
  <c r="L1136" i="15"/>
  <c r="K1136" i="15"/>
  <c r="K1076" i="15"/>
  <c r="L1076" i="15"/>
  <c r="L1028" i="15"/>
  <c r="K1028" i="15"/>
  <c r="K932" i="15"/>
  <c r="L932" i="15"/>
  <c r="L896" i="15"/>
  <c r="K896" i="15"/>
  <c r="K828" i="15"/>
  <c r="L828" i="15"/>
  <c r="L768" i="15"/>
  <c r="K768" i="15"/>
  <c r="L720" i="15"/>
  <c r="K720" i="15"/>
  <c r="L165" i="15"/>
  <c r="M165" i="15" s="1"/>
  <c r="L429" i="15"/>
  <c r="M429" i="15" s="1"/>
  <c r="CV110" i="3"/>
  <c r="CU110" i="3"/>
  <c r="CV30" i="3"/>
  <c r="CU30" i="3"/>
  <c r="K1269" i="15"/>
  <c r="L1269" i="15"/>
  <c r="L1141" i="15"/>
  <c r="K1141" i="15"/>
  <c r="L1005" i="15"/>
  <c r="K1005" i="15"/>
  <c r="K1280" i="15"/>
  <c r="L1280" i="15"/>
  <c r="L1224" i="15"/>
  <c r="K1224" i="15"/>
  <c r="L1132" i="15"/>
  <c r="K1132" i="15"/>
  <c r="K1064" i="15"/>
  <c r="L1064" i="15"/>
  <c r="K1016" i="15"/>
  <c r="L1016" i="15"/>
  <c r="K928" i="15"/>
  <c r="L928" i="15"/>
  <c r="L892" i="15"/>
  <c r="K892" i="15"/>
  <c r="L824" i="15"/>
  <c r="K824" i="15"/>
  <c r="K764" i="15"/>
  <c r="L764" i="15"/>
  <c r="L716" i="15"/>
  <c r="K716" i="15"/>
  <c r="L92" i="15"/>
  <c r="K92" i="15"/>
  <c r="L1237" i="15"/>
  <c r="K1237" i="15"/>
  <c r="K1133" i="15"/>
  <c r="L1133" i="15"/>
  <c r="K1272" i="15"/>
  <c r="L1272" i="15"/>
  <c r="K1216" i="15"/>
  <c r="L1216" i="15"/>
  <c r="K1128" i="15"/>
  <c r="L1128" i="15"/>
  <c r="K1056" i="15"/>
  <c r="L1056" i="15"/>
  <c r="K996" i="15"/>
  <c r="L996" i="15"/>
  <c r="L924" i="15"/>
  <c r="K924" i="15"/>
  <c r="K888" i="15"/>
  <c r="L888" i="15"/>
  <c r="L820" i="15"/>
  <c r="K820" i="15"/>
  <c r="K760" i="15"/>
  <c r="L760" i="15"/>
  <c r="K708" i="15"/>
  <c r="L708" i="15"/>
  <c r="K48" i="15"/>
  <c r="L48" i="15"/>
  <c r="K621" i="15"/>
  <c r="M621" i="15" s="1"/>
  <c r="K1123" i="15"/>
  <c r="L1123" i="15"/>
  <c r="L911" i="15"/>
  <c r="K911" i="15"/>
  <c r="L631" i="15"/>
  <c r="K631" i="15"/>
  <c r="K339" i="15"/>
  <c r="L339" i="15"/>
  <c r="L115" i="15"/>
  <c r="K115" i="15"/>
  <c r="K465" i="15"/>
  <c r="L465" i="15"/>
  <c r="L433" i="15"/>
  <c r="K433" i="15"/>
  <c r="K397" i="15"/>
  <c r="L397" i="15"/>
  <c r="K365" i="15"/>
  <c r="L365" i="15"/>
  <c r="L333" i="15"/>
  <c r="K333" i="15"/>
  <c r="L301" i="15"/>
  <c r="K301" i="15"/>
  <c r="K269" i="15"/>
  <c r="L269" i="15"/>
  <c r="L233" i="15"/>
  <c r="K233" i="15"/>
  <c r="K201" i="15"/>
  <c r="L201" i="15"/>
  <c r="L169" i="15"/>
  <c r="K169" i="15"/>
  <c r="K137" i="15"/>
  <c r="L137" i="15"/>
  <c r="K105" i="15"/>
  <c r="L105" i="15"/>
  <c r="K41" i="15"/>
  <c r="L41" i="15"/>
  <c r="K9" i="15"/>
  <c r="L9" i="15"/>
  <c r="K1257" i="15"/>
  <c r="L1257" i="15"/>
  <c r="K1177" i="15"/>
  <c r="L1177" i="15"/>
  <c r="K1077" i="15"/>
  <c r="L1077" i="15"/>
  <c r="K1013" i="15"/>
  <c r="L1013" i="15"/>
  <c r="K973" i="15"/>
  <c r="L973" i="15"/>
  <c r="K941" i="15"/>
  <c r="L941" i="15"/>
  <c r="L909" i="15"/>
  <c r="K909" i="15"/>
  <c r="L877" i="15"/>
  <c r="K877" i="15"/>
  <c r="K845" i="15"/>
  <c r="L845" i="15"/>
  <c r="K813" i="15"/>
  <c r="L813" i="15"/>
  <c r="K781" i="15"/>
  <c r="L781" i="15"/>
  <c r="L749" i="15"/>
  <c r="K749" i="15"/>
  <c r="K717" i="15"/>
  <c r="L717" i="15"/>
  <c r="L685" i="15"/>
  <c r="K685" i="15"/>
  <c r="K653" i="15"/>
  <c r="L653" i="15"/>
  <c r="K557" i="15"/>
  <c r="L557" i="15"/>
  <c r="K525" i="15"/>
  <c r="L525" i="15"/>
  <c r="L493" i="15"/>
  <c r="K493" i="15"/>
  <c r="L392" i="15"/>
  <c r="K392" i="15"/>
  <c r="K336" i="15"/>
  <c r="L336" i="15"/>
  <c r="K272" i="15"/>
  <c r="L272" i="15"/>
  <c r="L208" i="15"/>
  <c r="K208" i="15"/>
  <c r="K164" i="15"/>
  <c r="L164" i="15"/>
  <c r="K88" i="15"/>
  <c r="L88" i="15"/>
  <c r="L28" i="15"/>
  <c r="K28" i="15"/>
  <c r="CV199" i="3"/>
  <c r="CU199" i="3"/>
  <c r="K1245" i="15"/>
  <c r="L1245" i="15"/>
  <c r="L1137" i="15"/>
  <c r="K1137" i="15"/>
  <c r="K1073" i="15"/>
  <c r="L1073" i="15"/>
  <c r="L1009" i="15"/>
  <c r="K1009" i="15"/>
  <c r="K969" i="15"/>
  <c r="L969" i="15"/>
  <c r="L937" i="15"/>
  <c r="K937" i="15"/>
  <c r="K905" i="15"/>
  <c r="L905" i="15"/>
  <c r="K873" i="15"/>
  <c r="L873" i="15"/>
  <c r="L841" i="15"/>
  <c r="K841" i="15"/>
  <c r="L809" i="15"/>
  <c r="K809" i="15"/>
  <c r="K617" i="15"/>
  <c r="L617" i="15"/>
  <c r="L585" i="15"/>
  <c r="K585" i="15"/>
  <c r="L553" i="15"/>
  <c r="K553" i="15"/>
  <c r="L388" i="15"/>
  <c r="K388" i="15"/>
  <c r="K328" i="15"/>
  <c r="L328" i="15"/>
  <c r="L268" i="15"/>
  <c r="K268" i="15"/>
  <c r="K200" i="15"/>
  <c r="L200" i="15"/>
  <c r="L156" i="15"/>
  <c r="K156" i="15"/>
  <c r="K84" i="15"/>
  <c r="L84" i="15"/>
  <c r="L24" i="15"/>
  <c r="K24" i="15"/>
  <c r="L1303" i="15"/>
  <c r="K1303" i="15"/>
  <c r="L1099" i="15"/>
  <c r="K1099" i="15"/>
  <c r="K895" i="15"/>
  <c r="L895" i="15"/>
  <c r="L619" i="15"/>
  <c r="K619" i="15"/>
  <c r="K335" i="15"/>
  <c r="L335" i="15"/>
  <c r="L83" i="15"/>
  <c r="K83" i="15"/>
  <c r="L461" i="15"/>
  <c r="K461" i="15"/>
  <c r="K393" i="15"/>
  <c r="L393" i="15"/>
  <c r="K361" i="15"/>
  <c r="L361" i="15"/>
  <c r="L297" i="15"/>
  <c r="K297" i="15"/>
  <c r="L229" i="15"/>
  <c r="K229" i="15"/>
  <c r="L197" i="15"/>
  <c r="K197" i="15"/>
  <c r="L133" i="15"/>
  <c r="K133" i="15"/>
  <c r="L69" i="15"/>
  <c r="K69" i="15"/>
  <c r="L477" i="15"/>
  <c r="M477" i="15" s="1"/>
  <c r="K189" i="15"/>
  <c r="M189" i="15" s="1"/>
  <c r="CV213" i="3"/>
  <c r="CU213" i="3"/>
  <c r="K1289" i="15"/>
  <c r="L1289" i="15"/>
  <c r="L1233" i="15"/>
  <c r="K1233" i="15"/>
  <c r="L1129" i="15"/>
  <c r="K1129" i="15"/>
  <c r="K1001" i="15"/>
  <c r="L1001" i="15"/>
  <c r="L965" i="15"/>
  <c r="K965" i="15"/>
  <c r="K837" i="15"/>
  <c r="L837" i="15"/>
  <c r="K805" i="15"/>
  <c r="L805" i="15"/>
  <c r="K709" i="15"/>
  <c r="L709" i="15"/>
  <c r="K677" i="15"/>
  <c r="L677" i="15"/>
  <c r="L645" i="15"/>
  <c r="K645" i="15"/>
  <c r="K581" i="15"/>
  <c r="L581" i="15"/>
  <c r="K549" i="15"/>
  <c r="L549" i="15"/>
  <c r="K485" i="15"/>
  <c r="L485" i="15"/>
  <c r="L324" i="15"/>
  <c r="K324" i="15"/>
  <c r="L260" i="15"/>
  <c r="K260" i="15"/>
  <c r="K192" i="15"/>
  <c r="L192" i="15"/>
  <c r="L144" i="15"/>
  <c r="K144" i="15"/>
  <c r="L80" i="15"/>
  <c r="K80" i="15"/>
  <c r="K20" i="15"/>
  <c r="L20" i="15"/>
  <c r="K1267" i="15"/>
  <c r="L1267" i="15"/>
  <c r="L1047" i="15"/>
  <c r="K1047" i="15"/>
  <c r="L543" i="15"/>
  <c r="K543" i="15"/>
  <c r="L311" i="15"/>
  <c r="K311" i="15"/>
  <c r="K11" i="15"/>
  <c r="L11" i="15"/>
  <c r="K389" i="15"/>
  <c r="L389" i="15"/>
  <c r="L357" i="15"/>
  <c r="K357" i="15"/>
  <c r="K293" i="15"/>
  <c r="L293" i="15"/>
  <c r="K261" i="15"/>
  <c r="L261" i="15"/>
  <c r="K225" i="15"/>
  <c r="L225" i="15"/>
  <c r="L193" i="15"/>
  <c r="K193" i="15"/>
  <c r="K161" i="15"/>
  <c r="L161" i="15"/>
  <c r="L97" i="15"/>
  <c r="K97" i="15"/>
  <c r="L1285" i="15"/>
  <c r="K1285" i="15"/>
  <c r="K1229" i="15"/>
  <c r="L1229" i="15"/>
  <c r="K1125" i="15"/>
  <c r="L1125" i="15"/>
  <c r="K929" i="15"/>
  <c r="L929" i="15"/>
  <c r="K705" i="15"/>
  <c r="L705" i="15"/>
  <c r="L481" i="15"/>
  <c r="K481" i="15"/>
  <c r="L372" i="15"/>
  <c r="K372" i="15"/>
  <c r="L312" i="15"/>
  <c r="K312" i="15"/>
  <c r="L256" i="15"/>
  <c r="K256" i="15"/>
  <c r="L184" i="15"/>
  <c r="K184" i="15"/>
  <c r="L140" i="15"/>
  <c r="K140" i="15"/>
  <c r="K72" i="15"/>
  <c r="L72" i="15"/>
  <c r="L12" i="15"/>
  <c r="K12" i="15"/>
  <c r="K1263" i="15"/>
  <c r="L1263" i="15"/>
  <c r="L1003" i="15"/>
  <c r="K1003" i="15"/>
  <c r="L815" i="15"/>
  <c r="K815" i="15"/>
  <c r="L519" i="15"/>
  <c r="K519" i="15"/>
  <c r="L295" i="15"/>
  <c r="K295" i="15"/>
  <c r="K7" i="15"/>
  <c r="L7" i="15"/>
  <c r="K353" i="15"/>
  <c r="L353" i="15"/>
  <c r="K321" i="15"/>
  <c r="L321" i="15"/>
  <c r="L257" i="15"/>
  <c r="K257" i="15"/>
  <c r="L221" i="15"/>
  <c r="K221" i="15"/>
  <c r="CJ30" i="3"/>
  <c r="K769" i="15"/>
  <c r="M769" i="15" s="1"/>
  <c r="L289" i="15"/>
  <c r="M289" i="15" s="1"/>
  <c r="K1281" i="15"/>
  <c r="L1281" i="15"/>
  <c r="K1209" i="15"/>
  <c r="L1209" i="15"/>
  <c r="K1117" i="15"/>
  <c r="L1117" i="15"/>
  <c r="K1045" i="15"/>
  <c r="L1045" i="15"/>
  <c r="K989" i="15"/>
  <c r="L989" i="15"/>
  <c r="K893" i="15"/>
  <c r="L893" i="15"/>
  <c r="L861" i="15"/>
  <c r="K861" i="15"/>
  <c r="L829" i="15"/>
  <c r="K829" i="15"/>
  <c r="L637" i="15"/>
  <c r="K637" i="15"/>
  <c r="L605" i="15"/>
  <c r="K605" i="15"/>
  <c r="L509" i="15"/>
  <c r="K509" i="15"/>
  <c r="K356" i="15"/>
  <c r="L356" i="15"/>
  <c r="L308" i="15"/>
  <c r="K308" i="15"/>
  <c r="L248" i="15"/>
  <c r="K248" i="15"/>
  <c r="L180" i="15"/>
  <c r="K180" i="15"/>
  <c r="L128" i="15"/>
  <c r="K128" i="15"/>
  <c r="L68" i="15"/>
  <c r="K68" i="15"/>
  <c r="L8" i="15"/>
  <c r="K8" i="15"/>
  <c r="L1247" i="15"/>
  <c r="K1247" i="15"/>
  <c r="L995" i="15"/>
  <c r="K995" i="15"/>
  <c r="L759" i="15"/>
  <c r="K759" i="15"/>
  <c r="L511" i="15"/>
  <c r="K511" i="15"/>
  <c r="L211" i="15"/>
  <c r="K211" i="15"/>
  <c r="K449" i="15"/>
  <c r="L449" i="15"/>
  <c r="L381" i="15"/>
  <c r="K381" i="15"/>
  <c r="K317" i="15"/>
  <c r="L317" i="15"/>
  <c r="K249" i="15"/>
  <c r="L249" i="15"/>
  <c r="L217" i="15"/>
  <c r="K217" i="15"/>
  <c r="K89" i="15"/>
  <c r="L89" i="15"/>
  <c r="L57" i="15"/>
  <c r="K57" i="15"/>
  <c r="K25" i="15"/>
  <c r="L25" i="15"/>
  <c r="K745" i="15"/>
  <c r="M745" i="15" s="1"/>
  <c r="L1277" i="15"/>
  <c r="K1277" i="15"/>
  <c r="K1193" i="15"/>
  <c r="L1193" i="15"/>
  <c r="K1109" i="15"/>
  <c r="L1109" i="15"/>
  <c r="L985" i="15"/>
  <c r="K985" i="15"/>
  <c r="L857" i="15"/>
  <c r="K857" i="15"/>
  <c r="L793" i="15"/>
  <c r="K793" i="15"/>
  <c r="K761" i="15"/>
  <c r="L761" i="15"/>
  <c r="K729" i="15"/>
  <c r="L729" i="15"/>
  <c r="K665" i="15"/>
  <c r="L665" i="15"/>
  <c r="L537" i="15"/>
  <c r="K537" i="15"/>
  <c r="K473" i="15"/>
  <c r="L473" i="15"/>
  <c r="K348" i="15"/>
  <c r="L348" i="15"/>
  <c r="K304" i="15"/>
  <c r="L304" i="15"/>
  <c r="L232" i="15"/>
  <c r="K232" i="15"/>
  <c r="K176" i="15"/>
  <c r="L176" i="15"/>
  <c r="L120" i="15"/>
  <c r="K120" i="15"/>
  <c r="K64" i="15"/>
  <c r="L64" i="15"/>
  <c r="K1183" i="15"/>
  <c r="L1183" i="15"/>
  <c r="L723" i="15"/>
  <c r="K723" i="15"/>
  <c r="L187" i="15"/>
  <c r="K187" i="15"/>
  <c r="L313" i="15"/>
  <c r="K313" i="15"/>
  <c r="K245" i="15"/>
  <c r="L245" i="15"/>
  <c r="K181" i="15"/>
  <c r="L181" i="15"/>
  <c r="L149" i="15"/>
  <c r="K149" i="15"/>
  <c r="L85" i="15"/>
  <c r="K85" i="15"/>
  <c r="CV221" i="3"/>
  <c r="CU221" i="3"/>
  <c r="L1273" i="15"/>
  <c r="K1273" i="15"/>
  <c r="K1189" i="15"/>
  <c r="L1189" i="15"/>
  <c r="L1097" i="15"/>
  <c r="K1097" i="15"/>
  <c r="K949" i="15"/>
  <c r="L949" i="15"/>
  <c r="K917" i="15"/>
  <c r="L917" i="15"/>
  <c r="K789" i="15"/>
  <c r="L789" i="15"/>
  <c r="L757" i="15"/>
  <c r="K757" i="15"/>
  <c r="K725" i="15"/>
  <c r="L725" i="15"/>
  <c r="L693" i="15"/>
  <c r="K693" i="15"/>
  <c r="L565" i="15"/>
  <c r="K565" i="15"/>
  <c r="L344" i="15"/>
  <c r="K344" i="15"/>
  <c r="L300" i="15"/>
  <c r="K300" i="15"/>
  <c r="L228" i="15"/>
  <c r="K228" i="15"/>
  <c r="K172" i="15"/>
  <c r="L172" i="15"/>
  <c r="L100" i="15"/>
  <c r="K100" i="15"/>
  <c r="L36" i="15"/>
  <c r="K36" i="15"/>
  <c r="L1175" i="15"/>
  <c r="K1175" i="15"/>
  <c r="L943" i="15"/>
  <c r="K943" i="15"/>
  <c r="L663" i="15"/>
  <c r="K663" i="15"/>
  <c r="L419" i="15"/>
  <c r="K419" i="15"/>
  <c r="L147" i="15"/>
  <c r="K147" i="15"/>
  <c r="L309" i="15"/>
  <c r="K309" i="15"/>
  <c r="L145" i="15"/>
  <c r="K145" i="15"/>
  <c r="K113" i="15"/>
  <c r="L113" i="15"/>
  <c r="K502" i="15"/>
  <c r="M502" i="15" s="1"/>
  <c r="CV219" i="3"/>
  <c r="CU219" i="3"/>
  <c r="K1261" i="15"/>
  <c r="L1261" i="15"/>
  <c r="K1181" i="15"/>
  <c r="L1181" i="15"/>
  <c r="L1089" i="15"/>
  <c r="K1089" i="15"/>
  <c r="L977" i="15"/>
  <c r="K977" i="15"/>
  <c r="K945" i="15"/>
  <c r="L945" i="15"/>
  <c r="K881" i="15"/>
  <c r="L881" i="15"/>
  <c r="K849" i="15"/>
  <c r="L849" i="15"/>
  <c r="K657" i="15"/>
  <c r="L657" i="15"/>
  <c r="L561" i="15"/>
  <c r="K561" i="15"/>
  <c r="K497" i="15"/>
  <c r="L497" i="15"/>
  <c r="K400" i="15"/>
  <c r="L400" i="15"/>
  <c r="K340" i="15"/>
  <c r="L340" i="15"/>
  <c r="L280" i="15"/>
  <c r="K280" i="15"/>
  <c r="K220" i="15"/>
  <c r="L220" i="15"/>
  <c r="K168" i="15"/>
  <c r="L168" i="15"/>
  <c r="L96" i="15"/>
  <c r="K96" i="15"/>
  <c r="L32" i="15"/>
  <c r="K32" i="15"/>
  <c r="L1147" i="15"/>
  <c r="K1147" i="15"/>
  <c r="K931" i="15"/>
  <c r="L931" i="15"/>
  <c r="L655" i="15"/>
  <c r="K655" i="15"/>
  <c r="L411" i="15"/>
  <c r="K411" i="15"/>
  <c r="L135" i="15"/>
  <c r="K135" i="15"/>
  <c r="K437" i="15"/>
  <c r="L437" i="15"/>
  <c r="K237" i="15"/>
  <c r="L237" i="15"/>
  <c r="L141" i="15"/>
  <c r="K141" i="15"/>
  <c r="L77" i="15"/>
  <c r="K77" i="15"/>
  <c r="L13" i="15"/>
  <c r="K13" i="15"/>
  <c r="L1022" i="15"/>
  <c r="M1022" i="15" s="1"/>
  <c r="K1196" i="15"/>
  <c r="M1196" i="15" s="1"/>
  <c r="K1255" i="15"/>
  <c r="L1255" i="15"/>
  <c r="L1083" i="15"/>
  <c r="K1083" i="15"/>
  <c r="K935" i="15"/>
  <c r="L935" i="15"/>
  <c r="K595" i="15"/>
  <c r="L595" i="15"/>
  <c r="K443" i="15"/>
  <c r="L443" i="15"/>
  <c r="K283" i="15"/>
  <c r="L283" i="15"/>
  <c r="K127" i="15"/>
  <c r="L127" i="15"/>
  <c r="L850" i="15"/>
  <c r="K850" i="15"/>
  <c r="K702" i="15"/>
  <c r="L702" i="15"/>
  <c r="K570" i="15"/>
  <c r="L570" i="15"/>
  <c r="L434" i="15"/>
  <c r="K434" i="15"/>
  <c r="CV285" i="3"/>
  <c r="CU285" i="3"/>
  <c r="L599" i="15"/>
  <c r="K599" i="15"/>
  <c r="K31" i="15"/>
  <c r="L31" i="15"/>
  <c r="K718" i="15"/>
  <c r="L718" i="15"/>
  <c r="K1239" i="15"/>
  <c r="L1239" i="15"/>
  <c r="L1079" i="15"/>
  <c r="K1079" i="15"/>
  <c r="L915" i="15"/>
  <c r="K915" i="15"/>
  <c r="K743" i="15"/>
  <c r="L743" i="15"/>
  <c r="K587" i="15"/>
  <c r="L587" i="15"/>
  <c r="K439" i="15"/>
  <c r="L439" i="15"/>
  <c r="L279" i="15"/>
  <c r="K279" i="15"/>
  <c r="L119" i="15"/>
  <c r="K119" i="15"/>
  <c r="L826" i="15"/>
  <c r="K826" i="15"/>
  <c r="L686" i="15"/>
  <c r="K686" i="15"/>
  <c r="L554" i="15"/>
  <c r="K554" i="15"/>
  <c r="L418" i="15"/>
  <c r="K418" i="15"/>
  <c r="CV236" i="3"/>
  <c r="CU236" i="3"/>
  <c r="L1259" i="15"/>
  <c r="K1259" i="15"/>
  <c r="K1227" i="15"/>
  <c r="L1227" i="15"/>
  <c r="K1075" i="15"/>
  <c r="L1075" i="15"/>
  <c r="L735" i="15"/>
  <c r="K735" i="15"/>
  <c r="L579" i="15"/>
  <c r="K579" i="15"/>
  <c r="K423" i="15"/>
  <c r="L423" i="15"/>
  <c r="K239" i="15"/>
  <c r="L239" i="15"/>
  <c r="L107" i="15"/>
  <c r="K107" i="15"/>
  <c r="K810" i="15"/>
  <c r="L810" i="15"/>
  <c r="L670" i="15"/>
  <c r="K670" i="15"/>
  <c r="L538" i="15"/>
  <c r="K538" i="15"/>
  <c r="K402" i="15"/>
  <c r="L402" i="15"/>
  <c r="L1111" i="15"/>
  <c r="K1111" i="15"/>
  <c r="L779" i="15"/>
  <c r="K779" i="15"/>
  <c r="L171" i="15"/>
  <c r="K171" i="15"/>
  <c r="K454" i="15"/>
  <c r="L454" i="15"/>
  <c r="CV228" i="3"/>
  <c r="CU228" i="3"/>
  <c r="CV35" i="3"/>
  <c r="CU35" i="3"/>
  <c r="K1195" i="15"/>
  <c r="L1195" i="15"/>
  <c r="K1055" i="15"/>
  <c r="L1055" i="15"/>
  <c r="L703" i="15"/>
  <c r="K703" i="15"/>
  <c r="K551" i="15"/>
  <c r="L551" i="15"/>
  <c r="L395" i="15"/>
  <c r="K395" i="15"/>
  <c r="K235" i="15"/>
  <c r="L235" i="15"/>
  <c r="L75" i="15"/>
  <c r="K75" i="15"/>
  <c r="K794" i="15"/>
  <c r="L794" i="15"/>
  <c r="L654" i="15"/>
  <c r="K654" i="15"/>
  <c r="L522" i="15"/>
  <c r="K522" i="15"/>
  <c r="L386" i="15"/>
  <c r="K386" i="15"/>
  <c r="L6" i="15"/>
  <c r="K6" i="15"/>
  <c r="L959" i="15"/>
  <c r="K959" i="15"/>
  <c r="L859" i="15"/>
  <c r="K859" i="15"/>
  <c r="L455" i="15"/>
  <c r="K455" i="15"/>
  <c r="L586" i="15"/>
  <c r="K586" i="15"/>
  <c r="CV259" i="3"/>
  <c r="CU259" i="3"/>
  <c r="CV113" i="3"/>
  <c r="CU113" i="3"/>
  <c r="K1167" i="15"/>
  <c r="L1167" i="15"/>
  <c r="K1035" i="15"/>
  <c r="L1035" i="15"/>
  <c r="K891" i="15"/>
  <c r="L891" i="15"/>
  <c r="L847" i="15"/>
  <c r="K847" i="15"/>
  <c r="K683" i="15"/>
  <c r="L683" i="15"/>
  <c r="K527" i="15"/>
  <c r="L527" i="15"/>
  <c r="K367" i="15"/>
  <c r="L367" i="15"/>
  <c r="K227" i="15"/>
  <c r="L227" i="15"/>
  <c r="L71" i="15"/>
  <c r="K71" i="15"/>
  <c r="L770" i="15"/>
  <c r="K770" i="15"/>
  <c r="L638" i="15"/>
  <c r="K638" i="15"/>
  <c r="K506" i="15"/>
  <c r="L506" i="15"/>
  <c r="L106" i="15"/>
  <c r="K106" i="15"/>
  <c r="K1275" i="15"/>
  <c r="L1275" i="15"/>
  <c r="K1155" i="15"/>
  <c r="L1155" i="15"/>
  <c r="K983" i="15"/>
  <c r="L983" i="15"/>
  <c r="L863" i="15"/>
  <c r="K863" i="15"/>
  <c r="L807" i="15"/>
  <c r="K807" i="15"/>
  <c r="L651" i="15"/>
  <c r="K651" i="15"/>
  <c r="K487" i="15"/>
  <c r="L487" i="15"/>
  <c r="K323" i="15"/>
  <c r="L323" i="15"/>
  <c r="L179" i="15"/>
  <c r="K179" i="15"/>
  <c r="K47" i="15"/>
  <c r="L47" i="15"/>
  <c r="L978" i="15"/>
  <c r="K978" i="15"/>
  <c r="K734" i="15"/>
  <c r="L734" i="15"/>
  <c r="L602" i="15"/>
  <c r="K602" i="15"/>
  <c r="L474" i="15"/>
  <c r="K474" i="15"/>
  <c r="K14" i="15"/>
  <c r="L14" i="15"/>
  <c r="K299" i="15"/>
  <c r="L299" i="15"/>
  <c r="K866" i="15"/>
  <c r="L866" i="15"/>
  <c r="CV159" i="3"/>
  <c r="CU159" i="3"/>
  <c r="K1291" i="15"/>
  <c r="L1291" i="15"/>
  <c r="L1163" i="15"/>
  <c r="K1163" i="15"/>
  <c r="L999" i="15"/>
  <c r="K999" i="15"/>
  <c r="K883" i="15"/>
  <c r="L883" i="15"/>
  <c r="K839" i="15"/>
  <c r="L839" i="15"/>
  <c r="K667" i="15"/>
  <c r="L667" i="15"/>
  <c r="L363" i="15"/>
  <c r="K363" i="15"/>
  <c r="L219" i="15"/>
  <c r="K219" i="15"/>
  <c r="L55" i="15"/>
  <c r="K55" i="15"/>
  <c r="L1070" i="15"/>
  <c r="K1070" i="15"/>
  <c r="L750" i="15"/>
  <c r="K750" i="15"/>
  <c r="K622" i="15"/>
  <c r="L622" i="15"/>
  <c r="K490" i="15"/>
  <c r="L490" i="15"/>
  <c r="L54" i="15"/>
  <c r="K54" i="15"/>
  <c r="N4" i="17"/>
  <c r="L167" i="15"/>
  <c r="K167" i="15"/>
  <c r="K1140" i="15"/>
  <c r="L1140" i="15"/>
  <c r="L572" i="15"/>
  <c r="K572" i="15"/>
  <c r="K1118" i="15"/>
  <c r="L1118" i="15"/>
  <c r="K986" i="15"/>
  <c r="L986" i="15"/>
  <c r="K890" i="15"/>
  <c r="L890" i="15"/>
  <c r="K802" i="15"/>
  <c r="L802" i="15"/>
  <c r="L690" i="15"/>
  <c r="K690" i="15"/>
  <c r="K610" i="15"/>
  <c r="L610" i="15"/>
  <c r="L442" i="15"/>
  <c r="K442" i="15"/>
  <c r="K342" i="15"/>
  <c r="L342" i="15"/>
  <c r="K218" i="15"/>
  <c r="L218" i="15"/>
  <c r="L122" i="15"/>
  <c r="M122" i="15" s="1"/>
  <c r="L143" i="15"/>
  <c r="K143" i="15"/>
  <c r="K1120" i="15"/>
  <c r="L1120" i="15"/>
  <c r="K480" i="15"/>
  <c r="L480" i="15"/>
  <c r="L1262" i="15"/>
  <c r="K1262" i="15"/>
  <c r="L1098" i="15"/>
  <c r="K1098" i="15"/>
  <c r="L966" i="15"/>
  <c r="K966" i="15"/>
  <c r="L874" i="15"/>
  <c r="K874" i="15"/>
  <c r="L786" i="15"/>
  <c r="K786" i="15"/>
  <c r="L678" i="15"/>
  <c r="K678" i="15"/>
  <c r="L598" i="15"/>
  <c r="K598" i="15"/>
  <c r="K430" i="15"/>
  <c r="L430" i="15"/>
  <c r="K202" i="15"/>
  <c r="L202" i="15"/>
  <c r="K90" i="15"/>
  <c r="L90" i="15"/>
  <c r="L1096" i="15"/>
  <c r="K1096" i="15"/>
  <c r="L1238" i="15"/>
  <c r="K1238" i="15"/>
  <c r="K1094" i="15"/>
  <c r="L1094" i="15"/>
  <c r="L958" i="15"/>
  <c r="K958" i="15"/>
  <c r="K870" i="15"/>
  <c r="L870" i="15"/>
  <c r="K762" i="15"/>
  <c r="L762" i="15"/>
  <c r="K666" i="15"/>
  <c r="L666" i="15"/>
  <c r="L590" i="15"/>
  <c r="K590" i="15"/>
  <c r="K414" i="15"/>
  <c r="L414" i="15"/>
  <c r="K306" i="15"/>
  <c r="L306" i="15"/>
  <c r="L198" i="15"/>
  <c r="K198" i="15"/>
  <c r="L1308" i="15"/>
  <c r="K1308" i="15"/>
  <c r="K1072" i="15"/>
  <c r="L1072" i="15"/>
  <c r="K1226" i="15"/>
  <c r="L1226" i="15"/>
  <c r="L1078" i="15"/>
  <c r="K1078" i="15"/>
  <c r="K950" i="15"/>
  <c r="L950" i="15"/>
  <c r="L846" i="15"/>
  <c r="K846" i="15"/>
  <c r="L742" i="15"/>
  <c r="K742" i="15"/>
  <c r="L662" i="15"/>
  <c r="K662" i="15"/>
  <c r="K574" i="15"/>
  <c r="L574" i="15"/>
  <c r="L410" i="15"/>
  <c r="K410" i="15"/>
  <c r="K298" i="15"/>
  <c r="L298" i="15"/>
  <c r="K182" i="15"/>
  <c r="L182" i="15"/>
  <c r="L86" i="15"/>
  <c r="K86" i="15"/>
  <c r="L1024" i="15"/>
  <c r="K1024" i="15"/>
  <c r="L1194" i="15"/>
  <c r="K1194" i="15"/>
  <c r="L1050" i="15"/>
  <c r="K1050" i="15"/>
  <c r="K942" i="15"/>
  <c r="L942" i="15"/>
  <c r="L842" i="15"/>
  <c r="K842" i="15"/>
  <c r="L730" i="15"/>
  <c r="K730" i="15"/>
  <c r="L646" i="15"/>
  <c r="K646" i="15"/>
  <c r="L566" i="15"/>
  <c r="K566" i="15"/>
  <c r="K282" i="15"/>
  <c r="L282" i="15"/>
  <c r="L178" i="15"/>
  <c r="K178" i="15"/>
  <c r="K70" i="15"/>
  <c r="L70" i="15"/>
  <c r="K1252" i="15"/>
  <c r="L1252" i="15"/>
  <c r="L960" i="15"/>
  <c r="K960" i="15"/>
  <c r="L1158" i="15"/>
  <c r="K1158" i="15"/>
  <c r="L1046" i="15"/>
  <c r="K1046" i="15"/>
  <c r="L934" i="15"/>
  <c r="K934" i="15"/>
  <c r="L838" i="15"/>
  <c r="K838" i="15"/>
  <c r="K722" i="15"/>
  <c r="L722" i="15"/>
  <c r="L634" i="15"/>
  <c r="K634" i="15"/>
  <c r="L534" i="15"/>
  <c r="K534" i="15"/>
  <c r="K378" i="15"/>
  <c r="L378" i="15"/>
  <c r="L258" i="15"/>
  <c r="K258" i="15"/>
  <c r="L162" i="15"/>
  <c r="K162" i="15"/>
  <c r="K42" i="15"/>
  <c r="L42" i="15"/>
  <c r="K330" i="15"/>
  <c r="M330" i="15" s="1"/>
  <c r="K315" i="15"/>
  <c r="L315" i="15"/>
  <c r="K1208" i="15"/>
  <c r="L1208" i="15"/>
  <c r="K856" i="15"/>
  <c r="L856" i="15"/>
  <c r="K1142" i="15"/>
  <c r="L1142" i="15"/>
  <c r="K910" i="15"/>
  <c r="L910" i="15"/>
  <c r="K834" i="15"/>
  <c r="L834" i="15"/>
  <c r="L714" i="15"/>
  <c r="K714" i="15"/>
  <c r="K630" i="15"/>
  <c r="L630" i="15"/>
  <c r="K374" i="15"/>
  <c r="L374" i="15"/>
  <c r="L254" i="15"/>
  <c r="K254" i="15"/>
  <c r="L154" i="15"/>
  <c r="K154" i="15"/>
  <c r="L30" i="15"/>
  <c r="K30" i="15"/>
  <c r="K203" i="15"/>
  <c r="L203" i="15"/>
  <c r="K800" i="15"/>
  <c r="L800" i="15"/>
  <c r="L1294" i="15"/>
  <c r="K1294" i="15"/>
  <c r="L1130" i="15"/>
  <c r="K1130" i="15"/>
  <c r="L990" i="15"/>
  <c r="K990" i="15"/>
  <c r="L902" i="15"/>
  <c r="K902" i="15"/>
  <c r="L822" i="15"/>
  <c r="K822" i="15"/>
  <c r="K698" i="15"/>
  <c r="L698" i="15"/>
  <c r="K614" i="15"/>
  <c r="L614" i="15"/>
  <c r="K478" i="15"/>
  <c r="L478" i="15"/>
  <c r="K358" i="15"/>
  <c r="L358" i="15"/>
  <c r="K246" i="15"/>
  <c r="L246" i="15"/>
  <c r="K130" i="15"/>
  <c r="L130" i="15"/>
  <c r="L5" i="15"/>
  <c r="K5" i="15"/>
  <c r="CD233" i="3"/>
  <c r="K548" i="15"/>
  <c r="L548" i="15"/>
  <c r="L16" i="15"/>
  <c r="K16" i="15"/>
  <c r="K302" i="15"/>
  <c r="L302" i="15"/>
  <c r="K150" i="15"/>
  <c r="L150" i="15"/>
  <c r="K22" i="15"/>
  <c r="L22" i="15"/>
  <c r="K286" i="15"/>
  <c r="L286" i="15"/>
  <c r="K134" i="15"/>
  <c r="L134" i="15"/>
  <c r="L10" i="15"/>
  <c r="K10" i="15"/>
  <c r="L266" i="15"/>
  <c r="K266" i="15"/>
  <c r="L118" i="15"/>
  <c r="K118" i="15"/>
  <c r="L250" i="15"/>
  <c r="K250" i="15"/>
  <c r="K102" i="15"/>
  <c r="L102" i="15"/>
  <c r="K370" i="15"/>
  <c r="L370" i="15"/>
  <c r="L222" i="15"/>
  <c r="K222" i="15"/>
  <c r="L78" i="15"/>
  <c r="K78" i="15"/>
  <c r="K756" i="15"/>
  <c r="L756" i="15"/>
  <c r="CD68" i="3"/>
  <c r="BU233" i="3"/>
  <c r="L354" i="15"/>
  <c r="K354" i="15"/>
  <c r="K206" i="15"/>
  <c r="L206" i="15"/>
  <c r="K292" i="15"/>
  <c r="L292" i="15"/>
  <c r="BU68" i="3"/>
  <c r="K338" i="15"/>
  <c r="L338" i="15"/>
  <c r="L190" i="15"/>
  <c r="K190" i="15"/>
  <c r="L58" i="15"/>
  <c r="K58" i="15"/>
  <c r="BV233" i="3"/>
  <c r="BX233" i="3" s="1"/>
  <c r="BY233" i="3" s="1"/>
  <c r="BV68" i="3"/>
  <c r="BW68" i="3" s="1"/>
  <c r="BX68" i="3" s="1"/>
  <c r="BY68" i="3" s="1"/>
  <c r="L322" i="15"/>
  <c r="K322" i="15"/>
  <c r="K166" i="15"/>
  <c r="L166" i="15"/>
  <c r="K34" i="15"/>
  <c r="L34" i="15"/>
  <c r="CA233" i="3"/>
  <c r="CB233" i="3" s="1"/>
  <c r="CC233" i="3" s="1"/>
  <c r="V9" i="3"/>
  <c r="U4" i="3"/>
  <c r="BZ84" i="3"/>
  <c r="CA84" i="3" s="1"/>
  <c r="CB84" i="3" s="1"/>
  <c r="CC84" i="3" s="1"/>
  <c r="CD84" i="3"/>
  <c r="BV84" i="3"/>
  <c r="BX84" i="3" s="1"/>
  <c r="BY84" i="3" s="1"/>
  <c r="CA68" i="3"/>
  <c r="CB68" i="3"/>
  <c r="CC68" i="3" s="1"/>
  <c r="CD5" i="3"/>
  <c r="BZ5" i="3"/>
  <c r="BU5" i="3"/>
  <c r="BV5" i="3"/>
  <c r="P4" i="3" l="1"/>
  <c r="I51" i="19"/>
  <c r="I67" i="19"/>
  <c r="I98" i="19"/>
  <c r="I178" i="19"/>
  <c r="I155" i="19"/>
  <c r="E86" i="19"/>
  <c r="E225" i="19"/>
  <c r="I133" i="19"/>
  <c r="I38" i="19"/>
  <c r="I161" i="19"/>
  <c r="I104" i="19"/>
  <c r="I181" i="19"/>
  <c r="I217" i="19"/>
  <c r="I89" i="19"/>
  <c r="I266" i="19"/>
  <c r="E231" i="19"/>
  <c r="E148" i="19"/>
  <c r="E81" i="19"/>
  <c r="E28" i="19"/>
  <c r="CD114" i="3"/>
  <c r="AX27" i="10"/>
  <c r="BC274" i="3" s="1"/>
  <c r="CK33" i="3"/>
  <c r="CL33" i="3" s="1"/>
  <c r="AM33" i="3" s="1"/>
  <c r="CK99" i="3"/>
  <c r="CL99" i="3" s="1"/>
  <c r="AM99" i="3" s="1"/>
  <c r="CK117" i="3"/>
  <c r="CL117" i="3" s="1"/>
  <c r="AM117" i="3" s="1"/>
  <c r="CK216" i="3"/>
  <c r="CL216" i="3" s="1"/>
  <c r="AM216" i="3" s="1"/>
  <c r="CK153" i="3"/>
  <c r="CL153" i="3" s="1"/>
  <c r="AM153" i="3" s="1"/>
  <c r="CK258" i="3"/>
  <c r="CL258" i="3" s="1"/>
  <c r="AM258" i="3" s="1"/>
  <c r="CK190" i="3"/>
  <c r="CL190" i="3" s="1"/>
  <c r="AM190" i="3" s="1"/>
  <c r="CK129" i="3"/>
  <c r="CL129" i="3" s="1"/>
  <c r="AM129" i="3" s="1"/>
  <c r="CK246" i="3"/>
  <c r="CL246" i="3" s="1"/>
  <c r="AM246" i="3" s="1"/>
  <c r="CK85" i="3"/>
  <c r="CL85" i="3" s="1"/>
  <c r="AM85" i="3" s="1"/>
  <c r="CK224" i="3"/>
  <c r="CL224" i="3" s="1"/>
  <c r="AM224" i="3" s="1"/>
  <c r="CK20" i="3"/>
  <c r="CL20" i="3" s="1"/>
  <c r="AM20" i="3" s="1"/>
  <c r="CK165" i="3"/>
  <c r="CL165" i="3" s="1"/>
  <c r="AM165" i="3" s="1"/>
  <c r="CK128" i="3"/>
  <c r="CL128" i="3" s="1"/>
  <c r="AM128" i="3" s="1"/>
  <c r="CK174" i="3"/>
  <c r="CL174" i="3" s="1"/>
  <c r="AM174" i="3" s="1"/>
  <c r="CK209" i="3"/>
  <c r="CL209" i="3" s="1"/>
  <c r="AM209" i="3" s="1"/>
  <c r="CK78" i="3"/>
  <c r="CL78" i="3" s="1"/>
  <c r="AM78" i="3" s="1"/>
  <c r="CK270" i="3"/>
  <c r="CL270" i="3" s="1"/>
  <c r="AM270" i="3" s="1"/>
  <c r="CK178" i="3"/>
  <c r="CL178" i="3" s="1"/>
  <c r="AM178" i="3" s="1"/>
  <c r="CK254" i="3"/>
  <c r="CL254" i="3" s="1"/>
  <c r="AM254" i="3" s="1"/>
  <c r="CK162" i="3"/>
  <c r="CL162" i="3" s="1"/>
  <c r="AM162" i="3" s="1"/>
  <c r="CK47" i="3"/>
  <c r="CL47" i="3" s="1"/>
  <c r="AM47" i="3" s="1"/>
  <c r="CK232" i="3"/>
  <c r="CL232" i="3" s="1"/>
  <c r="AM232" i="3" s="1"/>
  <c r="CK5" i="3"/>
  <c r="CL5" i="3" s="1"/>
  <c r="AM5" i="3" s="1"/>
  <c r="CK276" i="3"/>
  <c r="CL276" i="3" s="1"/>
  <c r="AM276" i="3" s="1"/>
  <c r="CK225" i="3"/>
  <c r="CL225" i="3" s="1"/>
  <c r="AM225" i="3" s="1"/>
  <c r="CK73" i="3"/>
  <c r="CL73" i="3" s="1"/>
  <c r="AM73" i="3" s="1"/>
  <c r="CK30" i="3"/>
  <c r="CL30" i="3" s="1"/>
  <c r="AM30" i="3" s="1"/>
  <c r="CK189" i="3"/>
  <c r="CL189" i="3" s="1"/>
  <c r="AM189" i="3" s="1"/>
  <c r="CK250" i="3"/>
  <c r="CL250" i="3" s="1"/>
  <c r="AM250" i="3" s="1"/>
  <c r="CK271" i="3"/>
  <c r="CL271" i="3" s="1"/>
  <c r="AM271" i="3" s="1"/>
  <c r="CK210" i="3"/>
  <c r="CL210" i="3" s="1"/>
  <c r="AM210" i="3" s="1"/>
  <c r="CK206" i="3"/>
  <c r="CL206" i="3" s="1"/>
  <c r="AM206" i="3" s="1"/>
  <c r="CK156" i="3"/>
  <c r="CL156" i="3" s="1"/>
  <c r="AM156" i="3" s="1"/>
  <c r="CK19" i="3"/>
  <c r="CL19" i="3" s="1"/>
  <c r="AM19" i="3" s="1"/>
  <c r="CK264" i="3"/>
  <c r="CL264" i="3" s="1"/>
  <c r="AM264" i="3" s="1"/>
  <c r="CK23" i="3"/>
  <c r="CL23" i="3" s="1"/>
  <c r="AM23" i="3" s="1"/>
  <c r="CK72" i="3"/>
  <c r="CL72" i="3" s="1"/>
  <c r="AM72" i="3" s="1"/>
  <c r="CK146" i="3"/>
  <c r="CL146" i="3" s="1"/>
  <c r="AM146" i="3" s="1"/>
  <c r="CK248" i="3"/>
  <c r="CL248" i="3" s="1"/>
  <c r="AM248" i="3" s="1"/>
  <c r="CK279" i="3"/>
  <c r="CL279" i="3" s="1"/>
  <c r="AM279" i="3" s="1"/>
  <c r="CK88" i="3"/>
  <c r="CL88" i="3" s="1"/>
  <c r="AM88" i="3" s="1"/>
  <c r="CK157" i="3"/>
  <c r="CL157" i="3" s="1"/>
  <c r="AM157" i="3" s="1"/>
  <c r="BZ71" i="3"/>
  <c r="CB71" i="3" s="1"/>
  <c r="CC71" i="3" s="1"/>
  <c r="H168" i="19"/>
  <c r="H149" i="19"/>
  <c r="H132" i="19"/>
  <c r="H18" i="19"/>
  <c r="H100" i="19"/>
  <c r="H93" i="19"/>
  <c r="H198" i="19"/>
  <c r="H262" i="19"/>
  <c r="H99" i="19"/>
  <c r="H145" i="19"/>
  <c r="H125" i="19"/>
  <c r="H31" i="19"/>
  <c r="H108" i="19"/>
  <c r="H179" i="19"/>
  <c r="H46" i="19"/>
  <c r="H191" i="19"/>
  <c r="H270" i="19"/>
  <c r="H165" i="19"/>
  <c r="H50" i="19"/>
  <c r="H230" i="19"/>
  <c r="H110" i="19"/>
  <c r="H74" i="19"/>
  <c r="H101" i="19"/>
  <c r="H16" i="19"/>
  <c r="H49" i="19"/>
  <c r="H39" i="19"/>
  <c r="H177" i="19"/>
  <c r="H226" i="19"/>
  <c r="H204" i="19"/>
  <c r="H231" i="19"/>
  <c r="H225" i="19"/>
  <c r="H98" i="19"/>
  <c r="H178" i="19"/>
  <c r="H155" i="19"/>
  <c r="H85" i="19"/>
  <c r="H153" i="19"/>
  <c r="H84" i="19"/>
  <c r="H82" i="19"/>
  <c r="H34" i="19"/>
  <c r="H196" i="19"/>
  <c r="H27" i="19"/>
  <c r="H150" i="19"/>
  <c r="H134" i="19"/>
  <c r="H48" i="19"/>
  <c r="H95" i="19"/>
  <c r="H79" i="19"/>
  <c r="H143" i="19"/>
  <c r="H213" i="19"/>
  <c r="H103" i="19"/>
  <c r="H36" i="19"/>
  <c r="H221" i="19"/>
  <c r="H59" i="19"/>
  <c r="H201" i="19"/>
  <c r="H287" i="19"/>
  <c r="H219" i="19"/>
  <c r="H200" i="19"/>
  <c r="H140" i="19"/>
  <c r="H111" i="19"/>
  <c r="H194" i="19"/>
  <c r="H55" i="19"/>
  <c r="H41" i="19"/>
  <c r="H245" i="19"/>
  <c r="H253" i="19"/>
  <c r="H251" i="19"/>
  <c r="H116" i="19"/>
  <c r="H181" i="19"/>
  <c r="H199" i="19"/>
  <c r="H187" i="19"/>
  <c r="H289" i="19"/>
  <c r="H120" i="19"/>
  <c r="H53" i="19"/>
  <c r="H115" i="19"/>
  <c r="H269" i="19"/>
  <c r="H94" i="19"/>
  <c r="H183" i="19"/>
  <c r="H254" i="19"/>
  <c r="H288" i="19"/>
  <c r="H9" i="19"/>
  <c r="H52" i="19"/>
  <c r="H113" i="19"/>
  <c r="H222" i="19"/>
  <c r="H138" i="19"/>
  <c r="H38" i="19"/>
  <c r="H167" i="19"/>
  <c r="H223" i="19"/>
  <c r="H234" i="19"/>
  <c r="H169" i="19"/>
  <c r="H278" i="19"/>
  <c r="H184" i="19"/>
  <c r="H242" i="19"/>
  <c r="H64" i="19"/>
  <c r="H124" i="19"/>
  <c r="H76" i="19"/>
  <c r="H163" i="19"/>
  <c r="H158" i="19"/>
  <c r="H185" i="19"/>
  <c r="H58" i="19"/>
  <c r="H10" i="19"/>
  <c r="H214" i="19"/>
  <c r="H21" i="19"/>
  <c r="H91" i="19"/>
  <c r="H160" i="19"/>
  <c r="H237" i="19"/>
  <c r="H97" i="19"/>
  <c r="H26" i="19"/>
  <c r="H206" i="19"/>
  <c r="H121" i="19"/>
  <c r="H271" i="19"/>
  <c r="H250" i="19"/>
  <c r="H282" i="19"/>
  <c r="H83" i="19"/>
  <c r="H212" i="19"/>
  <c r="H45" i="19"/>
  <c r="H70" i="19"/>
  <c r="H189" i="19"/>
  <c r="H261" i="19"/>
  <c r="H123" i="19"/>
  <c r="H217" i="19"/>
  <c r="H56" i="19"/>
  <c r="H68" i="19"/>
  <c r="H157" i="19"/>
  <c r="H244" i="19"/>
  <c r="H247" i="19"/>
  <c r="H30" i="19"/>
  <c r="H152" i="19"/>
  <c r="H174" i="19"/>
  <c r="H15" i="19"/>
  <c r="H264" i="19"/>
  <c r="H156" i="19"/>
  <c r="H182" i="19"/>
  <c r="H279" i="19"/>
  <c r="H161" i="19"/>
  <c r="H159" i="19"/>
  <c r="H224" i="19"/>
  <c r="H11" i="19"/>
  <c r="H92" i="19"/>
  <c r="H102" i="19"/>
  <c r="H65" i="19"/>
  <c r="H175" i="19"/>
  <c r="H249" i="19"/>
  <c r="H81" i="19"/>
  <c r="H57" i="19"/>
  <c r="H186" i="19"/>
  <c r="H135" i="19"/>
  <c r="H13" i="19"/>
  <c r="H114" i="19"/>
  <c r="H240" i="19"/>
  <c r="H47" i="19"/>
  <c r="H243" i="19"/>
  <c r="H88" i="19"/>
  <c r="H66" i="19"/>
  <c r="H151" i="19"/>
  <c r="H232" i="19"/>
  <c r="H25" i="19"/>
  <c r="H61" i="19"/>
  <c r="H229" i="19"/>
  <c r="H284" i="19"/>
  <c r="H176" i="19"/>
  <c r="H96" i="19"/>
  <c r="H89" i="19"/>
  <c r="H252" i="19"/>
  <c r="H119" i="19"/>
  <c r="H162" i="19"/>
  <c r="H137" i="19"/>
  <c r="H19" i="19"/>
  <c r="H215" i="19"/>
  <c r="H280" i="19"/>
  <c r="H127" i="19"/>
  <c r="H285" i="19"/>
  <c r="H210" i="19"/>
  <c r="H202" i="19"/>
  <c r="H286" i="19"/>
  <c r="H24" i="19"/>
  <c r="H107" i="19"/>
  <c r="H241" i="19"/>
  <c r="H60" i="19"/>
  <c r="H112" i="19"/>
  <c r="H205" i="19"/>
  <c r="H173" i="19"/>
  <c r="H33" i="19"/>
  <c r="H130" i="19"/>
  <c r="H12" i="19"/>
  <c r="H171" i="19"/>
  <c r="H180" i="19"/>
  <c r="H80" i="19"/>
  <c r="H43" i="19"/>
  <c r="H23" i="19"/>
  <c r="H117" i="19"/>
  <c r="H90" i="19"/>
  <c r="H17" i="19"/>
  <c r="H218" i="19"/>
  <c r="H265" i="19"/>
  <c r="H141" i="19"/>
  <c r="H118" i="19"/>
  <c r="H266" i="19"/>
  <c r="H197" i="19"/>
  <c r="H122" i="19"/>
  <c r="H148" i="19"/>
  <c r="H69" i="19"/>
  <c r="H20" i="19"/>
  <c r="H35" i="19"/>
  <c r="H235" i="19"/>
  <c r="H172" i="19"/>
  <c r="H71" i="19"/>
  <c r="H190" i="19"/>
  <c r="H188" i="19"/>
  <c r="H142" i="19"/>
  <c r="H208" i="19"/>
  <c r="H273" i="19"/>
  <c r="H29" i="19"/>
  <c r="H131" i="19"/>
  <c r="H136" i="19"/>
  <c r="H209" i="19"/>
  <c r="H246" i="19"/>
  <c r="H32" i="19"/>
  <c r="H211" i="19"/>
  <c r="H106" i="19"/>
  <c r="H164" i="19"/>
  <c r="H154" i="19"/>
  <c r="H139" i="19"/>
  <c r="H42" i="19"/>
  <c r="H44" i="19"/>
  <c r="H14" i="19"/>
  <c r="H220" i="19"/>
  <c r="H87" i="19"/>
  <c r="H128" i="19"/>
  <c r="H105" i="19"/>
  <c r="H207" i="19"/>
  <c r="H51" i="19"/>
  <c r="H268" i="19"/>
  <c r="H238" i="19"/>
  <c r="H62" i="19"/>
  <c r="H37" i="19"/>
  <c r="H203" i="19"/>
  <c r="H170" i="19"/>
  <c r="H7" i="19"/>
  <c r="H75" i="19"/>
  <c r="H146" i="19"/>
  <c r="H283" i="19"/>
  <c r="H54" i="19"/>
  <c r="H133" i="19"/>
  <c r="H216" i="19"/>
  <c r="H73" i="19"/>
  <c r="H78" i="19"/>
  <c r="H274" i="19"/>
  <c r="H258" i="19"/>
  <c r="H6" i="19"/>
  <c r="H259" i="19"/>
  <c r="H255" i="19"/>
  <c r="H77" i="19"/>
  <c r="H63" i="19"/>
  <c r="H67" i="19"/>
  <c r="H260" i="19"/>
  <c r="H227" i="19"/>
  <c r="H239" i="19"/>
  <c r="H72" i="19"/>
  <c r="H257" i="19"/>
  <c r="H22" i="19"/>
  <c r="H129" i="19"/>
  <c r="H275" i="19"/>
  <c r="H277" i="19"/>
  <c r="H233" i="19"/>
  <c r="H272" i="19"/>
  <c r="H228" i="19"/>
  <c r="H144" i="19"/>
  <c r="H28" i="19"/>
  <c r="H192" i="19"/>
  <c r="H248" i="19"/>
  <c r="H109" i="19"/>
  <c r="H193" i="19"/>
  <c r="H267" i="19"/>
  <c r="H236" i="19"/>
  <c r="H281" i="19"/>
  <c r="H40" i="19"/>
  <c r="H256" i="19"/>
  <c r="H276" i="19"/>
  <c r="H86" i="19"/>
  <c r="H195" i="19"/>
  <c r="H126" i="19"/>
  <c r="H104" i="19"/>
  <c r="H263" i="19"/>
  <c r="H147" i="19"/>
  <c r="H166" i="19"/>
  <c r="CU197" i="3"/>
  <c r="AF197" i="3" s="1"/>
  <c r="CV97" i="3"/>
  <c r="AF97" i="3" s="1"/>
  <c r="CU72" i="3"/>
  <c r="AF72" i="3" s="1"/>
  <c r="CU20" i="3"/>
  <c r="AF20" i="3" s="1"/>
  <c r="CU282" i="3"/>
  <c r="AF282" i="3" s="1"/>
  <c r="CU29" i="3"/>
  <c r="AF29" i="3" s="1"/>
  <c r="CU186" i="3"/>
  <c r="AF186" i="3" s="1"/>
  <c r="CU168" i="3"/>
  <c r="AF168" i="3" s="1"/>
  <c r="CU276" i="3"/>
  <c r="AF276" i="3" s="1"/>
  <c r="CV172" i="3"/>
  <c r="AF172" i="3" s="1"/>
  <c r="CU180" i="3"/>
  <c r="AF180" i="3" s="1"/>
  <c r="CU226" i="3"/>
  <c r="AF226" i="3" s="1"/>
  <c r="CU275" i="3"/>
  <c r="AF275" i="3" s="1"/>
  <c r="CV130" i="3"/>
  <c r="AF130" i="3" s="1"/>
  <c r="CU253" i="3"/>
  <c r="AF253" i="3" s="1"/>
  <c r="CU193" i="3"/>
  <c r="AF193" i="3" s="1"/>
  <c r="CD107" i="3"/>
  <c r="CV155" i="3"/>
  <c r="AF155" i="3" s="1"/>
  <c r="CV195" i="3"/>
  <c r="AF195" i="3" s="1"/>
  <c r="CU132" i="3"/>
  <c r="AF132" i="3" s="1"/>
  <c r="CU263" i="3"/>
  <c r="AF263" i="3" s="1"/>
  <c r="CU74" i="3"/>
  <c r="AF74" i="3" s="1"/>
  <c r="CU55" i="3"/>
  <c r="AF55" i="3" s="1"/>
  <c r="CV85" i="3"/>
  <c r="AF85" i="3" s="1"/>
  <c r="CU240" i="3"/>
  <c r="AF240" i="3" s="1"/>
  <c r="CU214" i="3"/>
  <c r="AF214" i="3" s="1"/>
  <c r="CV162" i="3"/>
  <c r="AF162" i="3" s="1"/>
  <c r="CU283" i="3"/>
  <c r="AF283" i="3" s="1"/>
  <c r="CU87" i="3"/>
  <c r="AF87" i="3" s="1"/>
  <c r="CU36" i="3"/>
  <c r="AF36" i="3" s="1"/>
  <c r="CU129" i="3"/>
  <c r="AF129" i="3" s="1"/>
  <c r="CV169" i="3"/>
  <c r="AF169" i="3" s="1"/>
  <c r="CU167" i="3"/>
  <c r="AF167" i="3" s="1"/>
  <c r="CV238" i="3"/>
  <c r="AF238" i="3" s="1"/>
  <c r="CU249" i="3"/>
  <c r="AF249" i="3" s="1"/>
  <c r="CU24" i="3"/>
  <c r="AF24" i="3" s="1"/>
  <c r="CU202" i="3"/>
  <c r="AF202" i="3" s="1"/>
  <c r="CU188" i="3"/>
  <c r="AF188" i="3" s="1"/>
  <c r="CU89" i="3"/>
  <c r="AF89" i="3" s="1"/>
  <c r="CU216" i="3"/>
  <c r="AF216" i="3" s="1"/>
  <c r="CV108" i="3"/>
  <c r="AF108" i="3" s="1"/>
  <c r="CV227" i="3"/>
  <c r="AF227" i="3" s="1"/>
  <c r="CU37" i="3"/>
  <c r="AF37" i="3" s="1"/>
  <c r="CU260" i="3"/>
  <c r="AF260" i="3" s="1"/>
  <c r="CU267" i="3"/>
  <c r="AF267" i="3" s="1"/>
  <c r="CV183" i="3"/>
  <c r="AF183" i="3" s="1"/>
  <c r="CU78" i="3"/>
  <c r="AF78" i="3" s="1"/>
  <c r="CU177" i="3"/>
  <c r="AF177" i="3" s="1"/>
  <c r="CV191" i="3"/>
  <c r="AF191" i="3" s="1"/>
  <c r="CV22" i="3"/>
  <c r="AF22" i="3" s="1"/>
  <c r="CU106" i="3"/>
  <c r="AF106" i="3" s="1"/>
  <c r="CU171" i="3"/>
  <c r="AF171" i="3" s="1"/>
  <c r="CU281" i="3"/>
  <c r="AF281" i="3" s="1"/>
  <c r="CU210" i="3"/>
  <c r="AF210" i="3" s="1"/>
  <c r="CU10" i="3"/>
  <c r="AF10" i="3" s="1"/>
  <c r="CU217" i="3"/>
  <c r="AF217" i="3" s="1"/>
  <c r="CU138" i="3"/>
  <c r="AF138" i="3" s="1"/>
  <c r="CU160" i="3"/>
  <c r="AF160" i="3" s="1"/>
  <c r="CV19" i="3"/>
  <c r="AF19" i="3" s="1"/>
  <c r="CV65" i="3"/>
  <c r="AF65" i="3" s="1"/>
  <c r="CV134" i="3"/>
  <c r="AF134" i="3" s="1"/>
  <c r="CU144" i="3"/>
  <c r="AF144" i="3" s="1"/>
  <c r="CU234" i="3"/>
  <c r="AF234" i="3" s="1"/>
  <c r="CU230" i="3"/>
  <c r="AF230" i="3" s="1"/>
  <c r="CU252" i="3"/>
  <c r="AF252" i="3" s="1"/>
  <c r="CV64" i="3"/>
  <c r="AF64" i="3" s="1"/>
  <c r="CU81" i="3"/>
  <c r="AF81" i="3" s="1"/>
  <c r="CU198" i="3"/>
  <c r="AF198" i="3" s="1"/>
  <c r="CU279" i="3"/>
  <c r="AF279" i="3" s="1"/>
  <c r="CV76" i="3"/>
  <c r="AF76" i="3" s="1"/>
  <c r="CV15" i="3"/>
  <c r="AF15" i="3" s="1"/>
  <c r="CV135" i="3"/>
  <c r="AF135" i="3" s="1"/>
  <c r="CV121" i="3"/>
  <c r="AF121" i="3" s="1"/>
  <c r="CU161" i="3"/>
  <c r="AF161" i="3" s="1"/>
  <c r="CU209" i="3"/>
  <c r="AF209" i="3" s="1"/>
  <c r="CU215" i="3"/>
  <c r="AF215" i="3" s="1"/>
  <c r="CU224" i="3"/>
  <c r="AF224" i="3" s="1"/>
  <c r="CU254" i="3"/>
  <c r="AF254" i="3" s="1"/>
  <c r="CU139" i="3"/>
  <c r="AF139" i="3" s="1"/>
  <c r="CV271" i="3"/>
  <c r="AF271" i="3" s="1"/>
  <c r="CU256" i="3"/>
  <c r="AF256" i="3" s="1"/>
  <c r="CU246" i="3"/>
  <c r="AF246" i="3" s="1"/>
  <c r="CU247" i="3"/>
  <c r="AF247" i="3" s="1"/>
  <c r="CU150" i="3"/>
  <c r="AF150" i="3" s="1"/>
  <c r="CU82" i="3"/>
  <c r="AF82" i="3" s="1"/>
  <c r="CU175" i="3"/>
  <c r="AF175" i="3" s="1"/>
  <c r="CU157" i="3"/>
  <c r="AF157" i="3" s="1"/>
  <c r="CU184" i="3"/>
  <c r="AF184" i="3" s="1"/>
  <c r="CU201" i="3"/>
  <c r="AF201" i="3" s="1"/>
  <c r="CU124" i="3"/>
  <c r="AF124" i="3" s="1"/>
  <c r="CU261" i="3"/>
  <c r="AF261" i="3" s="1"/>
  <c r="CU194" i="3"/>
  <c r="AF194" i="3" s="1"/>
  <c r="CU13" i="3"/>
  <c r="AF13" i="3" s="1"/>
  <c r="CU120" i="3"/>
  <c r="AF120" i="3" s="1"/>
  <c r="CU152" i="3"/>
  <c r="AF152" i="3" s="1"/>
  <c r="CU179" i="3"/>
  <c r="AF179" i="3" s="1"/>
  <c r="CU90" i="3"/>
  <c r="AF90" i="3" s="1"/>
  <c r="CU68" i="3"/>
  <c r="AF68" i="3" s="1"/>
  <c r="CU93" i="3"/>
  <c r="AF93" i="3" s="1"/>
  <c r="CU127" i="3"/>
  <c r="AF127" i="3" s="1"/>
  <c r="CU131" i="3"/>
  <c r="AF131" i="3" s="1"/>
  <c r="CU278" i="3"/>
  <c r="AF278" i="3" s="1"/>
  <c r="CV225" i="3"/>
  <c r="AF225" i="3" s="1"/>
  <c r="CV212" i="3"/>
  <c r="AF212" i="3" s="1"/>
  <c r="CU158" i="3"/>
  <c r="AF158" i="3" s="1"/>
  <c r="CU48" i="3"/>
  <c r="AF48" i="3" s="1"/>
  <c r="CU98" i="3"/>
  <c r="AF98" i="3" s="1"/>
  <c r="CU269" i="3"/>
  <c r="AF269" i="3" s="1"/>
  <c r="CU289" i="3"/>
  <c r="AF289" i="3" s="1"/>
  <c r="CU265" i="3"/>
  <c r="AF265" i="3" s="1"/>
  <c r="CU244" i="3"/>
  <c r="AF244" i="3" s="1"/>
  <c r="CU21" i="3"/>
  <c r="AF21" i="3" s="1"/>
  <c r="CU190" i="3"/>
  <c r="AF190" i="3" s="1"/>
  <c r="CU187" i="3"/>
  <c r="AF187" i="3" s="1"/>
  <c r="CU223" i="3"/>
  <c r="AF223" i="3" s="1"/>
  <c r="CU242" i="3"/>
  <c r="AF242" i="3" s="1"/>
  <c r="CU231" i="3"/>
  <c r="AF231" i="3" s="1"/>
  <c r="CU47" i="3"/>
  <c r="AF47" i="3" s="1"/>
  <c r="CU114" i="3"/>
  <c r="AF114" i="3" s="1"/>
  <c r="CU164" i="3"/>
  <c r="AF164" i="3" s="1"/>
  <c r="CU287" i="3"/>
  <c r="AF287" i="3" s="1"/>
  <c r="CU136" i="3"/>
  <c r="AF136" i="3" s="1"/>
  <c r="CU232" i="3"/>
  <c r="AF232" i="3" s="1"/>
  <c r="CU94" i="3"/>
  <c r="AF94" i="3" s="1"/>
  <c r="CU112" i="3"/>
  <c r="AF112" i="3" s="1"/>
  <c r="CU264" i="3"/>
  <c r="AF264" i="3" s="1"/>
  <c r="CU32" i="3"/>
  <c r="AF32" i="3" s="1"/>
  <c r="CU143" i="3"/>
  <c r="AF143" i="3" s="1"/>
  <c r="CU83" i="3"/>
  <c r="AF83" i="3" s="1"/>
  <c r="CU220" i="3"/>
  <c r="AF220" i="3" s="1"/>
  <c r="CV100" i="3"/>
  <c r="AF100" i="3" s="1"/>
  <c r="CU154" i="3"/>
  <c r="AF154" i="3" s="1"/>
  <c r="CU52" i="3"/>
  <c r="AF52" i="3" s="1"/>
  <c r="CU205" i="3"/>
  <c r="AF205" i="3" s="1"/>
  <c r="CU207" i="3"/>
  <c r="AF207" i="3" s="1"/>
  <c r="CU146" i="3"/>
  <c r="AF146" i="3" s="1"/>
  <c r="CV206" i="3"/>
  <c r="AF206" i="3" s="1"/>
  <c r="CV59" i="3"/>
  <c r="AF59" i="3" s="1"/>
  <c r="CU140" i="3"/>
  <c r="AF140" i="3" s="1"/>
  <c r="CU104" i="3"/>
  <c r="AF104" i="3" s="1"/>
  <c r="CU272" i="3"/>
  <c r="AF272" i="3" s="1"/>
  <c r="CU203" i="3"/>
  <c r="AF203" i="3" s="1"/>
  <c r="CU45" i="3"/>
  <c r="AF45" i="3" s="1"/>
  <c r="CU71" i="3"/>
  <c r="AF71" i="3" s="1"/>
  <c r="BV75" i="3"/>
  <c r="BX75" i="3" s="1"/>
  <c r="BY75" i="3" s="1"/>
  <c r="CV218" i="3"/>
  <c r="AF218" i="3" s="1"/>
  <c r="CV241" i="3"/>
  <c r="AF241" i="3" s="1"/>
  <c r="BV59" i="3"/>
  <c r="BW59" i="3" s="1"/>
  <c r="CA87" i="3"/>
  <c r="BV76" i="3"/>
  <c r="BX76" i="3" s="1"/>
  <c r="BY76" i="3" s="1"/>
  <c r="BV151" i="3"/>
  <c r="BX151" i="3" s="1"/>
  <c r="BY151" i="3" s="1"/>
  <c r="CV133" i="3"/>
  <c r="AF133" i="3" s="1"/>
  <c r="BZ75" i="3"/>
  <c r="CB75" i="3" s="1"/>
  <c r="CC75" i="3" s="1"/>
  <c r="CU174" i="3"/>
  <c r="AF174" i="3" s="1"/>
  <c r="CV54" i="3"/>
  <c r="AF54" i="3" s="1"/>
  <c r="CB215" i="3"/>
  <c r="CC215" i="3" s="1"/>
  <c r="CB113" i="3"/>
  <c r="CC113" i="3" s="1"/>
  <c r="BZ98" i="3"/>
  <c r="CB98" i="3" s="1"/>
  <c r="CC98" i="3" s="1"/>
  <c r="CV243" i="3"/>
  <c r="AF243" i="3" s="1"/>
  <c r="BV98" i="3"/>
  <c r="BX98" i="3" s="1"/>
  <c r="BY98" i="3" s="1"/>
  <c r="CD59" i="3"/>
  <c r="CD98" i="3"/>
  <c r="CD87" i="3"/>
  <c r="BU76" i="3"/>
  <c r="CU250" i="3"/>
  <c r="AF250" i="3" s="1"/>
  <c r="BZ130" i="3"/>
  <c r="CA130" i="3" s="1"/>
  <c r="CB130" i="3" s="1"/>
  <c r="CC130" i="3" s="1"/>
  <c r="CD151" i="3"/>
  <c r="CD75" i="3"/>
  <c r="BV51" i="3"/>
  <c r="BW51" i="3" s="1"/>
  <c r="CU67" i="3"/>
  <c r="AF67" i="3" s="1"/>
  <c r="BV218" i="3"/>
  <c r="BW218" i="3" s="1"/>
  <c r="BW130" i="3"/>
  <c r="BU130" i="3"/>
  <c r="BZ59" i="3"/>
  <c r="CA59" i="3" s="1"/>
  <c r="CB59" i="3" s="1"/>
  <c r="CC59" i="3" s="1"/>
  <c r="CD76" i="3"/>
  <c r="BU151" i="3"/>
  <c r="CD218" i="3"/>
  <c r="CD130" i="3"/>
  <c r="BZ218" i="3"/>
  <c r="CA218" i="3" s="1"/>
  <c r="CV31" i="3"/>
  <c r="AF31" i="3" s="1"/>
  <c r="CD86" i="3"/>
  <c r="BZ281" i="3"/>
  <c r="CA281" i="3" s="1"/>
  <c r="BV113" i="3"/>
  <c r="BW113" i="3" s="1"/>
  <c r="BX113" i="3" s="1"/>
  <c r="BY113" i="3" s="1"/>
  <c r="BU113" i="3"/>
  <c r="BZ14" i="3"/>
  <c r="CA14" i="3" s="1"/>
  <c r="CD113" i="3"/>
  <c r="CV248" i="3"/>
  <c r="AF248" i="3" s="1"/>
  <c r="BW89" i="3"/>
  <c r="BZ89" i="3"/>
  <c r="CA89" i="3" s="1"/>
  <c r="CB89" i="3" s="1"/>
  <c r="CC89" i="3" s="1"/>
  <c r="CD89" i="3"/>
  <c r="BU53" i="3"/>
  <c r="BV86" i="3"/>
  <c r="BX86" i="3" s="1"/>
  <c r="BY86" i="3" s="1"/>
  <c r="BU86" i="3"/>
  <c r="BU89" i="3"/>
  <c r="AG212" i="11"/>
  <c r="BX53" i="3"/>
  <c r="BY53" i="3" s="1"/>
  <c r="BZ53" i="3"/>
  <c r="CB53" i="3" s="1"/>
  <c r="CC53" i="3" s="1"/>
  <c r="CD53" i="3"/>
  <c r="CU86" i="3"/>
  <c r="AF86" i="3" s="1"/>
  <c r="CU73" i="3"/>
  <c r="AF73" i="3" s="1"/>
  <c r="CD215" i="3"/>
  <c r="BU215" i="3"/>
  <c r="CU170" i="3"/>
  <c r="AF170" i="3" s="1"/>
  <c r="BV215" i="3"/>
  <c r="BW215" i="3" s="1"/>
  <c r="CU34" i="3"/>
  <c r="AF34" i="3" s="1"/>
  <c r="BZ79" i="3"/>
  <c r="CB79" i="3" s="1"/>
  <c r="CC79" i="3" s="1"/>
  <c r="BV79" i="3"/>
  <c r="BW79" i="3" s="1"/>
  <c r="CD79" i="3"/>
  <c r="BX96" i="3"/>
  <c r="BY96" i="3" s="1"/>
  <c r="BU97" i="3"/>
  <c r="BV97" i="3"/>
  <c r="BW97" i="3" s="1"/>
  <c r="BZ97" i="3"/>
  <c r="CB97" i="3" s="1"/>
  <c r="CC97" i="3" s="1"/>
  <c r="BX129" i="3"/>
  <c r="BY129" i="3" s="1"/>
  <c r="BX210" i="3"/>
  <c r="BY210" i="3" s="1"/>
  <c r="BU14" i="3"/>
  <c r="CD281" i="3"/>
  <c r="BV281" i="3"/>
  <c r="BW281" i="3" s="1"/>
  <c r="BX281" i="3" s="1"/>
  <c r="BY281" i="3" s="1"/>
  <c r="BV14" i="3"/>
  <c r="BX14" i="3" s="1"/>
  <c r="BY14" i="3" s="1"/>
  <c r="BW105" i="3"/>
  <c r="BU174" i="3"/>
  <c r="BZ51" i="3"/>
  <c r="CA51" i="3" s="1"/>
  <c r="CB51" i="3" s="1"/>
  <c r="CC51" i="3" s="1"/>
  <c r="BU87" i="3"/>
  <c r="BV87" i="3"/>
  <c r="BX87" i="3" s="1"/>
  <c r="BY87" i="3" s="1"/>
  <c r="BU51" i="3"/>
  <c r="BV174" i="3"/>
  <c r="BX174" i="3" s="1"/>
  <c r="BY174" i="3" s="1"/>
  <c r="CU105" i="3"/>
  <c r="AF105" i="3" s="1"/>
  <c r="BZ174" i="3"/>
  <c r="CA174" i="3" s="1"/>
  <c r="CB174" i="3" s="1"/>
  <c r="CC174" i="3" s="1"/>
  <c r="BU285" i="3"/>
  <c r="BU96" i="3"/>
  <c r="CD96" i="3"/>
  <c r="BZ96" i="3"/>
  <c r="CA96" i="3" s="1"/>
  <c r="CB96" i="3" s="1"/>
  <c r="CC96" i="3" s="1"/>
  <c r="CJ111" i="3"/>
  <c r="BU105" i="3"/>
  <c r="BU210" i="3"/>
  <c r="BZ105" i="3"/>
  <c r="CA105" i="3" s="1"/>
  <c r="CB105" i="3" s="1"/>
  <c r="CC105" i="3" s="1"/>
  <c r="CD210" i="3"/>
  <c r="CD105" i="3"/>
  <c r="BZ210" i="3"/>
  <c r="CA210" i="3" s="1"/>
  <c r="BV282" i="3"/>
  <c r="BX282" i="3" s="1"/>
  <c r="BY282" i="3" s="1"/>
  <c r="CU80" i="3"/>
  <c r="AF80" i="3" s="1"/>
  <c r="M635" i="15"/>
  <c r="M1071" i="15"/>
  <c r="M947" i="15"/>
  <c r="BU104" i="3"/>
  <c r="BZ18" i="3"/>
  <c r="CA18" i="3" s="1"/>
  <c r="CB18" i="3" s="1"/>
  <c r="CC18" i="3" s="1"/>
  <c r="CD242" i="3"/>
  <c r="BV104" i="3"/>
  <c r="BW104" i="3" s="1"/>
  <c r="BZ94" i="3"/>
  <c r="CA94" i="3" s="1"/>
  <c r="CB94" i="3" s="1"/>
  <c r="CC94" i="3" s="1"/>
  <c r="BZ104" i="3"/>
  <c r="CA104" i="3" s="1"/>
  <c r="BV242" i="3"/>
  <c r="BX242" i="3" s="1"/>
  <c r="BY242" i="3" s="1"/>
  <c r="AG94" i="11"/>
  <c r="CV95" i="3"/>
  <c r="AF95" i="3" s="1"/>
  <c r="CU286" i="3"/>
  <c r="AF286" i="3" s="1"/>
  <c r="CD122" i="3"/>
  <c r="M842" i="15"/>
  <c r="M1024" i="15"/>
  <c r="AG246" i="11" s="1"/>
  <c r="AG247" i="3" s="1"/>
  <c r="M647" i="15"/>
  <c r="M727" i="15"/>
  <c r="M990" i="15"/>
  <c r="BV285" i="3"/>
  <c r="BX285" i="3" s="1"/>
  <c r="BY285" i="3" s="1"/>
  <c r="BU63" i="3"/>
  <c r="BZ285" i="3"/>
  <c r="CA285" i="3" s="1"/>
  <c r="BZ63" i="3"/>
  <c r="CA63" i="3" s="1"/>
  <c r="CB63" i="3" s="1"/>
  <c r="CC63" i="3" s="1"/>
  <c r="BV63" i="3"/>
  <c r="BW63" i="3" s="1"/>
  <c r="BU187" i="3"/>
  <c r="CV181" i="3"/>
  <c r="AF181" i="3" s="1"/>
  <c r="BU183" i="3"/>
  <c r="CU51" i="3"/>
  <c r="AF51" i="3" s="1"/>
  <c r="BV183" i="3"/>
  <c r="BW183" i="3" s="1"/>
  <c r="CD18" i="3"/>
  <c r="BU18" i="3"/>
  <c r="CU149" i="3"/>
  <c r="AF149" i="3" s="1"/>
  <c r="BZ183" i="3"/>
  <c r="CA183" i="3" s="1"/>
  <c r="CB183" i="3" s="1"/>
  <c r="CC183" i="3" s="1"/>
  <c r="BX18" i="3"/>
  <c r="BY18" i="3" s="1"/>
  <c r="CU204" i="3"/>
  <c r="AF204" i="3" s="1"/>
  <c r="CU245" i="3"/>
  <c r="AF245" i="3" s="1"/>
  <c r="CU46" i="3"/>
  <c r="AF46" i="3" s="1"/>
  <c r="CU8" i="3"/>
  <c r="AF8" i="3" s="1"/>
  <c r="CD217" i="3"/>
  <c r="BV12" i="3"/>
  <c r="BX12" i="3" s="1"/>
  <c r="BY12" i="3" s="1"/>
  <c r="CD172" i="3"/>
  <c r="BU251" i="3"/>
  <c r="CU63" i="3"/>
  <c r="AF63" i="3" s="1"/>
  <c r="CU156" i="3"/>
  <c r="AF156" i="3" s="1"/>
  <c r="CV147" i="3"/>
  <c r="AF147" i="3" s="1"/>
  <c r="BZ237" i="3"/>
  <c r="CA237" i="3" s="1"/>
  <c r="CB237" i="3" s="1"/>
  <c r="CC237" i="3" s="1"/>
  <c r="BZ139" i="3"/>
  <c r="CA139" i="3" s="1"/>
  <c r="CB139" i="3" s="1"/>
  <c r="CC139" i="3" s="1"/>
  <c r="BW143" i="3"/>
  <c r="BZ12" i="3"/>
  <c r="CA12" i="3" s="1"/>
  <c r="CB12" i="3" s="1"/>
  <c r="CC12" i="3" s="1"/>
  <c r="BZ161" i="3"/>
  <c r="CA161" i="3" s="1"/>
  <c r="CB161" i="3" s="1"/>
  <c r="CC161" i="3" s="1"/>
  <c r="CV284" i="3"/>
  <c r="AF284" i="3" s="1"/>
  <c r="BZ217" i="3"/>
  <c r="CB217" i="3" s="1"/>
  <c r="CC217" i="3" s="1"/>
  <c r="BX248" i="3"/>
  <c r="BY248" i="3" s="1"/>
  <c r="BV175" i="3"/>
  <c r="BX175" i="3" s="1"/>
  <c r="BY175" i="3" s="1"/>
  <c r="BV217" i="3"/>
  <c r="BX217" i="3" s="1"/>
  <c r="BY217" i="3" s="1"/>
  <c r="CD248" i="3"/>
  <c r="CU56" i="3"/>
  <c r="AF56" i="3" s="1"/>
  <c r="CD175" i="3"/>
  <c r="CU6" i="3"/>
  <c r="AF6" i="3" s="1"/>
  <c r="CU255" i="3"/>
  <c r="AF255" i="3" s="1"/>
  <c r="CD235" i="3"/>
  <c r="BU12" i="3"/>
  <c r="BX279" i="3"/>
  <c r="BY279" i="3" s="1"/>
  <c r="CV14" i="3"/>
  <c r="AF14" i="3" s="1"/>
  <c r="BZ279" i="3"/>
  <c r="CA279" i="3" s="1"/>
  <c r="CU117" i="3"/>
  <c r="AF117" i="3" s="1"/>
  <c r="CD279" i="3"/>
  <c r="BU279" i="3"/>
  <c r="BV132" i="3"/>
  <c r="BW132" i="3" s="1"/>
  <c r="CU75" i="3"/>
  <c r="AF75" i="3" s="1"/>
  <c r="CU42" i="3"/>
  <c r="AF42" i="3" s="1"/>
  <c r="BU122" i="3"/>
  <c r="CD88" i="3"/>
  <c r="CD129" i="3"/>
  <c r="BU94" i="3"/>
  <c r="BV19" i="3"/>
  <c r="BW19" i="3" s="1"/>
  <c r="BX19" i="3" s="1"/>
  <c r="BY19" i="3" s="1"/>
  <c r="CD194" i="3"/>
  <c r="BZ194" i="3"/>
  <c r="CA194" i="3" s="1"/>
  <c r="CB194" i="3" s="1"/>
  <c r="CC194" i="3" s="1"/>
  <c r="BZ132" i="3"/>
  <c r="CA132" i="3" s="1"/>
  <c r="CB132" i="3" s="1"/>
  <c r="CC132" i="3" s="1"/>
  <c r="CU126" i="3"/>
  <c r="AF126" i="3" s="1"/>
  <c r="BZ88" i="3"/>
  <c r="CA88" i="3" s="1"/>
  <c r="CB88" i="3" s="1"/>
  <c r="CC88" i="3" s="1"/>
  <c r="BZ129" i="3"/>
  <c r="CB129" i="3" s="1"/>
  <c r="CC129" i="3" s="1"/>
  <c r="BU129" i="3"/>
  <c r="BV224" i="3"/>
  <c r="BX224" i="3" s="1"/>
  <c r="BY224" i="3" s="1"/>
  <c r="BU242" i="3"/>
  <c r="BV194" i="3"/>
  <c r="BX194" i="3" s="1"/>
  <c r="BY194" i="3" s="1"/>
  <c r="CU77" i="3"/>
  <c r="AF77" i="3" s="1"/>
  <c r="CU137" i="3"/>
  <c r="AF137" i="3" s="1"/>
  <c r="BU88" i="3"/>
  <c r="BW94" i="3"/>
  <c r="CD94" i="3"/>
  <c r="BU132" i="3"/>
  <c r="BZ19" i="3"/>
  <c r="CB19" i="3" s="1"/>
  <c r="CC19" i="3" s="1"/>
  <c r="CU28" i="3"/>
  <c r="AF28" i="3" s="1"/>
  <c r="BZ224" i="3"/>
  <c r="CA224" i="3" s="1"/>
  <c r="CB224" i="3" s="1"/>
  <c r="CC224" i="3" s="1"/>
  <c r="CU266" i="3"/>
  <c r="AF266" i="3" s="1"/>
  <c r="CU60" i="3"/>
  <c r="AF60" i="3" s="1"/>
  <c r="BX88" i="3"/>
  <c r="BY88" i="3" s="1"/>
  <c r="BU224" i="3"/>
  <c r="CU165" i="3"/>
  <c r="AF165" i="3" s="1"/>
  <c r="BV122" i="3"/>
  <c r="BW122" i="3" s="1"/>
  <c r="BU19" i="3"/>
  <c r="M1117" i="15"/>
  <c r="M820" i="15"/>
  <c r="M892" i="15"/>
  <c r="M1132" i="15"/>
  <c r="AG272" i="11" s="1"/>
  <c r="M732" i="15"/>
  <c r="M964" i="15"/>
  <c r="M1236" i="15"/>
  <c r="M904" i="15"/>
  <c r="AG217" i="11" s="1"/>
  <c r="BZ141" i="3"/>
  <c r="CA141" i="3" s="1"/>
  <c r="CB141" i="3" s="1"/>
  <c r="CC141" i="3" s="1"/>
  <c r="BX46" i="3"/>
  <c r="BY46" i="3" s="1"/>
  <c r="CD282" i="3"/>
  <c r="BU282" i="3"/>
  <c r="BV141" i="3"/>
  <c r="BW141" i="3" s="1"/>
  <c r="M543" i="15"/>
  <c r="AG108" i="11" s="1"/>
  <c r="M645" i="15"/>
  <c r="M1233" i="15"/>
  <c r="M909" i="15"/>
  <c r="CU237" i="3"/>
  <c r="AF237" i="3" s="1"/>
  <c r="CD141" i="3"/>
  <c r="M1130" i="15"/>
  <c r="M874" i="15"/>
  <c r="M1096" i="15"/>
  <c r="M1195" i="15"/>
  <c r="M902" i="15"/>
  <c r="M730" i="15"/>
  <c r="M1194" i="15"/>
  <c r="M1187" i="15"/>
  <c r="M975" i="15"/>
  <c r="M1308" i="15"/>
  <c r="M725" i="15"/>
  <c r="AG165" i="11" s="1"/>
  <c r="M949" i="15"/>
  <c r="M1051" i="15"/>
  <c r="M442" i="15"/>
  <c r="M1083" i="15"/>
  <c r="AG259" i="11" s="1"/>
  <c r="M594" i="15"/>
  <c r="M482" i="15"/>
  <c r="AG86" i="11" s="1"/>
  <c r="M568" i="15"/>
  <c r="M1242" i="15"/>
  <c r="M438" i="15"/>
  <c r="M484" i="15"/>
  <c r="M1114" i="15"/>
  <c r="M494" i="15"/>
  <c r="M970" i="15"/>
  <c r="M498" i="15"/>
  <c r="M1126" i="15"/>
  <c r="M458" i="15"/>
  <c r="M556" i="15"/>
  <c r="M878" i="15"/>
  <c r="M1038" i="15"/>
  <c r="AG250" i="11" s="1"/>
  <c r="M1157" i="15"/>
  <c r="M662" i="15"/>
  <c r="M1078" i="15"/>
  <c r="M929" i="15"/>
  <c r="BV126" i="3"/>
  <c r="BX126" i="3" s="1"/>
  <c r="BY126" i="3" s="1"/>
  <c r="BV290" i="3"/>
  <c r="BX290" i="3" s="1"/>
  <c r="BY290" i="3" s="1"/>
  <c r="CU43" i="3"/>
  <c r="AF43" i="3" s="1"/>
  <c r="CU57" i="3"/>
  <c r="AF57" i="3" s="1"/>
  <c r="BZ290" i="3"/>
  <c r="CB290" i="3" s="1"/>
  <c r="CC290" i="3" s="1"/>
  <c r="AG201" i="11"/>
  <c r="BZ10" i="3"/>
  <c r="BU10" i="3"/>
  <c r="BU126" i="3"/>
  <c r="CD10" i="3"/>
  <c r="M598" i="15"/>
  <c r="AG123" i="11" s="1"/>
  <c r="M966" i="15"/>
  <c r="CD126" i="3"/>
  <c r="CV107" i="3"/>
  <c r="AF107" i="3" s="1"/>
  <c r="CU23" i="3"/>
  <c r="AF23" i="3" s="1"/>
  <c r="BU143" i="3"/>
  <c r="BU290" i="3"/>
  <c r="CD143" i="3"/>
  <c r="BZ143" i="3"/>
  <c r="CA143" i="3" s="1"/>
  <c r="CB143" i="3" s="1"/>
  <c r="CC143" i="3" s="1"/>
  <c r="M723" i="15"/>
  <c r="M455" i="15"/>
  <c r="M1047" i="15"/>
  <c r="M965" i="15"/>
  <c r="M780" i="15"/>
  <c r="M786" i="15"/>
  <c r="M1262" i="15"/>
  <c r="M572" i="15"/>
  <c r="M959" i="15"/>
  <c r="M779" i="15"/>
  <c r="M599" i="15"/>
  <c r="M434" i="15"/>
  <c r="M789" i="15"/>
  <c r="M1189" i="15"/>
  <c r="M985" i="15"/>
  <c r="M989" i="15"/>
  <c r="M1281" i="15"/>
  <c r="M1129" i="15"/>
  <c r="M1256" i="15"/>
  <c r="M1212" i="15"/>
  <c r="M1244" i="15"/>
  <c r="M933" i="15"/>
  <c r="M917" i="15"/>
  <c r="M449" i="15"/>
  <c r="M1045" i="15"/>
  <c r="M831" i="15"/>
  <c r="M756" i="15"/>
  <c r="M856" i="15"/>
  <c r="AG202" i="11" s="1"/>
  <c r="M646" i="15"/>
  <c r="M1050" i="15"/>
  <c r="M1201" i="15"/>
  <c r="M1104" i="15"/>
  <c r="M1287" i="15"/>
  <c r="M1191" i="15"/>
  <c r="M1219" i="15"/>
  <c r="M627" i="15"/>
  <c r="M1063" i="15"/>
  <c r="M751" i="15"/>
  <c r="M475" i="15"/>
  <c r="M611" i="15"/>
  <c r="M1032" i="15"/>
  <c r="M736" i="15"/>
  <c r="AG168" i="11" s="1"/>
  <c r="M742" i="15"/>
  <c r="M590" i="15"/>
  <c r="AG120" i="11" s="1"/>
  <c r="M958" i="15"/>
  <c r="AG230" i="11" s="1"/>
  <c r="M690" i="15"/>
  <c r="AG153" i="11" s="1"/>
  <c r="M734" i="15"/>
  <c r="M1275" i="15"/>
  <c r="M683" i="15"/>
  <c r="M1167" i="15"/>
  <c r="M859" i="15"/>
  <c r="M657" i="15"/>
  <c r="AG142" i="11" s="1"/>
  <c r="M857" i="15"/>
  <c r="M1277" i="15"/>
  <c r="M932" i="15"/>
  <c r="M1228" i="15"/>
  <c r="M1301" i="15"/>
  <c r="M836" i="15"/>
  <c r="M1153" i="15"/>
  <c r="M1049" i="15"/>
  <c r="M634" i="15"/>
  <c r="AG134" i="11" s="1"/>
  <c r="M1046" i="15"/>
  <c r="M610" i="15"/>
  <c r="M986" i="15"/>
  <c r="M670" i="15"/>
  <c r="AG147" i="11" s="1"/>
  <c r="M826" i="15"/>
  <c r="M663" i="15"/>
  <c r="M757" i="15"/>
  <c r="M1097" i="15"/>
  <c r="M1183" i="15"/>
  <c r="M1193" i="15"/>
  <c r="M511" i="15"/>
  <c r="AG98" i="11" s="1"/>
  <c r="M605" i="15"/>
  <c r="M1003" i="15"/>
  <c r="M1099" i="15"/>
  <c r="M809" i="15"/>
  <c r="M937" i="15"/>
  <c r="AG226" i="11" s="1"/>
  <c r="M1137" i="15"/>
  <c r="M813" i="15"/>
  <c r="M941" i="15"/>
  <c r="M1177" i="15"/>
  <c r="M911" i="15"/>
  <c r="M888" i="15"/>
  <c r="M1128" i="15"/>
  <c r="M928" i="15"/>
  <c r="M808" i="15"/>
  <c r="M700" i="15"/>
  <c r="M1052" i="15"/>
  <c r="M1121" i="15"/>
  <c r="M912" i="15"/>
  <c r="AG220" i="11" s="1"/>
  <c r="M1184" i="15"/>
  <c r="M773" i="15"/>
  <c r="M472" i="15"/>
  <c r="M938" i="15"/>
  <c r="M1234" i="15"/>
  <c r="M746" i="15"/>
  <c r="AG170" i="11" s="1"/>
  <c r="M652" i="15"/>
  <c r="M914" i="15"/>
  <c r="M858" i="15"/>
  <c r="M632" i="15"/>
  <c r="M674" i="15"/>
  <c r="M520" i="15"/>
  <c r="M790" i="15"/>
  <c r="M582" i="15"/>
  <c r="M1230" i="15"/>
  <c r="M1161" i="15"/>
  <c r="AG154" i="11"/>
  <c r="M1158" i="15"/>
  <c r="M1070" i="15"/>
  <c r="M1163" i="15"/>
  <c r="M978" i="15"/>
  <c r="M863" i="15"/>
  <c r="M847" i="15"/>
  <c r="M703" i="15"/>
  <c r="M579" i="15"/>
  <c r="M1259" i="15"/>
  <c r="AG285" i="11" s="1"/>
  <c r="M595" i="15"/>
  <c r="M1089" i="15"/>
  <c r="M481" i="15"/>
  <c r="M1303" i="15"/>
  <c r="M553" i="15"/>
  <c r="M841" i="15"/>
  <c r="M525" i="15"/>
  <c r="M717" i="15"/>
  <c r="M845" i="15"/>
  <c r="M973" i="15"/>
  <c r="M1257" i="15"/>
  <c r="M708" i="15"/>
  <c r="M1216" i="15"/>
  <c r="M764" i="15"/>
  <c r="AG176" i="11" s="1"/>
  <c r="M1016" i="15"/>
  <c r="AG243" i="11" s="1"/>
  <c r="M1280" i="15"/>
  <c r="M1108" i="15"/>
  <c r="AG266" i="11" s="1"/>
  <c r="M748" i="15"/>
  <c r="M1112" i="15"/>
  <c r="M901" i="15"/>
  <c r="M530" i="15"/>
  <c r="M528" i="15"/>
  <c r="M1290" i="15"/>
  <c r="M1165" i="15"/>
  <c r="M1119" i="15"/>
  <c r="M747" i="15"/>
  <c r="AG171" i="11" s="1"/>
  <c r="M952" i="15"/>
  <c r="M816" i="15"/>
  <c r="AG190" i="11" s="1"/>
  <c r="M1135" i="15"/>
  <c r="M1243" i="15"/>
  <c r="M583" i="15"/>
  <c r="M819" i="15"/>
  <c r="M479" i="15"/>
  <c r="M799" i="15"/>
  <c r="AG183" i="11" s="1"/>
  <c r="M548" i="15"/>
  <c r="M942" i="15"/>
  <c r="M1072" i="15"/>
  <c r="M474" i="15"/>
  <c r="M638" i="15"/>
  <c r="M522" i="15"/>
  <c r="AG103" i="11" s="1"/>
  <c r="M1147" i="15"/>
  <c r="M519" i="15"/>
  <c r="AG102" i="11" s="1"/>
  <c r="M1285" i="15"/>
  <c r="M619" i="15"/>
  <c r="M585" i="15"/>
  <c r="M1009" i="15"/>
  <c r="M557" i="15"/>
  <c r="M1013" i="15"/>
  <c r="M760" i="15"/>
  <c r="M996" i="15"/>
  <c r="M1272" i="15"/>
  <c r="M1064" i="15"/>
  <c r="M1005" i="15"/>
  <c r="M1021" i="15"/>
  <c r="AG245" i="11" s="1"/>
  <c r="M676" i="15"/>
  <c r="M900" i="15"/>
  <c r="M1144" i="15"/>
  <c r="M860" i="15"/>
  <c r="M1100" i="15"/>
  <c r="M1185" i="15"/>
  <c r="M1040" i="15"/>
  <c r="M906" i="15"/>
  <c r="M642" i="15"/>
  <c r="M1018" i="15"/>
  <c r="M650" i="15"/>
  <c r="M1214" i="15"/>
  <c r="M552" i="15"/>
  <c r="M1270" i="15"/>
  <c r="M428" i="15"/>
  <c r="M1061" i="15"/>
  <c r="M1164" i="15"/>
  <c r="M534" i="15"/>
  <c r="M934" i="15"/>
  <c r="M762" i="15"/>
  <c r="M602" i="15"/>
  <c r="M651" i="15"/>
  <c r="M770" i="15"/>
  <c r="M538" i="15"/>
  <c r="M686" i="15"/>
  <c r="M1079" i="15"/>
  <c r="M561" i="15"/>
  <c r="M461" i="15"/>
  <c r="M433" i="15"/>
  <c r="M631" i="15"/>
  <c r="M1141" i="15"/>
  <c r="M744" i="15"/>
  <c r="M988" i="15"/>
  <c r="M1105" i="15"/>
  <c r="M992" i="15"/>
  <c r="M1264" i="15"/>
  <c r="AG287" i="11" s="1"/>
  <c r="M806" i="15"/>
  <c r="M1154" i="15"/>
  <c r="M648" i="15"/>
  <c r="AG140" i="11" s="1"/>
  <c r="M1010" i="15"/>
  <c r="M618" i="15"/>
  <c r="M456" i="15"/>
  <c r="M672" i="15"/>
  <c r="M466" i="15"/>
  <c r="M726" i="15"/>
  <c r="M1279" i="15"/>
  <c r="M614" i="15"/>
  <c r="M910" i="15"/>
  <c r="M430" i="15"/>
  <c r="M480" i="15"/>
  <c r="M802" i="15"/>
  <c r="M893" i="15"/>
  <c r="M1209" i="15"/>
  <c r="M506" i="15"/>
  <c r="M794" i="15"/>
  <c r="M551" i="15"/>
  <c r="M454" i="15"/>
  <c r="M817" i="15"/>
  <c r="AG191" i="11" s="1"/>
  <c r="AG95" i="11"/>
  <c r="M667" i="15"/>
  <c r="AG146" i="11" s="1"/>
  <c r="M698" i="15"/>
  <c r="M630" i="15"/>
  <c r="M1142" i="15"/>
  <c r="M722" i="15"/>
  <c r="M1226" i="15"/>
  <c r="M1120" i="15"/>
  <c r="M890" i="15"/>
  <c r="M1140" i="15"/>
  <c r="M870" i="15"/>
  <c r="P4" i="17"/>
  <c r="M822" i="15"/>
  <c r="M1294" i="15"/>
  <c r="M714" i="15"/>
  <c r="M838" i="15"/>
  <c r="M960" i="15"/>
  <c r="M566" i="15"/>
  <c r="M846" i="15"/>
  <c r="M678" i="15"/>
  <c r="M1098" i="15"/>
  <c r="M490" i="15"/>
  <c r="AG90" i="11" s="1"/>
  <c r="M839" i="15"/>
  <c r="M1291" i="15"/>
  <c r="M487" i="15"/>
  <c r="M983" i="15"/>
  <c r="M891" i="15"/>
  <c r="M586" i="15"/>
  <c r="M423" i="15"/>
  <c r="M1227" i="15"/>
  <c r="M587" i="15"/>
  <c r="M1239" i="15"/>
  <c r="AG280" i="11" s="1"/>
  <c r="M570" i="15"/>
  <c r="M497" i="15"/>
  <c r="M881" i="15"/>
  <c r="AG210" i="11" s="1"/>
  <c r="M1181" i="15"/>
  <c r="M1175" i="15"/>
  <c r="M693" i="15"/>
  <c r="AG155" i="11" s="1"/>
  <c r="M1273" i="15"/>
  <c r="M729" i="15"/>
  <c r="M1101" i="15"/>
  <c r="M1094" i="15"/>
  <c r="M622" i="15"/>
  <c r="AG130" i="11" s="1"/>
  <c r="M883" i="15"/>
  <c r="AG211" i="11" s="1"/>
  <c r="M866" i="15"/>
  <c r="AG206" i="11" s="1"/>
  <c r="M1155" i="15"/>
  <c r="M527" i="15"/>
  <c r="AG105" i="11" s="1"/>
  <c r="M1035" i="15"/>
  <c r="M1055" i="15"/>
  <c r="AG254" i="11" s="1"/>
  <c r="M873" i="15"/>
  <c r="M696" i="15"/>
  <c r="M916" i="15"/>
  <c r="M876" i="15"/>
  <c r="M564" i="15"/>
  <c r="M1042" i="15"/>
  <c r="M898" i="15"/>
  <c r="M1037" i="15"/>
  <c r="M666" i="15"/>
  <c r="M478" i="15"/>
  <c r="AG84" i="11" s="1"/>
  <c r="M800" i="15"/>
  <c r="AG184" i="11" s="1"/>
  <c r="M834" i="15"/>
  <c r="M1208" i="15"/>
  <c r="M1252" i="15"/>
  <c r="M574" i="15"/>
  <c r="AG115" i="11" s="1"/>
  <c r="M950" i="15"/>
  <c r="M1238" i="15"/>
  <c r="M1118" i="15"/>
  <c r="M750" i="15"/>
  <c r="M999" i="15"/>
  <c r="M807" i="15"/>
  <c r="M735" i="15"/>
  <c r="M554" i="15"/>
  <c r="M915" i="15"/>
  <c r="M850" i="15"/>
  <c r="M655" i="15"/>
  <c r="M977" i="15"/>
  <c r="M537" i="15"/>
  <c r="M793" i="15"/>
  <c r="AG180" i="11" s="1"/>
  <c r="M815" i="15"/>
  <c r="M837" i="15"/>
  <c r="M653" i="15"/>
  <c r="M781" i="15"/>
  <c r="M1077" i="15"/>
  <c r="M1056" i="15"/>
  <c r="M1133" i="15"/>
  <c r="M828" i="15"/>
  <c r="M1076" i="15"/>
  <c r="M995" i="15"/>
  <c r="M829" i="15"/>
  <c r="M1263" i="15"/>
  <c r="M1229" i="15"/>
  <c r="M1267" i="15"/>
  <c r="M549" i="15"/>
  <c r="M709" i="15"/>
  <c r="M1001" i="15"/>
  <c r="M465" i="15"/>
  <c r="M924" i="15"/>
  <c r="M1269" i="15"/>
  <c r="M720" i="15"/>
  <c r="M1033" i="15"/>
  <c r="M972" i="15"/>
  <c r="M1240" i="15"/>
  <c r="M1048" i="15"/>
  <c r="M868" i="15"/>
  <c r="AG9" i="11"/>
  <c r="AG48" i="11"/>
  <c r="M470" i="15"/>
  <c r="M1162" i="15"/>
  <c r="M616" i="15"/>
  <c r="M954" i="15"/>
  <c r="AG229" i="11" s="1"/>
  <c r="M660" i="15"/>
  <c r="AG143" i="11" s="1"/>
  <c r="M1062" i="15"/>
  <c r="AG256" i="11" s="1"/>
  <c r="M664" i="15"/>
  <c r="M1266" i="15"/>
  <c r="M592" i="15"/>
  <c r="M922" i="15"/>
  <c r="M464" i="15"/>
  <c r="M1186" i="15"/>
  <c r="M1085" i="15"/>
  <c r="AG260" i="11" s="1"/>
  <c r="M782" i="15"/>
  <c r="M425" i="15"/>
  <c r="M1211" i="15"/>
  <c r="M1171" i="15"/>
  <c r="M643" i="15"/>
  <c r="M951" i="15"/>
  <c r="M920" i="15"/>
  <c r="M795" i="15"/>
  <c r="M695" i="15"/>
  <c r="M654" i="15"/>
  <c r="M1111" i="15"/>
  <c r="M810" i="15"/>
  <c r="AG188" i="11" s="1"/>
  <c r="M743" i="15"/>
  <c r="M718" i="15"/>
  <c r="M702" i="15"/>
  <c r="M443" i="15"/>
  <c r="M1255" i="15"/>
  <c r="M945" i="15"/>
  <c r="M1261" i="15"/>
  <c r="M473" i="15"/>
  <c r="M761" i="15"/>
  <c r="M1109" i="15"/>
  <c r="M1247" i="15"/>
  <c r="M509" i="15"/>
  <c r="AG97" i="11" s="1"/>
  <c r="M861" i="15"/>
  <c r="M705" i="15"/>
  <c r="M581" i="15"/>
  <c r="M805" i="15"/>
  <c r="AG186" i="11" s="1"/>
  <c r="M969" i="15"/>
  <c r="M1245" i="15"/>
  <c r="M749" i="15"/>
  <c r="M877" i="15"/>
  <c r="M1123" i="15"/>
  <c r="M824" i="15"/>
  <c r="M768" i="15"/>
  <c r="M1028" i="15"/>
  <c r="M1300" i="15"/>
  <c r="M1080" i="15"/>
  <c r="AG258" i="11" s="1"/>
  <c r="M788" i="15"/>
  <c r="M1036" i="15"/>
  <c r="M872" i="15"/>
  <c r="M1221" i="15"/>
  <c r="M688" i="15"/>
  <c r="M1006" i="15"/>
  <c r="M532" i="15"/>
  <c r="M814" i="15"/>
  <c r="M1198" i="15"/>
  <c r="M1014" i="15"/>
  <c r="M446" i="15"/>
  <c r="M1122" i="15"/>
  <c r="M448" i="15"/>
  <c r="M452" i="15"/>
  <c r="M982" i="15"/>
  <c r="M524" i="15"/>
  <c r="M930" i="15"/>
  <c r="M713" i="15"/>
  <c r="AG161" i="11" s="1"/>
  <c r="M1246" i="15"/>
  <c r="M1169" i="15"/>
  <c r="M827" i="15"/>
  <c r="M967" i="15"/>
  <c r="M1019" i="15"/>
  <c r="M1134" i="15"/>
  <c r="M469" i="15"/>
  <c r="M1309" i="15"/>
  <c r="M740" i="15"/>
  <c r="M984" i="15"/>
  <c r="M758" i="15"/>
  <c r="M540" i="15"/>
  <c r="AG107" i="11" s="1"/>
  <c r="M1210" i="15"/>
  <c r="M508" i="15"/>
  <c r="M516" i="15"/>
  <c r="AG100" i="11" s="1"/>
  <c r="M778" i="15"/>
  <c r="M1030" i="15"/>
  <c r="M560" i="15"/>
  <c r="M1295" i="15"/>
  <c r="M1159" i="15"/>
  <c r="M987" i="15"/>
  <c r="M591" i="15"/>
  <c r="M939" i="15"/>
  <c r="M843" i="15"/>
  <c r="M513" i="15"/>
  <c r="AG99" i="11" s="1"/>
  <c r="M739" i="15"/>
  <c r="M1020" i="15"/>
  <c r="AG126" i="11"/>
  <c r="M467" i="15"/>
  <c r="M641" i="15"/>
  <c r="AG137" i="11" s="1"/>
  <c r="M435" i="15"/>
  <c r="M1027" i="15"/>
  <c r="M1043" i="15"/>
  <c r="M1059" i="15"/>
  <c r="AG91" i="11"/>
  <c r="M517" i="15"/>
  <c r="AG101" i="11" s="1"/>
  <c r="AG159" i="11"/>
  <c r="M488" i="15"/>
  <c r="M671" i="15"/>
  <c r="M576" i="15"/>
  <c r="AG116" i="11" s="1"/>
  <c r="M1075" i="15"/>
  <c r="M439" i="15"/>
  <c r="M935" i="15"/>
  <c r="M437" i="15"/>
  <c r="M931" i="15"/>
  <c r="M849" i="15"/>
  <c r="M943" i="15"/>
  <c r="M565" i="15"/>
  <c r="M665" i="15"/>
  <c r="M759" i="15"/>
  <c r="M637" i="15"/>
  <c r="M1125" i="15"/>
  <c r="M485" i="15"/>
  <c r="M677" i="15"/>
  <c r="M1289" i="15"/>
  <c r="M895" i="15"/>
  <c r="M617" i="15"/>
  <c r="M905" i="15"/>
  <c r="M1073" i="15"/>
  <c r="M493" i="15"/>
  <c r="M685" i="15"/>
  <c r="M1237" i="15"/>
  <c r="M716" i="15"/>
  <c r="M1224" i="15"/>
  <c r="M896" i="15"/>
  <c r="M1136" i="15"/>
  <c r="AG274" i="11" s="1"/>
  <c r="M1149" i="15"/>
  <c r="M680" i="15"/>
  <c r="AG150" i="11" s="1"/>
  <c r="M1152" i="15"/>
  <c r="M1093" i="15"/>
  <c r="M796" i="15"/>
  <c r="AG182" i="11" s="1"/>
  <c r="M741" i="15"/>
  <c r="M432" i="15"/>
  <c r="M606" i="15"/>
  <c r="M1298" i="15"/>
  <c r="M546" i="15"/>
  <c r="M580" i="15"/>
  <c r="M1250" i="15"/>
  <c r="M584" i="15"/>
  <c r="M1254" i="15"/>
  <c r="M628" i="15"/>
  <c r="M562" i="15"/>
  <c r="M862" i="15"/>
  <c r="M424" i="15"/>
  <c r="M636" i="15"/>
  <c r="M1222" i="15"/>
  <c r="M600" i="15"/>
  <c r="M1150" i="15"/>
  <c r="M1213" i="15"/>
  <c r="M1305" i="15"/>
  <c r="M1307" i="15"/>
  <c r="M803" i="15"/>
  <c r="M1067" i="15"/>
  <c r="M1011" i="15"/>
  <c r="M963" i="15"/>
  <c r="M889" i="15"/>
  <c r="M1041" i="15"/>
  <c r="M1086" i="15"/>
  <c r="M471" i="15"/>
  <c r="M625" i="15"/>
  <c r="AG131" i="11" s="1"/>
  <c r="CU262" i="3"/>
  <c r="AF262" i="3" s="1"/>
  <c r="CD188" i="3"/>
  <c r="CB81" i="3"/>
  <c r="CC81" i="3" s="1"/>
  <c r="BZ103" i="3"/>
  <c r="CA103" i="3" s="1"/>
  <c r="CB103" i="3" s="1"/>
  <c r="CC103" i="3" s="1"/>
  <c r="BV81" i="3"/>
  <c r="BX81" i="3" s="1"/>
  <c r="BY81" i="3" s="1"/>
  <c r="BU103" i="3"/>
  <c r="CU79" i="3"/>
  <c r="AF79" i="3" s="1"/>
  <c r="BZ196" i="3"/>
  <c r="CB196" i="3" s="1"/>
  <c r="CC196" i="3" s="1"/>
  <c r="CU151" i="3"/>
  <c r="AF151" i="3" s="1"/>
  <c r="BV103" i="3"/>
  <c r="BW103" i="3" s="1"/>
  <c r="CU185" i="3"/>
  <c r="AF185" i="3" s="1"/>
  <c r="CU122" i="3"/>
  <c r="AF122" i="3" s="1"/>
  <c r="CU58" i="3"/>
  <c r="AF58" i="3" s="1"/>
  <c r="CU178" i="3"/>
  <c r="AF178" i="3" s="1"/>
  <c r="CJ242" i="3"/>
  <c r="CV123" i="3"/>
  <c r="AF123" i="3" s="1"/>
  <c r="CU222" i="3"/>
  <c r="AF222" i="3" s="1"/>
  <c r="BV144" i="3"/>
  <c r="BW144" i="3" s="1"/>
  <c r="CU173" i="3"/>
  <c r="AF173" i="3" s="1"/>
  <c r="BU223" i="3"/>
  <c r="BV149" i="3"/>
  <c r="BX149" i="3" s="1"/>
  <c r="BY149" i="3" s="1"/>
  <c r="CV9" i="3"/>
  <c r="AF9" i="3" s="1"/>
  <c r="BV252" i="3"/>
  <c r="BW252" i="3" s="1"/>
  <c r="CU69" i="3"/>
  <c r="AF69" i="3" s="1"/>
  <c r="BW188" i="3"/>
  <c r="CD133" i="3"/>
  <c r="BZ223" i="3"/>
  <c r="CA223" i="3" s="1"/>
  <c r="CB223" i="3" s="1"/>
  <c r="CC223" i="3" s="1"/>
  <c r="BV133" i="3"/>
  <c r="BX133" i="3" s="1"/>
  <c r="BY133" i="3" s="1"/>
  <c r="BZ188" i="3"/>
  <c r="CA188" i="3" s="1"/>
  <c r="CB188" i="3" s="1"/>
  <c r="CC188" i="3" s="1"/>
  <c r="BZ278" i="3"/>
  <c r="CA278" i="3" s="1"/>
  <c r="CB278" i="3" s="1"/>
  <c r="CC278" i="3" s="1"/>
  <c r="BV28" i="3"/>
  <c r="BW28" i="3" s="1"/>
  <c r="BV223" i="3"/>
  <c r="BX223" i="3" s="1"/>
  <c r="BY223" i="3" s="1"/>
  <c r="BZ133" i="3"/>
  <c r="CA133" i="3" s="1"/>
  <c r="CB133" i="3" s="1"/>
  <c r="CC133" i="3" s="1"/>
  <c r="BZ252" i="3"/>
  <c r="CB252" i="3" s="1"/>
  <c r="CC252" i="3" s="1"/>
  <c r="BZ149" i="3"/>
  <c r="CA149" i="3" s="1"/>
  <c r="CB149" i="3" s="1"/>
  <c r="CC149" i="3" s="1"/>
  <c r="CD252" i="3"/>
  <c r="BU149" i="3"/>
  <c r="BU188" i="3"/>
  <c r="CV88" i="3"/>
  <c r="AF88" i="3" s="1"/>
  <c r="CV119" i="3"/>
  <c r="AF119" i="3" s="1"/>
  <c r="CU229" i="3"/>
  <c r="AF229" i="3" s="1"/>
  <c r="CD28" i="3"/>
  <c r="BZ28" i="3"/>
  <c r="CA28" i="3" s="1"/>
  <c r="CB28" i="3" s="1"/>
  <c r="CC28" i="3" s="1"/>
  <c r="BW235" i="3"/>
  <c r="BU235" i="3"/>
  <c r="BV161" i="3"/>
  <c r="BX161" i="3" s="1"/>
  <c r="BY161" i="3" s="1"/>
  <c r="BV38" i="3"/>
  <c r="BX38" i="3" s="1"/>
  <c r="BY38" i="3" s="1"/>
  <c r="CU142" i="3"/>
  <c r="AF142" i="3" s="1"/>
  <c r="CD274" i="3"/>
  <c r="BZ235" i="3"/>
  <c r="CA235" i="3" s="1"/>
  <c r="CB235" i="3" s="1"/>
  <c r="CC235" i="3" s="1"/>
  <c r="BV111" i="3"/>
  <c r="BX111" i="3" s="1"/>
  <c r="BY111" i="3" s="1"/>
  <c r="CU274" i="3"/>
  <c r="AF274" i="3" s="1"/>
  <c r="BV41" i="3"/>
  <c r="BX41" i="3" s="1"/>
  <c r="BY41" i="3" s="1"/>
  <c r="CB261" i="3"/>
  <c r="CC261" i="3" s="1"/>
  <c r="BV274" i="3"/>
  <c r="BX274" i="3" s="1"/>
  <c r="BY274" i="3" s="1"/>
  <c r="BV72" i="3"/>
  <c r="BX72" i="3" s="1"/>
  <c r="BY72" i="3" s="1"/>
  <c r="CD111" i="3"/>
  <c r="BU274" i="3"/>
  <c r="CD41" i="3"/>
  <c r="BZ111" i="3"/>
  <c r="CA111" i="3" s="1"/>
  <c r="CB111" i="3" s="1"/>
  <c r="CC111" i="3" s="1"/>
  <c r="CU288" i="3"/>
  <c r="AF288" i="3" s="1"/>
  <c r="CU290" i="3"/>
  <c r="AF290" i="3" s="1"/>
  <c r="BZ41" i="3"/>
  <c r="CA41" i="3" s="1"/>
  <c r="CB41" i="3" s="1"/>
  <c r="CC41" i="3" s="1"/>
  <c r="BU38" i="3"/>
  <c r="BZ38" i="3"/>
  <c r="CA38" i="3" s="1"/>
  <c r="CB38" i="3" s="1"/>
  <c r="CC38" i="3" s="1"/>
  <c r="BU261" i="3"/>
  <c r="BU248" i="3"/>
  <c r="BZ175" i="3"/>
  <c r="CA175" i="3" s="1"/>
  <c r="BV261" i="3"/>
  <c r="BW261" i="3" s="1"/>
  <c r="BZ248" i="3"/>
  <c r="CA248" i="3" s="1"/>
  <c r="CD161" i="3"/>
  <c r="CD261" i="3"/>
  <c r="CD72" i="3"/>
  <c r="CU153" i="3"/>
  <c r="AF153" i="3" s="1"/>
  <c r="CD288" i="3"/>
  <c r="BU288" i="3"/>
  <c r="BV288" i="3"/>
  <c r="BW288" i="3" s="1"/>
  <c r="CU40" i="3"/>
  <c r="AF40" i="3" s="1"/>
  <c r="CB288" i="3"/>
  <c r="CC288" i="3" s="1"/>
  <c r="CD20" i="3"/>
  <c r="BU11" i="3"/>
  <c r="CD81" i="3"/>
  <c r="BV259" i="3"/>
  <c r="BW259" i="3" s="1"/>
  <c r="BV225" i="3"/>
  <c r="BW225" i="3" s="1"/>
  <c r="BU236" i="3"/>
  <c r="CD259" i="3"/>
  <c r="CD214" i="3"/>
  <c r="BV214" i="3"/>
  <c r="BW214" i="3" s="1"/>
  <c r="BX214" i="3" s="1"/>
  <c r="BY214" i="3" s="1"/>
  <c r="BV196" i="3"/>
  <c r="BX196" i="3" s="1"/>
  <c r="BY196" i="3" s="1"/>
  <c r="CB185" i="3"/>
  <c r="CC185" i="3" s="1"/>
  <c r="BV9" i="3"/>
  <c r="BW9" i="3" s="1"/>
  <c r="BZ9" i="3"/>
  <c r="CB9" i="3" s="1"/>
  <c r="CC9" i="3" s="1"/>
  <c r="BZ20" i="3"/>
  <c r="CA20" i="3" s="1"/>
  <c r="BV179" i="3"/>
  <c r="BW179" i="3" s="1"/>
  <c r="BX179" i="3" s="1"/>
  <c r="BY179" i="3" s="1"/>
  <c r="CA259" i="3"/>
  <c r="BU20" i="3"/>
  <c r="BZ179" i="3"/>
  <c r="BU81" i="3"/>
  <c r="BU16" i="3"/>
  <c r="BW140" i="3"/>
  <c r="CD179" i="3"/>
  <c r="BU259" i="3"/>
  <c r="BU196" i="3"/>
  <c r="BU112" i="3"/>
  <c r="BV197" i="3"/>
  <c r="BW197" i="3" s="1"/>
  <c r="BX197" i="3" s="1"/>
  <c r="BY197" i="3" s="1"/>
  <c r="BZ214" i="3"/>
  <c r="CA214" i="3" s="1"/>
  <c r="BU9" i="3"/>
  <c r="BU237" i="3"/>
  <c r="BX187" i="3"/>
  <c r="BY187" i="3" s="1"/>
  <c r="BZ187" i="3"/>
  <c r="CA187" i="3" s="1"/>
  <c r="CB187" i="3" s="1"/>
  <c r="CC187" i="3" s="1"/>
  <c r="BV177" i="3"/>
  <c r="BX177" i="3" s="1"/>
  <c r="BY177" i="3" s="1"/>
  <c r="BV106" i="3"/>
  <c r="BW106" i="3" s="1"/>
  <c r="BX106" i="3" s="1"/>
  <c r="BY106" i="3" s="1"/>
  <c r="BZ72" i="3"/>
  <c r="CB72" i="3" s="1"/>
  <c r="CC72" i="3" s="1"/>
  <c r="CD139" i="3"/>
  <c r="BV115" i="3"/>
  <c r="BW115" i="3" s="1"/>
  <c r="CD106" i="3"/>
  <c r="BU265" i="3"/>
  <c r="CD187" i="3"/>
  <c r="BX237" i="3"/>
  <c r="BY237" i="3" s="1"/>
  <c r="BU172" i="3"/>
  <c r="BU202" i="3"/>
  <c r="CB265" i="3"/>
  <c r="CC265" i="3" s="1"/>
  <c r="CD265" i="3"/>
  <c r="BZ106" i="3"/>
  <c r="CA106" i="3" s="1"/>
  <c r="BV172" i="3"/>
  <c r="BX172" i="3" s="1"/>
  <c r="BY172" i="3" s="1"/>
  <c r="BV139" i="3"/>
  <c r="BW139" i="3" s="1"/>
  <c r="CD237" i="3"/>
  <c r="CD43" i="3"/>
  <c r="BV265" i="3"/>
  <c r="BW265" i="3" s="1"/>
  <c r="BU241" i="3"/>
  <c r="CB241" i="3"/>
  <c r="CC241" i="3" s="1"/>
  <c r="CV70" i="3"/>
  <c r="AF70" i="3" s="1"/>
  <c r="CD78" i="3"/>
  <c r="BU83" i="3"/>
  <c r="CU118" i="3"/>
  <c r="AF118" i="3" s="1"/>
  <c r="BV164" i="3"/>
  <c r="BX164" i="3" s="1"/>
  <c r="BY164" i="3" s="1"/>
  <c r="BX50" i="3"/>
  <c r="BY50" i="3" s="1"/>
  <c r="BV267" i="3"/>
  <c r="BW267" i="3" s="1"/>
  <c r="CU148" i="3"/>
  <c r="AF148" i="3" s="1"/>
  <c r="CB208" i="3"/>
  <c r="CC208" i="3" s="1"/>
  <c r="CD50" i="3"/>
  <c r="BU208" i="3"/>
  <c r="BZ267" i="3"/>
  <c r="CA267" i="3" s="1"/>
  <c r="CB267" i="3" s="1"/>
  <c r="CC267" i="3" s="1"/>
  <c r="CJ29" i="3"/>
  <c r="CJ265" i="3"/>
  <c r="BU159" i="3"/>
  <c r="BZ100" i="3"/>
  <c r="CB100" i="3" s="1"/>
  <c r="CC100" i="3" s="1"/>
  <c r="BU127" i="3"/>
  <c r="CD127" i="3"/>
  <c r="CV27" i="3"/>
  <c r="AF27" i="3" s="1"/>
  <c r="CU257" i="3"/>
  <c r="AF257" i="3" s="1"/>
  <c r="BZ164" i="3"/>
  <c r="CB164" i="3" s="1"/>
  <c r="CC164" i="3" s="1"/>
  <c r="CD267" i="3"/>
  <c r="CU62" i="3"/>
  <c r="AF62" i="3" s="1"/>
  <c r="BZ159" i="3"/>
  <c r="CA159" i="3" s="1"/>
  <c r="CB159" i="3" s="1"/>
  <c r="CC159" i="3" s="1"/>
  <c r="BZ13" i="3"/>
  <c r="CB13" i="3" s="1"/>
  <c r="CC13" i="3" s="1"/>
  <c r="CB127" i="3"/>
  <c r="CC127" i="3" s="1"/>
  <c r="CV166" i="3"/>
  <c r="AF166" i="3" s="1"/>
  <c r="BW230" i="3"/>
  <c r="BX159" i="3"/>
  <c r="BY159" i="3" s="1"/>
  <c r="BU13" i="3"/>
  <c r="CD159" i="3"/>
  <c r="BU100" i="3"/>
  <c r="BV13" i="3"/>
  <c r="BW13" i="3" s="1"/>
  <c r="BX13" i="3" s="1"/>
  <c r="BY13" i="3" s="1"/>
  <c r="CD100" i="3"/>
  <c r="BV127" i="3"/>
  <c r="BW127" i="3" s="1"/>
  <c r="BU164" i="3"/>
  <c r="BV226" i="3"/>
  <c r="BW226" i="3" s="1"/>
  <c r="BV153" i="3"/>
  <c r="BX153" i="3" s="1"/>
  <c r="BY153" i="3" s="1"/>
  <c r="BU153" i="3"/>
  <c r="CD153" i="3"/>
  <c r="BZ230" i="3"/>
  <c r="CA230" i="3" s="1"/>
  <c r="CB230" i="3" s="1"/>
  <c r="CC230" i="3" s="1"/>
  <c r="CD271" i="3"/>
  <c r="CU53" i="3"/>
  <c r="AF53" i="3" s="1"/>
  <c r="BZ271" i="3"/>
  <c r="CB271" i="3" s="1"/>
  <c r="CC271" i="3" s="1"/>
  <c r="CD138" i="3"/>
  <c r="BZ239" i="3"/>
  <c r="CA239" i="3" s="1"/>
  <c r="CU44" i="3"/>
  <c r="AF44" i="3" s="1"/>
  <c r="CD230" i="3"/>
  <c r="CD239" i="3"/>
  <c r="BU230" i="3"/>
  <c r="BV239" i="3"/>
  <c r="BW239" i="3" s="1"/>
  <c r="BX239" i="3" s="1"/>
  <c r="BY239" i="3" s="1"/>
  <c r="CU39" i="3"/>
  <c r="AF39" i="3" s="1"/>
  <c r="BV271" i="3"/>
  <c r="BW271" i="3" s="1"/>
  <c r="BX271" i="3" s="1"/>
  <c r="BY271" i="3" s="1"/>
  <c r="BU39" i="3"/>
  <c r="CD155" i="3"/>
  <c r="CD287" i="3"/>
  <c r="CJ60" i="3"/>
  <c r="BV170" i="3"/>
  <c r="BW170" i="3" s="1"/>
  <c r="CD170" i="3"/>
  <c r="CU26" i="3"/>
  <c r="AF26" i="3" s="1"/>
  <c r="BV253" i="3"/>
  <c r="BX253" i="3" s="1"/>
  <c r="BY253" i="3" s="1"/>
  <c r="CU38" i="3"/>
  <c r="AF38" i="3" s="1"/>
  <c r="CU163" i="3"/>
  <c r="AF163" i="3" s="1"/>
  <c r="BZ253" i="3"/>
  <c r="CB253" i="3" s="1"/>
  <c r="CC253" i="3" s="1"/>
  <c r="CD253" i="3"/>
  <c r="CU84" i="3"/>
  <c r="AF84" i="3" s="1"/>
  <c r="BV155" i="3"/>
  <c r="BW155" i="3" s="1"/>
  <c r="BX155" i="3" s="1"/>
  <c r="BY155" i="3" s="1"/>
  <c r="CU61" i="3"/>
  <c r="AF61" i="3" s="1"/>
  <c r="BU209" i="3"/>
  <c r="BV107" i="3"/>
  <c r="BX107" i="3" s="1"/>
  <c r="BY107" i="3" s="1"/>
  <c r="BZ137" i="3"/>
  <c r="CA137" i="3" s="1"/>
  <c r="CB137" i="3" s="1"/>
  <c r="CC137" i="3" s="1"/>
  <c r="BU137" i="3"/>
  <c r="BU170" i="3"/>
  <c r="BV137" i="3"/>
  <c r="BX137" i="3" s="1"/>
  <c r="BY137" i="3" s="1"/>
  <c r="BZ155" i="3"/>
  <c r="CA155" i="3" s="1"/>
  <c r="BU107" i="3"/>
  <c r="CB258" i="3"/>
  <c r="CC258" i="3" s="1"/>
  <c r="CJ138" i="3"/>
  <c r="CU277" i="3"/>
  <c r="AF277" i="3" s="1"/>
  <c r="CD226" i="3"/>
  <c r="CU11" i="3"/>
  <c r="AF11" i="3" s="1"/>
  <c r="CA170" i="3"/>
  <c r="BU226" i="3"/>
  <c r="BZ107" i="3"/>
  <c r="CA107" i="3" s="1"/>
  <c r="CJ91" i="3"/>
  <c r="CJ275" i="3"/>
  <c r="CJ218" i="3"/>
  <c r="CV111" i="3"/>
  <c r="AF111" i="3" s="1"/>
  <c r="CV49" i="3"/>
  <c r="AF49" i="3" s="1"/>
  <c r="BV275" i="3"/>
  <c r="BW275" i="3" s="1"/>
  <c r="BX275" i="3" s="1"/>
  <c r="BY275" i="3" s="1"/>
  <c r="BU50" i="3"/>
  <c r="CB83" i="3"/>
  <c r="CC83" i="3" s="1"/>
  <c r="CU41" i="3"/>
  <c r="AF41" i="3" s="1"/>
  <c r="BX78" i="3"/>
  <c r="BY78" i="3" s="1"/>
  <c r="CU66" i="3"/>
  <c r="AF66" i="3" s="1"/>
  <c r="CH4" i="3"/>
  <c r="BV241" i="3"/>
  <c r="BW241" i="3" s="1"/>
  <c r="BZ205" i="3"/>
  <c r="CA205" i="3" s="1"/>
  <c r="CB205" i="3" s="1"/>
  <c r="CC205" i="3" s="1"/>
  <c r="BV205" i="3"/>
  <c r="BW205" i="3" s="1"/>
  <c r="CD83" i="3"/>
  <c r="BV243" i="3"/>
  <c r="BW243" i="3" s="1"/>
  <c r="BX243" i="3" s="1"/>
  <c r="BY243" i="3" s="1"/>
  <c r="CD275" i="3"/>
  <c r="BV258" i="3"/>
  <c r="BW258" i="3" s="1"/>
  <c r="CU145" i="3"/>
  <c r="AF145" i="3" s="1"/>
  <c r="BU177" i="3"/>
  <c r="BZ209" i="3"/>
  <c r="CA209" i="3" s="1"/>
  <c r="CB209" i="3" s="1"/>
  <c r="CC209" i="3" s="1"/>
  <c r="CJ257" i="3"/>
  <c r="CD208" i="3"/>
  <c r="BZ177" i="3"/>
  <c r="CA177" i="3" s="1"/>
  <c r="CB177" i="3" s="1"/>
  <c r="CC177" i="3" s="1"/>
  <c r="BZ50" i="3"/>
  <c r="CA50" i="3" s="1"/>
  <c r="CB50" i="3" s="1"/>
  <c r="CC50" i="3" s="1"/>
  <c r="BV209" i="3"/>
  <c r="BX209" i="3" s="1"/>
  <c r="BY209" i="3" s="1"/>
  <c r="CD243" i="3"/>
  <c r="BU78" i="3"/>
  <c r="BV83" i="3"/>
  <c r="BX83" i="3" s="1"/>
  <c r="BY83" i="3" s="1"/>
  <c r="BV138" i="3"/>
  <c r="BX138" i="3" s="1"/>
  <c r="BY138" i="3" s="1"/>
  <c r="BU275" i="3"/>
  <c r="CU16" i="3"/>
  <c r="AF16" i="3" s="1"/>
  <c r="BU258" i="3"/>
  <c r="CD258" i="3"/>
  <c r="BU243" i="3"/>
  <c r="CU92" i="3"/>
  <c r="AF92" i="3" s="1"/>
  <c r="CU17" i="3"/>
  <c r="AF17" i="3" s="1"/>
  <c r="CA275" i="3"/>
  <c r="BV208" i="3"/>
  <c r="BX208" i="3" s="1"/>
  <c r="BY208" i="3" s="1"/>
  <c r="CD205" i="3"/>
  <c r="CD241" i="3"/>
  <c r="BZ78" i="3"/>
  <c r="CA78" i="3" s="1"/>
  <c r="CD74" i="3"/>
  <c r="BZ138" i="3"/>
  <c r="CA138" i="3" s="1"/>
  <c r="CB138" i="3" s="1"/>
  <c r="CC138" i="3" s="1"/>
  <c r="BV119" i="3"/>
  <c r="BW119" i="3" s="1"/>
  <c r="CJ158" i="3"/>
  <c r="CJ241" i="3"/>
  <c r="CJ49" i="3"/>
  <c r="CJ50" i="3"/>
  <c r="CJ34" i="3"/>
  <c r="CJ249" i="3"/>
  <c r="BU147" i="3"/>
  <c r="CD147" i="3"/>
  <c r="CJ163" i="3"/>
  <c r="CJ83" i="3"/>
  <c r="CJ6" i="3"/>
  <c r="CJ288" i="3"/>
  <c r="CJ113" i="3"/>
  <c r="CJ127" i="3"/>
  <c r="CJ114" i="3"/>
  <c r="CJ22" i="3"/>
  <c r="CJ48" i="3"/>
  <c r="CJ105" i="3"/>
  <c r="CJ36" i="3"/>
  <c r="CJ75" i="3"/>
  <c r="CJ39" i="3"/>
  <c r="CJ8" i="3"/>
  <c r="CJ261" i="3"/>
  <c r="CJ96" i="3"/>
  <c r="CJ110" i="3"/>
  <c r="CJ24" i="3"/>
  <c r="CJ11" i="3"/>
  <c r="CJ278" i="3"/>
  <c r="CJ240" i="3"/>
  <c r="CJ92" i="3"/>
  <c r="CJ237" i="3"/>
  <c r="CJ168" i="3"/>
  <c r="CJ176" i="3"/>
  <c r="CJ159" i="3"/>
  <c r="CJ262" i="3"/>
  <c r="CJ252" i="3"/>
  <c r="CJ245" i="3"/>
  <c r="CJ133" i="3"/>
  <c r="CJ15" i="3"/>
  <c r="CJ221" i="3"/>
  <c r="CJ53" i="3"/>
  <c r="CJ202" i="3"/>
  <c r="CG4" i="3"/>
  <c r="CJ185" i="3"/>
  <c r="CJ51" i="3"/>
  <c r="CJ213" i="3"/>
  <c r="CJ255" i="3"/>
  <c r="CJ89" i="3"/>
  <c r="CJ69" i="3"/>
  <c r="CJ211" i="3"/>
  <c r="CJ201" i="3"/>
  <c r="CJ170" i="3"/>
  <c r="CJ266" i="3"/>
  <c r="CJ172" i="3"/>
  <c r="CJ244" i="3"/>
  <c r="CJ222" i="3"/>
  <c r="CJ40" i="3"/>
  <c r="CJ42" i="3"/>
  <c r="CJ238" i="3"/>
  <c r="CJ100" i="3"/>
  <c r="CJ142" i="3"/>
  <c r="CJ282" i="3"/>
  <c r="CJ38" i="3"/>
  <c r="CJ94" i="3"/>
  <c r="CJ164" i="3"/>
  <c r="CJ236" i="3"/>
  <c r="CJ7" i="3"/>
  <c r="CJ283" i="3"/>
  <c r="CJ247" i="3"/>
  <c r="CJ199" i="3"/>
  <c r="CJ229" i="3"/>
  <c r="CJ183" i="3"/>
  <c r="CJ234" i="3"/>
  <c r="CJ115" i="3"/>
  <c r="CJ226" i="3"/>
  <c r="CJ154" i="3"/>
  <c r="CJ109" i="3"/>
  <c r="CJ130" i="3"/>
  <c r="CJ87" i="3"/>
  <c r="CJ79" i="3"/>
  <c r="CJ95" i="3"/>
  <c r="CJ57" i="3"/>
  <c r="CJ186" i="3"/>
  <c r="CJ16" i="3"/>
  <c r="CJ84" i="3"/>
  <c r="CJ196" i="3"/>
  <c r="CJ198" i="3"/>
  <c r="CJ285" i="3"/>
  <c r="CJ243" i="3"/>
  <c r="CJ263" i="3"/>
  <c r="CJ70" i="3"/>
  <c r="CJ150" i="3"/>
  <c r="CJ118" i="3"/>
  <c r="CJ277" i="3"/>
  <c r="CJ208" i="3"/>
  <c r="CJ28" i="3"/>
  <c r="CJ119" i="3"/>
  <c r="CJ259" i="3"/>
  <c r="CJ41" i="3"/>
  <c r="CJ135" i="3"/>
  <c r="CJ107" i="3"/>
  <c r="CJ194" i="3"/>
  <c r="CJ125" i="3"/>
  <c r="CJ108" i="3"/>
  <c r="CJ71" i="3"/>
  <c r="CJ233" i="3"/>
  <c r="CJ235" i="3"/>
  <c r="CJ131" i="3"/>
  <c r="CJ173" i="3"/>
  <c r="CJ104" i="3"/>
  <c r="CJ98" i="3"/>
  <c r="CJ74" i="3"/>
  <c r="CJ155" i="3"/>
  <c r="CJ167" i="3"/>
  <c r="CJ124" i="3"/>
  <c r="CJ123" i="3"/>
  <c r="CJ207" i="3"/>
  <c r="CJ12" i="3"/>
  <c r="CJ200" i="3"/>
  <c r="CJ67" i="3"/>
  <c r="CJ290" i="3"/>
  <c r="CJ81" i="3"/>
  <c r="CJ45" i="3"/>
  <c r="CJ144" i="3"/>
  <c r="CJ191" i="3"/>
  <c r="CJ169" i="3"/>
  <c r="CJ253" i="3"/>
  <c r="CJ46" i="3"/>
  <c r="CJ166" i="3"/>
  <c r="CJ268" i="3"/>
  <c r="CJ260" i="3"/>
  <c r="CJ26" i="3"/>
  <c r="CJ65" i="3"/>
  <c r="CJ215" i="3"/>
  <c r="CJ62" i="3"/>
  <c r="CJ121" i="3"/>
  <c r="CJ37" i="3"/>
  <c r="CJ184" i="3"/>
  <c r="CJ76" i="3"/>
  <c r="CJ223" i="3"/>
  <c r="CJ140" i="3"/>
  <c r="CJ66" i="3"/>
  <c r="CJ147" i="3"/>
  <c r="CJ152" i="3"/>
  <c r="CJ280" i="3"/>
  <c r="CJ137" i="3"/>
  <c r="CJ10" i="3"/>
  <c r="CJ289" i="3"/>
  <c r="CJ143" i="3"/>
  <c r="CJ9" i="3"/>
  <c r="CJ27" i="3"/>
  <c r="CJ120" i="3"/>
  <c r="CJ101" i="3"/>
  <c r="CJ217" i="3"/>
  <c r="CJ161" i="3"/>
  <c r="CJ56" i="3"/>
  <c r="CJ132" i="3"/>
  <c r="CJ139" i="3"/>
  <c r="CJ35" i="3"/>
  <c r="CJ52" i="3"/>
  <c r="CJ18" i="3"/>
  <c r="CJ61" i="3"/>
  <c r="CJ77" i="3"/>
  <c r="CJ177" i="3"/>
  <c r="CJ126" i="3"/>
  <c r="CJ54" i="3"/>
  <c r="CJ171" i="3"/>
  <c r="CJ136" i="3"/>
  <c r="CJ21" i="3"/>
  <c r="CJ214" i="3"/>
  <c r="CJ212" i="3"/>
  <c r="CJ239" i="3"/>
  <c r="CJ192" i="3"/>
  <c r="CJ231" i="3"/>
  <c r="CJ116" i="3"/>
  <c r="CJ122" i="3"/>
  <c r="CJ13" i="3"/>
  <c r="CJ193" i="3"/>
  <c r="CJ203" i="3"/>
  <c r="CJ251" i="3"/>
  <c r="CJ274" i="3"/>
  <c r="CJ197" i="3"/>
  <c r="CJ287" i="3"/>
  <c r="CJ187" i="3"/>
  <c r="CJ205" i="3"/>
  <c r="CJ195" i="3"/>
  <c r="CJ97" i="3"/>
  <c r="CJ227" i="3"/>
  <c r="CJ145" i="3"/>
  <c r="CJ273" i="3"/>
  <c r="CJ134" i="3"/>
  <c r="CJ160" i="3"/>
  <c r="CJ182" i="3"/>
  <c r="CJ25" i="3"/>
  <c r="CJ14" i="3"/>
  <c r="CJ204" i="3"/>
  <c r="CJ181" i="3"/>
  <c r="CJ284" i="3"/>
  <c r="CJ256" i="3"/>
  <c r="CJ188" i="3"/>
  <c r="CJ106" i="3"/>
  <c r="CJ179" i="3"/>
  <c r="CJ267" i="3"/>
  <c r="CJ32" i="3"/>
  <c r="CJ64" i="3"/>
  <c r="CJ180" i="3"/>
  <c r="CJ58" i="3"/>
  <c r="CJ219" i="3"/>
  <c r="CJ93" i="3"/>
  <c r="CJ149" i="3"/>
  <c r="CJ220" i="3"/>
  <c r="CJ86" i="3"/>
  <c r="CJ82" i="3"/>
  <c r="CJ175" i="3"/>
  <c r="CJ59" i="3"/>
  <c r="CJ63" i="3"/>
  <c r="CJ17" i="3"/>
  <c r="CJ151" i="3"/>
  <c r="CJ269" i="3"/>
  <c r="CJ148" i="3"/>
  <c r="CJ80" i="3"/>
  <c r="CJ55" i="3"/>
  <c r="CJ90" i="3"/>
  <c r="CJ141" i="3"/>
  <c r="CJ272" i="3"/>
  <c r="CJ286" i="3"/>
  <c r="CJ112" i="3"/>
  <c r="CJ228" i="3"/>
  <c r="CJ102" i="3"/>
  <c r="CJ31" i="3"/>
  <c r="CJ44" i="3"/>
  <c r="CJ281" i="3"/>
  <c r="CJ230" i="3"/>
  <c r="CJ103" i="3"/>
  <c r="CJ68" i="3"/>
  <c r="CD110" i="3"/>
  <c r="BU115" i="3"/>
  <c r="BV44" i="3"/>
  <c r="BX44" i="3" s="1"/>
  <c r="BY44" i="3" s="1"/>
  <c r="CD117" i="3"/>
  <c r="BZ115" i="3"/>
  <c r="CB115" i="3" s="1"/>
  <c r="CC115" i="3" s="1"/>
  <c r="BV73" i="3"/>
  <c r="BW73" i="3" s="1"/>
  <c r="CU115" i="3"/>
  <c r="AF115" i="3" s="1"/>
  <c r="BV280" i="3"/>
  <c r="BX280" i="3" s="1"/>
  <c r="BY280" i="3" s="1"/>
  <c r="CD44" i="3"/>
  <c r="BZ110" i="3"/>
  <c r="CA110" i="3" s="1"/>
  <c r="BU71" i="3"/>
  <c r="CD163" i="3"/>
  <c r="BU117" i="3"/>
  <c r="BV117" i="3"/>
  <c r="BW117" i="3" s="1"/>
  <c r="CU125" i="3"/>
  <c r="AF125" i="3" s="1"/>
  <c r="CU211" i="3"/>
  <c r="AF211" i="3" s="1"/>
  <c r="BZ220" i="3"/>
  <c r="CA220" i="3" s="1"/>
  <c r="CB220" i="3" s="1"/>
  <c r="CC220" i="3" s="1"/>
  <c r="BV110" i="3"/>
  <c r="BW110" i="3" s="1"/>
  <c r="BZ44" i="3"/>
  <c r="CA44" i="3" s="1"/>
  <c r="CU182" i="3"/>
  <c r="AF182" i="3" s="1"/>
  <c r="BV286" i="3"/>
  <c r="BW286" i="3" s="1"/>
  <c r="BX286" i="3" s="1"/>
  <c r="BY286" i="3" s="1"/>
  <c r="BV71" i="3"/>
  <c r="BX71" i="3" s="1"/>
  <c r="BY71" i="3" s="1"/>
  <c r="CU233" i="3"/>
  <c r="AF233" i="3" s="1"/>
  <c r="BV263" i="3"/>
  <c r="BW263" i="3" s="1"/>
  <c r="BX263" i="3" s="1"/>
  <c r="BY263" i="3" s="1"/>
  <c r="CB117" i="3"/>
  <c r="CC117" i="3" s="1"/>
  <c r="BZ144" i="3"/>
  <c r="CA144" i="3" s="1"/>
  <c r="CD71" i="3"/>
  <c r="BU144" i="3"/>
  <c r="BV278" i="3"/>
  <c r="BW278" i="3" s="1"/>
  <c r="BV240" i="3"/>
  <c r="BW240" i="3" s="1"/>
  <c r="BX240" i="3" s="1"/>
  <c r="BY240" i="3" s="1"/>
  <c r="CV101" i="3"/>
  <c r="AF101" i="3" s="1"/>
  <c r="BZ240" i="3"/>
  <c r="CA240" i="3" s="1"/>
  <c r="CU235" i="3"/>
  <c r="AF235" i="3" s="1"/>
  <c r="CU50" i="3"/>
  <c r="AF50" i="3" s="1"/>
  <c r="CD123" i="3"/>
  <c r="BV128" i="3"/>
  <c r="BX128" i="3" s="1"/>
  <c r="BY128" i="3" s="1"/>
  <c r="BZ147" i="3"/>
  <c r="CA147" i="3" s="1"/>
  <c r="CB147" i="3" s="1"/>
  <c r="CC147" i="3" s="1"/>
  <c r="BU278" i="3"/>
  <c r="CU103" i="3"/>
  <c r="AF103" i="3" s="1"/>
  <c r="CU96" i="3"/>
  <c r="AF96" i="3" s="1"/>
  <c r="CD240" i="3"/>
  <c r="BU269" i="3"/>
  <c r="CA269" i="3"/>
  <c r="CD251" i="3"/>
  <c r="BV202" i="3"/>
  <c r="BW202" i="3" s="1"/>
  <c r="BZ289" i="3"/>
  <c r="CA289" i="3" s="1"/>
  <c r="CD202" i="3"/>
  <c r="CD289" i="3"/>
  <c r="BV289" i="3"/>
  <c r="BW289" i="3" s="1"/>
  <c r="BX289" i="3" s="1"/>
  <c r="BY289" i="3" s="1"/>
  <c r="BU158" i="3"/>
  <c r="CU192" i="3"/>
  <c r="AF192" i="3" s="1"/>
  <c r="CU273" i="3"/>
  <c r="AF273" i="3" s="1"/>
  <c r="BV82" i="3"/>
  <c r="BX82" i="3" s="1"/>
  <c r="BY82" i="3" s="1"/>
  <c r="CD82" i="3"/>
  <c r="BZ158" i="3"/>
  <c r="CA158" i="3" s="1"/>
  <c r="CB158" i="3" s="1"/>
  <c r="CC158" i="3" s="1"/>
  <c r="CU239" i="3"/>
  <c r="AF239" i="3" s="1"/>
  <c r="CU280" i="3"/>
  <c r="AF280" i="3" s="1"/>
  <c r="CB202" i="3"/>
  <c r="CC202" i="3" s="1"/>
  <c r="BV244" i="3"/>
  <c r="BX244" i="3" s="1"/>
  <c r="BY244" i="3" s="1"/>
  <c r="BW251" i="3"/>
  <c r="BZ251" i="3"/>
  <c r="CA251" i="3" s="1"/>
  <c r="CB251" i="3" s="1"/>
  <c r="CC251" i="3" s="1"/>
  <c r="BV158" i="3"/>
  <c r="BX158" i="3" s="1"/>
  <c r="BY158" i="3" s="1"/>
  <c r="CB257" i="3"/>
  <c r="CC257" i="3" s="1"/>
  <c r="BV69" i="3"/>
  <c r="BX69" i="3" s="1"/>
  <c r="BY69" i="3" s="1"/>
  <c r="CD256" i="3"/>
  <c r="BU216" i="3"/>
  <c r="CD39" i="3"/>
  <c r="BU206" i="3"/>
  <c r="CV18" i="3"/>
  <c r="AF18" i="3" s="1"/>
  <c r="CU200" i="3"/>
  <c r="AF200" i="3" s="1"/>
  <c r="CU176" i="3"/>
  <c r="AF176" i="3" s="1"/>
  <c r="CU268" i="3"/>
  <c r="AF268" i="3" s="1"/>
  <c r="BV39" i="3"/>
  <c r="BW39" i="3" s="1"/>
  <c r="BU33" i="3"/>
  <c r="CV251" i="3"/>
  <c r="AF251" i="3" s="1"/>
  <c r="CU33" i="3"/>
  <c r="AF33" i="3" s="1"/>
  <c r="CU109" i="3"/>
  <c r="AF109" i="3" s="1"/>
  <c r="CA263" i="3"/>
  <c r="BZ35" i="3"/>
  <c r="CA35" i="3" s="1"/>
  <c r="BV195" i="3"/>
  <c r="BW195" i="3" s="1"/>
  <c r="BX195" i="3" s="1"/>
  <c r="BY195" i="3" s="1"/>
  <c r="BV27" i="3"/>
  <c r="BW27" i="3" s="1"/>
  <c r="BX27" i="3" s="1"/>
  <c r="BY27" i="3" s="1"/>
  <c r="BU65" i="3"/>
  <c r="BZ54" i="3"/>
  <c r="CB54" i="3" s="1"/>
  <c r="CC54" i="3" s="1"/>
  <c r="CD154" i="3"/>
  <c r="CD85" i="3"/>
  <c r="BZ280" i="3"/>
  <c r="CA280" i="3" s="1"/>
  <c r="BZ287" i="3"/>
  <c r="CA287" i="3" s="1"/>
  <c r="CB287" i="3" s="1"/>
  <c r="CC287" i="3" s="1"/>
  <c r="BU263" i="3"/>
  <c r="BU35" i="3"/>
  <c r="BV65" i="3"/>
  <c r="BX65" i="3" s="1"/>
  <c r="BY65" i="3" s="1"/>
  <c r="BV54" i="3"/>
  <c r="BW54" i="3" s="1"/>
  <c r="BX54" i="3" s="1"/>
  <c r="BY54" i="3" s="1"/>
  <c r="BZ65" i="3"/>
  <c r="CB65" i="3" s="1"/>
  <c r="CC65" i="3" s="1"/>
  <c r="BZ176" i="3"/>
  <c r="CA176" i="3" s="1"/>
  <c r="BV216" i="3"/>
  <c r="BW216" i="3" s="1"/>
  <c r="BX216" i="3" s="1"/>
  <c r="BY216" i="3" s="1"/>
  <c r="CD263" i="3"/>
  <c r="CD23" i="3"/>
  <c r="CD27" i="3"/>
  <c r="BU228" i="3"/>
  <c r="CD102" i="3"/>
  <c r="CD220" i="3"/>
  <c r="BV176" i="3"/>
  <c r="BW176" i="3" s="1"/>
  <c r="BU201" i="3"/>
  <c r="BU69" i="3"/>
  <c r="BZ69" i="3"/>
  <c r="CA69" i="3" s="1"/>
  <c r="CB69" i="3" s="1"/>
  <c r="CC69" i="3" s="1"/>
  <c r="BZ201" i="3"/>
  <c r="CA201" i="3" s="1"/>
  <c r="CB201" i="3" s="1"/>
  <c r="CC201" i="3" s="1"/>
  <c r="BX154" i="3"/>
  <c r="BY154" i="3" s="1"/>
  <c r="BZ163" i="3"/>
  <c r="CA163" i="3" s="1"/>
  <c r="BV201" i="3"/>
  <c r="BW201" i="3" s="1"/>
  <c r="CD35" i="3"/>
  <c r="BV23" i="3"/>
  <c r="BW23" i="3" s="1"/>
  <c r="CA216" i="3"/>
  <c r="BU23" i="3"/>
  <c r="CD195" i="3"/>
  <c r="BU54" i="3"/>
  <c r="BZ73" i="3"/>
  <c r="CA73" i="3" s="1"/>
  <c r="CD73" i="3"/>
  <c r="BW163" i="3"/>
  <c r="BU85" i="3"/>
  <c r="BZ195" i="3"/>
  <c r="CB195" i="3" s="1"/>
  <c r="CC195" i="3" s="1"/>
  <c r="CD228" i="3"/>
  <c r="BZ27" i="3"/>
  <c r="CB27" i="3" s="1"/>
  <c r="CC27" i="3" s="1"/>
  <c r="BU154" i="3"/>
  <c r="BU163" i="3"/>
  <c r="CD176" i="3"/>
  <c r="BX35" i="3"/>
  <c r="BY35" i="3" s="1"/>
  <c r="BV228" i="3"/>
  <c r="BW228" i="3" s="1"/>
  <c r="BU286" i="3"/>
  <c r="BZ286" i="3"/>
  <c r="CA286" i="3" s="1"/>
  <c r="BV85" i="3"/>
  <c r="BX85" i="3" s="1"/>
  <c r="BY85" i="3" s="1"/>
  <c r="BZ154" i="3"/>
  <c r="CA154" i="3" s="1"/>
  <c r="CB154" i="3" s="1"/>
  <c r="CC154" i="3" s="1"/>
  <c r="BV220" i="3"/>
  <c r="BX220" i="3" s="1"/>
  <c r="BY220" i="3" s="1"/>
  <c r="CD216" i="3"/>
  <c r="CD280" i="3"/>
  <c r="BU287" i="3"/>
  <c r="CD31" i="3"/>
  <c r="BZ198" i="3"/>
  <c r="CA198" i="3" s="1"/>
  <c r="CB198" i="3" s="1"/>
  <c r="CC198" i="3" s="1"/>
  <c r="CD186" i="3"/>
  <c r="BZ186" i="3"/>
  <c r="CB186" i="3" s="1"/>
  <c r="CC186" i="3" s="1"/>
  <c r="CD249" i="3"/>
  <c r="BV222" i="3"/>
  <c r="BW222" i="3" s="1"/>
  <c r="BV269" i="3"/>
  <c r="BW269" i="3" s="1"/>
  <c r="BZ221" i="3"/>
  <c r="CB221" i="3" s="1"/>
  <c r="CC221" i="3" s="1"/>
  <c r="CD222" i="3"/>
  <c r="BZ123" i="3"/>
  <c r="CA123" i="3" s="1"/>
  <c r="CB123" i="3" s="1"/>
  <c r="CC123" i="3" s="1"/>
  <c r="CD165" i="3"/>
  <c r="BV43" i="3"/>
  <c r="BX43" i="3" s="1"/>
  <c r="BY43" i="3" s="1"/>
  <c r="BZ249" i="3"/>
  <c r="CA249" i="3" s="1"/>
  <c r="CA43" i="3"/>
  <c r="CD134" i="3"/>
  <c r="BU43" i="3"/>
  <c r="BZ128" i="3"/>
  <c r="CA128" i="3" s="1"/>
  <c r="CB128" i="3" s="1"/>
  <c r="CC128" i="3" s="1"/>
  <c r="BU128" i="3"/>
  <c r="CD221" i="3"/>
  <c r="BV123" i="3"/>
  <c r="BX123" i="3" s="1"/>
  <c r="BY123" i="3" s="1"/>
  <c r="BW134" i="3"/>
  <c r="BZ31" i="3"/>
  <c r="CB31" i="3" s="1"/>
  <c r="CC31" i="3" s="1"/>
  <c r="BU221" i="3"/>
  <c r="CD17" i="3"/>
  <c r="BU222" i="3"/>
  <c r="BV249" i="3"/>
  <c r="BX249" i="3" s="1"/>
  <c r="BY249" i="3" s="1"/>
  <c r="BX47" i="3"/>
  <c r="BY47" i="3" s="1"/>
  <c r="BV204" i="3"/>
  <c r="BW204" i="3" s="1"/>
  <c r="BX204" i="3" s="1"/>
  <c r="BY204" i="3" s="1"/>
  <c r="CB67" i="3"/>
  <c r="CC67" i="3" s="1"/>
  <c r="CD15" i="3"/>
  <c r="BZ211" i="3"/>
  <c r="CA211" i="3" s="1"/>
  <c r="BZ47" i="3"/>
  <c r="CA47" i="3" s="1"/>
  <c r="CD200" i="3"/>
  <c r="BV283" i="3"/>
  <c r="BX283" i="3" s="1"/>
  <c r="BY283" i="3" s="1"/>
  <c r="BV57" i="3"/>
  <c r="BW57" i="3" s="1"/>
  <c r="BX57" i="3" s="1"/>
  <c r="BY57" i="3" s="1"/>
  <c r="BZ52" i="3"/>
  <c r="CA52" i="3" s="1"/>
  <c r="CB52" i="3" s="1"/>
  <c r="CC52" i="3" s="1"/>
  <c r="BZ49" i="3"/>
  <c r="CA49" i="3" s="1"/>
  <c r="CD57" i="3"/>
  <c r="CD67" i="3"/>
  <c r="BX15" i="3"/>
  <c r="BY15" i="3" s="1"/>
  <c r="CD47" i="3"/>
  <c r="BV49" i="3"/>
  <c r="BX49" i="3" s="1"/>
  <c r="BY49" i="3" s="1"/>
  <c r="BU17" i="3"/>
  <c r="BW25" i="3"/>
  <c r="BX25" i="3" s="1"/>
  <c r="BY25" i="3" s="1"/>
  <c r="BU171" i="3"/>
  <c r="BU156" i="3"/>
  <c r="BZ57" i="3"/>
  <c r="CA57" i="3" s="1"/>
  <c r="CD211" i="3"/>
  <c r="BU120" i="3"/>
  <c r="BU173" i="3"/>
  <c r="CD283" i="3"/>
  <c r="BV156" i="3"/>
  <c r="BW156" i="3" s="1"/>
  <c r="BX156" i="3" s="1"/>
  <c r="BY156" i="3" s="1"/>
  <c r="BU165" i="3"/>
  <c r="BX10" i="3"/>
  <c r="BY10" i="3" s="1"/>
  <c r="BU47" i="3"/>
  <c r="BU67" i="3"/>
  <c r="BZ17" i="3"/>
  <c r="CA17" i="3" s="1"/>
  <c r="CB17" i="3" s="1"/>
  <c r="CC17" i="3" s="1"/>
  <c r="BV52" i="3"/>
  <c r="BX52" i="3" s="1"/>
  <c r="BY52" i="3" s="1"/>
  <c r="BU200" i="3"/>
  <c r="BZ156" i="3"/>
  <c r="CB156" i="3" s="1"/>
  <c r="CC156" i="3" s="1"/>
  <c r="BV200" i="3"/>
  <c r="BW200" i="3" s="1"/>
  <c r="BV171" i="3"/>
  <c r="BX171" i="3" s="1"/>
  <c r="BY171" i="3" s="1"/>
  <c r="BZ191" i="3"/>
  <c r="CA191" i="3" s="1"/>
  <c r="BX120" i="3"/>
  <c r="BY120" i="3" s="1"/>
  <c r="BZ171" i="3"/>
  <c r="CA171" i="3" s="1"/>
  <c r="CB171" i="3" s="1"/>
  <c r="CC171" i="3" s="1"/>
  <c r="BV67" i="3"/>
  <c r="BW67" i="3" s="1"/>
  <c r="BX67" i="3" s="1"/>
  <c r="BY67" i="3" s="1"/>
  <c r="CU99" i="3"/>
  <c r="AF99" i="3" s="1"/>
  <c r="CU7" i="3"/>
  <c r="AF7" i="3" s="1"/>
  <c r="CU196" i="3"/>
  <c r="AF196" i="3" s="1"/>
  <c r="CU208" i="3"/>
  <c r="AF208" i="3" s="1"/>
  <c r="CD236" i="3"/>
  <c r="BV236" i="3"/>
  <c r="BW236" i="3" s="1"/>
  <c r="BV36" i="3"/>
  <c r="BW36" i="3" s="1"/>
  <c r="BX36" i="3" s="1"/>
  <c r="BY36" i="3" s="1"/>
  <c r="BZ29" i="3"/>
  <c r="CA29" i="3" s="1"/>
  <c r="CB29" i="3" s="1"/>
  <c r="CC29" i="3" s="1"/>
  <c r="BV234" i="3"/>
  <c r="BX234" i="3" s="1"/>
  <c r="BY234" i="3" s="1"/>
  <c r="CD234" i="3"/>
  <c r="CD91" i="3"/>
  <c r="BU91" i="3"/>
  <c r="BU273" i="3"/>
  <c r="BV266" i="3"/>
  <c r="BX266" i="3" s="1"/>
  <c r="BY266" i="3" s="1"/>
  <c r="BZ234" i="3"/>
  <c r="CA234" i="3" s="1"/>
  <c r="CB234" i="3" s="1"/>
  <c r="CC234" i="3" s="1"/>
  <c r="CD167" i="3"/>
  <c r="BZ167" i="3"/>
  <c r="CA167" i="3" s="1"/>
  <c r="CB167" i="3" s="1"/>
  <c r="CC167" i="3" s="1"/>
  <c r="CD266" i="3"/>
  <c r="BU36" i="3"/>
  <c r="BV219" i="3"/>
  <c r="BX219" i="3" s="1"/>
  <c r="BY219" i="3" s="1"/>
  <c r="BV131" i="3"/>
  <c r="BW131" i="3" s="1"/>
  <c r="BX131" i="3" s="1"/>
  <c r="BY131" i="3" s="1"/>
  <c r="BU29" i="3"/>
  <c r="BZ42" i="3"/>
  <c r="CA42" i="3" s="1"/>
  <c r="BV112" i="3"/>
  <c r="BW112" i="3" s="1"/>
  <c r="BX112" i="3" s="1"/>
  <c r="BY112" i="3" s="1"/>
  <c r="BW206" i="3"/>
  <c r="BZ277" i="3"/>
  <c r="CA277" i="3" s="1"/>
  <c r="BV91" i="3"/>
  <c r="BW91" i="3" s="1"/>
  <c r="BU277" i="3"/>
  <c r="BV284" i="3"/>
  <c r="BW284" i="3" s="1"/>
  <c r="BZ36" i="3"/>
  <c r="CA36" i="3" s="1"/>
  <c r="BZ131" i="3"/>
  <c r="CB131" i="3" s="1"/>
  <c r="CC131" i="3" s="1"/>
  <c r="BV276" i="3"/>
  <c r="BW276" i="3" s="1"/>
  <c r="CD284" i="3"/>
  <c r="BU42" i="3"/>
  <c r="BZ112" i="3"/>
  <c r="CA112" i="3" s="1"/>
  <c r="BZ256" i="3"/>
  <c r="CA256" i="3" s="1"/>
  <c r="CB256" i="3" s="1"/>
  <c r="CC256" i="3" s="1"/>
  <c r="BU197" i="3"/>
  <c r="BV167" i="3"/>
  <c r="BX167" i="3" s="1"/>
  <c r="BY167" i="3" s="1"/>
  <c r="CD42" i="3"/>
  <c r="CD185" i="3"/>
  <c r="BU256" i="3"/>
  <c r="BZ219" i="3"/>
  <c r="CA219" i="3" s="1"/>
  <c r="CB219" i="3" s="1"/>
  <c r="CC219" i="3" s="1"/>
  <c r="BV29" i="3"/>
  <c r="BX29" i="3" s="1"/>
  <c r="BY29" i="3" s="1"/>
  <c r="CD206" i="3"/>
  <c r="BZ197" i="3"/>
  <c r="CA197" i="3" s="1"/>
  <c r="CD273" i="3"/>
  <c r="BU219" i="3"/>
  <c r="CD131" i="3"/>
  <c r="BZ206" i="3"/>
  <c r="CB206" i="3" s="1"/>
  <c r="CC206" i="3" s="1"/>
  <c r="BV277" i="3"/>
  <c r="BX277" i="3" s="1"/>
  <c r="BY277" i="3" s="1"/>
  <c r="BU185" i="3"/>
  <c r="BV185" i="3"/>
  <c r="BW185" i="3" s="1"/>
  <c r="BU284" i="3"/>
  <c r="BU266" i="3"/>
  <c r="M398" i="15"/>
  <c r="CD26" i="3"/>
  <c r="CB168" i="3"/>
  <c r="CC168" i="3" s="1"/>
  <c r="BU204" i="3"/>
  <c r="BV173" i="3"/>
  <c r="BX173" i="3" s="1"/>
  <c r="BY173" i="3" s="1"/>
  <c r="BZ21" i="3"/>
  <c r="CA21" i="3" s="1"/>
  <c r="BX17" i="3"/>
  <c r="BY17" i="3" s="1"/>
  <c r="BZ283" i="3"/>
  <c r="CA283" i="3" s="1"/>
  <c r="CB283" i="3" s="1"/>
  <c r="CC283" i="3" s="1"/>
  <c r="BV211" i="3"/>
  <c r="BW211" i="3" s="1"/>
  <c r="CV270" i="3"/>
  <c r="AF270" i="3" s="1"/>
  <c r="CD257" i="3"/>
  <c r="BZ22" i="3"/>
  <c r="CB22" i="3" s="1"/>
  <c r="CC22" i="3" s="1"/>
  <c r="CD125" i="3"/>
  <c r="BZ40" i="3"/>
  <c r="CA40" i="3" s="1"/>
  <c r="BZ60" i="3"/>
  <c r="CA60" i="3" s="1"/>
  <c r="CB60" i="3" s="1"/>
  <c r="CC60" i="3" s="1"/>
  <c r="CD244" i="3"/>
  <c r="BU21" i="3"/>
  <c r="BU25" i="3"/>
  <c r="BX191" i="3"/>
  <c r="BY191" i="3" s="1"/>
  <c r="BU55" i="3"/>
  <c r="BU49" i="3"/>
  <c r="BV257" i="3"/>
  <c r="BW257" i="3" s="1"/>
  <c r="BV66" i="3"/>
  <c r="BX66" i="3" s="1"/>
  <c r="BY66" i="3" s="1"/>
  <c r="BW203" i="3"/>
  <c r="BZ204" i="3"/>
  <c r="CA204" i="3" s="1"/>
  <c r="BV181" i="3"/>
  <c r="BW181" i="3" s="1"/>
  <c r="BX181" i="3" s="1"/>
  <c r="BY181" i="3" s="1"/>
  <c r="BV58" i="3"/>
  <c r="BX58" i="3" s="1"/>
  <c r="BY58" i="3" s="1"/>
  <c r="BV55" i="3"/>
  <c r="BX55" i="3" s="1"/>
  <c r="BY55" i="3" s="1"/>
  <c r="BZ55" i="3"/>
  <c r="CA55" i="3" s="1"/>
  <c r="CB55" i="3" s="1"/>
  <c r="CC55" i="3" s="1"/>
  <c r="CD246" i="3"/>
  <c r="CD191" i="3"/>
  <c r="CU12" i="3"/>
  <c r="AF12" i="3" s="1"/>
  <c r="BU191" i="3"/>
  <c r="BV40" i="3"/>
  <c r="BW40" i="3" s="1"/>
  <c r="BX40" i="3" s="1"/>
  <c r="BY40" i="3" s="1"/>
  <c r="CD32" i="3"/>
  <c r="BZ95" i="3"/>
  <c r="CA95" i="3" s="1"/>
  <c r="CB95" i="3" s="1"/>
  <c r="CC95" i="3" s="1"/>
  <c r="BU15" i="3"/>
  <c r="CD58" i="3"/>
  <c r="BV48" i="3"/>
  <c r="BX48" i="3" s="1"/>
  <c r="BY48" i="3" s="1"/>
  <c r="BU227" i="3"/>
  <c r="BZ162" i="3"/>
  <c r="CA162" i="3" s="1"/>
  <c r="BZ25" i="3"/>
  <c r="CA25" i="3" s="1"/>
  <c r="BU58" i="3"/>
  <c r="BZ165" i="3"/>
  <c r="CA165" i="3" s="1"/>
  <c r="BZ120" i="3"/>
  <c r="CA120" i="3" s="1"/>
  <c r="CB120" i="3" s="1"/>
  <c r="CC120" i="3" s="1"/>
  <c r="CB181" i="3"/>
  <c r="CC181" i="3" s="1"/>
  <c r="BV95" i="3"/>
  <c r="BW95" i="3" s="1"/>
  <c r="BV24" i="3"/>
  <c r="BW24" i="3" s="1"/>
  <c r="CD25" i="3"/>
  <c r="CU189" i="3"/>
  <c r="AF189" i="3" s="1"/>
  <c r="BU193" i="3"/>
  <c r="BZ15" i="3"/>
  <c r="CA15" i="3" s="1"/>
  <c r="BX231" i="3"/>
  <c r="BY231" i="3" s="1"/>
  <c r="BZ203" i="3"/>
  <c r="CA203" i="3" s="1"/>
  <c r="CB203" i="3" s="1"/>
  <c r="CC203" i="3" s="1"/>
  <c r="BW125" i="3"/>
  <c r="CD173" i="3"/>
  <c r="BZ34" i="3"/>
  <c r="CB34" i="3" s="1"/>
  <c r="CC34" i="3" s="1"/>
  <c r="BV21" i="3"/>
  <c r="BW21" i="3" s="1"/>
  <c r="BU52" i="3"/>
  <c r="CD120" i="3"/>
  <c r="M99" i="15"/>
  <c r="M43" i="15"/>
  <c r="M59" i="15"/>
  <c r="M121" i="15"/>
  <c r="AG41" i="11" s="1"/>
  <c r="M408" i="15"/>
  <c r="M365" i="15"/>
  <c r="M375" i="15"/>
  <c r="M367" i="15"/>
  <c r="M366" i="15"/>
  <c r="M310" i="15"/>
  <c r="M389" i="15"/>
  <c r="AU88" i="11"/>
  <c r="M323" i="15"/>
  <c r="M418" i="15"/>
  <c r="M41" i="15"/>
  <c r="CD140" i="3"/>
  <c r="BU26" i="3"/>
  <c r="BZ140" i="3"/>
  <c r="CA140" i="3" s="1"/>
  <c r="CB140" i="3" s="1"/>
  <c r="CC140" i="3" s="1"/>
  <c r="BU246" i="3"/>
  <c r="BU142" i="3"/>
  <c r="BV169" i="3"/>
  <c r="BX169" i="3" s="1"/>
  <c r="BY169" i="3" s="1"/>
  <c r="BV45" i="3"/>
  <c r="BX45" i="3" s="1"/>
  <c r="BY45" i="3" s="1"/>
  <c r="CD198" i="3"/>
  <c r="BZ227" i="3"/>
  <c r="CA227" i="3" s="1"/>
  <c r="CB227" i="3" s="1"/>
  <c r="CC227" i="3" s="1"/>
  <c r="BU198" i="3"/>
  <c r="CD231" i="3"/>
  <c r="BZ231" i="3"/>
  <c r="CA231" i="3" s="1"/>
  <c r="BV260" i="3"/>
  <c r="BW260" i="3" s="1"/>
  <c r="BX260" i="3" s="1"/>
  <c r="BY260" i="3" s="1"/>
  <c r="CD260" i="3"/>
  <c r="CD181" i="3"/>
  <c r="CD162" i="3"/>
  <c r="CD227" i="3"/>
  <c r="CD119" i="3"/>
  <c r="CU141" i="3"/>
  <c r="AF141" i="3" s="1"/>
  <c r="BU162" i="3"/>
  <c r="CV91" i="3"/>
  <c r="AF91" i="3" s="1"/>
  <c r="BV238" i="3"/>
  <c r="BW238" i="3" s="1"/>
  <c r="BZ260" i="3"/>
  <c r="BV186" i="3"/>
  <c r="BW186" i="3" s="1"/>
  <c r="BX186" i="3" s="1"/>
  <c r="BY186" i="3" s="1"/>
  <c r="BU140" i="3"/>
  <c r="BZ56" i="3"/>
  <c r="CA56" i="3" s="1"/>
  <c r="BZ26" i="3"/>
  <c r="CA26" i="3" s="1"/>
  <c r="CB26" i="3" s="1"/>
  <c r="CC26" i="3" s="1"/>
  <c r="BZ246" i="3"/>
  <c r="CA246" i="3" s="1"/>
  <c r="CB246" i="3" s="1"/>
  <c r="CC246" i="3" s="1"/>
  <c r="BV16" i="3"/>
  <c r="BW16" i="3" s="1"/>
  <c r="BW227" i="3"/>
  <c r="BX246" i="3"/>
  <c r="BY246" i="3" s="1"/>
  <c r="BX142" i="3"/>
  <c r="BY142" i="3" s="1"/>
  <c r="BX32" i="3"/>
  <c r="BY32" i="3" s="1"/>
  <c r="BU48" i="3"/>
  <c r="BZ244" i="3"/>
  <c r="CA244" i="3" s="1"/>
  <c r="CB244" i="3" s="1"/>
  <c r="CC244" i="3" s="1"/>
  <c r="BV60" i="3"/>
  <c r="BX60" i="3" s="1"/>
  <c r="BY60" i="3" s="1"/>
  <c r="BV34" i="3"/>
  <c r="BW34" i="3" s="1"/>
  <c r="BX34" i="3" s="1"/>
  <c r="BY34" i="3" s="1"/>
  <c r="BZ134" i="3"/>
  <c r="CA134" i="3" s="1"/>
  <c r="BX22" i="3"/>
  <c r="BY22" i="3" s="1"/>
  <c r="BZ48" i="3"/>
  <c r="CB48" i="3" s="1"/>
  <c r="CC48" i="3" s="1"/>
  <c r="CD22" i="3"/>
  <c r="BU134" i="3"/>
  <c r="BX162" i="3"/>
  <c r="BY162" i="3" s="1"/>
  <c r="BU31" i="3"/>
  <c r="BU22" i="3"/>
  <c r="BU231" i="3"/>
  <c r="BU125" i="3"/>
  <c r="BZ125" i="3"/>
  <c r="CA125" i="3" s="1"/>
  <c r="BU60" i="3"/>
  <c r="BU168" i="3"/>
  <c r="CD11" i="3"/>
  <c r="BZ238" i="3"/>
  <c r="CB238" i="3" s="1"/>
  <c r="CC238" i="3" s="1"/>
  <c r="CD142" i="3"/>
  <c r="BX221" i="3"/>
  <c r="BY221" i="3" s="1"/>
  <c r="BU34" i="3"/>
  <c r="CD193" i="3"/>
  <c r="BZ16" i="3"/>
  <c r="CA16" i="3" s="1"/>
  <c r="CB16" i="3" s="1"/>
  <c r="CC16" i="3" s="1"/>
  <c r="BU181" i="3"/>
  <c r="BZ32" i="3"/>
  <c r="CA32" i="3" s="1"/>
  <c r="CB32" i="3" s="1"/>
  <c r="CC32" i="3" s="1"/>
  <c r="BV11" i="3"/>
  <c r="BX11" i="3" s="1"/>
  <c r="BY11" i="3" s="1"/>
  <c r="CD203" i="3"/>
  <c r="BU203" i="3"/>
  <c r="BW180" i="3"/>
  <c r="CD168" i="3"/>
  <c r="BV168" i="3"/>
  <c r="BW168" i="3" s="1"/>
  <c r="BV90" i="3"/>
  <c r="BW90" i="3" s="1"/>
  <c r="BX90" i="3" s="1"/>
  <c r="BY90" i="3" s="1"/>
  <c r="BU32" i="3"/>
  <c r="CD40" i="3"/>
  <c r="BU238" i="3"/>
  <c r="BU95" i="3"/>
  <c r="CD269" i="3"/>
  <c r="BV56" i="3"/>
  <c r="BW56" i="3" s="1"/>
  <c r="BZ24" i="3"/>
  <c r="CA24" i="3" s="1"/>
  <c r="CB24" i="3" s="1"/>
  <c r="CC24" i="3" s="1"/>
  <c r="BZ142" i="3"/>
  <c r="CA142" i="3" s="1"/>
  <c r="BX198" i="3"/>
  <c r="BY198" i="3" s="1"/>
  <c r="BW31" i="3"/>
  <c r="CB82" i="3"/>
  <c r="CC82" i="3" s="1"/>
  <c r="CD24" i="3"/>
  <c r="BU257" i="3"/>
  <c r="BZ66" i="3"/>
  <c r="CA66" i="3" s="1"/>
  <c r="CB66" i="3" s="1"/>
  <c r="CC66" i="3" s="1"/>
  <c r="CD66" i="3"/>
  <c r="BV273" i="3"/>
  <c r="CD189" i="3"/>
  <c r="BW232" i="3"/>
  <c r="CD90" i="3"/>
  <c r="BV108" i="3"/>
  <c r="BX108" i="3" s="1"/>
  <c r="BY108" i="3" s="1"/>
  <c r="BV135" i="3"/>
  <c r="BX135" i="3" s="1"/>
  <c r="BY135" i="3" s="1"/>
  <c r="BU255" i="3"/>
  <c r="CD229" i="3"/>
  <c r="BU45" i="3"/>
  <c r="BZ136" i="3"/>
  <c r="CA136" i="3" s="1"/>
  <c r="CD93" i="3"/>
  <c r="BZ276" i="3"/>
  <c r="CA276" i="3" s="1"/>
  <c r="BZ145" i="3"/>
  <c r="CA145" i="3" s="1"/>
  <c r="CB145" i="3" s="1"/>
  <c r="CC145" i="3" s="1"/>
  <c r="BZ93" i="3"/>
  <c r="CA93" i="3" s="1"/>
  <c r="CB93" i="3" s="1"/>
  <c r="CC93" i="3" s="1"/>
  <c r="BU189" i="3"/>
  <c r="BZ225" i="3"/>
  <c r="CB225" i="3" s="1"/>
  <c r="CC225" i="3" s="1"/>
  <c r="BU108" i="3"/>
  <c r="CD225" i="3"/>
  <c r="BU46" i="3"/>
  <c r="BZ190" i="3"/>
  <c r="CA190" i="3" s="1"/>
  <c r="CB190" i="3" s="1"/>
  <c r="CC190" i="3" s="1"/>
  <c r="CD118" i="3"/>
  <c r="BZ229" i="3"/>
  <c r="CA229" i="3" s="1"/>
  <c r="BZ45" i="3"/>
  <c r="CB45" i="3" s="1"/>
  <c r="CC45" i="3" s="1"/>
  <c r="BV136" i="3"/>
  <c r="BX136" i="3" s="1"/>
  <c r="BY136" i="3" s="1"/>
  <c r="CD136" i="3"/>
  <c r="CD145" i="3"/>
  <c r="BU82" i="3"/>
  <c r="CD276" i="3"/>
  <c r="BZ108" i="3"/>
  <c r="CA108" i="3" s="1"/>
  <c r="CA90" i="3"/>
  <c r="BU90" i="3"/>
  <c r="BU56" i="3"/>
  <c r="BZ189" i="3"/>
  <c r="CA189" i="3" s="1"/>
  <c r="BZ255" i="3"/>
  <c r="CB255" i="3" s="1"/>
  <c r="CC255" i="3" s="1"/>
  <c r="CD272" i="3"/>
  <c r="CD46" i="3"/>
  <c r="BV229" i="3"/>
  <c r="BW229" i="3" s="1"/>
  <c r="BU135" i="3"/>
  <c r="BU145" i="3"/>
  <c r="BV255" i="3"/>
  <c r="BW255" i="3" s="1"/>
  <c r="BW145" i="3"/>
  <c r="BZ46" i="3"/>
  <c r="CB46" i="3" s="1"/>
  <c r="CC46" i="3" s="1"/>
  <c r="CD135" i="3"/>
  <c r="BV245" i="3"/>
  <c r="BX245" i="3" s="1"/>
  <c r="BY245" i="3" s="1"/>
  <c r="BZ37" i="3"/>
  <c r="CA37" i="3" s="1"/>
  <c r="CD192" i="3"/>
  <c r="CD182" i="3"/>
  <c r="BV182" i="3"/>
  <c r="BW182" i="3" s="1"/>
  <c r="BX182" i="3" s="1"/>
  <c r="BY182" i="3" s="1"/>
  <c r="BZ102" i="3"/>
  <c r="CB102" i="3" s="1"/>
  <c r="CC102" i="3" s="1"/>
  <c r="BZ182" i="3"/>
  <c r="CA182" i="3" s="1"/>
  <c r="BV109" i="3"/>
  <c r="BW109" i="3" s="1"/>
  <c r="BZ109" i="3"/>
  <c r="CA109" i="3" s="1"/>
  <c r="CB109" i="3" s="1"/>
  <c r="CC109" i="3" s="1"/>
  <c r="BZ272" i="3"/>
  <c r="CA272" i="3" s="1"/>
  <c r="CB272" i="3" s="1"/>
  <c r="CC272" i="3" s="1"/>
  <c r="BU272" i="3"/>
  <c r="BU109" i="3"/>
  <c r="BV192" i="3"/>
  <c r="BW192" i="3" s="1"/>
  <c r="BX192" i="3" s="1"/>
  <c r="BY192" i="3" s="1"/>
  <c r="BZ192" i="3"/>
  <c r="CA192" i="3" s="1"/>
  <c r="BV102" i="3"/>
  <c r="BW102" i="3" s="1"/>
  <c r="CD180" i="3"/>
  <c r="BU114" i="3"/>
  <c r="BW287" i="3"/>
  <c r="BX287" i="3"/>
  <c r="BY287" i="3" s="1"/>
  <c r="BV178" i="3"/>
  <c r="BW178" i="3" s="1"/>
  <c r="BZ270" i="3"/>
  <c r="CB270" i="3" s="1"/>
  <c r="CC270" i="3" s="1"/>
  <c r="BZ212" i="3"/>
  <c r="CA212" i="3" s="1"/>
  <c r="CB212" i="3" s="1"/>
  <c r="CC212" i="3" s="1"/>
  <c r="BU212" i="3"/>
  <c r="BU270" i="3"/>
  <c r="CD92" i="3"/>
  <c r="CD207" i="3"/>
  <c r="BV77" i="3"/>
  <c r="BW77" i="3" s="1"/>
  <c r="BZ207" i="3"/>
  <c r="CA207" i="3" s="1"/>
  <c r="CB207" i="3" s="1"/>
  <c r="CC207" i="3" s="1"/>
  <c r="BU92" i="3"/>
  <c r="BV80" i="3"/>
  <c r="CD80" i="3"/>
  <c r="BV62" i="3"/>
  <c r="BX62" i="3" s="1"/>
  <c r="BY62" i="3" s="1"/>
  <c r="BV33" i="3"/>
  <c r="BW33" i="3" s="1"/>
  <c r="CD33" i="3"/>
  <c r="CD212" i="3"/>
  <c r="CB33" i="3"/>
  <c r="CC33" i="3" s="1"/>
  <c r="BV207" i="3"/>
  <c r="BW207" i="3" s="1"/>
  <c r="BZ101" i="3"/>
  <c r="CA101" i="3" s="1"/>
  <c r="CB101" i="3" s="1"/>
  <c r="CC101" i="3" s="1"/>
  <c r="BZ178" i="3"/>
  <c r="CA178" i="3" s="1"/>
  <c r="BZ148" i="3"/>
  <c r="CB148" i="3" s="1"/>
  <c r="CC148" i="3" s="1"/>
  <c r="BU148" i="3"/>
  <c r="BW212" i="3"/>
  <c r="BV92" i="3"/>
  <c r="BW92" i="3" s="1"/>
  <c r="BX92" i="3" s="1"/>
  <c r="BY92" i="3" s="1"/>
  <c r="BZ80" i="3"/>
  <c r="CA80" i="3" s="1"/>
  <c r="CB80" i="3" s="1"/>
  <c r="CC80" i="3" s="1"/>
  <c r="CD178" i="3"/>
  <c r="CB92" i="3"/>
  <c r="CC92" i="3" s="1"/>
  <c r="BU77" i="3"/>
  <c r="BZ77" i="3"/>
  <c r="CA77" i="3" s="1"/>
  <c r="CD62" i="3"/>
  <c r="BZ62" i="3"/>
  <c r="CB62" i="3" s="1"/>
  <c r="CC62" i="3" s="1"/>
  <c r="BV148" i="3"/>
  <c r="BW148" i="3" s="1"/>
  <c r="BX148" i="3" s="1"/>
  <c r="BY148" i="3" s="1"/>
  <c r="CD270" i="3"/>
  <c r="BW270" i="3"/>
  <c r="CD101" i="3"/>
  <c r="BZ70" i="3"/>
  <c r="CA70" i="3" s="1"/>
  <c r="CB70" i="3" s="1"/>
  <c r="CC70" i="3" s="1"/>
  <c r="BZ74" i="3"/>
  <c r="CA74" i="3" s="1"/>
  <c r="BU169" i="3"/>
  <c r="BZ119" i="3"/>
  <c r="CA119" i="3" s="1"/>
  <c r="BV64" i="3"/>
  <c r="BW64" i="3" s="1"/>
  <c r="CD64" i="3"/>
  <c r="BU74" i="3"/>
  <c r="CD150" i="3"/>
  <c r="BW74" i="3"/>
  <c r="CD184" i="3"/>
  <c r="BZ184" i="3"/>
  <c r="CA184" i="3" s="1"/>
  <c r="CB184" i="3" s="1"/>
  <c r="CC184" i="3" s="1"/>
  <c r="BZ180" i="3"/>
  <c r="CB180" i="3" s="1"/>
  <c r="CC180" i="3" s="1"/>
  <c r="BZ64" i="3"/>
  <c r="CA64" i="3" s="1"/>
  <c r="CB64" i="3" s="1"/>
  <c r="CC64" i="3" s="1"/>
  <c r="BU268" i="3"/>
  <c r="CD169" i="3"/>
  <c r="BV70" i="3"/>
  <c r="BX70" i="3" s="1"/>
  <c r="BY70" i="3" s="1"/>
  <c r="BU150" i="3"/>
  <c r="BU70" i="3"/>
  <c r="BV184" i="3"/>
  <c r="BX184" i="3" s="1"/>
  <c r="BY184" i="3" s="1"/>
  <c r="CD6" i="3"/>
  <c r="BV150" i="3"/>
  <c r="BW150" i="3" s="1"/>
  <c r="BU199" i="3"/>
  <c r="BU254" i="3"/>
  <c r="CD7" i="3"/>
  <c r="BV7" i="3"/>
  <c r="BW7" i="3" s="1"/>
  <c r="BX7" i="3" s="1"/>
  <c r="BY7" i="3" s="1"/>
  <c r="BV166" i="3"/>
  <c r="BW166" i="3" s="1"/>
  <c r="BX166" i="3" s="1"/>
  <c r="BY166" i="3" s="1"/>
  <c r="BU37" i="3"/>
  <c r="BZ264" i="3"/>
  <c r="CB264" i="3" s="1"/>
  <c r="CC264" i="3" s="1"/>
  <c r="BV264" i="3"/>
  <c r="BW264" i="3" s="1"/>
  <c r="BX264" i="3" s="1"/>
  <c r="BY264" i="3" s="1"/>
  <c r="BZ61" i="3"/>
  <c r="CA61" i="3" s="1"/>
  <c r="CB61" i="3" s="1"/>
  <c r="CC61" i="3" s="1"/>
  <c r="CD157" i="3"/>
  <c r="BZ7" i="3"/>
  <c r="CB7" i="3" s="1"/>
  <c r="CC7" i="3" s="1"/>
  <c r="BU250" i="3"/>
  <c r="CD166" i="3"/>
  <c r="CA166" i="3"/>
  <c r="BV37" i="3"/>
  <c r="BW37" i="3" s="1"/>
  <c r="BX37" i="3" s="1"/>
  <c r="BY37" i="3" s="1"/>
  <c r="BZ232" i="3"/>
  <c r="CB232" i="3" s="1"/>
  <c r="CC232" i="3" s="1"/>
  <c r="CD264" i="3"/>
  <c r="BV190" i="3"/>
  <c r="BX190" i="3" s="1"/>
  <c r="BY190" i="3" s="1"/>
  <c r="BX199" i="3"/>
  <c r="BY199" i="3" s="1"/>
  <c r="BZ199" i="3"/>
  <c r="CA199" i="3" s="1"/>
  <c r="CB199" i="3" s="1"/>
  <c r="CC199" i="3" s="1"/>
  <c r="BZ254" i="3"/>
  <c r="CB254" i="3" s="1"/>
  <c r="CC254" i="3" s="1"/>
  <c r="BV8" i="3"/>
  <c r="BW8" i="3" s="1"/>
  <c r="CD8" i="3"/>
  <c r="BU61" i="3"/>
  <c r="BV250" i="3"/>
  <c r="BW250" i="3" s="1"/>
  <c r="BX157" i="3"/>
  <c r="BY157" i="3" s="1"/>
  <c r="BZ157" i="3"/>
  <c r="CA157" i="3" s="1"/>
  <c r="CD199" i="3"/>
  <c r="BV254" i="3"/>
  <c r="BX254" i="3" s="1"/>
  <c r="BY254" i="3" s="1"/>
  <c r="BU190" i="3"/>
  <c r="BV61" i="3"/>
  <c r="BW61" i="3" s="1"/>
  <c r="CD250" i="3"/>
  <c r="BU232" i="3"/>
  <c r="BU166" i="3"/>
  <c r="CB250" i="3"/>
  <c r="CC250" i="3" s="1"/>
  <c r="BZ8" i="3"/>
  <c r="CA8" i="3" s="1"/>
  <c r="BU157" i="3"/>
  <c r="CD232" i="3"/>
  <c r="BW213" i="3"/>
  <c r="BU124" i="3"/>
  <c r="BZ213" i="3"/>
  <c r="CA213" i="3" s="1"/>
  <c r="CB213" i="3" s="1"/>
  <c r="CC213" i="3" s="1"/>
  <c r="BZ152" i="3"/>
  <c r="CA152" i="3" s="1"/>
  <c r="CB152" i="3" s="1"/>
  <c r="CC152" i="3" s="1"/>
  <c r="BZ193" i="3"/>
  <c r="CA193" i="3" s="1"/>
  <c r="BU213" i="3"/>
  <c r="BU245" i="3"/>
  <c r="CD213" i="3"/>
  <c r="CD245" i="3"/>
  <c r="BV152" i="3"/>
  <c r="BW152" i="3" s="1"/>
  <c r="BX93" i="3"/>
  <c r="BY93" i="3" s="1"/>
  <c r="BZ124" i="3"/>
  <c r="CA124" i="3" s="1"/>
  <c r="CD124" i="3"/>
  <c r="BU93" i="3"/>
  <c r="BX118" i="3"/>
  <c r="BY118" i="3" s="1"/>
  <c r="CD152" i="3"/>
  <c r="BZ118" i="3"/>
  <c r="CB118" i="3" s="1"/>
  <c r="CC118" i="3" s="1"/>
  <c r="BU118" i="3"/>
  <c r="CD121" i="3"/>
  <c r="BU180" i="3"/>
  <c r="BV160" i="3"/>
  <c r="BX160" i="3" s="1"/>
  <c r="BY160" i="3" s="1"/>
  <c r="BV121" i="3"/>
  <c r="BW121" i="3" s="1"/>
  <c r="BX121" i="3" s="1"/>
  <c r="BY121" i="3" s="1"/>
  <c r="BV101" i="3"/>
  <c r="BU121" i="3"/>
  <c r="CA121" i="3"/>
  <c r="CB121" i="3" s="1"/>
  <c r="CC121" i="3" s="1"/>
  <c r="BZ262" i="3"/>
  <c r="CA262" i="3" s="1"/>
  <c r="BZ268" i="3"/>
  <c r="CA268" i="3" s="1"/>
  <c r="BV262" i="3"/>
  <c r="BW262" i="3" s="1"/>
  <c r="BZ146" i="3"/>
  <c r="CB146" i="3" s="1"/>
  <c r="CC146" i="3" s="1"/>
  <c r="CD99" i="3"/>
  <c r="BV99" i="3"/>
  <c r="BW99" i="3" s="1"/>
  <c r="BX99" i="3" s="1"/>
  <c r="BY99" i="3" s="1"/>
  <c r="CD247" i="3"/>
  <c r="BZ160" i="3"/>
  <c r="CA160" i="3" s="1"/>
  <c r="CB160" i="3" s="1"/>
  <c r="CC160" i="3" s="1"/>
  <c r="BZ30" i="3"/>
  <c r="CA30" i="3" s="1"/>
  <c r="BU247" i="3"/>
  <c r="BZ247" i="3"/>
  <c r="CA247" i="3" s="1"/>
  <c r="CB247" i="3" s="1"/>
  <c r="CC247" i="3" s="1"/>
  <c r="BV6" i="3"/>
  <c r="BW6" i="3" s="1"/>
  <c r="BV146" i="3"/>
  <c r="BW146" i="3" s="1"/>
  <c r="CA99" i="3"/>
  <c r="BU262" i="3"/>
  <c r="BV30" i="3"/>
  <c r="BW30" i="3" s="1"/>
  <c r="CD146" i="3"/>
  <c r="BV268" i="3"/>
  <c r="BX268" i="3" s="1"/>
  <c r="BY268" i="3" s="1"/>
  <c r="BU30" i="3"/>
  <c r="BW247" i="3"/>
  <c r="BU160" i="3"/>
  <c r="BU99" i="3"/>
  <c r="BZ6" i="3"/>
  <c r="CA6" i="3" s="1"/>
  <c r="CB6" i="3" s="1"/>
  <c r="CC6" i="3" s="1"/>
  <c r="BV114" i="3"/>
  <c r="BZ114" i="3"/>
  <c r="M315" i="15"/>
  <c r="M357" i="15"/>
  <c r="M324" i="15"/>
  <c r="M251" i="15"/>
  <c r="M267" i="15"/>
  <c r="M393" i="15"/>
  <c r="M333" i="15"/>
  <c r="M27" i="15"/>
  <c r="AG13" i="11" s="1"/>
  <c r="M364" i="15"/>
  <c r="AU111" i="11"/>
  <c r="M296" i="15"/>
  <c r="M328" i="15"/>
  <c r="M413" i="15"/>
  <c r="M376" i="15"/>
  <c r="M63" i="15"/>
  <c r="M287" i="15"/>
  <c r="AG63" i="11" s="1"/>
  <c r="M301" i="15"/>
  <c r="M15" i="15"/>
  <c r="M199" i="15"/>
  <c r="M207" i="15"/>
  <c r="M380" i="15"/>
  <c r="M67" i="15"/>
  <c r="M95" i="15"/>
  <c r="M422" i="15"/>
  <c r="M332" i="15"/>
  <c r="M420" i="15"/>
  <c r="M349" i="15"/>
  <c r="M39" i="15"/>
  <c r="M316" i="15"/>
  <c r="M390" i="15"/>
  <c r="CD116" i="3"/>
  <c r="S4" i="3"/>
  <c r="BZ116" i="3"/>
  <c r="CA116" i="3" s="1"/>
  <c r="BW256" i="3"/>
  <c r="BU116" i="3"/>
  <c r="BW272" i="3"/>
  <c r="AF110" i="3"/>
  <c r="AF30" i="3"/>
  <c r="AF159" i="3"/>
  <c r="AF213" i="3"/>
  <c r="O4" i="17"/>
  <c r="M275" i="15"/>
  <c r="AG59" i="11" s="1"/>
  <c r="M96" i="15"/>
  <c r="M193" i="15"/>
  <c r="M80" i="15"/>
  <c r="M133" i="15"/>
  <c r="M200" i="15"/>
  <c r="M269" i="15"/>
  <c r="M151" i="15"/>
  <c r="M51" i="15"/>
  <c r="M176" i="15"/>
  <c r="M231" i="15"/>
  <c r="M35" i="15"/>
  <c r="M185" i="15"/>
  <c r="M232" i="15"/>
  <c r="M9" i="15"/>
  <c r="M105" i="15"/>
  <c r="M174" i="15"/>
  <c r="M186" i="15"/>
  <c r="M262" i="15"/>
  <c r="M66" i="15"/>
  <c r="AG22" i="11" s="1"/>
  <c r="M55" i="15"/>
  <c r="M188" i="15"/>
  <c r="M74" i="15"/>
  <c r="M238" i="15"/>
  <c r="M132" i="15"/>
  <c r="M242" i="15"/>
  <c r="M52" i="15"/>
  <c r="M38" i="15"/>
  <c r="M249" i="15"/>
  <c r="M261" i="15"/>
  <c r="M84" i="15"/>
  <c r="M116" i="15"/>
  <c r="M14" i="15"/>
  <c r="M227" i="15"/>
  <c r="M40" i="15"/>
  <c r="M212" i="15"/>
  <c r="M112" i="15"/>
  <c r="M169" i="15"/>
  <c r="M48" i="15"/>
  <c r="M225" i="15"/>
  <c r="M62" i="15"/>
  <c r="M76" i="15"/>
  <c r="M42" i="15"/>
  <c r="M201" i="15"/>
  <c r="M46" i="15"/>
  <c r="AG17" i="11" s="1"/>
  <c r="M136" i="15"/>
  <c r="M230" i="15"/>
  <c r="M94" i="15"/>
  <c r="M278" i="15"/>
  <c r="AG60" i="11" s="1"/>
  <c r="M234" i="15"/>
  <c r="M235" i="15"/>
  <c r="M153" i="15"/>
  <c r="M98" i="15"/>
  <c r="M146" i="15"/>
  <c r="M110" i="15"/>
  <c r="M194" i="15"/>
  <c r="M108" i="15"/>
  <c r="CA242" i="3"/>
  <c r="CB243" i="3"/>
  <c r="CC243" i="3" s="1"/>
  <c r="BW84" i="3"/>
  <c r="BW233" i="3"/>
  <c r="BW147" i="3"/>
  <c r="AF128" i="3"/>
  <c r="M246" i="15"/>
  <c r="M414" i="15"/>
  <c r="M54" i="15"/>
  <c r="M145" i="15"/>
  <c r="M100" i="15"/>
  <c r="M344" i="15"/>
  <c r="AF116" i="3"/>
  <c r="AF102" i="3"/>
  <c r="M321" i="15"/>
  <c r="AF236" i="3"/>
  <c r="M161" i="15"/>
  <c r="M293" i="15"/>
  <c r="M20" i="15"/>
  <c r="M83" i="15"/>
  <c r="M336" i="15"/>
  <c r="M127" i="15"/>
  <c r="M89" i="15"/>
  <c r="M68" i="15"/>
  <c r="M221" i="15"/>
  <c r="M7" i="15"/>
  <c r="M140" i="15"/>
  <c r="M372" i="15"/>
  <c r="M92" i="15"/>
  <c r="M217" i="15"/>
  <c r="M86" i="15"/>
  <c r="M31" i="15"/>
  <c r="M141" i="15"/>
  <c r="M411" i="15"/>
  <c r="M32" i="15"/>
  <c r="M280" i="15"/>
  <c r="M113" i="15"/>
  <c r="M419" i="15"/>
  <c r="M36" i="15"/>
  <c r="M300" i="15"/>
  <c r="M181" i="15"/>
  <c r="M381" i="15"/>
  <c r="M308" i="15"/>
  <c r="M353" i="15"/>
  <c r="M72" i="15"/>
  <c r="M312" i="15"/>
  <c r="M311" i="15"/>
  <c r="M260" i="15"/>
  <c r="M69" i="15"/>
  <c r="M297" i="15"/>
  <c r="M156" i="15"/>
  <c r="M388" i="15"/>
  <c r="M28" i="15"/>
  <c r="M272" i="15"/>
  <c r="AG58" i="11" s="1"/>
  <c r="M306" i="15"/>
  <c r="M386" i="15"/>
  <c r="M75" i="15"/>
  <c r="AF35" i="3"/>
  <c r="AF228" i="3"/>
  <c r="M237" i="15"/>
  <c r="M340" i="15"/>
  <c r="M245" i="15"/>
  <c r="M128" i="15"/>
  <c r="M356" i="15"/>
  <c r="M361" i="15"/>
  <c r="M335" i="15"/>
  <c r="M88" i="15"/>
  <c r="M233" i="15"/>
  <c r="M115" i="15"/>
  <c r="M22" i="15"/>
  <c r="AG11" i="11" s="1"/>
  <c r="M47" i="15"/>
  <c r="M13" i="15"/>
  <c r="M168" i="15"/>
  <c r="M400" i="15"/>
  <c r="M309" i="15"/>
  <c r="M172" i="15"/>
  <c r="AF221" i="3"/>
  <c r="M85" i="15"/>
  <c r="M313" i="15"/>
  <c r="M64" i="15"/>
  <c r="M304" i="15"/>
  <c r="AG67" i="11" s="1"/>
  <c r="M25" i="15"/>
  <c r="M211" i="15"/>
  <c r="M180" i="15"/>
  <c r="M257" i="15"/>
  <c r="M295" i="15"/>
  <c r="M184" i="15"/>
  <c r="M144" i="15"/>
  <c r="M197" i="15"/>
  <c r="M24" i="15"/>
  <c r="M268" i="15"/>
  <c r="M164" i="15"/>
  <c r="M392" i="15"/>
  <c r="M137" i="15"/>
  <c r="M397" i="15"/>
  <c r="M339" i="15"/>
  <c r="M178" i="15"/>
  <c r="M171" i="15"/>
  <c r="M279" i="15"/>
  <c r="AF285" i="3"/>
  <c r="M77" i="15"/>
  <c r="M135" i="15"/>
  <c r="M220" i="15"/>
  <c r="AF219" i="3"/>
  <c r="M147" i="15"/>
  <c r="M228" i="15"/>
  <c r="M149" i="15"/>
  <c r="M187" i="15"/>
  <c r="M120" i="15"/>
  <c r="M348" i="15"/>
  <c r="M57" i="15"/>
  <c r="M317" i="15"/>
  <c r="M8" i="15"/>
  <c r="M248" i="15"/>
  <c r="AG50" i="11" s="1"/>
  <c r="M12" i="15"/>
  <c r="M256" i="15"/>
  <c r="AG53" i="11" s="1"/>
  <c r="M97" i="15"/>
  <c r="M11" i="15"/>
  <c r="M192" i="15"/>
  <c r="M229" i="15"/>
  <c r="AF199" i="3"/>
  <c r="M208" i="15"/>
  <c r="M206" i="15"/>
  <c r="M358" i="15"/>
  <c r="M258" i="15"/>
  <c r="M182" i="15"/>
  <c r="AF259" i="3"/>
  <c r="M134" i="15"/>
  <c r="M378" i="15"/>
  <c r="M298" i="15"/>
  <c r="M179" i="15"/>
  <c r="M106" i="15"/>
  <c r="M71" i="15"/>
  <c r="M6" i="15"/>
  <c r="M402" i="15"/>
  <c r="M107" i="15"/>
  <c r="M219" i="15"/>
  <c r="M395" i="15"/>
  <c r="M239" i="15"/>
  <c r="M283" i="15"/>
  <c r="M198" i="15"/>
  <c r="M363" i="15"/>
  <c r="M119" i="15"/>
  <c r="M150" i="15"/>
  <c r="M162" i="15"/>
  <c r="M282" i="15"/>
  <c r="M299" i="15"/>
  <c r="AF113" i="3"/>
  <c r="M190" i="15"/>
  <c r="M203" i="15"/>
  <c r="M254" i="15"/>
  <c r="M70" i="15"/>
  <c r="M202" i="15"/>
  <c r="M338" i="15"/>
  <c r="M374" i="15"/>
  <c r="M410" i="15"/>
  <c r="M167" i="15"/>
  <c r="T233" i="3"/>
  <c r="M5" i="15"/>
  <c r="M30" i="15"/>
  <c r="M218" i="15"/>
  <c r="M34" i="15"/>
  <c r="M130" i="15"/>
  <c r="M154" i="15"/>
  <c r="M90" i="15"/>
  <c r="M143" i="15"/>
  <c r="M342" i="15"/>
  <c r="M16" i="15"/>
  <c r="M118" i="15"/>
  <c r="AG39" i="11" s="1"/>
  <c r="M286" i="15"/>
  <c r="M250" i="15"/>
  <c r="M266" i="15"/>
  <c r="M322" i="15"/>
  <c r="M370" i="15"/>
  <c r="M10" i="15"/>
  <c r="K4" i="15"/>
  <c r="L4" i="15"/>
  <c r="M302" i="15"/>
  <c r="M58" i="15"/>
  <c r="M354" i="15"/>
  <c r="M102" i="15"/>
  <c r="M78" i="15"/>
  <c r="M166" i="15"/>
  <c r="M292" i="15"/>
  <c r="M222" i="15"/>
  <c r="Y9" i="3"/>
  <c r="H5" i="19" s="1"/>
  <c r="V4" i="3"/>
  <c r="CL43" i="3"/>
  <c r="AM43" i="3" s="1"/>
  <c r="CM43" i="3" s="1"/>
  <c r="T84" i="3"/>
  <c r="CA236" i="3"/>
  <c r="CB236" i="3"/>
  <c r="CC236" i="3" s="1"/>
  <c r="BX26" i="3"/>
  <c r="BY26" i="3" s="1"/>
  <c r="BW26" i="3"/>
  <c r="T68" i="3"/>
  <c r="CA5" i="3"/>
  <c r="CB5" i="3" s="1"/>
  <c r="CC5" i="3" s="1"/>
  <c r="BW5" i="3"/>
  <c r="BX5" i="3"/>
  <c r="BY5" i="3" s="1"/>
  <c r="BX20" i="3"/>
  <c r="BY20" i="3" s="1"/>
  <c r="BW20" i="3"/>
  <c r="E3" i="19" l="1"/>
  <c r="AX28" i="10"/>
  <c r="BC288" i="3" s="1"/>
  <c r="AO248" i="3"/>
  <c r="CM248" i="3"/>
  <c r="CM210" i="3"/>
  <c r="AO210" i="3"/>
  <c r="F210" i="18" s="1"/>
  <c r="G210" i="18" s="1"/>
  <c r="F210" i="9" s="1"/>
  <c r="BK210" i="3" s="1"/>
  <c r="BM210" i="3" s="1"/>
  <c r="AO5" i="3"/>
  <c r="CM5" i="3"/>
  <c r="CM209" i="3"/>
  <c r="AO209" i="3"/>
  <c r="CM129" i="3"/>
  <c r="AO129" i="3"/>
  <c r="CM146" i="3"/>
  <c r="AO146" i="3"/>
  <c r="CM271" i="3"/>
  <c r="AO271" i="3"/>
  <c r="F271" i="18" s="1"/>
  <c r="G271" i="18" s="1"/>
  <c r="F271" i="9" s="1"/>
  <c r="BK271" i="3" s="1"/>
  <c r="BM271" i="3" s="1"/>
  <c r="AO232" i="3"/>
  <c r="CM232" i="3"/>
  <c r="CM174" i="3"/>
  <c r="AO174" i="3"/>
  <c r="CM190" i="3"/>
  <c r="AO190" i="3"/>
  <c r="CM72" i="3"/>
  <c r="AO72" i="3"/>
  <c r="CM250" i="3"/>
  <c r="AO250" i="3"/>
  <c r="CM47" i="3"/>
  <c r="AO47" i="3"/>
  <c r="CM128" i="3"/>
  <c r="AO128" i="3"/>
  <c r="CM258" i="3"/>
  <c r="AO258" i="3"/>
  <c r="AO23" i="3"/>
  <c r="CM23" i="3"/>
  <c r="CM189" i="3"/>
  <c r="AO189" i="3"/>
  <c r="CM162" i="3"/>
  <c r="AO162" i="3"/>
  <c r="CM165" i="3"/>
  <c r="AO165" i="3"/>
  <c r="AO153" i="3"/>
  <c r="CM153" i="3"/>
  <c r="CM264" i="3"/>
  <c r="AO264" i="3"/>
  <c r="AO30" i="3"/>
  <c r="CM30" i="3"/>
  <c r="CM254" i="3"/>
  <c r="AO254" i="3"/>
  <c r="AO20" i="3"/>
  <c r="CM20" i="3"/>
  <c r="AO216" i="3"/>
  <c r="CM216" i="3"/>
  <c r="CM157" i="3"/>
  <c r="AO157" i="3"/>
  <c r="AO19" i="3"/>
  <c r="CM19" i="3"/>
  <c r="AO73" i="3"/>
  <c r="CM73" i="3"/>
  <c r="AO178" i="3"/>
  <c r="CM178" i="3"/>
  <c r="CM224" i="3"/>
  <c r="AO224" i="3"/>
  <c r="CM117" i="3"/>
  <c r="AO117" i="3"/>
  <c r="F117" i="18" s="1"/>
  <c r="G117" i="18" s="1"/>
  <c r="F117" i="9" s="1"/>
  <c r="BK117" i="3" s="1"/>
  <c r="BM117" i="3" s="1"/>
  <c r="CM88" i="3"/>
  <c r="AO88" i="3"/>
  <c r="CM156" i="3"/>
  <c r="AO156" i="3"/>
  <c r="CM225" i="3"/>
  <c r="AO225" i="3"/>
  <c r="CM270" i="3"/>
  <c r="AO270" i="3"/>
  <c r="F270" i="18" s="1"/>
  <c r="G270" i="18" s="1"/>
  <c r="F270" i="9" s="1"/>
  <c r="BK270" i="3" s="1"/>
  <c r="BM270" i="3" s="1"/>
  <c r="CM85" i="3"/>
  <c r="AO85" i="3"/>
  <c r="CM99" i="3"/>
  <c r="AO99" i="3"/>
  <c r="CM279" i="3"/>
  <c r="AO279" i="3"/>
  <c r="F279" i="18" s="1"/>
  <c r="G279" i="18" s="1"/>
  <c r="F279" i="9" s="1"/>
  <c r="BK279" i="3" s="1"/>
  <c r="BM279" i="3" s="1"/>
  <c r="CM206" i="3"/>
  <c r="AO206" i="3"/>
  <c r="CM276" i="3"/>
  <c r="AO276" i="3"/>
  <c r="F276" i="18" s="1"/>
  <c r="G276" i="18" s="1"/>
  <c r="F276" i="9" s="1"/>
  <c r="BK276" i="3" s="1"/>
  <c r="BM276" i="3" s="1"/>
  <c r="AO78" i="3"/>
  <c r="CM78" i="3"/>
  <c r="AO246" i="3"/>
  <c r="CM246" i="3"/>
  <c r="CM33" i="3"/>
  <c r="AO33" i="3"/>
  <c r="CK112" i="3"/>
  <c r="CL112" i="3" s="1"/>
  <c r="AM112" i="3" s="1"/>
  <c r="CK82" i="3"/>
  <c r="CL82" i="3" s="1"/>
  <c r="AM82" i="3" s="1"/>
  <c r="CK274" i="3"/>
  <c r="CL274" i="3" s="1"/>
  <c r="AM274" i="3" s="1"/>
  <c r="CK132" i="3"/>
  <c r="CL132" i="3" s="1"/>
  <c r="AM132" i="3" s="1"/>
  <c r="CK169" i="3"/>
  <c r="CL169" i="3" s="1"/>
  <c r="AM169" i="3" s="1"/>
  <c r="CK277" i="3"/>
  <c r="CL277" i="3" s="1"/>
  <c r="AM277" i="3" s="1"/>
  <c r="CK252" i="3"/>
  <c r="CL252" i="3" s="1"/>
  <c r="AM252" i="3" s="1"/>
  <c r="CK283" i="3"/>
  <c r="CL283" i="3" s="1"/>
  <c r="AM283" i="3" s="1"/>
  <c r="CK281" i="3"/>
  <c r="CL281" i="3" s="1"/>
  <c r="AM281" i="3" s="1"/>
  <c r="CK141" i="3"/>
  <c r="CL141" i="3" s="1"/>
  <c r="AM141" i="3" s="1"/>
  <c r="CK151" i="3"/>
  <c r="CL151" i="3" s="1"/>
  <c r="AM151" i="3" s="1"/>
  <c r="CK149" i="3"/>
  <c r="CL149" i="3" s="1"/>
  <c r="AM149" i="3" s="1"/>
  <c r="CK179" i="3"/>
  <c r="CL179" i="3" s="1"/>
  <c r="AM179" i="3" s="1"/>
  <c r="CK25" i="3"/>
  <c r="CL25" i="3" s="1"/>
  <c r="AM25" i="3" s="1"/>
  <c r="CK195" i="3"/>
  <c r="CL195" i="3" s="1"/>
  <c r="AM195" i="3" s="1"/>
  <c r="CK193" i="3"/>
  <c r="CL193" i="3" s="1"/>
  <c r="AM193" i="3" s="1"/>
  <c r="CK214" i="3"/>
  <c r="CL214" i="3" s="1"/>
  <c r="AM214" i="3" s="1"/>
  <c r="CK61" i="3"/>
  <c r="CL61" i="3" s="1"/>
  <c r="AM61" i="3" s="1"/>
  <c r="CK217" i="3"/>
  <c r="CL217" i="3" s="1"/>
  <c r="AM217" i="3" s="1"/>
  <c r="CK137" i="3"/>
  <c r="CL137" i="3" s="1"/>
  <c r="AM137" i="3" s="1"/>
  <c r="CK184" i="3"/>
  <c r="CL184" i="3" s="1"/>
  <c r="AM184" i="3" s="1"/>
  <c r="CK260" i="3"/>
  <c r="CL260" i="3" s="1"/>
  <c r="AM260" i="3" s="1"/>
  <c r="CK45" i="3"/>
  <c r="CL45" i="3" s="1"/>
  <c r="AM45" i="3" s="1"/>
  <c r="CK124" i="3"/>
  <c r="CL124" i="3" s="1"/>
  <c r="AM124" i="3" s="1"/>
  <c r="CK235" i="3"/>
  <c r="CL235" i="3" s="1"/>
  <c r="AM235" i="3" s="1"/>
  <c r="CK41" i="3"/>
  <c r="CL41" i="3" s="1"/>
  <c r="AM41" i="3" s="1"/>
  <c r="CK70" i="3"/>
  <c r="CL70" i="3" s="1"/>
  <c r="AM70" i="3" s="1"/>
  <c r="CK186" i="3"/>
  <c r="CL186" i="3" s="1"/>
  <c r="AM186" i="3" s="1"/>
  <c r="CK226" i="3"/>
  <c r="CL226" i="3" s="1"/>
  <c r="AM226" i="3" s="1"/>
  <c r="CK7" i="3"/>
  <c r="CL7" i="3" s="1"/>
  <c r="CK142" i="3"/>
  <c r="CL142" i="3" s="1"/>
  <c r="AM142" i="3" s="1"/>
  <c r="CK244" i="3"/>
  <c r="CL244" i="3" s="1"/>
  <c r="AM244" i="3" s="1"/>
  <c r="CK255" i="3"/>
  <c r="CL255" i="3" s="1"/>
  <c r="AM255" i="3" s="1"/>
  <c r="CK15" i="3"/>
  <c r="CL15" i="3" s="1"/>
  <c r="AM15" i="3" s="1"/>
  <c r="CK176" i="3"/>
  <c r="CL176" i="3" s="1"/>
  <c r="AM176" i="3" s="1"/>
  <c r="CK110" i="3"/>
  <c r="CL110" i="3" s="1"/>
  <c r="AM110" i="3" s="1"/>
  <c r="CK48" i="3"/>
  <c r="CL48" i="3" s="1"/>
  <c r="AM48" i="3" s="1"/>
  <c r="CK163" i="3"/>
  <c r="CL163" i="3" s="1"/>
  <c r="AM163" i="3" s="1"/>
  <c r="CK158" i="3"/>
  <c r="CL158" i="3" s="1"/>
  <c r="AM158" i="3" s="1"/>
  <c r="CK111" i="3"/>
  <c r="CL111" i="3" s="1"/>
  <c r="AM111" i="3" s="1"/>
  <c r="CK64" i="3"/>
  <c r="CL64" i="3" s="1"/>
  <c r="AM64" i="3" s="1"/>
  <c r="CK192" i="3"/>
  <c r="CL192" i="3" s="1"/>
  <c r="AM192" i="3" s="1"/>
  <c r="CK215" i="3"/>
  <c r="CL215" i="3" s="1"/>
  <c r="AM215" i="3" s="1"/>
  <c r="CK104" i="3"/>
  <c r="CL104" i="3" s="1"/>
  <c r="AM104" i="3" s="1"/>
  <c r="CK130" i="3"/>
  <c r="CL130" i="3" s="1"/>
  <c r="AM130" i="3" s="1"/>
  <c r="CK211" i="3"/>
  <c r="CL211" i="3" s="1"/>
  <c r="AM211" i="3" s="1"/>
  <c r="CK288" i="3"/>
  <c r="CL288" i="3" s="1"/>
  <c r="AM288" i="3" s="1"/>
  <c r="CK44" i="3"/>
  <c r="CL44" i="3" s="1"/>
  <c r="AM44" i="3" s="1"/>
  <c r="CK90" i="3"/>
  <c r="CL90" i="3" s="1"/>
  <c r="AM90" i="3" s="1"/>
  <c r="CK17" i="3"/>
  <c r="CL17" i="3" s="1"/>
  <c r="AM17" i="3" s="1"/>
  <c r="CK93" i="3"/>
  <c r="CL93" i="3" s="1"/>
  <c r="AM93" i="3" s="1"/>
  <c r="CK106" i="3"/>
  <c r="CL106" i="3" s="1"/>
  <c r="AM106" i="3" s="1"/>
  <c r="CK182" i="3"/>
  <c r="CL182" i="3" s="1"/>
  <c r="AM182" i="3" s="1"/>
  <c r="CK205" i="3"/>
  <c r="CL205" i="3" s="1"/>
  <c r="AM205" i="3" s="1"/>
  <c r="CK13" i="3"/>
  <c r="CL13" i="3" s="1"/>
  <c r="AM13" i="3" s="1"/>
  <c r="CK21" i="3"/>
  <c r="CL21" i="3" s="1"/>
  <c r="AM21" i="3" s="1"/>
  <c r="CK18" i="3"/>
  <c r="CL18" i="3" s="1"/>
  <c r="AM18" i="3" s="1"/>
  <c r="CK101" i="3"/>
  <c r="CL101" i="3" s="1"/>
  <c r="AM101" i="3" s="1"/>
  <c r="CK280" i="3"/>
  <c r="CL280" i="3" s="1"/>
  <c r="AM280" i="3" s="1"/>
  <c r="CK37" i="3"/>
  <c r="CL37" i="3" s="1"/>
  <c r="AM37" i="3" s="1"/>
  <c r="CK268" i="3"/>
  <c r="CL268" i="3" s="1"/>
  <c r="AM268" i="3" s="1"/>
  <c r="CK81" i="3"/>
  <c r="CL81" i="3" s="1"/>
  <c r="AM81" i="3" s="1"/>
  <c r="CK167" i="3"/>
  <c r="CL167" i="3" s="1"/>
  <c r="AM167" i="3" s="1"/>
  <c r="CK233" i="3"/>
  <c r="CL233" i="3" s="1"/>
  <c r="AM233" i="3" s="1"/>
  <c r="CK259" i="3"/>
  <c r="CL259" i="3" s="1"/>
  <c r="AM259" i="3" s="1"/>
  <c r="CK263" i="3"/>
  <c r="CL263" i="3" s="1"/>
  <c r="AM263" i="3" s="1"/>
  <c r="CK57" i="3"/>
  <c r="CL57" i="3" s="1"/>
  <c r="AM57" i="3" s="1"/>
  <c r="CK115" i="3"/>
  <c r="CL115" i="3" s="1"/>
  <c r="AM115" i="3" s="1"/>
  <c r="CK236" i="3"/>
  <c r="CL236" i="3" s="1"/>
  <c r="AM236" i="3" s="1"/>
  <c r="CK100" i="3"/>
  <c r="CL100" i="3" s="1"/>
  <c r="AM100" i="3" s="1"/>
  <c r="CK172" i="3"/>
  <c r="CL172" i="3" s="1"/>
  <c r="AM172" i="3" s="1"/>
  <c r="CK213" i="3"/>
  <c r="CL213" i="3" s="1"/>
  <c r="AM213" i="3" s="1"/>
  <c r="CK133" i="3"/>
  <c r="CL133" i="3" s="1"/>
  <c r="AM133" i="3" s="1"/>
  <c r="CK168" i="3"/>
  <c r="CL168" i="3" s="1"/>
  <c r="AM168" i="3" s="1"/>
  <c r="CK96" i="3"/>
  <c r="CL96" i="3" s="1"/>
  <c r="AM96" i="3" s="1"/>
  <c r="CK22" i="3"/>
  <c r="CL22" i="3" s="1"/>
  <c r="AM22" i="3" s="1"/>
  <c r="CK218" i="3"/>
  <c r="CL218" i="3" s="1"/>
  <c r="AM218" i="3" s="1"/>
  <c r="CK145" i="3"/>
  <c r="CL145" i="3" s="1"/>
  <c r="AM145" i="3" s="1"/>
  <c r="CK143" i="3"/>
  <c r="CL143" i="3" s="1"/>
  <c r="AM143" i="3" s="1"/>
  <c r="CK12" i="3"/>
  <c r="CL12" i="3" s="1"/>
  <c r="AM12" i="3" s="1"/>
  <c r="CK196" i="3"/>
  <c r="CL196" i="3" s="1"/>
  <c r="AM196" i="3" s="1"/>
  <c r="CK42" i="3"/>
  <c r="CL42" i="3" s="1"/>
  <c r="AM42" i="3" s="1"/>
  <c r="CK278" i="3"/>
  <c r="CL278" i="3" s="1"/>
  <c r="AM278" i="3" s="1"/>
  <c r="CK50" i="3"/>
  <c r="CL50" i="3" s="1"/>
  <c r="AM50" i="3" s="1"/>
  <c r="CK31" i="3"/>
  <c r="CL31" i="3" s="1"/>
  <c r="AM31" i="3" s="1"/>
  <c r="CK55" i="3"/>
  <c r="CL55" i="3" s="1"/>
  <c r="AM55" i="3" s="1"/>
  <c r="CK63" i="3"/>
  <c r="CL63" i="3" s="1"/>
  <c r="AM63" i="3" s="1"/>
  <c r="CK219" i="3"/>
  <c r="CL219" i="3" s="1"/>
  <c r="AM219" i="3" s="1"/>
  <c r="CK188" i="3"/>
  <c r="CL188" i="3" s="1"/>
  <c r="AM188" i="3" s="1"/>
  <c r="CK160" i="3"/>
  <c r="CL160" i="3" s="1"/>
  <c r="AM160" i="3" s="1"/>
  <c r="CK187" i="3"/>
  <c r="CL187" i="3" s="1"/>
  <c r="AM187" i="3" s="1"/>
  <c r="CK122" i="3"/>
  <c r="CL122" i="3" s="1"/>
  <c r="AM122" i="3" s="1"/>
  <c r="CK136" i="3"/>
  <c r="CL136" i="3" s="1"/>
  <c r="AM136" i="3" s="1"/>
  <c r="CK52" i="3"/>
  <c r="CL52" i="3" s="1"/>
  <c r="AM52" i="3" s="1"/>
  <c r="CK120" i="3"/>
  <c r="CL120" i="3" s="1"/>
  <c r="AM120" i="3" s="1"/>
  <c r="CK152" i="3"/>
  <c r="CL152" i="3" s="1"/>
  <c r="AM152" i="3" s="1"/>
  <c r="CK121" i="3"/>
  <c r="CL121" i="3" s="1"/>
  <c r="AM121" i="3" s="1"/>
  <c r="CK166" i="3"/>
  <c r="CL166" i="3" s="1"/>
  <c r="AM166" i="3" s="1"/>
  <c r="CK290" i="3"/>
  <c r="CL290" i="3" s="1"/>
  <c r="AM290" i="3" s="1"/>
  <c r="CK155" i="3"/>
  <c r="CL155" i="3" s="1"/>
  <c r="AM155" i="3" s="1"/>
  <c r="CK71" i="3"/>
  <c r="CL71" i="3" s="1"/>
  <c r="AM71" i="3" s="1"/>
  <c r="CK119" i="3"/>
  <c r="CL119" i="3" s="1"/>
  <c r="AM119" i="3" s="1"/>
  <c r="CK243" i="3"/>
  <c r="CL243" i="3" s="1"/>
  <c r="AM243" i="3" s="1"/>
  <c r="CK95" i="3"/>
  <c r="CL95" i="3" s="1"/>
  <c r="AM95" i="3" s="1"/>
  <c r="CK234" i="3"/>
  <c r="CL234" i="3" s="1"/>
  <c r="AM234" i="3" s="1"/>
  <c r="CK164" i="3"/>
  <c r="CL164" i="3" s="1"/>
  <c r="AM164" i="3" s="1"/>
  <c r="CK266" i="3"/>
  <c r="CL266" i="3" s="1"/>
  <c r="AM266" i="3" s="1"/>
  <c r="CK51" i="3"/>
  <c r="CL51" i="3" s="1"/>
  <c r="AM51" i="3" s="1"/>
  <c r="CK237" i="3"/>
  <c r="CL237" i="3" s="1"/>
  <c r="AM237" i="3" s="1"/>
  <c r="CK261" i="3"/>
  <c r="CL261" i="3" s="1"/>
  <c r="AM261" i="3" s="1"/>
  <c r="CK114" i="3"/>
  <c r="CL114" i="3" s="1"/>
  <c r="AM114" i="3" s="1"/>
  <c r="CK275" i="3"/>
  <c r="CL275" i="3" s="1"/>
  <c r="AM275" i="3" s="1"/>
  <c r="CK138" i="3"/>
  <c r="CL138" i="3" s="1"/>
  <c r="AM138" i="3" s="1"/>
  <c r="CK242" i="3"/>
  <c r="CL242" i="3" s="1"/>
  <c r="AM242" i="3" s="1"/>
  <c r="CK68" i="3"/>
  <c r="CL68" i="3" s="1"/>
  <c r="AM68" i="3" s="1"/>
  <c r="CK181" i="3"/>
  <c r="CL181" i="3" s="1"/>
  <c r="AM181" i="3" s="1"/>
  <c r="CK140" i="3"/>
  <c r="CL140" i="3" s="1"/>
  <c r="AM140" i="3" s="1"/>
  <c r="CK194" i="3"/>
  <c r="CL194" i="3" s="1"/>
  <c r="AM194" i="3" s="1"/>
  <c r="CK199" i="3"/>
  <c r="CL199" i="3" s="1"/>
  <c r="AM199" i="3" s="1"/>
  <c r="CK202" i="3"/>
  <c r="CL202" i="3" s="1"/>
  <c r="AM202" i="3" s="1"/>
  <c r="CK75" i="3"/>
  <c r="CL75" i="3" s="1"/>
  <c r="AM75" i="3" s="1"/>
  <c r="CK80" i="3"/>
  <c r="CL80" i="3" s="1"/>
  <c r="AM80" i="3" s="1"/>
  <c r="CK58" i="3"/>
  <c r="CL58" i="3" s="1"/>
  <c r="AM58" i="3" s="1"/>
  <c r="CK287" i="3"/>
  <c r="CL287" i="3" s="1"/>
  <c r="AM287" i="3" s="1"/>
  <c r="CK171" i="3"/>
  <c r="CL171" i="3" s="1"/>
  <c r="AM171" i="3" s="1"/>
  <c r="CK27" i="3"/>
  <c r="CL27" i="3" s="1"/>
  <c r="AM27" i="3" s="1"/>
  <c r="CK67" i="3"/>
  <c r="CL67" i="3" s="1"/>
  <c r="AM67" i="3" s="1"/>
  <c r="CK108" i="3"/>
  <c r="CL108" i="3" s="1"/>
  <c r="AM108" i="3" s="1"/>
  <c r="CK285" i="3"/>
  <c r="CL285" i="3" s="1"/>
  <c r="AM285" i="3" s="1"/>
  <c r="CK183" i="3"/>
  <c r="CL183" i="3" s="1"/>
  <c r="AM183" i="3" s="1"/>
  <c r="CK94" i="3"/>
  <c r="CL94" i="3" s="1"/>
  <c r="AM94" i="3" s="1"/>
  <c r="CK185" i="3"/>
  <c r="CL185" i="3" s="1"/>
  <c r="AM185" i="3" s="1"/>
  <c r="CK92" i="3"/>
  <c r="CL92" i="3" s="1"/>
  <c r="AM92" i="3" s="1"/>
  <c r="CK8" i="3"/>
  <c r="CL8" i="3" s="1"/>
  <c r="AM8" i="3" s="1"/>
  <c r="CK127" i="3"/>
  <c r="CL127" i="3" s="1"/>
  <c r="AM127" i="3" s="1"/>
  <c r="CK249" i="3"/>
  <c r="CL249" i="3" s="1"/>
  <c r="AM249" i="3" s="1"/>
  <c r="AO43" i="3"/>
  <c r="CK265" i="3"/>
  <c r="CL265" i="3" s="1"/>
  <c r="AM265" i="3" s="1"/>
  <c r="CK102" i="3"/>
  <c r="CL102" i="3" s="1"/>
  <c r="AM102" i="3" s="1"/>
  <c r="CK59" i="3"/>
  <c r="CL59" i="3" s="1"/>
  <c r="AM59" i="3" s="1"/>
  <c r="CK256" i="3"/>
  <c r="CL256" i="3" s="1"/>
  <c r="AM256" i="3" s="1"/>
  <c r="CK134" i="3"/>
  <c r="CL134" i="3" s="1"/>
  <c r="AM134" i="3" s="1"/>
  <c r="CK116" i="3"/>
  <c r="CL116" i="3" s="1"/>
  <c r="AM116" i="3" s="1"/>
  <c r="CK35" i="3"/>
  <c r="CL35" i="3" s="1"/>
  <c r="AM35" i="3" s="1"/>
  <c r="CK147" i="3"/>
  <c r="CL147" i="3" s="1"/>
  <c r="AM147" i="3" s="1"/>
  <c r="CK46" i="3"/>
  <c r="CL46" i="3" s="1"/>
  <c r="AM46" i="3" s="1"/>
  <c r="CM46" i="3" s="1"/>
  <c r="CK74" i="3"/>
  <c r="CL74" i="3" s="1"/>
  <c r="AM74" i="3" s="1"/>
  <c r="CK28" i="3"/>
  <c r="CL28" i="3" s="1"/>
  <c r="AM28" i="3" s="1"/>
  <c r="CK79" i="3"/>
  <c r="CL79" i="3" s="1"/>
  <c r="AM79" i="3" s="1"/>
  <c r="CK170" i="3"/>
  <c r="CL170" i="3" s="1"/>
  <c r="AM170" i="3" s="1"/>
  <c r="CK228" i="3"/>
  <c r="CL228" i="3" s="1"/>
  <c r="AM228" i="3" s="1"/>
  <c r="CK175" i="3"/>
  <c r="CL175" i="3" s="1"/>
  <c r="AM175" i="3" s="1"/>
  <c r="CK180" i="3"/>
  <c r="CL180" i="3" s="1"/>
  <c r="AM180" i="3" s="1"/>
  <c r="CK284" i="3"/>
  <c r="CL284" i="3" s="1"/>
  <c r="AM284" i="3" s="1"/>
  <c r="CK273" i="3"/>
  <c r="CL273" i="3" s="1"/>
  <c r="AM273" i="3" s="1"/>
  <c r="CK197" i="3"/>
  <c r="CL197" i="3" s="1"/>
  <c r="AM197" i="3" s="1"/>
  <c r="CK231" i="3"/>
  <c r="CL231" i="3" s="1"/>
  <c r="AM231" i="3" s="1"/>
  <c r="CK54" i="3"/>
  <c r="CL54" i="3" s="1"/>
  <c r="AM54" i="3" s="1"/>
  <c r="CK139" i="3"/>
  <c r="CL139" i="3" s="1"/>
  <c r="AM139" i="3" s="1"/>
  <c r="CK9" i="3"/>
  <c r="CL9" i="3" s="1"/>
  <c r="AM9" i="3" s="1"/>
  <c r="CK66" i="3"/>
  <c r="CL66" i="3" s="1"/>
  <c r="AM66" i="3" s="1"/>
  <c r="CK62" i="3"/>
  <c r="CL62" i="3" s="1"/>
  <c r="AM62" i="3" s="1"/>
  <c r="CK253" i="3"/>
  <c r="CL253" i="3" s="1"/>
  <c r="AM253" i="3" s="1"/>
  <c r="CK200" i="3"/>
  <c r="CL200" i="3" s="1"/>
  <c r="AM200" i="3" s="1"/>
  <c r="CK98" i="3"/>
  <c r="CL98" i="3" s="1"/>
  <c r="AM98" i="3" s="1"/>
  <c r="CK125" i="3"/>
  <c r="CL125" i="3" s="1"/>
  <c r="AM125" i="3" s="1"/>
  <c r="CK208" i="3"/>
  <c r="CL208" i="3" s="1"/>
  <c r="AM208" i="3" s="1"/>
  <c r="CK198" i="3"/>
  <c r="CL198" i="3" s="1"/>
  <c r="AM198" i="3" s="1"/>
  <c r="CK87" i="3"/>
  <c r="CL87" i="3" s="1"/>
  <c r="AM87" i="3" s="1"/>
  <c r="CK229" i="3"/>
  <c r="CL229" i="3" s="1"/>
  <c r="AM229" i="3" s="1"/>
  <c r="CM229" i="3" s="1"/>
  <c r="CK38" i="3"/>
  <c r="CL38" i="3" s="1"/>
  <c r="AM38" i="3" s="1"/>
  <c r="CK238" i="3"/>
  <c r="CL238" i="3" s="1"/>
  <c r="AM238" i="3" s="1"/>
  <c r="CK201" i="3"/>
  <c r="CL201" i="3" s="1"/>
  <c r="AM201" i="3" s="1"/>
  <c r="CK245" i="3"/>
  <c r="CL245" i="3" s="1"/>
  <c r="AM245" i="3" s="1"/>
  <c r="CK240" i="3"/>
  <c r="CL240" i="3" s="1"/>
  <c r="AM240" i="3" s="1"/>
  <c r="CK39" i="3"/>
  <c r="CL39" i="3" s="1"/>
  <c r="AM39" i="3" s="1"/>
  <c r="CK113" i="3"/>
  <c r="CL113" i="3" s="1"/>
  <c r="AM113" i="3" s="1"/>
  <c r="CK34" i="3"/>
  <c r="CL34" i="3" s="1"/>
  <c r="AM34" i="3" s="1"/>
  <c r="CK257" i="3"/>
  <c r="CL257" i="3" s="1"/>
  <c r="AM257" i="3" s="1"/>
  <c r="CK29" i="3"/>
  <c r="CL29" i="3" s="1"/>
  <c r="AM29" i="3" s="1"/>
  <c r="CK126" i="3"/>
  <c r="CL126" i="3" s="1"/>
  <c r="AM126" i="3" s="1"/>
  <c r="CK103" i="3"/>
  <c r="CL103" i="3" s="1"/>
  <c r="AM103" i="3" s="1"/>
  <c r="CK286" i="3"/>
  <c r="CL286" i="3" s="1"/>
  <c r="AM286" i="3" s="1"/>
  <c r="CK148" i="3"/>
  <c r="CL148" i="3" s="1"/>
  <c r="AM148" i="3" s="1"/>
  <c r="CK86" i="3"/>
  <c r="CL86" i="3" s="1"/>
  <c r="AM86" i="3" s="1"/>
  <c r="CK32" i="3"/>
  <c r="CL32" i="3" s="1"/>
  <c r="AM32" i="3" s="1"/>
  <c r="CM32" i="3" s="1"/>
  <c r="CK204" i="3"/>
  <c r="CL204" i="3" s="1"/>
  <c r="AM204" i="3" s="1"/>
  <c r="CK227" i="3"/>
  <c r="CL227" i="3" s="1"/>
  <c r="AM227" i="3" s="1"/>
  <c r="CK251" i="3"/>
  <c r="CL251" i="3" s="1"/>
  <c r="AM251" i="3" s="1"/>
  <c r="CK239" i="3"/>
  <c r="CL239" i="3" s="1"/>
  <c r="AM239" i="3" s="1"/>
  <c r="CK177" i="3"/>
  <c r="CL177" i="3" s="1"/>
  <c r="AM177" i="3" s="1"/>
  <c r="CK56" i="3"/>
  <c r="CL56" i="3" s="1"/>
  <c r="AM56" i="3" s="1"/>
  <c r="CK289" i="3"/>
  <c r="CL289" i="3" s="1"/>
  <c r="AM289" i="3" s="1"/>
  <c r="CK223" i="3"/>
  <c r="CL223" i="3" s="1"/>
  <c r="AM223" i="3" s="1"/>
  <c r="CM223" i="3" s="1"/>
  <c r="CK65" i="3"/>
  <c r="CL65" i="3" s="1"/>
  <c r="AM65" i="3" s="1"/>
  <c r="CK191" i="3"/>
  <c r="CL191" i="3" s="1"/>
  <c r="AM191" i="3" s="1"/>
  <c r="CK207" i="3"/>
  <c r="CL207" i="3" s="1"/>
  <c r="AM207" i="3" s="1"/>
  <c r="CK173" i="3"/>
  <c r="CL173" i="3" s="1"/>
  <c r="AM173" i="3" s="1"/>
  <c r="CM173" i="3" s="1"/>
  <c r="CK107" i="3"/>
  <c r="CL107" i="3" s="1"/>
  <c r="AM107" i="3" s="1"/>
  <c r="CK118" i="3"/>
  <c r="CL118" i="3" s="1"/>
  <c r="AM118" i="3" s="1"/>
  <c r="CK84" i="3"/>
  <c r="CL84" i="3" s="1"/>
  <c r="AM84" i="3" s="1"/>
  <c r="CK109" i="3"/>
  <c r="CL109" i="3" s="1"/>
  <c r="AM109" i="3" s="1"/>
  <c r="CM109" i="3" s="1"/>
  <c r="CK247" i="3"/>
  <c r="CL247" i="3" s="1"/>
  <c r="AM247" i="3" s="1"/>
  <c r="CK40" i="3"/>
  <c r="CL40" i="3" s="1"/>
  <c r="AM40" i="3" s="1"/>
  <c r="CK69" i="3"/>
  <c r="CL69" i="3" s="1"/>
  <c r="AM69" i="3" s="1"/>
  <c r="CK53" i="3"/>
  <c r="CL53" i="3" s="1"/>
  <c r="AM53" i="3" s="1"/>
  <c r="CM53" i="3" s="1"/>
  <c r="CK262" i="3"/>
  <c r="CL262" i="3" s="1"/>
  <c r="AM262" i="3" s="1"/>
  <c r="CK11" i="3"/>
  <c r="CL11" i="3" s="1"/>
  <c r="AM11" i="3" s="1"/>
  <c r="CK36" i="3"/>
  <c r="CL36" i="3" s="1"/>
  <c r="AM36" i="3" s="1"/>
  <c r="CK6" i="3"/>
  <c r="CL6" i="3" s="1"/>
  <c r="AM6" i="3" s="1"/>
  <c r="CM6" i="3" s="1"/>
  <c r="CK49" i="3"/>
  <c r="CL49" i="3" s="1"/>
  <c r="AM49" i="3" s="1"/>
  <c r="CK60" i="3"/>
  <c r="CL60" i="3" s="1"/>
  <c r="AM60" i="3" s="1"/>
  <c r="CK230" i="3"/>
  <c r="CL230" i="3" s="1"/>
  <c r="AM230" i="3" s="1"/>
  <c r="CK272" i="3"/>
  <c r="CL272" i="3" s="1"/>
  <c r="AM272" i="3" s="1"/>
  <c r="CK269" i="3"/>
  <c r="CL269" i="3" s="1"/>
  <c r="AM269" i="3" s="1"/>
  <c r="CK220" i="3"/>
  <c r="CL220" i="3" s="1"/>
  <c r="AM220" i="3" s="1"/>
  <c r="CK267" i="3"/>
  <c r="CL267" i="3" s="1"/>
  <c r="AM267" i="3" s="1"/>
  <c r="CK14" i="3"/>
  <c r="CL14" i="3" s="1"/>
  <c r="AM14" i="3" s="1"/>
  <c r="CM14" i="3" s="1"/>
  <c r="CK97" i="3"/>
  <c r="CL97" i="3" s="1"/>
  <c r="AM97" i="3" s="1"/>
  <c r="CK203" i="3"/>
  <c r="CL203" i="3" s="1"/>
  <c r="AM203" i="3" s="1"/>
  <c r="CK212" i="3"/>
  <c r="CL212" i="3" s="1"/>
  <c r="AM212" i="3" s="1"/>
  <c r="CK77" i="3"/>
  <c r="CL77" i="3" s="1"/>
  <c r="AM77" i="3" s="1"/>
  <c r="AO77" i="3" s="1"/>
  <c r="CK161" i="3"/>
  <c r="CL161" i="3" s="1"/>
  <c r="AM161" i="3" s="1"/>
  <c r="CK10" i="3"/>
  <c r="CL10" i="3" s="1"/>
  <c r="AM10" i="3" s="1"/>
  <c r="CK76" i="3"/>
  <c r="CL76" i="3" s="1"/>
  <c r="AM76" i="3" s="1"/>
  <c r="CK26" i="3"/>
  <c r="CL26" i="3" s="1"/>
  <c r="AM26" i="3" s="1"/>
  <c r="AO26" i="3" s="1"/>
  <c r="F26" i="18" s="1"/>
  <c r="G26" i="18" s="1"/>
  <c r="F26" i="9" s="1"/>
  <c r="BK26" i="3" s="1"/>
  <c r="BM26" i="3" s="1"/>
  <c r="CK144" i="3"/>
  <c r="CL144" i="3" s="1"/>
  <c r="AM144" i="3" s="1"/>
  <c r="CK123" i="3"/>
  <c r="CL123" i="3" s="1"/>
  <c r="AM123" i="3" s="1"/>
  <c r="CK131" i="3"/>
  <c r="CL131" i="3" s="1"/>
  <c r="AM131" i="3" s="1"/>
  <c r="CK135" i="3"/>
  <c r="CL135" i="3" s="1"/>
  <c r="AM135" i="3" s="1"/>
  <c r="CM135" i="3" s="1"/>
  <c r="CK150" i="3"/>
  <c r="CL150" i="3" s="1"/>
  <c r="AM150" i="3" s="1"/>
  <c r="CK16" i="3"/>
  <c r="CL16" i="3" s="1"/>
  <c r="AM16" i="3" s="1"/>
  <c r="CK154" i="3"/>
  <c r="CL154" i="3" s="1"/>
  <c r="AM154" i="3" s="1"/>
  <c r="CK282" i="3"/>
  <c r="CL282" i="3" s="1"/>
  <c r="AM282" i="3" s="1"/>
  <c r="CK222" i="3"/>
  <c r="CL222" i="3" s="1"/>
  <c r="AM222" i="3" s="1"/>
  <c r="CK89" i="3"/>
  <c r="CL89" i="3" s="1"/>
  <c r="AM89" i="3" s="1"/>
  <c r="CK221" i="3"/>
  <c r="CL221" i="3" s="1"/>
  <c r="AM221" i="3" s="1"/>
  <c r="CK159" i="3"/>
  <c r="CL159" i="3" s="1"/>
  <c r="AM159" i="3" s="1"/>
  <c r="AO159" i="3" s="1"/>
  <c r="F159" i="18" s="1"/>
  <c r="G159" i="18" s="1"/>
  <c r="F159" i="9" s="1"/>
  <c r="BK159" i="3" s="1"/>
  <c r="BM159" i="3" s="1"/>
  <c r="CK24" i="3"/>
  <c r="CL24" i="3" s="1"/>
  <c r="AM24" i="3" s="1"/>
  <c r="CK105" i="3"/>
  <c r="CL105" i="3" s="1"/>
  <c r="AM105" i="3" s="1"/>
  <c r="CK83" i="3"/>
  <c r="CL83" i="3" s="1"/>
  <c r="AM83" i="3" s="1"/>
  <c r="CK241" i="3"/>
  <c r="CL241" i="3" s="1"/>
  <c r="AM241" i="3" s="1"/>
  <c r="AO241" i="3" s="1"/>
  <c r="CK91" i="3"/>
  <c r="CL91" i="3" s="1"/>
  <c r="AM91" i="3" s="1"/>
  <c r="CA71" i="3"/>
  <c r="H8" i="19"/>
  <c r="H3" i="19" s="1"/>
  <c r="CA75" i="3"/>
  <c r="CB14" i="3"/>
  <c r="CC14" i="3" s="1"/>
  <c r="T14" i="3" s="1"/>
  <c r="BX51" i="3"/>
  <c r="BY51" i="3" s="1"/>
  <c r="T51" i="3" s="1"/>
  <c r="CB279" i="3"/>
  <c r="CC279" i="3" s="1"/>
  <c r="T279" i="3" s="1"/>
  <c r="Y4" i="3"/>
  <c r="BW75" i="3"/>
  <c r="AG151" i="11"/>
  <c r="AH152" i="3" s="1"/>
  <c r="BW98" i="3"/>
  <c r="BX59" i="3"/>
  <c r="BY59" i="3" s="1"/>
  <c r="T59" i="3" s="1"/>
  <c r="T98" i="3"/>
  <c r="CB210" i="3"/>
  <c r="CC210" i="3" s="1"/>
  <c r="T210" i="3" s="1"/>
  <c r="BW242" i="3"/>
  <c r="T130" i="3"/>
  <c r="CA98" i="3"/>
  <c r="CB281" i="3"/>
  <c r="CC281" i="3" s="1"/>
  <c r="T281" i="3" s="1"/>
  <c r="BW76" i="3"/>
  <c r="T113" i="3"/>
  <c r="T76" i="3"/>
  <c r="BW151" i="3"/>
  <c r="BX79" i="3"/>
  <c r="BY79" i="3" s="1"/>
  <c r="T79" i="3" s="1"/>
  <c r="T151" i="3"/>
  <c r="CB218" i="3"/>
  <c r="CC218" i="3" s="1"/>
  <c r="T75" i="3"/>
  <c r="T86" i="3"/>
  <c r="BX218" i="3"/>
  <c r="BY218" i="3" s="1"/>
  <c r="BW86" i="3"/>
  <c r="AU212" i="11"/>
  <c r="BX97" i="3"/>
  <c r="BY97" i="3" s="1"/>
  <c r="T97" i="3" s="1"/>
  <c r="AU161" i="11"/>
  <c r="AH162" i="3"/>
  <c r="AU256" i="11"/>
  <c r="AH257" i="3"/>
  <c r="AU280" i="11"/>
  <c r="AH281" i="3"/>
  <c r="AU191" i="11"/>
  <c r="AH192" i="3"/>
  <c r="AU266" i="11"/>
  <c r="AH267" i="3"/>
  <c r="AU226" i="11"/>
  <c r="AH227" i="3"/>
  <c r="AU230" i="11"/>
  <c r="AH231" i="3"/>
  <c r="AU182" i="11"/>
  <c r="AH183" i="3"/>
  <c r="AU260" i="11"/>
  <c r="AH261" i="3"/>
  <c r="AU285" i="11"/>
  <c r="AH286" i="3"/>
  <c r="AU202" i="11"/>
  <c r="AH203" i="3"/>
  <c r="AU272" i="11"/>
  <c r="AH273" i="3"/>
  <c r="AU258" i="11"/>
  <c r="AH259" i="3"/>
  <c r="AU229" i="11"/>
  <c r="AH230" i="3"/>
  <c r="AU180" i="11"/>
  <c r="AH181" i="3"/>
  <c r="AU155" i="11"/>
  <c r="AH156" i="3"/>
  <c r="AU243" i="11"/>
  <c r="AH244" i="3"/>
  <c r="AU154" i="11"/>
  <c r="AH155" i="3"/>
  <c r="AU201" i="11"/>
  <c r="AH202" i="3"/>
  <c r="AU159" i="11"/>
  <c r="AH160" i="3"/>
  <c r="AU206" i="11"/>
  <c r="AH207" i="3"/>
  <c r="AU245" i="11"/>
  <c r="AH246" i="3"/>
  <c r="AU176" i="11"/>
  <c r="AH177" i="3"/>
  <c r="AU220" i="11"/>
  <c r="AH221" i="3"/>
  <c r="AU259" i="11"/>
  <c r="AH260" i="3"/>
  <c r="AU186" i="11"/>
  <c r="AH187" i="3"/>
  <c r="AU188" i="11"/>
  <c r="AH189" i="3"/>
  <c r="AU184" i="11"/>
  <c r="AH185" i="3"/>
  <c r="AU211" i="11"/>
  <c r="AH212" i="3"/>
  <c r="AU250" i="11"/>
  <c r="AH251" i="3"/>
  <c r="AU246" i="11"/>
  <c r="AH247" i="3"/>
  <c r="AU210" i="11"/>
  <c r="AH211" i="3"/>
  <c r="AU168" i="11"/>
  <c r="AH169" i="3"/>
  <c r="AU190" i="11"/>
  <c r="AH191" i="3"/>
  <c r="AU170" i="11"/>
  <c r="AH171" i="3"/>
  <c r="AU217" i="11"/>
  <c r="AH218" i="3"/>
  <c r="AU274" i="11"/>
  <c r="AH275" i="3"/>
  <c r="AU254" i="11"/>
  <c r="AH255" i="3"/>
  <c r="AU183" i="11"/>
  <c r="AH184" i="3"/>
  <c r="AU171" i="11"/>
  <c r="AH172" i="3"/>
  <c r="AU153" i="11"/>
  <c r="AH154" i="3"/>
  <c r="AU165" i="11"/>
  <c r="AH166" i="3"/>
  <c r="AU116" i="11"/>
  <c r="AU97" i="11"/>
  <c r="AU115" i="11"/>
  <c r="AU134" i="11"/>
  <c r="AU100" i="11"/>
  <c r="AU143" i="11"/>
  <c r="AU105" i="11"/>
  <c r="AU103" i="11"/>
  <c r="AU142" i="11"/>
  <c r="AU120" i="11"/>
  <c r="AU86" i="11"/>
  <c r="AU94" i="11"/>
  <c r="AU59" i="11"/>
  <c r="AU137" i="11"/>
  <c r="AU90" i="11"/>
  <c r="AU41" i="11"/>
  <c r="AU60" i="11"/>
  <c r="AU13" i="11"/>
  <c r="AU131" i="11"/>
  <c r="AU150" i="11"/>
  <c r="AU101" i="11"/>
  <c r="AU126" i="11"/>
  <c r="AU107" i="11"/>
  <c r="AU140" i="11"/>
  <c r="AU147" i="11"/>
  <c r="AU91" i="11"/>
  <c r="AU84" i="11"/>
  <c r="AU130" i="11"/>
  <c r="AU98" i="11"/>
  <c r="AU123" i="11"/>
  <c r="AU17" i="11"/>
  <c r="AU48" i="11"/>
  <c r="AU22" i="11"/>
  <c r="AU99" i="11"/>
  <c r="AU9" i="11"/>
  <c r="AU95" i="11"/>
  <c r="AU102" i="11"/>
  <c r="AU108" i="11"/>
  <c r="AG87" i="11"/>
  <c r="AG238" i="11"/>
  <c r="BX141" i="3"/>
  <c r="BY141" i="3" s="1"/>
  <c r="T141" i="3" s="1"/>
  <c r="BX215" i="3"/>
  <c r="BY215" i="3" s="1"/>
  <c r="T215" i="3" s="1"/>
  <c r="CA97" i="3"/>
  <c r="AG225" i="11"/>
  <c r="CA53" i="3"/>
  <c r="T89" i="3"/>
  <c r="BW14" i="3"/>
  <c r="T96" i="3"/>
  <c r="T53" i="3"/>
  <c r="BW285" i="3"/>
  <c r="CA79" i="3"/>
  <c r="CA217" i="3"/>
  <c r="AU287" i="11"/>
  <c r="BW217" i="3"/>
  <c r="AG104" i="11"/>
  <c r="AG268" i="11"/>
  <c r="T174" i="3"/>
  <c r="BW12" i="3"/>
  <c r="BW174" i="3"/>
  <c r="CB104" i="3"/>
  <c r="CC104" i="3" s="1"/>
  <c r="AG135" i="11"/>
  <c r="BX63" i="3"/>
  <c r="BY63" i="3" s="1"/>
  <c r="T63" i="3" s="1"/>
  <c r="T87" i="3"/>
  <c r="BW87" i="3"/>
  <c r="CB285" i="3"/>
  <c r="CC285" i="3" s="1"/>
  <c r="T285" i="3" s="1"/>
  <c r="AG251" i="11"/>
  <c r="T105" i="3"/>
  <c r="AG93" i="11"/>
  <c r="AG227" i="11"/>
  <c r="AG166" i="11"/>
  <c r="BX205" i="3"/>
  <c r="BY205" i="3" s="1"/>
  <c r="T205" i="3" s="1"/>
  <c r="AG121" i="11"/>
  <c r="AG173" i="11"/>
  <c r="BW81" i="3"/>
  <c r="BX104" i="3"/>
  <c r="BY104" i="3" s="1"/>
  <c r="AG145" i="11"/>
  <c r="AG156" i="11"/>
  <c r="AG144" i="11"/>
  <c r="AG136" i="11"/>
  <c r="AG194" i="11"/>
  <c r="AH195" i="3" s="1"/>
  <c r="AG177" i="11"/>
  <c r="BW282" i="3"/>
  <c r="AG92" i="11"/>
  <c r="AG198" i="11"/>
  <c r="AG178" i="11"/>
  <c r="AG196" i="11"/>
  <c r="AG218" i="11"/>
  <c r="CA290" i="3"/>
  <c r="AG271" i="11"/>
  <c r="AG208" i="11"/>
  <c r="AG78" i="11"/>
  <c r="AG207" i="11"/>
  <c r="BW149" i="3"/>
  <c r="AG200" i="11"/>
  <c r="T242" i="3"/>
  <c r="BX115" i="3"/>
  <c r="BY115" i="3" s="1"/>
  <c r="T115" i="3" s="1"/>
  <c r="AG193" i="11"/>
  <c r="AG139" i="11"/>
  <c r="AG85" i="11"/>
  <c r="AH86" i="3" s="1"/>
  <c r="T94" i="3"/>
  <c r="AG233" i="11"/>
  <c r="BW223" i="3"/>
  <c r="AG236" i="11"/>
  <c r="AG265" i="11"/>
  <c r="BW290" i="3"/>
  <c r="AG148" i="11"/>
  <c r="AG222" i="11"/>
  <c r="AG175" i="11"/>
  <c r="AG192" i="11"/>
  <c r="AG264" i="11"/>
  <c r="AG157" i="11"/>
  <c r="AH158" i="3" s="1"/>
  <c r="AG83" i="11"/>
  <c r="AU146" i="11"/>
  <c r="AG109" i="11"/>
  <c r="AG160" i="11"/>
  <c r="BX183" i="3"/>
  <c r="BY183" i="3" s="1"/>
  <c r="T183" i="3" s="1"/>
  <c r="AG125" i="11"/>
  <c r="AG129" i="11"/>
  <c r="AG239" i="11"/>
  <c r="AG219" i="11"/>
  <c r="AG133" i="11"/>
  <c r="AG127" i="11"/>
  <c r="AG114" i="11"/>
  <c r="AG231" i="11"/>
  <c r="T88" i="3"/>
  <c r="T129" i="3"/>
  <c r="AG122" i="11"/>
  <c r="CA129" i="3"/>
  <c r="T217" i="3"/>
  <c r="T18" i="3"/>
  <c r="BW126" i="3"/>
  <c r="T126" i="3"/>
  <c r="T12" i="3"/>
  <c r="T290" i="3"/>
  <c r="BW175" i="3"/>
  <c r="AH147" i="3"/>
  <c r="BX132" i="3"/>
  <c r="BY132" i="3" s="1"/>
  <c r="T132" i="3" s="1"/>
  <c r="CA19" i="3"/>
  <c r="T194" i="3"/>
  <c r="BW194" i="3"/>
  <c r="BX122" i="3"/>
  <c r="BY122" i="3" s="1"/>
  <c r="T122" i="3" s="1"/>
  <c r="T224" i="3"/>
  <c r="T19" i="3"/>
  <c r="BW133" i="3"/>
  <c r="BW224" i="3"/>
  <c r="T282" i="3"/>
  <c r="AG213" i="11"/>
  <c r="AH214" i="3" s="1"/>
  <c r="AG237" i="11"/>
  <c r="AG234" i="11"/>
  <c r="AG284" i="11"/>
  <c r="AG113" i="11"/>
  <c r="AG232" i="11"/>
  <c r="AG124" i="11"/>
  <c r="AG138" i="11"/>
  <c r="AG277" i="11"/>
  <c r="AG110" i="11"/>
  <c r="AG263" i="11"/>
  <c r="AG204" i="11"/>
  <c r="AG117" i="11"/>
  <c r="AG96" i="11"/>
  <c r="AG203" i="11"/>
  <c r="AG75" i="11"/>
  <c r="AG235" i="11"/>
  <c r="AG132" i="11"/>
  <c r="AG216" i="11"/>
  <c r="AG253" i="11"/>
  <c r="AU253" i="11" s="1"/>
  <c r="BW41" i="3"/>
  <c r="T188" i="3"/>
  <c r="AG172" i="11"/>
  <c r="AG262" i="11"/>
  <c r="AH263" i="3" s="1"/>
  <c r="CB248" i="3"/>
  <c r="CC248" i="3" s="1"/>
  <c r="T248" i="3" s="1"/>
  <c r="BX259" i="3"/>
  <c r="BY259" i="3" s="1"/>
  <c r="T259" i="3" s="1"/>
  <c r="AG261" i="11"/>
  <c r="AG228" i="11"/>
  <c r="AG187" i="11"/>
  <c r="AG164" i="11"/>
  <c r="AG221" i="11"/>
  <c r="BW208" i="3"/>
  <c r="T223" i="3"/>
  <c r="T143" i="3"/>
  <c r="AG106" i="11"/>
  <c r="T38" i="3"/>
  <c r="T149" i="3"/>
  <c r="T274" i="3"/>
  <c r="AG65" i="11"/>
  <c r="AG12" i="11"/>
  <c r="AG199" i="11"/>
  <c r="T187" i="3"/>
  <c r="AG152" i="11"/>
  <c r="AG82" i="11"/>
  <c r="CA10" i="3"/>
  <c r="CB10" i="3" s="1"/>
  <c r="CC10" i="3" s="1"/>
  <c r="T10" i="3" s="1"/>
  <c r="BW38" i="3"/>
  <c r="AG241" i="11"/>
  <c r="AG283" i="11"/>
  <c r="AG257" i="11"/>
  <c r="AG149" i="11"/>
  <c r="AG242" i="11"/>
  <c r="AG281" i="11"/>
  <c r="CB20" i="3"/>
  <c r="CC20" i="3" s="1"/>
  <c r="T20" i="3" s="1"/>
  <c r="AG276" i="11"/>
  <c r="AG29" i="11"/>
  <c r="BX103" i="3"/>
  <c r="BY103" i="3" s="1"/>
  <c r="T103" i="3" s="1"/>
  <c r="AG189" i="11"/>
  <c r="BX144" i="3"/>
  <c r="BY144" i="3" s="1"/>
  <c r="CA253" i="3"/>
  <c r="T172" i="3"/>
  <c r="AG247" i="11"/>
  <c r="BW172" i="3"/>
  <c r="BX139" i="3"/>
  <c r="BY139" i="3" s="1"/>
  <c r="T139" i="3" s="1"/>
  <c r="CB175" i="3"/>
  <c r="CC175" i="3" s="1"/>
  <c r="T175" i="3" s="1"/>
  <c r="AU63" i="11"/>
  <c r="CA13" i="3"/>
  <c r="CA196" i="3"/>
  <c r="AG248" i="11"/>
  <c r="AG197" i="11"/>
  <c r="AG286" i="11"/>
  <c r="AG68" i="11"/>
  <c r="AG279" i="11"/>
  <c r="AG158" i="11"/>
  <c r="AG64" i="11"/>
  <c r="AG26" i="11"/>
  <c r="T235" i="3"/>
  <c r="AU67" i="11"/>
  <c r="AG38" i="11"/>
  <c r="AG42" i="11"/>
  <c r="AG278" i="11"/>
  <c r="AG288" i="11"/>
  <c r="AG141" i="11"/>
  <c r="AG43" i="11"/>
  <c r="AG46" i="11"/>
  <c r="AG30" i="11"/>
  <c r="AH31" i="3" s="1"/>
  <c r="AG21" i="11"/>
  <c r="AG19" i="11"/>
  <c r="BW274" i="3"/>
  <c r="AG289" i="11"/>
  <c r="AG174" i="11"/>
  <c r="AG224" i="11"/>
  <c r="AG34" i="11"/>
  <c r="AG244" i="11"/>
  <c r="AG240" i="11"/>
  <c r="AG275" i="11"/>
  <c r="CA252" i="3"/>
  <c r="AG44" i="11"/>
  <c r="AG45" i="11"/>
  <c r="BX288" i="3"/>
  <c r="BY288" i="3" s="1"/>
  <c r="T288" i="3" s="1"/>
  <c r="AG55" i="11"/>
  <c r="BX9" i="3"/>
  <c r="BY9" i="3" s="1"/>
  <c r="T9" i="3" s="1"/>
  <c r="BX265" i="3"/>
  <c r="BY265" i="3" s="1"/>
  <c r="T265" i="3" s="1"/>
  <c r="AG76" i="11"/>
  <c r="AG80" i="11"/>
  <c r="AG267" i="11"/>
  <c r="AG163" i="11"/>
  <c r="AG79" i="11"/>
  <c r="AG119" i="11"/>
  <c r="AG20" i="11"/>
  <c r="AG33" i="11"/>
  <c r="AG32" i="11"/>
  <c r="AG209" i="11"/>
  <c r="AH61" i="3"/>
  <c r="AG24" i="11"/>
  <c r="AG31" i="11"/>
  <c r="AG51" i="11"/>
  <c r="AG112" i="11"/>
  <c r="AG128" i="11"/>
  <c r="AG249" i="11"/>
  <c r="AG214" i="11"/>
  <c r="AG181" i="11"/>
  <c r="AG70" i="11"/>
  <c r="AH112" i="3"/>
  <c r="AH121" i="3"/>
  <c r="AG6" i="11"/>
  <c r="AG71" i="11"/>
  <c r="AG5" i="11"/>
  <c r="AU58" i="11"/>
  <c r="AG57" i="11"/>
  <c r="AG66" i="11"/>
  <c r="AG118" i="11"/>
  <c r="AG223" i="11"/>
  <c r="AG89" i="11"/>
  <c r="AG269" i="11"/>
  <c r="AG185" i="11"/>
  <c r="AG40" i="11"/>
  <c r="AG36" i="11"/>
  <c r="AU53" i="11"/>
  <c r="AG7" i="11"/>
  <c r="AG14" i="11"/>
  <c r="AG16" i="11"/>
  <c r="AG69" i="11"/>
  <c r="AG15" i="11"/>
  <c r="AG270" i="11"/>
  <c r="AG195" i="11"/>
  <c r="AG167" i="11"/>
  <c r="AG205" i="11"/>
  <c r="AG81" i="11"/>
  <c r="AG273" i="11"/>
  <c r="AG252" i="11"/>
  <c r="AG162" i="11"/>
  <c r="AG74" i="11"/>
  <c r="AU39" i="11"/>
  <c r="AG61" i="11"/>
  <c r="AG8" i="11"/>
  <c r="AG23" i="11"/>
  <c r="AG77" i="11"/>
  <c r="AG28" i="11"/>
  <c r="AG255" i="11"/>
  <c r="AG54" i="11"/>
  <c r="AG72" i="11"/>
  <c r="AG35" i="11"/>
  <c r="AG56" i="11"/>
  <c r="AG73" i="11"/>
  <c r="AG62" i="11"/>
  <c r="AG215" i="11"/>
  <c r="AG47" i="11"/>
  <c r="AU50" i="11"/>
  <c r="AG49" i="11"/>
  <c r="AG10" i="11"/>
  <c r="AG18" i="11"/>
  <c r="AG27" i="11"/>
  <c r="AG4" i="11"/>
  <c r="AU11" i="11"/>
  <c r="AG37" i="11"/>
  <c r="AG25" i="11"/>
  <c r="BW72" i="3"/>
  <c r="AG52" i="11"/>
  <c r="AG169" i="11"/>
  <c r="AG282" i="11"/>
  <c r="AG179" i="11"/>
  <c r="T133" i="3"/>
  <c r="CB197" i="3"/>
  <c r="CC197" i="3" s="1"/>
  <c r="T197" i="3" s="1"/>
  <c r="CB36" i="3"/>
  <c r="CC36" i="3" s="1"/>
  <c r="T36" i="3" s="1"/>
  <c r="BX257" i="3"/>
  <c r="BY257" i="3" s="1"/>
  <c r="T257" i="3" s="1"/>
  <c r="BW167" i="3"/>
  <c r="BW161" i="3"/>
  <c r="BX225" i="3"/>
  <c r="BY225" i="3" s="1"/>
  <c r="T225" i="3" s="1"/>
  <c r="T81" i="3"/>
  <c r="CB107" i="3"/>
  <c r="CC107" i="3" s="1"/>
  <c r="T107" i="3" s="1"/>
  <c r="BX261" i="3"/>
  <c r="BY261" i="3" s="1"/>
  <c r="T261" i="3" s="1"/>
  <c r="CA9" i="3"/>
  <c r="BW137" i="3"/>
  <c r="CB106" i="3"/>
  <c r="CC106" i="3" s="1"/>
  <c r="T106" i="3" s="1"/>
  <c r="T72" i="3"/>
  <c r="CB286" i="3"/>
  <c r="CC286" i="3" s="1"/>
  <c r="T286" i="3" s="1"/>
  <c r="BW138" i="3"/>
  <c r="BX28" i="3"/>
  <c r="BY28" i="3" s="1"/>
  <c r="T28" i="3" s="1"/>
  <c r="BX252" i="3"/>
  <c r="BY252" i="3" s="1"/>
  <c r="T252" i="3" s="1"/>
  <c r="CB214" i="3"/>
  <c r="CC214" i="3" s="1"/>
  <c r="T214" i="3" s="1"/>
  <c r="T41" i="3"/>
  <c r="T111" i="3"/>
  <c r="BW111" i="3"/>
  <c r="T13" i="3"/>
  <c r="CA179" i="3"/>
  <c r="CB179" i="3" s="1"/>
  <c r="CC179" i="3" s="1"/>
  <c r="T179" i="3" s="1"/>
  <c r="CA271" i="3"/>
  <c r="BW196" i="3"/>
  <c r="T237" i="3"/>
  <c r="T196" i="3"/>
  <c r="BW177" i="3"/>
  <c r="BX278" i="3"/>
  <c r="BY278" i="3" s="1"/>
  <c r="T278" i="3" s="1"/>
  <c r="BX202" i="3"/>
  <c r="BY202" i="3" s="1"/>
  <c r="T202" i="3" s="1"/>
  <c r="BW253" i="3"/>
  <c r="BX267" i="3"/>
  <c r="BY267" i="3" s="1"/>
  <c r="T267" i="3" s="1"/>
  <c r="T147" i="3"/>
  <c r="T271" i="3"/>
  <c r="BX226" i="3"/>
  <c r="BY226" i="3" s="1"/>
  <c r="T226" i="3" s="1"/>
  <c r="CA72" i="3"/>
  <c r="BX170" i="3"/>
  <c r="BY170" i="3" s="1"/>
  <c r="T170" i="3" s="1"/>
  <c r="BW107" i="3"/>
  <c r="BX258" i="3"/>
  <c r="BY258" i="3" s="1"/>
  <c r="T258" i="3" s="1"/>
  <c r="CB44" i="3"/>
  <c r="CC44" i="3" s="1"/>
  <c r="T44" i="3" s="1"/>
  <c r="T153" i="3"/>
  <c r="T100" i="3"/>
  <c r="BW71" i="3"/>
  <c r="CB277" i="3"/>
  <c r="CC277" i="3" s="1"/>
  <c r="T277" i="3" s="1"/>
  <c r="CB176" i="3"/>
  <c r="CC176" i="3" s="1"/>
  <c r="T138" i="3"/>
  <c r="T137" i="3"/>
  <c r="BW164" i="3"/>
  <c r="BW153" i="3"/>
  <c r="CA100" i="3"/>
  <c r="CB239" i="3"/>
  <c r="CC239" i="3" s="1"/>
  <c r="T239" i="3" s="1"/>
  <c r="CB108" i="3"/>
  <c r="CC108" i="3" s="1"/>
  <c r="T108" i="3" s="1"/>
  <c r="T159" i="3"/>
  <c r="BW108" i="3"/>
  <c r="T253" i="3"/>
  <c r="T27" i="3"/>
  <c r="T71" i="3"/>
  <c r="T208" i="3"/>
  <c r="T164" i="3"/>
  <c r="BX236" i="3"/>
  <c r="BY236" i="3" s="1"/>
  <c r="T236" i="3" s="1"/>
  <c r="CB40" i="3"/>
  <c r="CC40" i="3" s="1"/>
  <c r="T40" i="3" s="1"/>
  <c r="CA27" i="3"/>
  <c r="BW52" i="3"/>
  <c r="CB144" i="3"/>
  <c r="CC144" i="3" s="1"/>
  <c r="BX127" i="3"/>
  <c r="BY127" i="3" s="1"/>
  <c r="T127" i="3" s="1"/>
  <c r="BW49" i="3"/>
  <c r="CB21" i="3"/>
  <c r="CC21" i="3" s="1"/>
  <c r="BW283" i="3"/>
  <c r="BW44" i="3"/>
  <c r="CB78" i="3"/>
  <c r="CC78" i="3" s="1"/>
  <c r="T78" i="3" s="1"/>
  <c r="BW85" i="3"/>
  <c r="T275" i="3"/>
  <c r="CA164" i="3"/>
  <c r="CA115" i="3"/>
  <c r="T243" i="3"/>
  <c r="T209" i="3"/>
  <c r="T230" i="3"/>
  <c r="T50" i="3"/>
  <c r="CB110" i="3"/>
  <c r="CC110" i="3" s="1"/>
  <c r="BW209" i="3"/>
  <c r="CB155" i="3"/>
  <c r="CC155" i="3" s="1"/>
  <c r="T155" i="3" s="1"/>
  <c r="BX110" i="3"/>
  <c r="BY110" i="3" s="1"/>
  <c r="CB125" i="3"/>
  <c r="CC125" i="3" s="1"/>
  <c r="T125" i="3" s="1"/>
  <c r="BX102" i="3"/>
  <c r="BY102" i="3" s="1"/>
  <c r="T102" i="3" s="1"/>
  <c r="T83" i="3"/>
  <c r="T177" i="3"/>
  <c r="BX73" i="3"/>
  <c r="BY73" i="3" s="1"/>
  <c r="BX117" i="3"/>
  <c r="BY117" i="3" s="1"/>
  <c r="T117" i="3" s="1"/>
  <c r="BX241" i="3"/>
  <c r="BY241" i="3" s="1"/>
  <c r="T241" i="3" s="1"/>
  <c r="BX152" i="3"/>
  <c r="BY152" i="3" s="1"/>
  <c r="T152" i="3" s="1"/>
  <c r="BW83" i="3"/>
  <c r="BW244" i="3"/>
  <c r="BW128" i="3"/>
  <c r="BX119" i="3"/>
  <c r="BY119" i="3" s="1"/>
  <c r="CB37" i="3"/>
  <c r="CC37" i="3" s="1"/>
  <c r="T37" i="3" s="1"/>
  <c r="BX33" i="3"/>
  <c r="BY33" i="3" s="1"/>
  <c r="T33" i="3" s="1"/>
  <c r="BW135" i="3"/>
  <c r="BW43" i="3"/>
  <c r="BW266" i="3"/>
  <c r="CB240" i="3"/>
  <c r="CC240" i="3" s="1"/>
  <c r="T240" i="3" s="1"/>
  <c r="BW220" i="3"/>
  <c r="BW158" i="3"/>
  <c r="CJ4" i="3"/>
  <c r="T154" i="3"/>
  <c r="T251" i="3"/>
  <c r="BX229" i="3"/>
  <c r="BY229" i="3" s="1"/>
  <c r="CB42" i="3"/>
  <c r="CC42" i="3" s="1"/>
  <c r="T42" i="3" s="1"/>
  <c r="BW65" i="3"/>
  <c r="BW48" i="3"/>
  <c r="BW82" i="3"/>
  <c r="T128" i="3"/>
  <c r="BW280" i="3"/>
  <c r="BX56" i="3"/>
  <c r="BY56" i="3" s="1"/>
  <c r="CB289" i="3"/>
  <c r="CC289" i="3" s="1"/>
  <c r="T289" i="3" s="1"/>
  <c r="T65" i="3"/>
  <c r="CA131" i="3"/>
  <c r="CB231" i="3"/>
  <c r="CC231" i="3" s="1"/>
  <c r="T231" i="3" s="1"/>
  <c r="T283" i="3"/>
  <c r="T54" i="3"/>
  <c r="T85" i="3"/>
  <c r="BX109" i="3"/>
  <c r="BY109" i="3" s="1"/>
  <c r="T109" i="3" s="1"/>
  <c r="BW45" i="3"/>
  <c r="T246" i="3"/>
  <c r="T31" i="3"/>
  <c r="T123" i="3"/>
  <c r="CA254" i="3"/>
  <c r="BX176" i="3"/>
  <c r="BY176" i="3" s="1"/>
  <c r="BW69" i="3"/>
  <c r="BX222" i="3"/>
  <c r="BY222" i="3" s="1"/>
  <c r="T222" i="3" s="1"/>
  <c r="CA31" i="3"/>
  <c r="BX200" i="3"/>
  <c r="BY200" i="3" s="1"/>
  <c r="T200" i="3" s="1"/>
  <c r="CB25" i="3"/>
  <c r="CC25" i="3" s="1"/>
  <c r="T25" i="3" s="1"/>
  <c r="T195" i="3"/>
  <c r="T69" i="3"/>
  <c r="BW123" i="3"/>
  <c r="CA54" i="3"/>
  <c r="BX276" i="3"/>
  <c r="BY276" i="3" s="1"/>
  <c r="T52" i="3"/>
  <c r="T43" i="3"/>
  <c r="CA186" i="3"/>
  <c r="CB73" i="3"/>
  <c r="CC73" i="3" s="1"/>
  <c r="CB163" i="3"/>
  <c r="CC163" i="3" s="1"/>
  <c r="T163" i="3" s="1"/>
  <c r="CB162" i="3"/>
  <c r="CC162" i="3" s="1"/>
  <c r="T162" i="3" s="1"/>
  <c r="T216" i="3"/>
  <c r="BX228" i="3"/>
  <c r="BY228" i="3" s="1"/>
  <c r="T228" i="3" s="1"/>
  <c r="CB57" i="3"/>
  <c r="CC57" i="3" s="1"/>
  <c r="T57" i="3" s="1"/>
  <c r="BX23" i="3"/>
  <c r="BY23" i="3" s="1"/>
  <c r="T23" i="3" s="1"/>
  <c r="CB280" i="3"/>
  <c r="CC280" i="3" s="1"/>
  <c r="T280" i="3" s="1"/>
  <c r="T206" i="3"/>
  <c r="T82" i="3"/>
  <c r="CA195" i="3"/>
  <c r="BW245" i="3"/>
  <c r="CB47" i="3"/>
  <c r="CC47" i="3" s="1"/>
  <c r="T47" i="3" s="1"/>
  <c r="T7" i="3"/>
  <c r="CB35" i="3"/>
  <c r="CC35" i="3" s="1"/>
  <c r="T35" i="3" s="1"/>
  <c r="T60" i="3"/>
  <c r="CA221" i="3"/>
  <c r="BX39" i="3"/>
  <c r="BY39" i="3" s="1"/>
  <c r="T39" i="3" s="1"/>
  <c r="T287" i="3"/>
  <c r="T203" i="3"/>
  <c r="T263" i="3"/>
  <c r="BW249" i="3"/>
  <c r="T186" i="3"/>
  <c r="T220" i="3"/>
  <c r="T244" i="3"/>
  <c r="BW184" i="3"/>
  <c r="CA156" i="3"/>
  <c r="CA65" i="3"/>
  <c r="BX201" i="3"/>
  <c r="BY201" i="3" s="1"/>
  <c r="T201" i="3" s="1"/>
  <c r="BX211" i="3"/>
  <c r="BY211" i="3" s="1"/>
  <c r="BW66" i="3"/>
  <c r="CB249" i="3"/>
  <c r="CC249" i="3" s="1"/>
  <c r="T249" i="3" s="1"/>
  <c r="T66" i="3"/>
  <c r="BX24" i="3"/>
  <c r="BY24" i="3" s="1"/>
  <c r="T24" i="3" s="1"/>
  <c r="BW234" i="3"/>
  <c r="BW169" i="3"/>
  <c r="BW60" i="3"/>
  <c r="BX168" i="3"/>
  <c r="BY168" i="3" s="1"/>
  <c r="T168" i="3" s="1"/>
  <c r="CB204" i="3"/>
  <c r="CC204" i="3" s="1"/>
  <c r="T204" i="3" s="1"/>
  <c r="BX238" i="3"/>
  <c r="BY238" i="3" s="1"/>
  <c r="T238" i="3" s="1"/>
  <c r="T48" i="3"/>
  <c r="T11" i="3"/>
  <c r="T140" i="3"/>
  <c r="T29" i="3"/>
  <c r="T256" i="3"/>
  <c r="CB49" i="3"/>
  <c r="CC49" i="3" s="1"/>
  <c r="T49" i="3" s="1"/>
  <c r="T221" i="3"/>
  <c r="T167" i="3"/>
  <c r="T227" i="3"/>
  <c r="BW29" i="3"/>
  <c r="CB116" i="3"/>
  <c r="CC116" i="3" s="1"/>
  <c r="T116" i="3" s="1"/>
  <c r="BW55" i="3"/>
  <c r="T92" i="3"/>
  <c r="T171" i="3"/>
  <c r="T67" i="3"/>
  <c r="CA102" i="3"/>
  <c r="BX207" i="3"/>
  <c r="BY207" i="3" s="1"/>
  <c r="T207" i="3" s="1"/>
  <c r="CA180" i="3"/>
  <c r="BX16" i="3"/>
  <c r="BY16" i="3" s="1"/>
  <c r="T16" i="3" s="1"/>
  <c r="BW254" i="3"/>
  <c r="BW219" i="3"/>
  <c r="BX95" i="3"/>
  <c r="BY95" i="3" s="1"/>
  <c r="T95" i="3" s="1"/>
  <c r="CB192" i="3"/>
  <c r="CC192" i="3" s="1"/>
  <c r="T192" i="3" s="1"/>
  <c r="CA255" i="3"/>
  <c r="BW11" i="3"/>
  <c r="CB165" i="3"/>
  <c r="CC165" i="3" s="1"/>
  <c r="T165" i="3" s="1"/>
  <c r="CB191" i="3"/>
  <c r="CC191" i="3" s="1"/>
  <c r="T191" i="3" s="1"/>
  <c r="CA46" i="3"/>
  <c r="CB229" i="3"/>
  <c r="CC229" i="3" s="1"/>
  <c r="CA22" i="3"/>
  <c r="T55" i="3"/>
  <c r="CA62" i="3"/>
  <c r="BW171" i="3"/>
  <c r="BX269" i="3"/>
  <c r="BY269" i="3" s="1"/>
  <c r="T269" i="3" s="1"/>
  <c r="CB211" i="3"/>
  <c r="CC211" i="3" s="1"/>
  <c r="T32" i="3"/>
  <c r="T232" i="3"/>
  <c r="T212" i="3"/>
  <c r="T135" i="3"/>
  <c r="T46" i="3"/>
  <c r="T173" i="3"/>
  <c r="T131" i="3"/>
  <c r="T17" i="3"/>
  <c r="T120" i="3"/>
  <c r="BX64" i="3"/>
  <c r="BY64" i="3" s="1"/>
  <c r="T64" i="3" s="1"/>
  <c r="CB182" i="3"/>
  <c r="CC182" i="3" s="1"/>
  <c r="T182" i="3" s="1"/>
  <c r="CB56" i="3"/>
  <c r="CC56" i="3" s="1"/>
  <c r="BX185" i="3"/>
  <c r="BY185" i="3" s="1"/>
  <c r="T185" i="3" s="1"/>
  <c r="CA48" i="3"/>
  <c r="T184" i="3"/>
  <c r="T198" i="3"/>
  <c r="T58" i="3"/>
  <c r="T219" i="3"/>
  <c r="BX8" i="3"/>
  <c r="BY8" i="3" s="1"/>
  <c r="CB276" i="3"/>
  <c r="CC276" i="3" s="1"/>
  <c r="T70" i="3"/>
  <c r="T169" i="3"/>
  <c r="T22" i="3"/>
  <c r="T34" i="3"/>
  <c r="T181" i="3"/>
  <c r="T266" i="3"/>
  <c r="BW173" i="3"/>
  <c r="BX284" i="3"/>
  <c r="BY284" i="3" s="1"/>
  <c r="T284" i="3" s="1"/>
  <c r="CB15" i="3"/>
  <c r="CC15" i="3" s="1"/>
  <c r="T15" i="3" s="1"/>
  <c r="T145" i="3"/>
  <c r="CB136" i="3"/>
  <c r="CC136" i="3" s="1"/>
  <c r="T136" i="3" s="1"/>
  <c r="BX21" i="3"/>
  <c r="BY21" i="3" s="1"/>
  <c r="CA7" i="3"/>
  <c r="T90" i="3"/>
  <c r="T45" i="3"/>
  <c r="BW70" i="3"/>
  <c r="CA34" i="3"/>
  <c r="BW58" i="3"/>
  <c r="BW277" i="3"/>
  <c r="CB157" i="3"/>
  <c r="CC157" i="3" s="1"/>
  <c r="T157" i="3" s="1"/>
  <c r="BW136" i="3"/>
  <c r="CB112" i="3"/>
  <c r="CC112" i="3" s="1"/>
  <c r="T112" i="3" s="1"/>
  <c r="BX77" i="3"/>
  <c r="BY77" i="3" s="1"/>
  <c r="T234" i="3"/>
  <c r="BX91" i="3"/>
  <c r="BY91" i="3" s="1"/>
  <c r="T91" i="3" s="1"/>
  <c r="BX178" i="3"/>
  <c r="BY178" i="3" s="1"/>
  <c r="T26" i="3"/>
  <c r="CA238" i="3"/>
  <c r="BX255" i="3"/>
  <c r="BY255" i="3" s="1"/>
  <c r="T255" i="3" s="1"/>
  <c r="CA206" i="3"/>
  <c r="CB142" i="3"/>
  <c r="CC142" i="3" s="1"/>
  <c r="T142" i="3" s="1"/>
  <c r="T199" i="3"/>
  <c r="CB189" i="3"/>
  <c r="CC189" i="3" s="1"/>
  <c r="T189" i="3" s="1"/>
  <c r="CA260" i="3"/>
  <c r="CB260" i="3"/>
  <c r="CC260" i="3" s="1"/>
  <c r="T260" i="3" s="1"/>
  <c r="CA118" i="3"/>
  <c r="CB119" i="3"/>
  <c r="CC119" i="3" s="1"/>
  <c r="T213" i="3"/>
  <c r="T166" i="3"/>
  <c r="CA270" i="3"/>
  <c r="BX30" i="3"/>
  <c r="BY30" i="3" s="1"/>
  <c r="CB30" i="3"/>
  <c r="CC30" i="3" s="1"/>
  <c r="CB8" i="3"/>
  <c r="CC8" i="3" s="1"/>
  <c r="CB134" i="3"/>
  <c r="CC134" i="3" s="1"/>
  <c r="T134" i="3" s="1"/>
  <c r="CB268" i="3"/>
  <c r="CC268" i="3" s="1"/>
  <c r="T268" i="3" s="1"/>
  <c r="BW273" i="3"/>
  <c r="BX273" i="3"/>
  <c r="BY273" i="3" s="1"/>
  <c r="T273" i="3" s="1"/>
  <c r="T190" i="3"/>
  <c r="T272" i="3"/>
  <c r="CA225" i="3"/>
  <c r="CB74" i="3"/>
  <c r="CC74" i="3" s="1"/>
  <c r="T74" i="3" s="1"/>
  <c r="T180" i="3"/>
  <c r="CA45" i="3"/>
  <c r="CB77" i="3"/>
  <c r="CC77" i="3" s="1"/>
  <c r="BW190" i="3"/>
  <c r="BX250" i="3"/>
  <c r="BY250" i="3" s="1"/>
  <c r="T250" i="3" s="1"/>
  <c r="BX6" i="3"/>
  <c r="BY6" i="3" s="1"/>
  <c r="T6" i="3" s="1"/>
  <c r="CA148" i="3"/>
  <c r="BW62" i="3"/>
  <c r="BX150" i="3"/>
  <c r="BY150" i="3" s="1"/>
  <c r="T150" i="3" s="1"/>
  <c r="T270" i="3"/>
  <c r="CA232" i="3"/>
  <c r="CB178" i="3"/>
  <c r="CC178" i="3" s="1"/>
  <c r="BW80" i="3"/>
  <c r="BX80" i="3"/>
  <c r="BY80" i="3" s="1"/>
  <c r="T80" i="3" s="1"/>
  <c r="T93" i="3"/>
  <c r="T264" i="3"/>
  <c r="T247" i="3"/>
  <c r="T160" i="3"/>
  <c r="BX61" i="3"/>
  <c r="BY61" i="3" s="1"/>
  <c r="T61" i="3" s="1"/>
  <c r="CA146" i="3"/>
  <c r="CA264" i="3"/>
  <c r="BU4" i="3"/>
  <c r="T245" i="3"/>
  <c r="BX262" i="3"/>
  <c r="BY262" i="3" s="1"/>
  <c r="CB124" i="3"/>
  <c r="CC124" i="3" s="1"/>
  <c r="T124" i="3" s="1"/>
  <c r="CB193" i="3"/>
  <c r="CC193" i="3" s="1"/>
  <c r="T193" i="3" s="1"/>
  <c r="CB262" i="3"/>
  <c r="CC262" i="3" s="1"/>
  <c r="T118" i="3"/>
  <c r="BW160" i="3"/>
  <c r="AH103" i="3"/>
  <c r="AH91" i="3"/>
  <c r="T121" i="3"/>
  <c r="AH23" i="3"/>
  <c r="AH42" i="3"/>
  <c r="AH127" i="3"/>
  <c r="AH109" i="3"/>
  <c r="AH131" i="3"/>
  <c r="AH98" i="3"/>
  <c r="AH141" i="3"/>
  <c r="AH116" i="3"/>
  <c r="AH143" i="3"/>
  <c r="AH99" i="3"/>
  <c r="AH49" i="3"/>
  <c r="AH213" i="3"/>
  <c r="AH10" i="3"/>
  <c r="AH138" i="3"/>
  <c r="AH104" i="3"/>
  <c r="AH12" i="3"/>
  <c r="AH106" i="3"/>
  <c r="AH54" i="3"/>
  <c r="AH101" i="3"/>
  <c r="AH85" i="3"/>
  <c r="AH108" i="3"/>
  <c r="AH100" i="3"/>
  <c r="AH95" i="3"/>
  <c r="AH14" i="3"/>
  <c r="AH96" i="3"/>
  <c r="AH148" i="3"/>
  <c r="AH117" i="3"/>
  <c r="AH135" i="3"/>
  <c r="AH51" i="3"/>
  <c r="AH144" i="3"/>
  <c r="AH151" i="3"/>
  <c r="AH18" i="3"/>
  <c r="AH59" i="3"/>
  <c r="AH92" i="3"/>
  <c r="AH64" i="3"/>
  <c r="AH288" i="3"/>
  <c r="AH124" i="3"/>
  <c r="AH102" i="3"/>
  <c r="BW101" i="3"/>
  <c r="BX101" i="3"/>
  <c r="BY101" i="3" s="1"/>
  <c r="T101" i="3" s="1"/>
  <c r="AH68" i="3"/>
  <c r="AH89" i="3"/>
  <c r="AH60" i="3"/>
  <c r="AH132" i="3"/>
  <c r="AH87" i="3"/>
  <c r="AH40" i="3"/>
  <c r="CD4" i="3"/>
  <c r="T99" i="3"/>
  <c r="BW268" i="3"/>
  <c r="BX146" i="3"/>
  <c r="BY146" i="3" s="1"/>
  <c r="T146" i="3" s="1"/>
  <c r="CA114" i="3"/>
  <c r="CB114" i="3" s="1"/>
  <c r="CC114" i="3" s="1"/>
  <c r="BW114" i="3"/>
  <c r="BX114" i="3"/>
  <c r="BY114" i="3" s="1"/>
  <c r="T158" i="3"/>
  <c r="Q4" i="17"/>
  <c r="M4" i="15"/>
  <c r="T161" i="3"/>
  <c r="T254" i="3"/>
  <c r="T62" i="3"/>
  <c r="T156" i="3"/>
  <c r="T148" i="3"/>
  <c r="T5" i="3"/>
  <c r="F174" i="18" l="1"/>
  <c r="G174" i="18" s="1"/>
  <c r="F174" i="9" s="1"/>
  <c r="BK174" i="3" s="1"/>
  <c r="BM174" i="3" s="1"/>
  <c r="F78" i="18"/>
  <c r="G78" i="18" s="1"/>
  <c r="F78" i="9" s="1"/>
  <c r="BK78" i="3" s="1"/>
  <c r="BM78" i="3" s="1"/>
  <c r="F248" i="18"/>
  <c r="G248" i="18" s="1"/>
  <c r="F248" i="9" s="1"/>
  <c r="BK248" i="3" s="1"/>
  <c r="BM248" i="3" s="1"/>
  <c r="F85" i="18"/>
  <c r="G85" i="18" s="1"/>
  <c r="F85" i="9" s="1"/>
  <c r="BK85" i="3" s="1"/>
  <c r="BM85" i="3" s="1"/>
  <c r="F20" i="18"/>
  <c r="G20" i="18" s="1"/>
  <c r="F20" i="9" s="1"/>
  <c r="BK20" i="3" s="1"/>
  <c r="BM20" i="3" s="1"/>
  <c r="F254" i="18"/>
  <c r="G254" i="18" s="1"/>
  <c r="F254" i="9" s="1"/>
  <c r="BK254" i="3" s="1"/>
  <c r="BM254" i="3" s="1"/>
  <c r="F258" i="18"/>
  <c r="G258" i="18" s="1"/>
  <c r="F258" i="9" s="1"/>
  <c r="BK258" i="3" s="1"/>
  <c r="BM258" i="3" s="1"/>
  <c r="F72" i="18"/>
  <c r="G72" i="18" s="1"/>
  <c r="F72" i="9" s="1"/>
  <c r="BK72" i="3" s="1"/>
  <c r="BM72" i="3" s="1"/>
  <c r="AX29" i="10"/>
  <c r="CM84" i="3"/>
  <c r="AO84" i="3"/>
  <c r="CM118" i="3"/>
  <c r="AO118" i="3"/>
  <c r="AO107" i="3"/>
  <c r="CM107" i="3"/>
  <c r="AO150" i="3"/>
  <c r="CM150" i="3"/>
  <c r="AO87" i="3"/>
  <c r="F129" i="18" s="1"/>
  <c r="G129" i="18" s="1"/>
  <c r="F129" i="9" s="1"/>
  <c r="BK129" i="3" s="1"/>
  <c r="BM129" i="3" s="1"/>
  <c r="CM87" i="3"/>
  <c r="CM208" i="3"/>
  <c r="AO208" i="3"/>
  <c r="CM198" i="3"/>
  <c r="AO198" i="3"/>
  <c r="F198" i="18" s="1"/>
  <c r="G198" i="18" s="1"/>
  <c r="F198" i="9" s="1"/>
  <c r="BK198" i="3" s="1"/>
  <c r="BM198" i="3" s="1"/>
  <c r="CM154" i="3"/>
  <c r="AO154" i="3"/>
  <c r="CM16" i="3"/>
  <c r="AO16" i="3"/>
  <c r="CM286" i="3"/>
  <c r="AO286" i="3"/>
  <c r="F286" i="18" s="1"/>
  <c r="G286" i="18" s="1"/>
  <c r="F286" i="9" s="1"/>
  <c r="BK286" i="3" s="1"/>
  <c r="BM286" i="3" s="1"/>
  <c r="AO180" i="3"/>
  <c r="F180" i="18" s="1"/>
  <c r="G180" i="18" s="1"/>
  <c r="F180" i="9" s="1"/>
  <c r="BK180" i="3" s="1"/>
  <c r="BM180" i="3" s="1"/>
  <c r="CM180" i="3"/>
  <c r="CM175" i="3"/>
  <c r="AO175" i="3"/>
  <c r="AO267" i="3"/>
  <c r="CM267" i="3"/>
  <c r="AO228" i="3"/>
  <c r="CM228" i="3"/>
  <c r="AO220" i="3"/>
  <c r="CM220" i="3"/>
  <c r="CM269" i="3"/>
  <c r="AO269" i="3"/>
  <c r="F269" i="18" s="1"/>
  <c r="G269" i="18" s="1"/>
  <c r="F269" i="9" s="1"/>
  <c r="BK269" i="3" s="1"/>
  <c r="BM269" i="3" s="1"/>
  <c r="CM86" i="3"/>
  <c r="AO86" i="3"/>
  <c r="F128" i="18" s="1"/>
  <c r="G128" i="18" s="1"/>
  <c r="F128" i="9" s="1"/>
  <c r="BK128" i="3" s="1"/>
  <c r="BM128" i="3" s="1"/>
  <c r="CM148" i="3"/>
  <c r="AO148" i="3"/>
  <c r="AO105" i="3"/>
  <c r="CM105" i="3"/>
  <c r="CM289" i="3"/>
  <c r="AO289" i="3"/>
  <c r="F289" i="18" s="1"/>
  <c r="G289" i="18" s="1"/>
  <c r="F289" i="9" s="1"/>
  <c r="BK289" i="3" s="1"/>
  <c r="BM289" i="3" s="1"/>
  <c r="CM139" i="3"/>
  <c r="AO139" i="3"/>
  <c r="AO24" i="3"/>
  <c r="CM24" i="3"/>
  <c r="CM56" i="3"/>
  <c r="AO56" i="3"/>
  <c r="CM147" i="3"/>
  <c r="AO147" i="3"/>
  <c r="AO76" i="3"/>
  <c r="CM76" i="3"/>
  <c r="CM177" i="3"/>
  <c r="AO177" i="3"/>
  <c r="F177" i="18" s="1"/>
  <c r="G177" i="18" s="1"/>
  <c r="F177" i="9" s="1"/>
  <c r="BK177" i="3" s="1"/>
  <c r="BM177" i="3" s="1"/>
  <c r="AO35" i="3"/>
  <c r="CM35" i="3"/>
  <c r="AO10" i="3"/>
  <c r="CM10" i="3"/>
  <c r="AO113" i="3"/>
  <c r="CM113" i="3"/>
  <c r="AO116" i="3"/>
  <c r="F116" i="18" s="1"/>
  <c r="G116" i="18" s="1"/>
  <c r="F116" i="9" s="1"/>
  <c r="BK116" i="3" s="1"/>
  <c r="BM116" i="3" s="1"/>
  <c r="CM116" i="3"/>
  <c r="CM161" i="3"/>
  <c r="AO161" i="3"/>
  <c r="F161" i="18" s="1"/>
  <c r="G161" i="18" s="1"/>
  <c r="F161" i="9" s="1"/>
  <c r="BK161" i="3" s="1"/>
  <c r="BM161" i="3" s="1"/>
  <c r="AO39" i="3"/>
  <c r="F39" i="18" s="1"/>
  <c r="G39" i="18" s="1"/>
  <c r="F39" i="9" s="1"/>
  <c r="BK39" i="3" s="1"/>
  <c r="BM39" i="3" s="1"/>
  <c r="CM39" i="3"/>
  <c r="CM36" i="3"/>
  <c r="AO36" i="3"/>
  <c r="CM240" i="3"/>
  <c r="AO240" i="3"/>
  <c r="F240" i="18" s="1"/>
  <c r="G240" i="18" s="1"/>
  <c r="F240" i="9" s="1"/>
  <c r="BK240" i="3" s="1"/>
  <c r="BM240" i="3" s="1"/>
  <c r="CM11" i="3"/>
  <c r="AO11" i="3"/>
  <c r="F11" i="18" s="1"/>
  <c r="G11" i="18" s="1"/>
  <c r="F11" i="9" s="1"/>
  <c r="BK11" i="3" s="1"/>
  <c r="BM11" i="3" s="1"/>
  <c r="AO66" i="3"/>
  <c r="CM66" i="3"/>
  <c r="CM83" i="3"/>
  <c r="AO83" i="3"/>
  <c r="AO262" i="3"/>
  <c r="F264" i="18" s="1"/>
  <c r="G264" i="18" s="1"/>
  <c r="F264" i="9" s="1"/>
  <c r="BK264" i="3" s="1"/>
  <c r="BM264" i="3" s="1"/>
  <c r="CM262" i="3"/>
  <c r="CM9" i="3"/>
  <c r="AO9" i="3"/>
  <c r="F9" i="18" s="1"/>
  <c r="G9" i="18" s="1"/>
  <c r="F9" i="9" s="1"/>
  <c r="BK9" i="3" s="1"/>
  <c r="BM9" i="3" s="1"/>
  <c r="CM144" i="3"/>
  <c r="AO144" i="3"/>
  <c r="AO40" i="3"/>
  <c r="CM40" i="3"/>
  <c r="CM126" i="3"/>
  <c r="AO126" i="3"/>
  <c r="F126" i="18" s="1"/>
  <c r="G126" i="18" s="1"/>
  <c r="F126" i="9" s="1"/>
  <c r="BK126" i="3" s="1"/>
  <c r="BM126" i="3" s="1"/>
  <c r="AO253" i="3"/>
  <c r="F253" i="18" s="1"/>
  <c r="G253" i="18" s="1"/>
  <c r="F253" i="9" s="1"/>
  <c r="CM253" i="3"/>
  <c r="AO59" i="3"/>
  <c r="CM59" i="3"/>
  <c r="CM212" i="3"/>
  <c r="AO212" i="3"/>
  <c r="F225" i="18" s="1"/>
  <c r="G225" i="18" s="1"/>
  <c r="F225" i="9" s="1"/>
  <c r="BK225" i="3" s="1"/>
  <c r="BM225" i="3" s="1"/>
  <c r="CM247" i="3"/>
  <c r="AO247" i="3"/>
  <c r="F247" i="18" s="1"/>
  <c r="G247" i="18" s="1"/>
  <c r="F247" i="9" s="1"/>
  <c r="BK247" i="3" s="1"/>
  <c r="BM247" i="3" s="1"/>
  <c r="CM231" i="3"/>
  <c r="AO231" i="3"/>
  <c r="F231" i="18" s="1"/>
  <c r="G231" i="18" s="1"/>
  <c r="F231" i="9" s="1"/>
  <c r="BK231" i="3" s="1"/>
  <c r="BM231" i="3" s="1"/>
  <c r="CM203" i="3"/>
  <c r="AO203" i="3"/>
  <c r="F203" i="18" s="1"/>
  <c r="G203" i="18" s="1"/>
  <c r="F203" i="9" s="1"/>
  <c r="BK203" i="3" s="1"/>
  <c r="BM203" i="3" s="1"/>
  <c r="AO207" i="3"/>
  <c r="CM207" i="3"/>
  <c r="CM197" i="3"/>
  <c r="AO197" i="3"/>
  <c r="F216" i="18" s="1"/>
  <c r="G216" i="18" s="1"/>
  <c r="F216" i="9" s="1"/>
  <c r="BK216" i="3" s="1"/>
  <c r="BM216" i="3" s="1"/>
  <c r="CM221" i="3"/>
  <c r="AO221" i="3"/>
  <c r="AO97" i="3"/>
  <c r="CM97" i="3"/>
  <c r="AO191" i="3"/>
  <c r="F191" i="18" s="1"/>
  <c r="G191" i="18" s="1"/>
  <c r="F191" i="9" s="1"/>
  <c r="BK191" i="3" s="1"/>
  <c r="BM191" i="3" s="1"/>
  <c r="CM191" i="3"/>
  <c r="CM201" i="3"/>
  <c r="AO201" i="3"/>
  <c r="F201" i="18" s="1"/>
  <c r="G201" i="18" s="1"/>
  <c r="F201" i="9" s="1"/>
  <c r="BK201" i="3" s="1"/>
  <c r="BM201" i="3" s="1"/>
  <c r="AO273" i="3"/>
  <c r="F273" i="18" s="1"/>
  <c r="G273" i="18" s="1"/>
  <c r="F273" i="9" s="1"/>
  <c r="BK273" i="3" s="1"/>
  <c r="BM273" i="3" s="1"/>
  <c r="CM273" i="3"/>
  <c r="CM222" i="3"/>
  <c r="AO222" i="3"/>
  <c r="F222" i="18" s="1"/>
  <c r="G222" i="18" s="1"/>
  <c r="F222" i="9" s="1"/>
  <c r="BK222" i="3" s="1"/>
  <c r="BM222" i="3" s="1"/>
  <c r="AO38" i="3"/>
  <c r="CM38" i="3"/>
  <c r="AO89" i="3"/>
  <c r="F89" i="18" s="1"/>
  <c r="G89" i="18" s="1"/>
  <c r="F89" i="9" s="1"/>
  <c r="BK89" i="3" s="1"/>
  <c r="BM89" i="3" s="1"/>
  <c r="CM89" i="3"/>
  <c r="AO230" i="3"/>
  <c r="CM230" i="3"/>
  <c r="AO65" i="3"/>
  <c r="CM65" i="3"/>
  <c r="CM238" i="3"/>
  <c r="AO238" i="3"/>
  <c r="F238" i="18" s="1"/>
  <c r="G238" i="18" s="1"/>
  <c r="F238" i="9" s="1"/>
  <c r="BK238" i="3" s="1"/>
  <c r="BM238" i="3" s="1"/>
  <c r="AO79" i="3"/>
  <c r="CM79" i="3"/>
  <c r="CM251" i="3"/>
  <c r="AO251" i="3"/>
  <c r="F251" i="18" s="1"/>
  <c r="G251" i="18" s="1"/>
  <c r="F251" i="9" s="1"/>
  <c r="BK251" i="3" s="1"/>
  <c r="BM251" i="3" s="1"/>
  <c r="AO28" i="3"/>
  <c r="F28" i="18" s="1"/>
  <c r="G28" i="18" s="1"/>
  <c r="F28" i="9" s="1"/>
  <c r="BK28" i="3" s="1"/>
  <c r="BM28" i="3" s="1"/>
  <c r="CM28" i="3"/>
  <c r="CM131" i="3"/>
  <c r="AO131" i="3"/>
  <c r="F131" i="18" s="1"/>
  <c r="G131" i="18" s="1"/>
  <c r="F131" i="9" s="1"/>
  <c r="BK131" i="3" s="1"/>
  <c r="BM131" i="3" s="1"/>
  <c r="CM49" i="3"/>
  <c r="AO49" i="3"/>
  <c r="F49" i="18" s="1"/>
  <c r="G49" i="18" s="1"/>
  <c r="F49" i="9" s="1"/>
  <c r="BK49" i="3" s="1"/>
  <c r="BM49" i="3" s="1"/>
  <c r="CM227" i="3"/>
  <c r="AO227" i="3"/>
  <c r="CM98" i="3"/>
  <c r="AO98" i="3"/>
  <c r="AO74" i="3"/>
  <c r="CM74" i="3"/>
  <c r="CM123" i="3"/>
  <c r="AO123" i="3"/>
  <c r="F123" i="18" s="1"/>
  <c r="G123" i="18" s="1"/>
  <c r="F123" i="9" s="1"/>
  <c r="BK123" i="3" s="1"/>
  <c r="BM123" i="3" s="1"/>
  <c r="CM69" i="3"/>
  <c r="AO69" i="3"/>
  <c r="F69" i="18" s="1"/>
  <c r="G69" i="18" s="1"/>
  <c r="F69" i="9" s="1"/>
  <c r="BK69" i="3" s="1"/>
  <c r="BM69" i="3" s="1"/>
  <c r="CM204" i="3"/>
  <c r="AO204" i="3"/>
  <c r="CM200" i="3"/>
  <c r="AO200" i="3"/>
  <c r="CM256" i="3"/>
  <c r="AO256" i="3"/>
  <c r="AO102" i="3"/>
  <c r="CM102" i="3"/>
  <c r="CM245" i="3"/>
  <c r="AO245" i="3"/>
  <c r="F245" i="18" s="1"/>
  <c r="G245" i="18" s="1"/>
  <c r="F245" i="9" s="1"/>
  <c r="BK245" i="3" s="1"/>
  <c r="BM245" i="3" s="1"/>
  <c r="CM134" i="3"/>
  <c r="AO134" i="3"/>
  <c r="F30" i="18" s="1"/>
  <c r="G30" i="18" s="1"/>
  <c r="F30" i="9" s="1"/>
  <c r="BK30" i="3" s="1"/>
  <c r="BM30" i="3" s="1"/>
  <c r="CM282" i="3"/>
  <c r="AO282" i="3"/>
  <c r="F282" i="18" s="1"/>
  <c r="G282" i="18" s="1"/>
  <c r="F282" i="9" s="1"/>
  <c r="BK282" i="3" s="1"/>
  <c r="BM282" i="3" s="1"/>
  <c r="AO272" i="3"/>
  <c r="F272" i="18" s="1"/>
  <c r="G272" i="18" s="1"/>
  <c r="F272" i="9" s="1"/>
  <c r="BK272" i="3" s="1"/>
  <c r="BM272" i="3" s="1"/>
  <c r="CM272" i="3"/>
  <c r="AO103" i="3"/>
  <c r="F103" i="18" s="1"/>
  <c r="G103" i="18" s="1"/>
  <c r="F103" i="9" s="1"/>
  <c r="BK103" i="3" s="1"/>
  <c r="BM103" i="3" s="1"/>
  <c r="CM103" i="3"/>
  <c r="AO170" i="3"/>
  <c r="CM170" i="3"/>
  <c r="CM284" i="3"/>
  <c r="AO284" i="3"/>
  <c r="F284" i="18" s="1"/>
  <c r="G284" i="18" s="1"/>
  <c r="F284" i="9" s="1"/>
  <c r="BK284" i="3" s="1"/>
  <c r="BM284" i="3" s="1"/>
  <c r="CM239" i="3"/>
  <c r="AO239" i="3"/>
  <c r="F239" i="18" s="1"/>
  <c r="G239" i="18" s="1"/>
  <c r="F239" i="9" s="1"/>
  <c r="BK239" i="3" s="1"/>
  <c r="BM239" i="3" s="1"/>
  <c r="CM54" i="3"/>
  <c r="AO54" i="3"/>
  <c r="F54" i="18" s="1"/>
  <c r="G54" i="18" s="1"/>
  <c r="F54" i="9" s="1"/>
  <c r="BK54" i="3" s="1"/>
  <c r="BM54" i="3" s="1"/>
  <c r="AO62" i="3"/>
  <c r="CM62" i="3"/>
  <c r="AO125" i="3"/>
  <c r="F157" i="18" s="1"/>
  <c r="G157" i="18" s="1"/>
  <c r="F157" i="9" s="1"/>
  <c r="BK157" i="3" s="1"/>
  <c r="BM157" i="3" s="1"/>
  <c r="CM125" i="3"/>
  <c r="AO229" i="3"/>
  <c r="CM77" i="3"/>
  <c r="AO14" i="3"/>
  <c r="F14" i="18" s="1"/>
  <c r="G14" i="18" s="1"/>
  <c r="F14" i="9" s="1"/>
  <c r="BK14" i="3" s="1"/>
  <c r="BM14" i="3" s="1"/>
  <c r="AO135" i="3"/>
  <c r="AO32" i="3"/>
  <c r="AO109" i="3"/>
  <c r="AO173" i="3"/>
  <c r="AO6" i="3"/>
  <c r="F6" i="18" s="1"/>
  <c r="G6" i="18" s="1"/>
  <c r="F6" i="9" s="1"/>
  <c r="BK6" i="3" s="1"/>
  <c r="BM6" i="3" s="1"/>
  <c r="AO46" i="3"/>
  <c r="F46" i="18" s="1"/>
  <c r="G46" i="18" s="1"/>
  <c r="F46" i="9" s="1"/>
  <c r="BK46" i="3" s="1"/>
  <c r="BM46" i="3" s="1"/>
  <c r="CM159" i="3"/>
  <c r="CM26" i="3"/>
  <c r="CM241" i="3"/>
  <c r="AO223" i="3"/>
  <c r="F223" i="18" s="1"/>
  <c r="G223" i="18" s="1"/>
  <c r="F223" i="9" s="1"/>
  <c r="BK223" i="3" s="1"/>
  <c r="BM223" i="3" s="1"/>
  <c r="CK4" i="3"/>
  <c r="AO53" i="3"/>
  <c r="AO183" i="3"/>
  <c r="F183" i="18" s="1"/>
  <c r="G183" i="18" s="1"/>
  <c r="F183" i="9" s="1"/>
  <c r="BK183" i="3" s="1"/>
  <c r="BM183" i="3" s="1"/>
  <c r="CM183" i="3"/>
  <c r="AO242" i="3"/>
  <c r="F242" i="18" s="1"/>
  <c r="G242" i="18" s="1"/>
  <c r="F242" i="9" s="1"/>
  <c r="BK242" i="3" s="1"/>
  <c r="BM242" i="3" s="1"/>
  <c r="CM242" i="3"/>
  <c r="AO166" i="3"/>
  <c r="CM166" i="3"/>
  <c r="AO42" i="3"/>
  <c r="F42" i="18" s="1"/>
  <c r="G42" i="18" s="1"/>
  <c r="F42" i="9" s="1"/>
  <c r="BK42" i="3" s="1"/>
  <c r="BM42" i="3" s="1"/>
  <c r="CM42" i="3"/>
  <c r="CM263" i="3"/>
  <c r="AO263" i="3"/>
  <c r="CM17" i="3"/>
  <c r="AO17" i="3"/>
  <c r="F17" i="18" s="1"/>
  <c r="G17" i="18" s="1"/>
  <c r="F17" i="9" s="1"/>
  <c r="BK17" i="3" s="1"/>
  <c r="BM17" i="3" s="1"/>
  <c r="CM15" i="3"/>
  <c r="AO15" i="3"/>
  <c r="CM41" i="3"/>
  <c r="AO41" i="3"/>
  <c r="F41" i="18" s="1"/>
  <c r="G41" i="18" s="1"/>
  <c r="F41" i="9" s="1"/>
  <c r="BK41" i="3" s="1"/>
  <c r="BM41" i="3" s="1"/>
  <c r="CM61" i="3"/>
  <c r="AO61" i="3"/>
  <c r="CM141" i="3"/>
  <c r="AO141" i="3"/>
  <c r="F141" i="18" s="1"/>
  <c r="G141" i="18" s="1"/>
  <c r="F141" i="9" s="1"/>
  <c r="BK141" i="3" s="1"/>
  <c r="BM141" i="3" s="1"/>
  <c r="CM82" i="3"/>
  <c r="AO82" i="3"/>
  <c r="F82" i="18" s="1"/>
  <c r="G82" i="18" s="1"/>
  <c r="F82" i="9" s="1"/>
  <c r="BK82" i="3" s="1"/>
  <c r="BM82" i="3" s="1"/>
  <c r="CM80" i="3"/>
  <c r="AO80" i="3"/>
  <c r="F80" i="18" s="1"/>
  <c r="G80" i="18" s="1"/>
  <c r="F80" i="9" s="1"/>
  <c r="BK80" i="3" s="1"/>
  <c r="BM80" i="3" s="1"/>
  <c r="CM164" i="3"/>
  <c r="AO164" i="3"/>
  <c r="CM160" i="3"/>
  <c r="AO160" i="3"/>
  <c r="CM168" i="3"/>
  <c r="AO168" i="3"/>
  <c r="CM101" i="3"/>
  <c r="AO101" i="3"/>
  <c r="F101" i="18" s="1"/>
  <c r="G101" i="18" s="1"/>
  <c r="F101" i="9" s="1"/>
  <c r="BK101" i="3" s="1"/>
  <c r="BM101" i="3" s="1"/>
  <c r="CM192" i="3"/>
  <c r="AO192" i="3"/>
  <c r="CM285" i="3"/>
  <c r="AO285" i="3"/>
  <c r="F285" i="18" s="1"/>
  <c r="G285" i="18" s="1"/>
  <c r="F285" i="9" s="1"/>
  <c r="BK285" i="3" s="1"/>
  <c r="BM285" i="3" s="1"/>
  <c r="CM75" i="3"/>
  <c r="AO75" i="3"/>
  <c r="F75" i="18" s="1"/>
  <c r="G75" i="18" s="1"/>
  <c r="F75" i="9" s="1"/>
  <c r="BK75" i="3" s="1"/>
  <c r="BM75" i="3" s="1"/>
  <c r="CM138" i="3"/>
  <c r="AO138" i="3"/>
  <c r="F138" i="18" s="1"/>
  <c r="G138" i="18" s="1"/>
  <c r="F138" i="9" s="1"/>
  <c r="BK138" i="3" s="1"/>
  <c r="BM138" i="3" s="1"/>
  <c r="CM234" i="3"/>
  <c r="AO234" i="3"/>
  <c r="F234" i="18" s="1"/>
  <c r="G234" i="18" s="1"/>
  <c r="F234" i="9" s="1"/>
  <c r="BK234" i="3" s="1"/>
  <c r="BM234" i="3" s="1"/>
  <c r="CM121" i="3"/>
  <c r="AO121" i="3"/>
  <c r="F121" i="18" s="1"/>
  <c r="G121" i="18" s="1"/>
  <c r="F121" i="9" s="1"/>
  <c r="BK121" i="3" s="1"/>
  <c r="BM121" i="3" s="1"/>
  <c r="CM188" i="3"/>
  <c r="AO188" i="3"/>
  <c r="F188" i="18" s="1"/>
  <c r="G188" i="18" s="1"/>
  <c r="F188" i="9" s="1"/>
  <c r="BK188" i="3" s="1"/>
  <c r="BM188" i="3" s="1"/>
  <c r="AO196" i="3"/>
  <c r="CM196" i="3"/>
  <c r="CM133" i="3"/>
  <c r="AO133" i="3"/>
  <c r="CM259" i="3"/>
  <c r="AO259" i="3"/>
  <c r="F259" i="18" s="1"/>
  <c r="G259" i="18" s="1"/>
  <c r="F259" i="9" s="1"/>
  <c r="BK259" i="3" s="1"/>
  <c r="BM259" i="3" s="1"/>
  <c r="CM18" i="3"/>
  <c r="AO18" i="3"/>
  <c r="AO90" i="3"/>
  <c r="F90" i="18" s="1"/>
  <c r="G90" i="18" s="1"/>
  <c r="F90" i="9" s="1"/>
  <c r="BK90" i="3" s="1"/>
  <c r="BM90" i="3" s="1"/>
  <c r="CM90" i="3"/>
  <c r="CM64" i="3"/>
  <c r="AO64" i="3"/>
  <c r="F64" i="18" s="1"/>
  <c r="G64" i="18" s="1"/>
  <c r="F64" i="9" s="1"/>
  <c r="BK64" i="3" s="1"/>
  <c r="BM64" i="3" s="1"/>
  <c r="AO255" i="3"/>
  <c r="F255" i="18" s="1"/>
  <c r="G255" i="18" s="1"/>
  <c r="F255" i="9" s="1"/>
  <c r="BK255" i="3" s="1"/>
  <c r="BM255" i="3" s="1"/>
  <c r="CM255" i="3"/>
  <c r="CM235" i="3"/>
  <c r="AO235" i="3"/>
  <c r="F235" i="18" s="1"/>
  <c r="G235" i="18" s="1"/>
  <c r="F235" i="9" s="1"/>
  <c r="BK235" i="3" s="1"/>
  <c r="BM235" i="3" s="1"/>
  <c r="AO214" i="3"/>
  <c r="CM214" i="3"/>
  <c r="AO281" i="3"/>
  <c r="F281" i="18" s="1"/>
  <c r="G281" i="18" s="1"/>
  <c r="F281" i="9" s="1"/>
  <c r="BK281" i="3" s="1"/>
  <c r="BM281" i="3" s="1"/>
  <c r="CM281" i="3"/>
  <c r="CM112" i="3"/>
  <c r="AO112" i="3"/>
  <c r="F112" i="18" s="1"/>
  <c r="G112" i="18" s="1"/>
  <c r="F112" i="9" s="1"/>
  <c r="BK112" i="3" s="1"/>
  <c r="BM112" i="3" s="1"/>
  <c r="CM202" i="3"/>
  <c r="AO202" i="3"/>
  <c r="F202" i="18" s="1"/>
  <c r="G202" i="18" s="1"/>
  <c r="F202" i="9" s="1"/>
  <c r="BK202" i="3" s="1"/>
  <c r="BM202" i="3" s="1"/>
  <c r="CM127" i="3"/>
  <c r="AO127" i="3"/>
  <c r="F127" i="18" s="1"/>
  <c r="G127" i="18" s="1"/>
  <c r="F127" i="9" s="1"/>
  <c r="BK127" i="3" s="1"/>
  <c r="BM127" i="3" s="1"/>
  <c r="CM67" i="3"/>
  <c r="AO67" i="3"/>
  <c r="F67" i="18" s="1"/>
  <c r="G67" i="18" s="1"/>
  <c r="F67" i="9" s="1"/>
  <c r="BK67" i="3" s="1"/>
  <c r="BM67" i="3" s="1"/>
  <c r="CM199" i="3"/>
  <c r="AO199" i="3"/>
  <c r="F199" i="18" s="1"/>
  <c r="G199" i="18" s="1"/>
  <c r="F199" i="9" s="1"/>
  <c r="BK199" i="3" s="1"/>
  <c r="BM199" i="3" s="1"/>
  <c r="AO114" i="3"/>
  <c r="CM114" i="3"/>
  <c r="AO243" i="3"/>
  <c r="CM243" i="3"/>
  <c r="CM120" i="3"/>
  <c r="AO120" i="3"/>
  <c r="F120" i="18" s="1"/>
  <c r="G120" i="18" s="1"/>
  <c r="F120" i="9" s="1"/>
  <c r="BK120" i="3" s="1"/>
  <c r="BM120" i="3" s="1"/>
  <c r="CM63" i="3"/>
  <c r="AO63" i="3"/>
  <c r="F63" i="18" s="1"/>
  <c r="G63" i="18" s="1"/>
  <c r="F63" i="9" s="1"/>
  <c r="BK63" i="3" s="1"/>
  <c r="BM63" i="3" s="1"/>
  <c r="AO143" i="3"/>
  <c r="F143" i="18" s="1"/>
  <c r="G143" i="18" s="1"/>
  <c r="F143" i="9" s="1"/>
  <c r="BK143" i="3" s="1"/>
  <c r="BM143" i="3" s="1"/>
  <c r="CM143" i="3"/>
  <c r="CM172" i="3"/>
  <c r="AO172" i="3"/>
  <c r="F172" i="18" s="1"/>
  <c r="G172" i="18" s="1"/>
  <c r="F172" i="9" s="1"/>
  <c r="BK172" i="3" s="1"/>
  <c r="BM172" i="3" s="1"/>
  <c r="CM167" i="3"/>
  <c r="AO167" i="3"/>
  <c r="F167" i="18" s="1"/>
  <c r="G167" i="18" s="1"/>
  <c r="F167" i="9" s="1"/>
  <c r="BK167" i="3" s="1"/>
  <c r="BM167" i="3" s="1"/>
  <c r="CM13" i="3"/>
  <c r="AO13" i="3"/>
  <c r="F13" i="18" s="1"/>
  <c r="G13" i="18" s="1"/>
  <c r="F13" i="9" s="1"/>
  <c r="BK13" i="3" s="1"/>
  <c r="BM13" i="3" s="1"/>
  <c r="CM288" i="3"/>
  <c r="AO288" i="3"/>
  <c r="F288" i="18" s="1"/>
  <c r="G288" i="18" s="1"/>
  <c r="F288" i="9" s="1"/>
  <c r="BK288" i="3" s="1"/>
  <c r="BM288" i="3" s="1"/>
  <c r="AO158" i="3"/>
  <c r="F158" i="18" s="1"/>
  <c r="G158" i="18" s="1"/>
  <c r="F158" i="9" s="1"/>
  <c r="BK158" i="3" s="1"/>
  <c r="BM158" i="3" s="1"/>
  <c r="CM158" i="3"/>
  <c r="AO142" i="3"/>
  <c r="F142" i="18" s="1"/>
  <c r="G142" i="18" s="1"/>
  <c r="F142" i="9" s="1"/>
  <c r="BK142" i="3" s="1"/>
  <c r="BM142" i="3" s="1"/>
  <c r="CM142" i="3"/>
  <c r="CM45" i="3"/>
  <c r="AO45" i="3"/>
  <c r="F45" i="18" s="1"/>
  <c r="G45" i="18" s="1"/>
  <c r="F45" i="9" s="1"/>
  <c r="BK45" i="3" s="1"/>
  <c r="BM45" i="3" s="1"/>
  <c r="CM195" i="3"/>
  <c r="AO195" i="3"/>
  <c r="F195" i="18" s="1"/>
  <c r="G195" i="18" s="1"/>
  <c r="F195" i="9" s="1"/>
  <c r="BK195" i="3" s="1"/>
  <c r="BM195" i="3" s="1"/>
  <c r="CM252" i="3"/>
  <c r="AO252" i="3"/>
  <c r="F252" i="18" s="1"/>
  <c r="G252" i="18" s="1"/>
  <c r="F252" i="9" s="1"/>
  <c r="BK252" i="3" s="1"/>
  <c r="BM252" i="3" s="1"/>
  <c r="AO249" i="3"/>
  <c r="F249" i="18" s="1"/>
  <c r="G249" i="18" s="1"/>
  <c r="F249" i="9" s="1"/>
  <c r="BK249" i="3" s="1"/>
  <c r="BM249" i="3" s="1"/>
  <c r="CM249" i="3"/>
  <c r="AO95" i="3"/>
  <c r="F95" i="18" s="1"/>
  <c r="G95" i="18" s="1"/>
  <c r="F95" i="9" s="1"/>
  <c r="BK95" i="3" s="1"/>
  <c r="BM95" i="3" s="1"/>
  <c r="CM95" i="3"/>
  <c r="CM12" i="3"/>
  <c r="AO12" i="3"/>
  <c r="F12" i="18" s="1"/>
  <c r="G12" i="18" s="1"/>
  <c r="F12" i="9" s="1"/>
  <c r="BK12" i="3" s="1"/>
  <c r="BM12" i="3" s="1"/>
  <c r="CM21" i="3"/>
  <c r="AO21" i="3"/>
  <c r="F73" i="18" s="1"/>
  <c r="G73" i="18" s="1"/>
  <c r="F73" i="9" s="1"/>
  <c r="BK73" i="3" s="1"/>
  <c r="BM73" i="3" s="1"/>
  <c r="CM244" i="3"/>
  <c r="AO244" i="3"/>
  <c r="AO193" i="3"/>
  <c r="F193" i="18" s="1"/>
  <c r="G193" i="18" s="1"/>
  <c r="F193" i="9" s="1"/>
  <c r="BK193" i="3" s="1"/>
  <c r="BM193" i="3" s="1"/>
  <c r="CM193" i="3"/>
  <c r="AO8" i="3"/>
  <c r="F5" i="18" s="1"/>
  <c r="G5" i="18" s="1"/>
  <c r="F5" i="9" s="1"/>
  <c r="BK5" i="3" s="1"/>
  <c r="BM5" i="3" s="1"/>
  <c r="CM8" i="3"/>
  <c r="AO27" i="3"/>
  <c r="F27" i="18" s="1"/>
  <c r="G27" i="18" s="1"/>
  <c r="F27" i="9" s="1"/>
  <c r="BK27" i="3" s="1"/>
  <c r="BM27" i="3" s="1"/>
  <c r="CM27" i="3"/>
  <c r="CM194" i="3"/>
  <c r="AO194" i="3"/>
  <c r="CM261" i="3"/>
  <c r="AO261" i="3"/>
  <c r="F261" i="18" s="1"/>
  <c r="G261" i="18" s="1"/>
  <c r="F261" i="9" s="1"/>
  <c r="BK261" i="3" s="1"/>
  <c r="BM261" i="3" s="1"/>
  <c r="AO119" i="3"/>
  <c r="F119" i="18" s="1"/>
  <c r="G119" i="18" s="1"/>
  <c r="F119" i="9" s="1"/>
  <c r="BK119" i="3" s="1"/>
  <c r="BM119" i="3" s="1"/>
  <c r="CM119" i="3"/>
  <c r="CM52" i="3"/>
  <c r="AO52" i="3"/>
  <c r="F52" i="18" s="1"/>
  <c r="G52" i="18" s="1"/>
  <c r="F52" i="9" s="1"/>
  <c r="BK52" i="3" s="1"/>
  <c r="BM52" i="3" s="1"/>
  <c r="CM55" i="3"/>
  <c r="AO55" i="3"/>
  <c r="AO145" i="3"/>
  <c r="F145" i="18" s="1"/>
  <c r="G145" i="18" s="1"/>
  <c r="F145" i="9" s="1"/>
  <c r="BK145" i="3" s="1"/>
  <c r="BM145" i="3" s="1"/>
  <c r="CM145" i="3"/>
  <c r="CM100" i="3"/>
  <c r="AO100" i="3"/>
  <c r="F100" i="18" s="1"/>
  <c r="G100" i="18" s="1"/>
  <c r="F100" i="9" s="1"/>
  <c r="BK100" i="3" s="1"/>
  <c r="BM100" i="3" s="1"/>
  <c r="AO81" i="3"/>
  <c r="CM81" i="3"/>
  <c r="CM205" i="3"/>
  <c r="AO205" i="3"/>
  <c r="CM211" i="3"/>
  <c r="AO211" i="3"/>
  <c r="F211" i="18" s="1"/>
  <c r="G211" i="18" s="1"/>
  <c r="F211" i="9" s="1"/>
  <c r="BK211" i="3" s="1"/>
  <c r="BM211" i="3" s="1"/>
  <c r="CM163" i="3"/>
  <c r="AO163" i="3"/>
  <c r="F163" i="18" s="1"/>
  <c r="G163" i="18" s="1"/>
  <c r="F163" i="9" s="1"/>
  <c r="BK163" i="3" s="1"/>
  <c r="BM163" i="3" s="1"/>
  <c r="AM7" i="3"/>
  <c r="CL4" i="3"/>
  <c r="CM260" i="3"/>
  <c r="AO260" i="3"/>
  <c r="F260" i="18" s="1"/>
  <c r="G260" i="18" s="1"/>
  <c r="F260" i="9" s="1"/>
  <c r="BK260" i="3" s="1"/>
  <c r="BM260" i="3" s="1"/>
  <c r="AO25" i="3"/>
  <c r="F25" i="18" s="1"/>
  <c r="G25" i="18" s="1"/>
  <c r="F25" i="9" s="1"/>
  <c r="BK25" i="3" s="1"/>
  <c r="BM25" i="3" s="1"/>
  <c r="CM25" i="3"/>
  <c r="AO277" i="3"/>
  <c r="F277" i="18" s="1"/>
  <c r="G277" i="18" s="1"/>
  <c r="F277" i="9" s="1"/>
  <c r="BK277" i="3" s="1"/>
  <c r="BM277" i="3" s="1"/>
  <c r="CM277" i="3"/>
  <c r="AO92" i="3"/>
  <c r="CM92" i="3"/>
  <c r="AO171" i="3"/>
  <c r="F171" i="18" s="1"/>
  <c r="G171" i="18" s="1"/>
  <c r="F171" i="9" s="1"/>
  <c r="BK171" i="3" s="1"/>
  <c r="BM171" i="3" s="1"/>
  <c r="CM171" i="3"/>
  <c r="CM140" i="3"/>
  <c r="AO140" i="3"/>
  <c r="F140" i="18" s="1"/>
  <c r="G140" i="18" s="1"/>
  <c r="F140" i="9" s="1"/>
  <c r="BK140" i="3" s="1"/>
  <c r="BM140" i="3" s="1"/>
  <c r="AO237" i="3"/>
  <c r="F237" i="18" s="1"/>
  <c r="G237" i="18" s="1"/>
  <c r="F237" i="9" s="1"/>
  <c r="BK237" i="3" s="1"/>
  <c r="BM237" i="3" s="1"/>
  <c r="CM237" i="3"/>
  <c r="AO71" i="3"/>
  <c r="F71" i="18" s="1"/>
  <c r="G71" i="18" s="1"/>
  <c r="F71" i="9" s="1"/>
  <c r="BK71" i="3" s="1"/>
  <c r="BM71" i="3" s="1"/>
  <c r="CM71" i="3"/>
  <c r="AO136" i="3"/>
  <c r="F136" i="18" s="1"/>
  <c r="G136" i="18" s="1"/>
  <c r="F136" i="9" s="1"/>
  <c r="BK136" i="3" s="1"/>
  <c r="BM136" i="3" s="1"/>
  <c r="CM136" i="3"/>
  <c r="AO31" i="3"/>
  <c r="F31" i="18" s="1"/>
  <c r="G31" i="18" s="1"/>
  <c r="F31" i="9" s="1"/>
  <c r="BK31" i="3" s="1"/>
  <c r="BM31" i="3" s="1"/>
  <c r="CM31" i="3"/>
  <c r="AO218" i="3"/>
  <c r="F218" i="18" s="1"/>
  <c r="G218" i="18" s="1"/>
  <c r="F218" i="9" s="1"/>
  <c r="BK218" i="3" s="1"/>
  <c r="BM218" i="3" s="1"/>
  <c r="CM218" i="3"/>
  <c r="CM236" i="3"/>
  <c r="AO236" i="3"/>
  <c r="CM268" i="3"/>
  <c r="AO268" i="3"/>
  <c r="F268" i="18" s="1"/>
  <c r="G268" i="18" s="1"/>
  <c r="F268" i="9" s="1"/>
  <c r="BK268" i="3" s="1"/>
  <c r="BM268" i="3" s="1"/>
  <c r="CM182" i="3"/>
  <c r="AO182" i="3"/>
  <c r="CM130" i="3"/>
  <c r="AO130" i="3"/>
  <c r="F130" i="18" s="1"/>
  <c r="G130" i="18" s="1"/>
  <c r="F130" i="9" s="1"/>
  <c r="BK130" i="3" s="1"/>
  <c r="BM130" i="3" s="1"/>
  <c r="CM48" i="3"/>
  <c r="AO48" i="3"/>
  <c r="F48" i="18" s="1"/>
  <c r="G48" i="18" s="1"/>
  <c r="F48" i="9" s="1"/>
  <c r="BK48" i="3" s="1"/>
  <c r="BM48" i="3" s="1"/>
  <c r="AO226" i="3"/>
  <c r="F226" i="18" s="1"/>
  <c r="G226" i="18" s="1"/>
  <c r="F226" i="9" s="1"/>
  <c r="BK226" i="3" s="1"/>
  <c r="BM226" i="3" s="1"/>
  <c r="CM226" i="3"/>
  <c r="AO184" i="3"/>
  <c r="F184" i="18" s="1"/>
  <c r="G184" i="18" s="1"/>
  <c r="F184" i="9" s="1"/>
  <c r="BK184" i="3" s="1"/>
  <c r="BM184" i="3" s="1"/>
  <c r="CM184" i="3"/>
  <c r="CM179" i="3"/>
  <c r="AO179" i="3"/>
  <c r="AO169" i="3"/>
  <c r="F169" i="18" s="1"/>
  <c r="G169" i="18" s="1"/>
  <c r="F169" i="9" s="1"/>
  <c r="BK169" i="3" s="1"/>
  <c r="BM169" i="3" s="1"/>
  <c r="CM169" i="3"/>
  <c r="AO275" i="3"/>
  <c r="F275" i="18" s="1"/>
  <c r="G275" i="18" s="1"/>
  <c r="F275" i="9" s="1"/>
  <c r="BK275" i="3" s="1"/>
  <c r="BM275" i="3" s="1"/>
  <c r="CM275" i="3"/>
  <c r="CM219" i="3"/>
  <c r="AO219" i="3"/>
  <c r="F219" i="18" s="1"/>
  <c r="G219" i="18" s="1"/>
  <c r="F219" i="9" s="1"/>
  <c r="BK219" i="3" s="1"/>
  <c r="BM219" i="3" s="1"/>
  <c r="AO233" i="3"/>
  <c r="F233" i="18" s="1"/>
  <c r="G233" i="18" s="1"/>
  <c r="F233" i="9" s="1"/>
  <c r="BK233" i="3" s="1"/>
  <c r="BM233" i="3" s="1"/>
  <c r="CM233" i="3"/>
  <c r="CM111" i="3"/>
  <c r="AO111" i="3"/>
  <c r="F111" i="18" s="1"/>
  <c r="G111" i="18" s="1"/>
  <c r="F111" i="9" s="1"/>
  <c r="BK111" i="3" s="1"/>
  <c r="BM111" i="3" s="1"/>
  <c r="CM283" i="3"/>
  <c r="AO283" i="3"/>
  <c r="F283" i="18" s="1"/>
  <c r="G283" i="18" s="1"/>
  <c r="F283" i="9" s="1"/>
  <c r="BK283" i="3" s="1"/>
  <c r="BM283" i="3" s="1"/>
  <c r="CM185" i="3"/>
  <c r="AO185" i="3"/>
  <c r="F185" i="18" s="1"/>
  <c r="G185" i="18" s="1"/>
  <c r="F185" i="9" s="1"/>
  <c r="BK185" i="3" s="1"/>
  <c r="BM185" i="3" s="1"/>
  <c r="CM287" i="3"/>
  <c r="AO287" i="3"/>
  <c r="F287" i="18" s="1"/>
  <c r="G287" i="18" s="1"/>
  <c r="F287" i="9" s="1"/>
  <c r="BK287" i="3" s="1"/>
  <c r="BM287" i="3" s="1"/>
  <c r="AO181" i="3"/>
  <c r="F181" i="18" s="1"/>
  <c r="G181" i="18" s="1"/>
  <c r="F181" i="9" s="1"/>
  <c r="BK181" i="3" s="1"/>
  <c r="BM181" i="3" s="1"/>
  <c r="CM181" i="3"/>
  <c r="CM51" i="3"/>
  <c r="AO51" i="3"/>
  <c r="F51" i="18" s="1"/>
  <c r="G51" i="18" s="1"/>
  <c r="F51" i="9" s="1"/>
  <c r="BK51" i="3" s="1"/>
  <c r="BM51" i="3" s="1"/>
  <c r="CM155" i="3"/>
  <c r="AO155" i="3"/>
  <c r="F155" i="18" s="1"/>
  <c r="G155" i="18" s="1"/>
  <c r="F155" i="9" s="1"/>
  <c r="BK155" i="3" s="1"/>
  <c r="BM155" i="3" s="1"/>
  <c r="CM122" i="3"/>
  <c r="AO122" i="3"/>
  <c r="F122" i="18" s="1"/>
  <c r="G122" i="18" s="1"/>
  <c r="F122" i="9" s="1"/>
  <c r="BK122" i="3" s="1"/>
  <c r="BM122" i="3" s="1"/>
  <c r="CM50" i="3"/>
  <c r="AO50" i="3"/>
  <c r="F50" i="18" s="1"/>
  <c r="G50" i="18" s="1"/>
  <c r="F50" i="9" s="1"/>
  <c r="BK50" i="3" s="1"/>
  <c r="BM50" i="3" s="1"/>
  <c r="AO22" i="3"/>
  <c r="F22" i="18" s="1"/>
  <c r="G22" i="18" s="1"/>
  <c r="F22" i="9" s="1"/>
  <c r="BK22" i="3" s="1"/>
  <c r="BM22" i="3" s="1"/>
  <c r="CM22" i="3"/>
  <c r="AO115" i="3"/>
  <c r="F115" i="18" s="1"/>
  <c r="G115" i="18" s="1"/>
  <c r="F115" i="9" s="1"/>
  <c r="BK115" i="3" s="1"/>
  <c r="BM115" i="3" s="1"/>
  <c r="CM115" i="3"/>
  <c r="CM37" i="3"/>
  <c r="AO37" i="3"/>
  <c r="AO106" i="3"/>
  <c r="F106" i="18" s="1"/>
  <c r="G106" i="18" s="1"/>
  <c r="F106" i="9" s="1"/>
  <c r="BK106" i="3" s="1"/>
  <c r="BM106" i="3" s="1"/>
  <c r="CM106" i="3"/>
  <c r="AO104" i="3"/>
  <c r="F104" i="18" s="1"/>
  <c r="G104" i="18" s="1"/>
  <c r="F104" i="9" s="1"/>
  <c r="BK104" i="3" s="1"/>
  <c r="BM104" i="3" s="1"/>
  <c r="CM104" i="3"/>
  <c r="CM110" i="3"/>
  <c r="AO110" i="3"/>
  <c r="F110" i="18" s="1"/>
  <c r="G110" i="18" s="1"/>
  <c r="F110" i="9" s="1"/>
  <c r="BK110" i="3" s="1"/>
  <c r="BM110" i="3" s="1"/>
  <c r="CM186" i="3"/>
  <c r="AO186" i="3"/>
  <c r="F186" i="18" s="1"/>
  <c r="G186" i="18" s="1"/>
  <c r="F186" i="9" s="1"/>
  <c r="BK186" i="3" s="1"/>
  <c r="BM186" i="3" s="1"/>
  <c r="AO137" i="3"/>
  <c r="CM137" i="3"/>
  <c r="AO149" i="3"/>
  <c r="F149" i="18" s="1"/>
  <c r="G149" i="18" s="1"/>
  <c r="F149" i="9" s="1"/>
  <c r="BK149" i="3" s="1"/>
  <c r="BM149" i="3" s="1"/>
  <c r="CM149" i="3"/>
  <c r="CM132" i="3"/>
  <c r="AO132" i="3"/>
  <c r="F132" i="18" s="1"/>
  <c r="G132" i="18" s="1"/>
  <c r="F132" i="9" s="1"/>
  <c r="BK132" i="3" s="1"/>
  <c r="BM132" i="3" s="1"/>
  <c r="AO108" i="3"/>
  <c r="F108" i="18" s="1"/>
  <c r="G108" i="18" s="1"/>
  <c r="F108" i="9" s="1"/>
  <c r="BK108" i="3" s="1"/>
  <c r="BM108" i="3" s="1"/>
  <c r="CM108" i="3"/>
  <c r="CM152" i="3"/>
  <c r="AO152" i="3"/>
  <c r="F152" i="18" s="1"/>
  <c r="G152" i="18" s="1"/>
  <c r="F152" i="9" s="1"/>
  <c r="BK152" i="3" s="1"/>
  <c r="BM152" i="3" s="1"/>
  <c r="CM213" i="3"/>
  <c r="AO213" i="3"/>
  <c r="F213" i="18" s="1"/>
  <c r="G213" i="18" s="1"/>
  <c r="F213" i="9" s="1"/>
  <c r="BK213" i="3" s="1"/>
  <c r="BM213" i="3" s="1"/>
  <c r="CM44" i="3"/>
  <c r="AO44" i="3"/>
  <c r="F44" i="18" s="1"/>
  <c r="G44" i="18" s="1"/>
  <c r="F44" i="9" s="1"/>
  <c r="BK44" i="3" s="1"/>
  <c r="BM44" i="3" s="1"/>
  <c r="CM124" i="3"/>
  <c r="AO124" i="3"/>
  <c r="F124" i="18" s="1"/>
  <c r="G124" i="18" s="1"/>
  <c r="F124" i="9" s="1"/>
  <c r="BK124" i="3" s="1"/>
  <c r="BM124" i="3" s="1"/>
  <c r="AO94" i="3"/>
  <c r="F94" i="18" s="1"/>
  <c r="G94" i="18" s="1"/>
  <c r="F94" i="9" s="1"/>
  <c r="BK94" i="3" s="1"/>
  <c r="BM94" i="3" s="1"/>
  <c r="CM94" i="3"/>
  <c r="CM58" i="3"/>
  <c r="AO58" i="3"/>
  <c r="F58" i="18" s="1"/>
  <c r="G58" i="18" s="1"/>
  <c r="F58" i="9" s="1"/>
  <c r="BK58" i="3" s="1"/>
  <c r="BM58" i="3" s="1"/>
  <c r="CM68" i="3"/>
  <c r="AO68" i="3"/>
  <c r="F68" i="18" s="1"/>
  <c r="G68" i="18" s="1"/>
  <c r="F68" i="9" s="1"/>
  <c r="BK68" i="3" s="1"/>
  <c r="BM68" i="3" s="1"/>
  <c r="CM266" i="3"/>
  <c r="AO266" i="3"/>
  <c r="CM290" i="3"/>
  <c r="AO290" i="3"/>
  <c r="F290" i="18" s="1"/>
  <c r="G290" i="18" s="1"/>
  <c r="F290" i="9" s="1"/>
  <c r="BK290" i="3" s="1"/>
  <c r="BM290" i="3" s="1"/>
  <c r="CM187" i="3"/>
  <c r="AO187" i="3"/>
  <c r="F187" i="18" s="1"/>
  <c r="G187" i="18" s="1"/>
  <c r="F187" i="9" s="1"/>
  <c r="BK187" i="3" s="1"/>
  <c r="BM187" i="3" s="1"/>
  <c r="CM278" i="3"/>
  <c r="AO278" i="3"/>
  <c r="F278" i="18" s="1"/>
  <c r="G278" i="18" s="1"/>
  <c r="F278" i="9" s="1"/>
  <c r="BK278" i="3" s="1"/>
  <c r="BM278" i="3" s="1"/>
  <c r="AO96" i="3"/>
  <c r="F96" i="18" s="1"/>
  <c r="G96" i="18" s="1"/>
  <c r="F96" i="9" s="1"/>
  <c r="BK96" i="3" s="1"/>
  <c r="BM96" i="3" s="1"/>
  <c r="CM96" i="3"/>
  <c r="AO57" i="3"/>
  <c r="CM57" i="3"/>
  <c r="CM280" i="3"/>
  <c r="AO280" i="3"/>
  <c r="F280" i="18" s="1"/>
  <c r="G280" i="18" s="1"/>
  <c r="F280" i="9" s="1"/>
  <c r="BK280" i="3" s="1"/>
  <c r="BM280" i="3" s="1"/>
  <c r="CM93" i="3"/>
  <c r="AO93" i="3"/>
  <c r="F93" i="18" s="1"/>
  <c r="G93" i="18" s="1"/>
  <c r="F93" i="9" s="1"/>
  <c r="BK93" i="3" s="1"/>
  <c r="BM93" i="3" s="1"/>
  <c r="CM215" i="3"/>
  <c r="AO215" i="3"/>
  <c r="F215" i="18" s="1"/>
  <c r="G215" i="18" s="1"/>
  <c r="F215" i="9" s="1"/>
  <c r="BK215" i="3" s="1"/>
  <c r="BM215" i="3" s="1"/>
  <c r="CM176" i="3"/>
  <c r="AO176" i="3"/>
  <c r="F176" i="18" s="1"/>
  <c r="G176" i="18" s="1"/>
  <c r="F176" i="9" s="1"/>
  <c r="BK176" i="3" s="1"/>
  <c r="BM176" i="3" s="1"/>
  <c r="CM70" i="3"/>
  <c r="AO70" i="3"/>
  <c r="F70" i="18" s="1"/>
  <c r="G70" i="18" s="1"/>
  <c r="F70" i="9" s="1"/>
  <c r="BK70" i="3" s="1"/>
  <c r="BM70" i="3" s="1"/>
  <c r="CM217" i="3"/>
  <c r="AO217" i="3"/>
  <c r="F217" i="18" s="1"/>
  <c r="G217" i="18" s="1"/>
  <c r="F217" i="9" s="1"/>
  <c r="BK217" i="3" s="1"/>
  <c r="BM217" i="3" s="1"/>
  <c r="CM151" i="3"/>
  <c r="AO151" i="3"/>
  <c r="F151" i="18" s="1"/>
  <c r="G151" i="18" s="1"/>
  <c r="F151" i="9" s="1"/>
  <c r="BK151" i="3" s="1"/>
  <c r="BM151" i="3" s="1"/>
  <c r="AO274" i="3"/>
  <c r="F274" i="18" s="1"/>
  <c r="G274" i="18" s="1"/>
  <c r="F274" i="9" s="1"/>
  <c r="BK274" i="3" s="1"/>
  <c r="BM274" i="3" s="1"/>
  <c r="CM274" i="3"/>
  <c r="AO34" i="3"/>
  <c r="F34" i="18" s="1"/>
  <c r="G34" i="18" s="1"/>
  <c r="F34" i="9" s="1"/>
  <c r="BK34" i="3" s="1"/>
  <c r="BM34" i="3" s="1"/>
  <c r="CM34" i="3"/>
  <c r="CM265" i="3"/>
  <c r="AO265" i="3"/>
  <c r="F265" i="18" s="1"/>
  <c r="G265" i="18" s="1"/>
  <c r="F265" i="9" s="1"/>
  <c r="BK265" i="3" s="1"/>
  <c r="BM265" i="3" s="1"/>
  <c r="AO60" i="3"/>
  <c r="F60" i="18" s="1"/>
  <c r="G60" i="18" s="1"/>
  <c r="F60" i="9" s="1"/>
  <c r="BK60" i="3" s="1"/>
  <c r="BM60" i="3" s="1"/>
  <c r="CM60" i="3"/>
  <c r="AO29" i="3"/>
  <c r="F29" i="18" s="1"/>
  <c r="G29" i="18" s="1"/>
  <c r="F29" i="9" s="1"/>
  <c r="BK29" i="3" s="1"/>
  <c r="BM29" i="3" s="1"/>
  <c r="CM29" i="3"/>
  <c r="CM91" i="3"/>
  <c r="AO91" i="3"/>
  <c r="F91" i="18" s="1"/>
  <c r="G91" i="18" s="1"/>
  <c r="F91" i="9" s="1"/>
  <c r="BK91" i="3" s="1"/>
  <c r="BM91" i="3" s="1"/>
  <c r="AO257" i="3"/>
  <c r="F257" i="18" s="1"/>
  <c r="G257" i="18" s="1"/>
  <c r="F257" i="9" s="1"/>
  <c r="BK257" i="3" s="1"/>
  <c r="BM257" i="3" s="1"/>
  <c r="CM257" i="3"/>
  <c r="AU151" i="11"/>
  <c r="AU157" i="11"/>
  <c r="AU152" i="11"/>
  <c r="AH153" i="3"/>
  <c r="AV153" i="3" s="1"/>
  <c r="T218" i="3"/>
  <c r="AU194" i="11"/>
  <c r="AU85" i="11"/>
  <c r="AU262" i="11"/>
  <c r="AU30" i="11"/>
  <c r="T104" i="3"/>
  <c r="AU213" i="11"/>
  <c r="AU12" i="11"/>
  <c r="AU255" i="11"/>
  <c r="AH256" i="3"/>
  <c r="AU195" i="11"/>
  <c r="AH196" i="3"/>
  <c r="AU163" i="11"/>
  <c r="AH164" i="3"/>
  <c r="AU174" i="11"/>
  <c r="AH175" i="3"/>
  <c r="AU234" i="11"/>
  <c r="AH235" i="3"/>
  <c r="AU264" i="11"/>
  <c r="AH265" i="3"/>
  <c r="AU200" i="11"/>
  <c r="AH201" i="3"/>
  <c r="AU196" i="11"/>
  <c r="AH197" i="3"/>
  <c r="AU166" i="11"/>
  <c r="AH167" i="3"/>
  <c r="AU225" i="11"/>
  <c r="AH226" i="3"/>
  <c r="AU215" i="11"/>
  <c r="AH216" i="3"/>
  <c r="AV216" i="3" s="1"/>
  <c r="AU270" i="11"/>
  <c r="AH271" i="3"/>
  <c r="AV271" i="3" s="1"/>
  <c r="AU181" i="11"/>
  <c r="AH182" i="3"/>
  <c r="AU267" i="11"/>
  <c r="AH268" i="3"/>
  <c r="AU289" i="11"/>
  <c r="AH290" i="3"/>
  <c r="AU288" i="11"/>
  <c r="AH289" i="3"/>
  <c r="AU158" i="11"/>
  <c r="AH159" i="3"/>
  <c r="AV159" i="3" s="1"/>
  <c r="AU189" i="11"/>
  <c r="AH190" i="3"/>
  <c r="AV190" i="3" s="1"/>
  <c r="AU257" i="11"/>
  <c r="AH258" i="3"/>
  <c r="AV258" i="3" s="1"/>
  <c r="AU199" i="11"/>
  <c r="AH200" i="3"/>
  <c r="AU235" i="11"/>
  <c r="AH236" i="3"/>
  <c r="AU277" i="11"/>
  <c r="AH278" i="3"/>
  <c r="AU237" i="11"/>
  <c r="AH238" i="3"/>
  <c r="AU192" i="11"/>
  <c r="AH193" i="3"/>
  <c r="AU233" i="11"/>
  <c r="AH234" i="3"/>
  <c r="AU178" i="11"/>
  <c r="AH179" i="3"/>
  <c r="AU156" i="11"/>
  <c r="AH157" i="3"/>
  <c r="AV157" i="3" s="1"/>
  <c r="AU227" i="11"/>
  <c r="AH228" i="3"/>
  <c r="AH180" i="3"/>
  <c r="AU162" i="11"/>
  <c r="AH163" i="3"/>
  <c r="AU185" i="11"/>
  <c r="AH186" i="3"/>
  <c r="AU214" i="11"/>
  <c r="AH215" i="3"/>
  <c r="AU209" i="11"/>
  <c r="AH210" i="3"/>
  <c r="AU278" i="11"/>
  <c r="AH279" i="3"/>
  <c r="AV279" i="3" s="1"/>
  <c r="AH280" i="3"/>
  <c r="AU283" i="11"/>
  <c r="AH284" i="3"/>
  <c r="AU231" i="11"/>
  <c r="AH232" i="3"/>
  <c r="AV232" i="3" s="1"/>
  <c r="AU175" i="11"/>
  <c r="AH176" i="3"/>
  <c r="AU207" i="11"/>
  <c r="AH208" i="3"/>
  <c r="AU198" i="11"/>
  <c r="AH199" i="3"/>
  <c r="AU282" i="11"/>
  <c r="AH283" i="3"/>
  <c r="AU252" i="11"/>
  <c r="AH253" i="3"/>
  <c r="AU269" i="11"/>
  <c r="AH270" i="3"/>
  <c r="AV270" i="3" s="1"/>
  <c r="AU249" i="11"/>
  <c r="AH250" i="3"/>
  <c r="AV250" i="3" s="1"/>
  <c r="AU275" i="11"/>
  <c r="AH276" i="3"/>
  <c r="AU241" i="11"/>
  <c r="AH242" i="3"/>
  <c r="AU221" i="11"/>
  <c r="AH222" i="3"/>
  <c r="AU172" i="11"/>
  <c r="AH173" i="3"/>
  <c r="AU203" i="11"/>
  <c r="AH204" i="3"/>
  <c r="AU160" i="11"/>
  <c r="AH161" i="3"/>
  <c r="AU222" i="11"/>
  <c r="AH223" i="3"/>
  <c r="AU169" i="11"/>
  <c r="AH170" i="3"/>
  <c r="AU273" i="11"/>
  <c r="AH274" i="3"/>
  <c r="AU240" i="11"/>
  <c r="AH241" i="3"/>
  <c r="AV241" i="3" s="1"/>
  <c r="AU276" i="11"/>
  <c r="AH277" i="3"/>
  <c r="AU164" i="11"/>
  <c r="AH165" i="3"/>
  <c r="AV165" i="3" s="1"/>
  <c r="AU232" i="11"/>
  <c r="AH233" i="3"/>
  <c r="AU208" i="11"/>
  <c r="AH209" i="3"/>
  <c r="AV209" i="3" s="1"/>
  <c r="AU251" i="11"/>
  <c r="AH252" i="3"/>
  <c r="AU238" i="11"/>
  <c r="AH239" i="3"/>
  <c r="AU223" i="11"/>
  <c r="AH224" i="3"/>
  <c r="AV224" i="3" s="1"/>
  <c r="AU244" i="11"/>
  <c r="AH245" i="3"/>
  <c r="AU197" i="11"/>
  <c r="AH198" i="3"/>
  <c r="AU247" i="11"/>
  <c r="AH248" i="3"/>
  <c r="AV248" i="3" s="1"/>
  <c r="AU187" i="11"/>
  <c r="AH188" i="3"/>
  <c r="AU193" i="11"/>
  <c r="AH194" i="3"/>
  <c r="AU271" i="11"/>
  <c r="AH272" i="3"/>
  <c r="AU177" i="11"/>
  <c r="AH178" i="3"/>
  <c r="AU173" i="11"/>
  <c r="AH174" i="3"/>
  <c r="AV174" i="3" s="1"/>
  <c r="AU205" i="11"/>
  <c r="AH206" i="3"/>
  <c r="AV206" i="3" s="1"/>
  <c r="AU248" i="11"/>
  <c r="AH249" i="3"/>
  <c r="AU281" i="11"/>
  <c r="AH282" i="3"/>
  <c r="AU228" i="11"/>
  <c r="AH229" i="3"/>
  <c r="AH254" i="3"/>
  <c r="AV254" i="3" s="1"/>
  <c r="AU204" i="11"/>
  <c r="AH205" i="3"/>
  <c r="AU219" i="11"/>
  <c r="AH220" i="3"/>
  <c r="AU265" i="11"/>
  <c r="AH266" i="3"/>
  <c r="AU268" i="11"/>
  <c r="AH269" i="3"/>
  <c r="AU167" i="11"/>
  <c r="AH168" i="3"/>
  <c r="AU224" i="11"/>
  <c r="AH225" i="3"/>
  <c r="AV225" i="3" s="1"/>
  <c r="AU242" i="11"/>
  <c r="AH243" i="3"/>
  <c r="AU261" i="11"/>
  <c r="AH262" i="3"/>
  <c r="AU216" i="11"/>
  <c r="AH217" i="3"/>
  <c r="AU263" i="11"/>
  <c r="AH264" i="3"/>
  <c r="AV264" i="3" s="1"/>
  <c r="AU284" i="11"/>
  <c r="AH285" i="3"/>
  <c r="AU239" i="11"/>
  <c r="AH240" i="3"/>
  <c r="AU236" i="11"/>
  <c r="AH237" i="3"/>
  <c r="AU218" i="11"/>
  <c r="AH219" i="3"/>
  <c r="AU4" i="11"/>
  <c r="AU62" i="11"/>
  <c r="AU77" i="11"/>
  <c r="AU15" i="11"/>
  <c r="AU5" i="11"/>
  <c r="AU80" i="11"/>
  <c r="AH13" i="3"/>
  <c r="AU75" i="11"/>
  <c r="AH76" i="3"/>
  <c r="AU138" i="11"/>
  <c r="AH139" i="3"/>
  <c r="AU145" i="11"/>
  <c r="AH146" i="3"/>
  <c r="AV146" i="3" s="1"/>
  <c r="AU93" i="11"/>
  <c r="AH94" i="3"/>
  <c r="AU23" i="11"/>
  <c r="AU69" i="11"/>
  <c r="AU71" i="11"/>
  <c r="AU32" i="11"/>
  <c r="AU76" i="11"/>
  <c r="AH20" i="3"/>
  <c r="AV20" i="3" s="1"/>
  <c r="AU42" i="11"/>
  <c r="AU68" i="11"/>
  <c r="AU29" i="11"/>
  <c r="AU65" i="11"/>
  <c r="AU124" i="11"/>
  <c r="AH115" i="3"/>
  <c r="AU78" i="11"/>
  <c r="AH79" i="3"/>
  <c r="AU92" i="11"/>
  <c r="AH93" i="3"/>
  <c r="AU18" i="11"/>
  <c r="AU56" i="11"/>
  <c r="AU8" i="11"/>
  <c r="AU16" i="11"/>
  <c r="AU89" i="11"/>
  <c r="AU6" i="11"/>
  <c r="AU128" i="11"/>
  <c r="AU33" i="11"/>
  <c r="AU21" i="11"/>
  <c r="AU38" i="11"/>
  <c r="AU96" i="11"/>
  <c r="AH97" i="3"/>
  <c r="AU127" i="11"/>
  <c r="AU109" i="11"/>
  <c r="AU148" i="11"/>
  <c r="AH149" i="3"/>
  <c r="AU139" i="11"/>
  <c r="AU52" i="11"/>
  <c r="AU10" i="11"/>
  <c r="AU35" i="11"/>
  <c r="AU61" i="11"/>
  <c r="AU81" i="11"/>
  <c r="AU14" i="11"/>
  <c r="AU112" i="11"/>
  <c r="AU20" i="11"/>
  <c r="AU117" i="11"/>
  <c r="AU133" i="11"/>
  <c r="AH134" i="3"/>
  <c r="AU87" i="11"/>
  <c r="AH88" i="3"/>
  <c r="AV88" i="3" s="1"/>
  <c r="AU73" i="11"/>
  <c r="AU49" i="11"/>
  <c r="AU72" i="11"/>
  <c r="AH8" i="3"/>
  <c r="AU118" i="11"/>
  <c r="AU51" i="11"/>
  <c r="AU119" i="11"/>
  <c r="AH56" i="3"/>
  <c r="AU34" i="11"/>
  <c r="AU46" i="11"/>
  <c r="AU82" i="11"/>
  <c r="AH83" i="3"/>
  <c r="AU113" i="11"/>
  <c r="AH114" i="3"/>
  <c r="AU83" i="11"/>
  <c r="AH84" i="3"/>
  <c r="AU121" i="11"/>
  <c r="AH122" i="3"/>
  <c r="AU27" i="11"/>
  <c r="AU25" i="11"/>
  <c r="AU54" i="11"/>
  <c r="AU66" i="11"/>
  <c r="AU31" i="11"/>
  <c r="AU79" i="11"/>
  <c r="AU43" i="11"/>
  <c r="AU26" i="11"/>
  <c r="AU106" i="11"/>
  <c r="AH107" i="3"/>
  <c r="AU122" i="11"/>
  <c r="AH123" i="3"/>
  <c r="AU136" i="11"/>
  <c r="AH137" i="3"/>
  <c r="AU104" i="11"/>
  <c r="AH105" i="3"/>
  <c r="AU37" i="11"/>
  <c r="AU47" i="11"/>
  <c r="AU36" i="11"/>
  <c r="AU57" i="11"/>
  <c r="AH58" i="3"/>
  <c r="AU70" i="11"/>
  <c r="AH71" i="3"/>
  <c r="AU24" i="11"/>
  <c r="AH46" i="3"/>
  <c r="AU141" i="11"/>
  <c r="AU64" i="11"/>
  <c r="AU149" i="11"/>
  <c r="AU132" i="11"/>
  <c r="AU110" i="11"/>
  <c r="AH111" i="3"/>
  <c r="AU129" i="11"/>
  <c r="AU144" i="11"/>
  <c r="AH145" i="3"/>
  <c r="AU28" i="11"/>
  <c r="AH29" i="3"/>
  <c r="AU74" i="11"/>
  <c r="AU40" i="11"/>
  <c r="AU44" i="11"/>
  <c r="AU125" i="11"/>
  <c r="AH126" i="3"/>
  <c r="AU135" i="11"/>
  <c r="AH136" i="3"/>
  <c r="AH128" i="3"/>
  <c r="AV128" i="3" s="1"/>
  <c r="AH110" i="3"/>
  <c r="AH140" i="3"/>
  <c r="AH81" i="3"/>
  <c r="AU279" i="11"/>
  <c r="AH52" i="3"/>
  <c r="AH129" i="3"/>
  <c r="AV129" i="3" s="1"/>
  <c r="AH7" i="3"/>
  <c r="AH90" i="3"/>
  <c r="AH119" i="3"/>
  <c r="AU7" i="11"/>
  <c r="AU55" i="11"/>
  <c r="AH120" i="3"/>
  <c r="AU179" i="11"/>
  <c r="AH57" i="3"/>
  <c r="AH36" i="3"/>
  <c r="AH44" i="3"/>
  <c r="AH24" i="3"/>
  <c r="AH28" i="3"/>
  <c r="AH77" i="3"/>
  <c r="AH41" i="3"/>
  <c r="AH75" i="3"/>
  <c r="AU114" i="11"/>
  <c r="AH113" i="3"/>
  <c r="AH33" i="3"/>
  <c r="AV33" i="3" s="1"/>
  <c r="AH15" i="3"/>
  <c r="AU19" i="11"/>
  <c r="AH43" i="3"/>
  <c r="AV43" i="3" s="1"/>
  <c r="AH78" i="3"/>
  <c r="AV78" i="3" s="1"/>
  <c r="AH74" i="3"/>
  <c r="AH65" i="3"/>
  <c r="AU45" i="11"/>
  <c r="AH130" i="3"/>
  <c r="AH9" i="3"/>
  <c r="AH50" i="3"/>
  <c r="AH63" i="3"/>
  <c r="AH142" i="3"/>
  <c r="AH6" i="3"/>
  <c r="AH133" i="3"/>
  <c r="AH34" i="3"/>
  <c r="AH38" i="3"/>
  <c r="AH150" i="3"/>
  <c r="AH11" i="3"/>
  <c r="AH55" i="3"/>
  <c r="AH82" i="3"/>
  <c r="AH73" i="3"/>
  <c r="AH27" i="3"/>
  <c r="AH45" i="3"/>
  <c r="AH72" i="3"/>
  <c r="AV72" i="3" s="1"/>
  <c r="AH53" i="3"/>
  <c r="AH17" i="3"/>
  <c r="AH25" i="3"/>
  <c r="AH118" i="3"/>
  <c r="AH80" i="3"/>
  <c r="AH47" i="3"/>
  <c r="AV47" i="3" s="1"/>
  <c r="AH35" i="3"/>
  <c r="T144" i="3"/>
  <c r="AH66" i="3"/>
  <c r="AH16" i="3"/>
  <c r="AH48" i="3"/>
  <c r="AH62" i="3"/>
  <c r="AH125" i="3"/>
  <c r="AH30" i="3"/>
  <c r="AH19" i="3"/>
  <c r="AV19" i="3" s="1"/>
  <c r="AH67" i="3"/>
  <c r="AH22" i="3"/>
  <c r="AH37" i="3"/>
  <c r="AH70" i="3"/>
  <c r="AH69" i="3"/>
  <c r="AH21" i="3"/>
  <c r="AH26" i="3"/>
  <c r="AV26" i="3" s="1"/>
  <c r="AH39" i="3"/>
  <c r="AH32" i="3"/>
  <c r="AH287" i="3"/>
  <c r="AU286" i="11"/>
  <c r="T8" i="3"/>
  <c r="T21" i="3"/>
  <c r="AV246" i="3"/>
  <c r="T176" i="3"/>
  <c r="T110" i="3"/>
  <c r="T73" i="3"/>
  <c r="T119" i="3"/>
  <c r="AV85" i="3"/>
  <c r="AV117" i="3"/>
  <c r="T229" i="3"/>
  <c r="T56" i="3"/>
  <c r="AV23" i="3"/>
  <c r="T276" i="3"/>
  <c r="T77" i="3"/>
  <c r="T178" i="3"/>
  <c r="T30" i="3"/>
  <c r="T211" i="3"/>
  <c r="AV162" i="3"/>
  <c r="AV189" i="3"/>
  <c r="CC4" i="3"/>
  <c r="T262" i="3"/>
  <c r="AV99" i="3"/>
  <c r="BY4" i="3"/>
  <c r="T114" i="3"/>
  <c r="AV156" i="3"/>
  <c r="AV222" i="3" l="1"/>
  <c r="AV123" i="3"/>
  <c r="AV197" i="3"/>
  <c r="AV161" i="3"/>
  <c r="AV75" i="3"/>
  <c r="CR75" i="3" s="1"/>
  <c r="CS75" i="3" s="1"/>
  <c r="AR75" i="3" s="1"/>
  <c r="AV57" i="3"/>
  <c r="CR57" i="3" s="1"/>
  <c r="CS57" i="3" s="1"/>
  <c r="AR57" i="3" s="1"/>
  <c r="AV27" i="3"/>
  <c r="CR27" i="3" s="1"/>
  <c r="CS27" i="3" s="1"/>
  <c r="AR27" i="3" s="1"/>
  <c r="AV238" i="3"/>
  <c r="CR238" i="3" s="1"/>
  <c r="CS238" i="3" s="1"/>
  <c r="AR238" i="3" s="1"/>
  <c r="BG238" i="3" s="1"/>
  <c r="AV83" i="3"/>
  <c r="CR83" i="3" s="1"/>
  <c r="CS83" i="3" s="1"/>
  <c r="AR83" i="3" s="1"/>
  <c r="BG83" i="3" s="1"/>
  <c r="AV180" i="3"/>
  <c r="CR180" i="3" s="1"/>
  <c r="CS180" i="3" s="1"/>
  <c r="AR180" i="3" s="1"/>
  <c r="AV58" i="3"/>
  <c r="CR58" i="3" s="1"/>
  <c r="CS58" i="3" s="1"/>
  <c r="AR58" i="3" s="1"/>
  <c r="F182" i="18"/>
  <c r="G182" i="18" s="1"/>
  <c r="F182" i="9" s="1"/>
  <c r="BK182" i="3" s="1"/>
  <c r="BM182" i="3" s="1"/>
  <c r="F160" i="18"/>
  <c r="G160" i="18" s="1"/>
  <c r="F160" i="9" s="1"/>
  <c r="BK160" i="3" s="1"/>
  <c r="BM160" i="3" s="1"/>
  <c r="F65" i="18"/>
  <c r="G65" i="18" s="1"/>
  <c r="F65" i="9" s="1"/>
  <c r="BK65" i="3" s="1"/>
  <c r="BM65" i="3" s="1"/>
  <c r="F97" i="18"/>
  <c r="G97" i="18" s="1"/>
  <c r="F97" i="9" s="1"/>
  <c r="BK97" i="3" s="1"/>
  <c r="BM97" i="3" s="1"/>
  <c r="F59" i="18"/>
  <c r="G59" i="18" s="1"/>
  <c r="F59" i="9" s="1"/>
  <c r="BK59" i="3" s="1"/>
  <c r="BM59" i="3" s="1"/>
  <c r="F66" i="18"/>
  <c r="G66" i="18" s="1"/>
  <c r="F66" i="9" s="1"/>
  <c r="BK66" i="3" s="1"/>
  <c r="BM66" i="3" s="1"/>
  <c r="F10" i="18"/>
  <c r="G10" i="18" s="1"/>
  <c r="F10" i="9" s="1"/>
  <c r="BK10" i="3" s="1"/>
  <c r="BM10" i="3" s="1"/>
  <c r="F150" i="18"/>
  <c r="G150" i="18" s="1"/>
  <c r="F150" i="9" s="1"/>
  <c r="BK150" i="3" s="1"/>
  <c r="BM150" i="3" s="1"/>
  <c r="F153" i="18"/>
  <c r="G153" i="18" s="1"/>
  <c r="F153" i="9" s="1"/>
  <c r="BK153" i="3" s="1"/>
  <c r="BM153" i="3" s="1"/>
  <c r="F241" i="18"/>
  <c r="G241" i="18" s="1"/>
  <c r="F241" i="9" s="1"/>
  <c r="BK241" i="3" s="1"/>
  <c r="BM241" i="3" s="1"/>
  <c r="F189" i="18"/>
  <c r="G189" i="18" s="1"/>
  <c r="F189" i="9" s="1"/>
  <c r="BK189" i="3" s="1"/>
  <c r="BM189" i="3" s="1"/>
  <c r="F227" i="18"/>
  <c r="G227" i="18" s="1"/>
  <c r="F227" i="9" s="1"/>
  <c r="BK227" i="3" s="1"/>
  <c r="BM227" i="3" s="1"/>
  <c r="F221" i="18"/>
  <c r="G221" i="18" s="1"/>
  <c r="F221" i="9" s="1"/>
  <c r="BK221" i="3" s="1"/>
  <c r="BM221" i="3" s="1"/>
  <c r="F56" i="18"/>
  <c r="G56" i="18" s="1"/>
  <c r="F56" i="9" s="1"/>
  <c r="BK56" i="3" s="1"/>
  <c r="BM56" i="3" s="1"/>
  <c r="F162" i="18"/>
  <c r="G162" i="18" s="1"/>
  <c r="F162" i="9" s="1"/>
  <c r="BK162" i="3" s="1"/>
  <c r="BM162" i="3" s="1"/>
  <c r="F205" i="18"/>
  <c r="G205" i="18" s="1"/>
  <c r="F205" i="9" s="1"/>
  <c r="BK205" i="3" s="1"/>
  <c r="BM205" i="3" s="1"/>
  <c r="F55" i="18"/>
  <c r="G55" i="18" s="1"/>
  <c r="F55" i="9" s="1"/>
  <c r="BK55" i="3" s="1"/>
  <c r="BM55" i="3" s="1"/>
  <c r="F194" i="18"/>
  <c r="G194" i="18" s="1"/>
  <c r="F194" i="9" s="1"/>
  <c r="BK194" i="3" s="1"/>
  <c r="BM194" i="3" s="1"/>
  <c r="F244" i="18"/>
  <c r="G244" i="18" s="1"/>
  <c r="F244" i="9" s="1"/>
  <c r="BK244" i="3" s="1"/>
  <c r="BM244" i="3" s="1"/>
  <c r="F133" i="18"/>
  <c r="G133" i="18" s="1"/>
  <c r="F133" i="9" s="1"/>
  <c r="BK133" i="3" s="1"/>
  <c r="BM133" i="3" s="1"/>
  <c r="F192" i="18"/>
  <c r="G192" i="18" s="1"/>
  <c r="F192" i="9" s="1"/>
  <c r="BK192" i="3" s="1"/>
  <c r="BM192" i="3" s="1"/>
  <c r="F164" i="18"/>
  <c r="G164" i="18" s="1"/>
  <c r="F164" i="9" s="1"/>
  <c r="BK164" i="3" s="1"/>
  <c r="BM164" i="3" s="1"/>
  <c r="F61" i="18"/>
  <c r="G61" i="18" s="1"/>
  <c r="F61" i="9" s="1"/>
  <c r="BK61" i="3" s="1"/>
  <c r="BM61" i="3" s="1"/>
  <c r="F263" i="18"/>
  <c r="G263" i="18" s="1"/>
  <c r="F263" i="9" s="1"/>
  <c r="BK263" i="3" s="1"/>
  <c r="BM263" i="3" s="1"/>
  <c r="F229" i="18"/>
  <c r="G229" i="18" s="1"/>
  <c r="F229" i="9" s="1"/>
  <c r="BK229" i="3" s="1"/>
  <c r="BM229" i="3" s="1"/>
  <c r="F102" i="18"/>
  <c r="G102" i="18" s="1"/>
  <c r="F102" i="9" s="1"/>
  <c r="BK102" i="3" s="1"/>
  <c r="BM102" i="3" s="1"/>
  <c r="F230" i="18"/>
  <c r="G230" i="18" s="1"/>
  <c r="F230" i="9" s="1"/>
  <c r="BK230" i="3" s="1"/>
  <c r="BM230" i="3" s="1"/>
  <c r="F35" i="18"/>
  <c r="G35" i="18" s="1"/>
  <c r="F35" i="9" s="1"/>
  <c r="BK35" i="3" s="1"/>
  <c r="BM35" i="3" s="1"/>
  <c r="F105" i="18"/>
  <c r="G105" i="18" s="1"/>
  <c r="F105" i="9" s="1"/>
  <c r="BK105" i="3" s="1"/>
  <c r="BM105" i="3" s="1"/>
  <c r="F220" i="18"/>
  <c r="G220" i="18" s="1"/>
  <c r="F220" i="9" s="1"/>
  <c r="BK220" i="3" s="1"/>
  <c r="BM220" i="3" s="1"/>
  <c r="F107" i="18"/>
  <c r="G107" i="18" s="1"/>
  <c r="F107" i="9" s="1"/>
  <c r="BK107" i="3" s="1"/>
  <c r="BM107" i="3" s="1"/>
  <c r="F165" i="18"/>
  <c r="G165" i="18" s="1"/>
  <c r="F165" i="9" s="1"/>
  <c r="BK165" i="3" s="1"/>
  <c r="BM165" i="3" s="1"/>
  <c r="F156" i="18"/>
  <c r="G156" i="18" s="1"/>
  <c r="F156" i="9" s="1"/>
  <c r="BK156" i="3" s="1"/>
  <c r="BM156" i="3" s="1"/>
  <c r="F256" i="18"/>
  <c r="G256" i="18" s="1"/>
  <c r="F256" i="9" s="1"/>
  <c r="BK256" i="3" s="1"/>
  <c r="BM256" i="3" s="1"/>
  <c r="F197" i="18"/>
  <c r="G197" i="18" s="1"/>
  <c r="F197" i="9" s="1"/>
  <c r="BK197" i="3" s="1"/>
  <c r="BM197" i="3" s="1"/>
  <c r="F148" i="18"/>
  <c r="G148" i="18" s="1"/>
  <c r="F148" i="9" s="1"/>
  <c r="BK148" i="3" s="1"/>
  <c r="BM148" i="3" s="1"/>
  <c r="F208" i="18"/>
  <c r="G208" i="18" s="1"/>
  <c r="F208" i="9" s="1"/>
  <c r="BK208" i="3" s="1"/>
  <c r="BM208" i="3" s="1"/>
  <c r="F118" i="18"/>
  <c r="G118" i="18" s="1"/>
  <c r="F118" i="9" s="1"/>
  <c r="BK118" i="3" s="1"/>
  <c r="BM118" i="3" s="1"/>
  <c r="F43" i="18"/>
  <c r="G43" i="18" s="1"/>
  <c r="F43" i="9" s="1"/>
  <c r="BK43" i="3" s="1"/>
  <c r="BM43" i="3" s="1"/>
  <c r="F178" i="18"/>
  <c r="G178" i="18" s="1"/>
  <c r="F178" i="9" s="1"/>
  <c r="BK178" i="3" s="1"/>
  <c r="BM178" i="3" s="1"/>
  <c r="F99" i="18"/>
  <c r="G99" i="18" s="1"/>
  <c r="F99" i="9" s="1"/>
  <c r="BK99" i="3" s="1"/>
  <c r="BM99" i="3" s="1"/>
  <c r="F224" i="18"/>
  <c r="G224" i="18" s="1"/>
  <c r="F224" i="9" s="1"/>
  <c r="BK224" i="3" s="1"/>
  <c r="BM224" i="3" s="1"/>
  <c r="F236" i="18"/>
  <c r="G236" i="18" s="1"/>
  <c r="F236" i="9" s="1"/>
  <c r="BK236" i="3" s="1"/>
  <c r="BM236" i="3" s="1"/>
  <c r="F21" i="18"/>
  <c r="G21" i="18" s="1"/>
  <c r="F21" i="9" s="1"/>
  <c r="BK21" i="3" s="1"/>
  <c r="BM21" i="3" s="1"/>
  <c r="F53" i="18"/>
  <c r="G53" i="18" s="1"/>
  <c r="F53" i="9" s="1"/>
  <c r="BK53" i="3" s="1"/>
  <c r="BM53" i="3" s="1"/>
  <c r="F173" i="18"/>
  <c r="G173" i="18" s="1"/>
  <c r="F173" i="9" s="1"/>
  <c r="BK173" i="3" s="1"/>
  <c r="BM173" i="3" s="1"/>
  <c r="F125" i="18"/>
  <c r="G125" i="18" s="1"/>
  <c r="F125" i="9" s="1"/>
  <c r="BK125" i="3" s="1"/>
  <c r="BM125" i="3" s="1"/>
  <c r="F79" i="18"/>
  <c r="G79" i="18" s="1"/>
  <c r="F79" i="9" s="1"/>
  <c r="BK79" i="3" s="1"/>
  <c r="BM79" i="3" s="1"/>
  <c r="F262" i="18"/>
  <c r="G262" i="18" s="1"/>
  <c r="F262" i="9" s="1"/>
  <c r="BK262" i="3" s="1"/>
  <c r="BM262" i="3" s="1"/>
  <c r="F24" i="18"/>
  <c r="G24" i="18" s="1"/>
  <c r="F24" i="9" s="1"/>
  <c r="BK24" i="3" s="1"/>
  <c r="BM24" i="3" s="1"/>
  <c r="F228" i="18"/>
  <c r="G228" i="18" s="1"/>
  <c r="F228" i="9" s="1"/>
  <c r="BK228" i="3" s="1"/>
  <c r="BM228" i="3" s="1"/>
  <c r="F206" i="18"/>
  <c r="G206" i="18" s="1"/>
  <c r="F206" i="9" s="1"/>
  <c r="BK206" i="3" s="1"/>
  <c r="BM206" i="3" s="1"/>
  <c r="F209" i="18"/>
  <c r="G209" i="18" s="1"/>
  <c r="F209" i="9" s="1"/>
  <c r="BK209" i="3" s="1"/>
  <c r="BM209" i="3" s="1"/>
  <c r="F57" i="18"/>
  <c r="G57" i="18" s="1"/>
  <c r="F57" i="9" s="1"/>
  <c r="BK57" i="3" s="1"/>
  <c r="BM57" i="3" s="1"/>
  <c r="F137" i="18"/>
  <c r="G137" i="18" s="1"/>
  <c r="F137" i="9" s="1"/>
  <c r="BK137" i="3" s="1"/>
  <c r="BM137" i="3" s="1"/>
  <c r="F92" i="18"/>
  <c r="G92" i="18" s="1"/>
  <c r="F92" i="9" s="1"/>
  <c r="BK92" i="3" s="1"/>
  <c r="BM92" i="3" s="1"/>
  <c r="F81" i="18"/>
  <c r="G81" i="18" s="1"/>
  <c r="F81" i="9" s="1"/>
  <c r="BK81" i="3" s="1"/>
  <c r="BM81" i="3" s="1"/>
  <c r="F243" i="18"/>
  <c r="G243" i="18" s="1"/>
  <c r="F243" i="9" s="1"/>
  <c r="BK243" i="3" s="1"/>
  <c r="BM243" i="3" s="1"/>
  <c r="F214" i="18"/>
  <c r="G214" i="18" s="1"/>
  <c r="F214" i="9" s="1"/>
  <c r="BK214" i="3" s="1"/>
  <c r="BM214" i="3" s="1"/>
  <c r="F196" i="18"/>
  <c r="G196" i="18" s="1"/>
  <c r="F196" i="9" s="1"/>
  <c r="BK196" i="3" s="1"/>
  <c r="BM196" i="3" s="1"/>
  <c r="F109" i="18"/>
  <c r="G109" i="18" s="1"/>
  <c r="F109" i="9" s="1"/>
  <c r="BK109" i="3" s="1"/>
  <c r="BM109" i="3" s="1"/>
  <c r="F134" i="18"/>
  <c r="G134" i="18" s="1"/>
  <c r="F134" i="9" s="1"/>
  <c r="BK134" i="3" s="1"/>
  <c r="BM134" i="3" s="1"/>
  <c r="F200" i="18"/>
  <c r="G200" i="18" s="1"/>
  <c r="F200" i="9" s="1"/>
  <c r="BK200" i="3" s="1"/>
  <c r="BM200" i="3" s="1"/>
  <c r="F212" i="18"/>
  <c r="G212" i="18" s="1"/>
  <c r="F212" i="9" s="1"/>
  <c r="BK212" i="3" s="1"/>
  <c r="BM212" i="3" s="1"/>
  <c r="F83" i="18"/>
  <c r="G83" i="18" s="1"/>
  <c r="F83" i="9" s="1"/>
  <c r="BK83" i="3" s="1"/>
  <c r="BM83" i="3" s="1"/>
  <c r="F36" i="18"/>
  <c r="G36" i="18" s="1"/>
  <c r="F36" i="9" s="1"/>
  <c r="BK36" i="3" s="1"/>
  <c r="BM36" i="3" s="1"/>
  <c r="F139" i="18"/>
  <c r="G139" i="18" s="1"/>
  <c r="F139" i="9" s="1"/>
  <c r="BK139" i="3" s="1"/>
  <c r="BM139" i="3" s="1"/>
  <c r="F86" i="18"/>
  <c r="G86" i="18" s="1"/>
  <c r="F86" i="9" s="1"/>
  <c r="BK86" i="3" s="1"/>
  <c r="BM86" i="3" s="1"/>
  <c r="F16" i="18"/>
  <c r="G16" i="18" s="1"/>
  <c r="F16" i="9" s="1"/>
  <c r="BK16" i="3" s="1"/>
  <c r="BM16" i="3" s="1"/>
  <c r="F84" i="18"/>
  <c r="G84" i="18" s="1"/>
  <c r="F84" i="9" s="1"/>
  <c r="BK84" i="3" s="1"/>
  <c r="BM84" i="3" s="1"/>
  <c r="F33" i="18"/>
  <c r="G33" i="18" s="1"/>
  <c r="F33" i="9" s="1"/>
  <c r="BK33" i="3" s="1"/>
  <c r="BM33" i="3" s="1"/>
  <c r="F250" i="18"/>
  <c r="G250" i="18" s="1"/>
  <c r="F250" i="9" s="1"/>
  <c r="BK250" i="3" s="1"/>
  <c r="BM250" i="3" s="1"/>
  <c r="F246" i="18"/>
  <c r="G246" i="18" s="1"/>
  <c r="F246" i="9" s="1"/>
  <c r="BK246" i="3" s="1"/>
  <c r="BM246" i="3" s="1"/>
  <c r="F77" i="18"/>
  <c r="G77" i="18" s="1"/>
  <c r="F77" i="9" s="1"/>
  <c r="BK77" i="3" s="1"/>
  <c r="BM77" i="3" s="1"/>
  <c r="F266" i="18"/>
  <c r="G266" i="18" s="1"/>
  <c r="F266" i="9" s="1"/>
  <c r="BK266" i="3" s="1"/>
  <c r="BM266" i="3" s="1"/>
  <c r="F37" i="18"/>
  <c r="G37" i="18" s="1"/>
  <c r="F37" i="9" s="1"/>
  <c r="BK37" i="3" s="1"/>
  <c r="BM37" i="3" s="1"/>
  <c r="F179" i="18"/>
  <c r="G179" i="18" s="1"/>
  <c r="F179" i="9" s="1"/>
  <c r="BK179" i="3" s="1"/>
  <c r="BM179" i="3" s="1"/>
  <c r="F18" i="18"/>
  <c r="G18" i="18" s="1"/>
  <c r="F18" i="9" s="1"/>
  <c r="BK18" i="3" s="1"/>
  <c r="BM18" i="3" s="1"/>
  <c r="F168" i="18"/>
  <c r="G168" i="18" s="1"/>
  <c r="F168" i="9" s="1"/>
  <c r="BK168" i="3" s="1"/>
  <c r="BM168" i="3" s="1"/>
  <c r="F15" i="18"/>
  <c r="G15" i="18" s="1"/>
  <c r="F15" i="9" s="1"/>
  <c r="BK15" i="3" s="1"/>
  <c r="BM15" i="3" s="1"/>
  <c r="F32" i="18"/>
  <c r="G32" i="18" s="1"/>
  <c r="F32" i="9" s="1"/>
  <c r="BK32" i="3" s="1"/>
  <c r="BM32" i="3" s="1"/>
  <c r="F170" i="18"/>
  <c r="G170" i="18" s="1"/>
  <c r="F170" i="9" s="1"/>
  <c r="BK170" i="3" s="1"/>
  <c r="BM170" i="3" s="1"/>
  <c r="F74" i="18"/>
  <c r="G74" i="18" s="1"/>
  <c r="F74" i="9" s="1"/>
  <c r="BK74" i="3" s="1"/>
  <c r="BM74" i="3" s="1"/>
  <c r="F38" i="18"/>
  <c r="G38" i="18" s="1"/>
  <c r="F38" i="9" s="1"/>
  <c r="BK38" i="3" s="1"/>
  <c r="BM38" i="3" s="1"/>
  <c r="F207" i="18"/>
  <c r="G207" i="18" s="1"/>
  <c r="F207" i="9" s="1"/>
  <c r="BK207" i="3" s="1"/>
  <c r="BM207" i="3" s="1"/>
  <c r="F40" i="18"/>
  <c r="G40" i="18" s="1"/>
  <c r="F40" i="9" s="1"/>
  <c r="BK40" i="3" s="1"/>
  <c r="BM40" i="3" s="1"/>
  <c r="F113" i="18"/>
  <c r="G113" i="18" s="1"/>
  <c r="F113" i="9" s="1"/>
  <c r="BK113" i="3" s="1"/>
  <c r="BM113" i="3" s="1"/>
  <c r="F76" i="18"/>
  <c r="G76" i="18" s="1"/>
  <c r="F76" i="9" s="1"/>
  <c r="BK76" i="3" s="1"/>
  <c r="BM76" i="3" s="1"/>
  <c r="F267" i="18"/>
  <c r="G267" i="18" s="1"/>
  <c r="F267" i="9" s="1"/>
  <c r="BK267" i="3" s="1"/>
  <c r="BM267" i="3" s="1"/>
  <c r="F87" i="18"/>
  <c r="G87" i="18" s="1"/>
  <c r="F87" i="9" s="1"/>
  <c r="BK87" i="3" s="1"/>
  <c r="BM87" i="3" s="1"/>
  <c r="F232" i="18"/>
  <c r="G232" i="18" s="1"/>
  <c r="F232" i="9" s="1"/>
  <c r="BK232" i="3" s="1"/>
  <c r="BM232" i="3" s="1"/>
  <c r="F88" i="18"/>
  <c r="G88" i="18" s="1"/>
  <c r="F88" i="9" s="1"/>
  <c r="BK88" i="3" s="1"/>
  <c r="BM88" i="3" s="1"/>
  <c r="F146" i="18"/>
  <c r="G146" i="18" s="1"/>
  <c r="F146" i="9" s="1"/>
  <c r="BK146" i="3" s="1"/>
  <c r="BM146" i="3" s="1"/>
  <c r="F8" i="18"/>
  <c r="G8" i="18" s="1"/>
  <c r="F8" i="9" s="1"/>
  <c r="BK8" i="3" s="1"/>
  <c r="BM8" i="3" s="1"/>
  <c r="F166" i="18"/>
  <c r="G166" i="18" s="1"/>
  <c r="F166" i="9" s="1"/>
  <c r="BK166" i="3" s="1"/>
  <c r="BM166" i="3" s="1"/>
  <c r="F135" i="18"/>
  <c r="G135" i="18" s="1"/>
  <c r="F135" i="9" s="1"/>
  <c r="BK135" i="3" s="1"/>
  <c r="BM135" i="3" s="1"/>
  <c r="F204" i="18"/>
  <c r="G204" i="18" s="1"/>
  <c r="F204" i="9" s="1"/>
  <c r="BK204" i="3" s="1"/>
  <c r="BM204" i="3" s="1"/>
  <c r="F98" i="18"/>
  <c r="G98" i="18" s="1"/>
  <c r="F98" i="9" s="1"/>
  <c r="BK98" i="3" s="1"/>
  <c r="BM98" i="3" s="1"/>
  <c r="F144" i="18"/>
  <c r="G144" i="18" s="1"/>
  <c r="F144" i="9" s="1"/>
  <c r="BK144" i="3" s="1"/>
  <c r="BM144" i="3" s="1"/>
  <c r="F147" i="18"/>
  <c r="G147" i="18" s="1"/>
  <c r="F147" i="9" s="1"/>
  <c r="BK147" i="3" s="1"/>
  <c r="BM147" i="3" s="1"/>
  <c r="F175" i="18"/>
  <c r="G175" i="18" s="1"/>
  <c r="F175" i="9" s="1"/>
  <c r="BK175" i="3" s="1"/>
  <c r="BM175" i="3" s="1"/>
  <c r="F154" i="18"/>
  <c r="G154" i="18" s="1"/>
  <c r="F154" i="9" s="1"/>
  <c r="BK154" i="3" s="1"/>
  <c r="BM154" i="3" s="1"/>
  <c r="F23" i="18"/>
  <c r="G23" i="18" s="1"/>
  <c r="F23" i="9" s="1"/>
  <c r="BK23" i="3" s="1"/>
  <c r="BM23" i="3" s="1"/>
  <c r="F47" i="18"/>
  <c r="G47" i="18" s="1"/>
  <c r="F47" i="9" s="1"/>
  <c r="BK47" i="3" s="1"/>
  <c r="BM47" i="3" s="1"/>
  <c r="F190" i="18"/>
  <c r="G190" i="18" s="1"/>
  <c r="F190" i="9" s="1"/>
  <c r="BK190" i="3" s="1"/>
  <c r="BM190" i="3" s="1"/>
  <c r="F19" i="18"/>
  <c r="G19" i="18" s="1"/>
  <c r="F19" i="9" s="1"/>
  <c r="BK19" i="3" s="1"/>
  <c r="BM19" i="3" s="1"/>
  <c r="F114" i="18"/>
  <c r="G114" i="18" s="1"/>
  <c r="F114" i="9" s="1"/>
  <c r="BK114" i="3" s="1"/>
  <c r="BM114" i="3" s="1"/>
  <c r="AV11" i="3"/>
  <c r="CR11" i="3" s="1"/>
  <c r="CS11" i="3" s="1"/>
  <c r="AR11" i="3" s="1"/>
  <c r="AX30" i="10"/>
  <c r="BC39" i="3"/>
  <c r="AV63" i="3"/>
  <c r="CR63" i="3" s="1"/>
  <c r="CS63" i="3" s="1"/>
  <c r="AR63" i="3" s="1"/>
  <c r="AV267" i="3"/>
  <c r="CR267" i="3" s="1"/>
  <c r="CS267" i="3" s="1"/>
  <c r="AR267" i="3" s="1"/>
  <c r="AV74" i="3"/>
  <c r="CR74" i="3" s="1"/>
  <c r="CS74" i="3" s="1"/>
  <c r="AR74" i="3" s="1"/>
  <c r="BG74" i="3" s="1"/>
  <c r="AV277" i="3"/>
  <c r="CR277" i="3" s="1"/>
  <c r="CS277" i="3" s="1"/>
  <c r="AR277" i="3" s="1"/>
  <c r="AV217" i="3"/>
  <c r="CR217" i="3" s="1"/>
  <c r="CS217" i="3" s="1"/>
  <c r="AR217" i="3" s="1"/>
  <c r="BG217" i="3" s="1"/>
  <c r="AV84" i="3"/>
  <c r="CR84" i="3" s="1"/>
  <c r="CS84" i="3" s="1"/>
  <c r="AR84" i="3" s="1"/>
  <c r="AV105" i="3"/>
  <c r="CR105" i="3" s="1"/>
  <c r="CS105" i="3" s="1"/>
  <c r="AR105" i="3" s="1"/>
  <c r="BG105" i="3" s="1"/>
  <c r="AV272" i="3"/>
  <c r="CR272" i="3" s="1"/>
  <c r="CS272" i="3" s="1"/>
  <c r="AR272" i="3" s="1"/>
  <c r="AW272" i="3" s="1"/>
  <c r="CW272" i="3" s="1"/>
  <c r="D271" i="19" s="1"/>
  <c r="AV148" i="3"/>
  <c r="CR148" i="3" s="1"/>
  <c r="CS148" i="3" s="1"/>
  <c r="AR148" i="3" s="1"/>
  <c r="AV118" i="3"/>
  <c r="CR118" i="3" s="1"/>
  <c r="CS118" i="3" s="1"/>
  <c r="AR118" i="3" s="1"/>
  <c r="AV208" i="3"/>
  <c r="CR208" i="3" s="1"/>
  <c r="CS208" i="3" s="1"/>
  <c r="AR208" i="3" s="1"/>
  <c r="AV87" i="3"/>
  <c r="CR87" i="3" s="1"/>
  <c r="CS87" i="3" s="1"/>
  <c r="AR87" i="3" s="1"/>
  <c r="AV40" i="3"/>
  <c r="CR40" i="3" s="1"/>
  <c r="CS40" i="3" s="1"/>
  <c r="AR40" i="3" s="1"/>
  <c r="AV207" i="3"/>
  <c r="CR207" i="3" s="1"/>
  <c r="CS207" i="3" s="1"/>
  <c r="AR207" i="3" s="1"/>
  <c r="AW207" i="3" s="1"/>
  <c r="CW207" i="3" s="1"/>
  <c r="AV76" i="3"/>
  <c r="CR76" i="3" s="1"/>
  <c r="CS76" i="3" s="1"/>
  <c r="AR76" i="3" s="1"/>
  <c r="AV62" i="3"/>
  <c r="CR62" i="3" s="1"/>
  <c r="CS62" i="3" s="1"/>
  <c r="AR62" i="3" s="1"/>
  <c r="AV82" i="3"/>
  <c r="CR82" i="3" s="1"/>
  <c r="CS82" i="3" s="1"/>
  <c r="AR82" i="3" s="1"/>
  <c r="BG82" i="3" s="1"/>
  <c r="AV191" i="3"/>
  <c r="CR191" i="3" s="1"/>
  <c r="CS191" i="3" s="1"/>
  <c r="AR191" i="3" s="1"/>
  <c r="AV32" i="3"/>
  <c r="CR32" i="3" s="1"/>
  <c r="CS32" i="3" s="1"/>
  <c r="AR32" i="3" s="1"/>
  <c r="BG32" i="3" s="1"/>
  <c r="BI32" i="3" s="1"/>
  <c r="AV38" i="3"/>
  <c r="CR38" i="3" s="1"/>
  <c r="CS38" i="3" s="1"/>
  <c r="AR38" i="3" s="1"/>
  <c r="AV223" i="3"/>
  <c r="CR223" i="3" s="1"/>
  <c r="CS223" i="3" s="1"/>
  <c r="AR223" i="3" s="1"/>
  <c r="BG223" i="3" s="1"/>
  <c r="AV263" i="3"/>
  <c r="CR263" i="3" s="1"/>
  <c r="CS263" i="3" s="1"/>
  <c r="AR263" i="3" s="1"/>
  <c r="AW263" i="3" s="1"/>
  <c r="CW263" i="3" s="1"/>
  <c r="AV61" i="3"/>
  <c r="CR61" i="3" s="1"/>
  <c r="CS61" i="3" s="1"/>
  <c r="AR61" i="3" s="1"/>
  <c r="BG61" i="3" s="1"/>
  <c r="AV253" i="3"/>
  <c r="CR253" i="3" s="1"/>
  <c r="CS253" i="3" s="1"/>
  <c r="AR253" i="3" s="1"/>
  <c r="AV64" i="3"/>
  <c r="CR64" i="3" s="1"/>
  <c r="CS64" i="3" s="1"/>
  <c r="AR64" i="3" s="1"/>
  <c r="AV192" i="3"/>
  <c r="CR192" i="3" s="1"/>
  <c r="CS192" i="3" s="1"/>
  <c r="AR192" i="3" s="1"/>
  <c r="BF192" i="3" s="1"/>
  <c r="AV230" i="3"/>
  <c r="CR230" i="3" s="1"/>
  <c r="CS230" i="3" s="1"/>
  <c r="AR230" i="3" s="1"/>
  <c r="BG230" i="3" s="1"/>
  <c r="AV35" i="3"/>
  <c r="CR35" i="3" s="1"/>
  <c r="CS35" i="3" s="1"/>
  <c r="AR35" i="3" s="1"/>
  <c r="AV102" i="3"/>
  <c r="CR102" i="3" s="1"/>
  <c r="CS102" i="3" s="1"/>
  <c r="AR102" i="3" s="1"/>
  <c r="AW102" i="3" s="1"/>
  <c r="CW102" i="3" s="1"/>
  <c r="AV133" i="3"/>
  <c r="CR133" i="3" s="1"/>
  <c r="CS133" i="3" s="1"/>
  <c r="AR133" i="3" s="1"/>
  <c r="AV107" i="3"/>
  <c r="CR107" i="3" s="1"/>
  <c r="CS107" i="3" s="1"/>
  <c r="AR107" i="3" s="1"/>
  <c r="BO107" i="3" s="1"/>
  <c r="AV273" i="3"/>
  <c r="CR273" i="3" s="1"/>
  <c r="CS273" i="3" s="1"/>
  <c r="AR273" i="3" s="1"/>
  <c r="BG273" i="3" s="1"/>
  <c r="AV46" i="3"/>
  <c r="CR46" i="3" s="1"/>
  <c r="CS46" i="3" s="1"/>
  <c r="AR46" i="3" s="1"/>
  <c r="BG46" i="3" s="1"/>
  <c r="AV220" i="3"/>
  <c r="CR220" i="3" s="1"/>
  <c r="CS220" i="3" s="1"/>
  <c r="AR220" i="3" s="1"/>
  <c r="BO220" i="3" s="1"/>
  <c r="BQ220" i="3" s="1"/>
  <c r="BS220" i="3" s="1"/>
  <c r="AV120" i="3"/>
  <c r="CR120" i="3" s="1"/>
  <c r="CS120" i="3" s="1"/>
  <c r="AR120" i="3" s="1"/>
  <c r="AV244" i="3"/>
  <c r="CR244" i="3" s="1"/>
  <c r="CS244" i="3" s="1"/>
  <c r="AR244" i="3" s="1"/>
  <c r="AV67" i="3"/>
  <c r="CR67" i="3" s="1"/>
  <c r="CS67" i="3" s="1"/>
  <c r="AR67" i="3" s="1"/>
  <c r="AV242" i="3"/>
  <c r="CR242" i="3" s="1"/>
  <c r="CS242" i="3" s="1"/>
  <c r="AR242" i="3" s="1"/>
  <c r="BG242" i="3" s="1"/>
  <c r="AV194" i="3"/>
  <c r="CR194" i="3" s="1"/>
  <c r="CS194" i="3" s="1"/>
  <c r="AR194" i="3" s="1"/>
  <c r="BG194" i="3" s="1"/>
  <c r="AV234" i="3"/>
  <c r="CR234" i="3" s="1"/>
  <c r="CS234" i="3" s="1"/>
  <c r="AR234" i="3" s="1"/>
  <c r="AV116" i="3"/>
  <c r="CR116" i="3" s="1"/>
  <c r="CS116" i="3" s="1"/>
  <c r="AR116" i="3" s="1"/>
  <c r="BO116" i="3" s="1"/>
  <c r="BQ116" i="3" s="1"/>
  <c r="BS116" i="3" s="1"/>
  <c r="AV113" i="3"/>
  <c r="CR113" i="3" s="1"/>
  <c r="CS113" i="3" s="1"/>
  <c r="AR113" i="3" s="1"/>
  <c r="AV170" i="3"/>
  <c r="CR170" i="3" s="1"/>
  <c r="CS170" i="3" s="1"/>
  <c r="AR170" i="3" s="1"/>
  <c r="BG170" i="3" s="1"/>
  <c r="AV55" i="3"/>
  <c r="CR55" i="3" s="1"/>
  <c r="CS55" i="3" s="1"/>
  <c r="AR55" i="3" s="1"/>
  <c r="BG55" i="3" s="1"/>
  <c r="AV283" i="3"/>
  <c r="CR283" i="3" s="1"/>
  <c r="CS283" i="3" s="1"/>
  <c r="AR283" i="3" s="1"/>
  <c r="BF283" i="3" s="1"/>
  <c r="AV51" i="3"/>
  <c r="CR51" i="3" s="1"/>
  <c r="CS51" i="3" s="1"/>
  <c r="AR51" i="3" s="1"/>
  <c r="AV260" i="3"/>
  <c r="CR260" i="3" s="1"/>
  <c r="CS260" i="3" s="1"/>
  <c r="AR260" i="3" s="1"/>
  <c r="AV164" i="3"/>
  <c r="CR164" i="3" s="1"/>
  <c r="CS164" i="3" s="1"/>
  <c r="AR164" i="3" s="1"/>
  <c r="AV195" i="3"/>
  <c r="CR195" i="3" s="1"/>
  <c r="CS195" i="3" s="1"/>
  <c r="AR195" i="3" s="1"/>
  <c r="BG195" i="3" s="1"/>
  <c r="AV212" i="3"/>
  <c r="CR212" i="3" s="1"/>
  <c r="CS212" i="3" s="1"/>
  <c r="AR212" i="3" s="1"/>
  <c r="BG212" i="3" s="1"/>
  <c r="AV169" i="3"/>
  <c r="CR169" i="3" s="1"/>
  <c r="CS169" i="3" s="1"/>
  <c r="AR169" i="3" s="1"/>
  <c r="BG169" i="3" s="1"/>
  <c r="AV16" i="3"/>
  <c r="CR16" i="3" s="1"/>
  <c r="CS16" i="3" s="1"/>
  <c r="AR16" i="3" s="1"/>
  <c r="BF16" i="3" s="1"/>
  <c r="AV86" i="3"/>
  <c r="CR86" i="3" s="1"/>
  <c r="CS86" i="3" s="1"/>
  <c r="AR86" i="3" s="1"/>
  <c r="BG86" i="3" s="1"/>
  <c r="AV69" i="3"/>
  <c r="CR69" i="3" s="1"/>
  <c r="CS69" i="3" s="1"/>
  <c r="AR69" i="3" s="1"/>
  <c r="BG69" i="3" s="1"/>
  <c r="AV124" i="3"/>
  <c r="CR124" i="3" s="1"/>
  <c r="CS124" i="3" s="1"/>
  <c r="AR124" i="3" s="1"/>
  <c r="AV168" i="3"/>
  <c r="CR168" i="3" s="1"/>
  <c r="CS168" i="3" s="1"/>
  <c r="AR168" i="3" s="1"/>
  <c r="AV288" i="3"/>
  <c r="CR288" i="3" s="1"/>
  <c r="CS288" i="3" s="1"/>
  <c r="AR288" i="3" s="1"/>
  <c r="AV287" i="3"/>
  <c r="CR287" i="3" s="1"/>
  <c r="CS287" i="3" s="1"/>
  <c r="AR287" i="3" s="1"/>
  <c r="BG287" i="3" s="1"/>
  <c r="AV15" i="3"/>
  <c r="CR15" i="3" s="1"/>
  <c r="CS15" i="3" s="1"/>
  <c r="AR15" i="3" s="1"/>
  <c r="BG15" i="3" s="1"/>
  <c r="BI15" i="3" s="1"/>
  <c r="AV130" i="3"/>
  <c r="CR130" i="3" s="1"/>
  <c r="CS130" i="3" s="1"/>
  <c r="AR130" i="3" s="1"/>
  <c r="BG130" i="3" s="1"/>
  <c r="AV188" i="3"/>
  <c r="CR188" i="3" s="1"/>
  <c r="CS188" i="3" s="1"/>
  <c r="AR188" i="3" s="1"/>
  <c r="BG188" i="3" s="1"/>
  <c r="AV122" i="3"/>
  <c r="CR122" i="3" s="1"/>
  <c r="CS122" i="3" s="1"/>
  <c r="AR122" i="3" s="1"/>
  <c r="AV202" i="3"/>
  <c r="CR202" i="3" s="1"/>
  <c r="CS202" i="3" s="1"/>
  <c r="AR202" i="3" s="1"/>
  <c r="BG202" i="3" s="1"/>
  <c r="AV18" i="3"/>
  <c r="CR18" i="3" s="1"/>
  <c r="CS18" i="3" s="1"/>
  <c r="AR18" i="3" s="1"/>
  <c r="BG18" i="3" s="1"/>
  <c r="BI18" i="3" s="1"/>
  <c r="AV12" i="3"/>
  <c r="CR12" i="3" s="1"/>
  <c r="CS12" i="3" s="1"/>
  <c r="AR12" i="3" s="1"/>
  <c r="AV184" i="3"/>
  <c r="CR184" i="3" s="1"/>
  <c r="CS184" i="3" s="1"/>
  <c r="AR184" i="3" s="1"/>
  <c r="AV286" i="3"/>
  <c r="CR286" i="3" s="1"/>
  <c r="CS286" i="3" s="1"/>
  <c r="AR286" i="3" s="1"/>
  <c r="BG286" i="3" s="1"/>
  <c r="AV181" i="3"/>
  <c r="CR181" i="3" s="1"/>
  <c r="CS181" i="3" s="1"/>
  <c r="AR181" i="3" s="1"/>
  <c r="AV252" i="3"/>
  <c r="CR252" i="3" s="1"/>
  <c r="CS252" i="3" s="1"/>
  <c r="AR252" i="3" s="1"/>
  <c r="BF252" i="3" s="1"/>
  <c r="AV89" i="3"/>
  <c r="CR89" i="3" s="1"/>
  <c r="CS89" i="3" s="1"/>
  <c r="AR89" i="3" s="1"/>
  <c r="BG89" i="3" s="1"/>
  <c r="AV41" i="3"/>
  <c r="CR41" i="3" s="1"/>
  <c r="CS41" i="3" s="1"/>
  <c r="AR41" i="3" s="1"/>
  <c r="AV48" i="3"/>
  <c r="CR48" i="3" s="1"/>
  <c r="CS48" i="3" s="1"/>
  <c r="AR48" i="3" s="1"/>
  <c r="AW48" i="3" s="1"/>
  <c r="CW48" i="3" s="1"/>
  <c r="AV111" i="3"/>
  <c r="CR111" i="3" s="1"/>
  <c r="CS111" i="3" s="1"/>
  <c r="AR111" i="3" s="1"/>
  <c r="BO111" i="3" s="1"/>
  <c r="BQ111" i="3" s="1"/>
  <c r="BS111" i="3" s="1"/>
  <c r="BT111" i="3" s="1"/>
  <c r="AV127" i="3"/>
  <c r="CR127" i="3" s="1"/>
  <c r="CS127" i="3" s="1"/>
  <c r="AR127" i="3" s="1"/>
  <c r="BF127" i="3" s="1"/>
  <c r="AV79" i="3"/>
  <c r="CR79" i="3" s="1"/>
  <c r="CS79" i="3" s="1"/>
  <c r="AR79" i="3" s="1"/>
  <c r="AV53" i="3"/>
  <c r="CR53" i="3" s="1"/>
  <c r="CS53" i="3" s="1"/>
  <c r="AR53" i="3" s="1"/>
  <c r="BG53" i="3" s="1"/>
  <c r="AV24" i="3"/>
  <c r="CR24" i="3" s="1"/>
  <c r="CS24" i="3" s="1"/>
  <c r="AR24" i="3" s="1"/>
  <c r="BG24" i="3" s="1"/>
  <c r="BI24" i="3" s="1"/>
  <c r="AV172" i="3"/>
  <c r="CR172" i="3" s="1"/>
  <c r="CS172" i="3" s="1"/>
  <c r="AR172" i="3" s="1"/>
  <c r="BG172" i="3" s="1"/>
  <c r="AV228" i="3"/>
  <c r="CR228" i="3" s="1"/>
  <c r="CS228" i="3" s="1"/>
  <c r="AR228" i="3" s="1"/>
  <c r="BG228" i="3" s="1"/>
  <c r="AV173" i="3"/>
  <c r="CR173" i="3" s="1"/>
  <c r="CS173" i="3" s="1"/>
  <c r="AR173" i="3" s="1"/>
  <c r="AV101" i="3"/>
  <c r="CR101" i="3" s="1"/>
  <c r="CS101" i="3" s="1"/>
  <c r="AR101" i="3" s="1"/>
  <c r="AV138" i="3"/>
  <c r="CR138" i="3" s="1"/>
  <c r="CS138" i="3" s="1"/>
  <c r="AR138" i="3" s="1"/>
  <c r="AV125" i="3"/>
  <c r="CR125" i="3" s="1"/>
  <c r="CS125" i="3" s="1"/>
  <c r="AR125" i="3" s="1"/>
  <c r="BG125" i="3" s="1"/>
  <c r="AV80" i="3"/>
  <c r="CR80" i="3" s="1"/>
  <c r="CS80" i="3" s="1"/>
  <c r="AR80" i="3" s="1"/>
  <c r="BG80" i="3" s="1"/>
  <c r="AV52" i="3"/>
  <c r="CR52" i="3" s="1"/>
  <c r="CS52" i="3" s="1"/>
  <c r="AR52" i="3" s="1"/>
  <c r="BG52" i="3" s="1"/>
  <c r="AV50" i="3"/>
  <c r="CR50" i="3" s="1"/>
  <c r="CS50" i="3" s="1"/>
  <c r="AR50" i="3" s="1"/>
  <c r="BG50" i="3" s="1"/>
  <c r="AV152" i="3"/>
  <c r="CR152" i="3" s="1"/>
  <c r="CS152" i="3" s="1"/>
  <c r="AR152" i="3" s="1"/>
  <c r="AW152" i="3" s="1"/>
  <c r="CW152" i="3" s="1"/>
  <c r="AV93" i="3"/>
  <c r="CR93" i="3" s="1"/>
  <c r="CS93" i="3" s="1"/>
  <c r="AR93" i="3" s="1"/>
  <c r="BF93" i="3" s="1"/>
  <c r="AV13" i="3"/>
  <c r="CR13" i="3" s="1"/>
  <c r="CS13" i="3" s="1"/>
  <c r="AR13" i="3" s="1"/>
  <c r="BO13" i="3" s="1"/>
  <c r="BQ13" i="3" s="1"/>
  <c r="BS13" i="3" s="1"/>
  <c r="AV198" i="3"/>
  <c r="CR198" i="3" s="1"/>
  <c r="CS198" i="3" s="1"/>
  <c r="AR198" i="3" s="1"/>
  <c r="AV9" i="3"/>
  <c r="CR9" i="3" s="1"/>
  <c r="CS9" i="3" s="1"/>
  <c r="AR9" i="3" s="1"/>
  <c r="AV227" i="3"/>
  <c r="CR227" i="3" s="1"/>
  <c r="CS227" i="3" s="1"/>
  <c r="AR227" i="3" s="1"/>
  <c r="AV14" i="3"/>
  <c r="CR14" i="3" s="1"/>
  <c r="CS14" i="3" s="1"/>
  <c r="AR14" i="3" s="1"/>
  <c r="AV95" i="3"/>
  <c r="CR95" i="3" s="1"/>
  <c r="CS95" i="3" s="1"/>
  <c r="AR95" i="3" s="1"/>
  <c r="AW95" i="3" s="1"/>
  <c r="CW95" i="3" s="1"/>
  <c r="AV221" i="3"/>
  <c r="CR221" i="3" s="1"/>
  <c r="CS221" i="3" s="1"/>
  <c r="AR221" i="3" s="1"/>
  <c r="BG221" i="3" s="1"/>
  <c r="AV145" i="3"/>
  <c r="CR145" i="3" s="1"/>
  <c r="CS145" i="3" s="1"/>
  <c r="AR145" i="3" s="1"/>
  <c r="BG145" i="3" s="1"/>
  <c r="AV141" i="3"/>
  <c r="CR141" i="3" s="1"/>
  <c r="CS141" i="3" s="1"/>
  <c r="AR141" i="3" s="1"/>
  <c r="AV231" i="3"/>
  <c r="CR231" i="3" s="1"/>
  <c r="CS231" i="3" s="1"/>
  <c r="AR231" i="3" s="1"/>
  <c r="AV251" i="3"/>
  <c r="CR251" i="3" s="1"/>
  <c r="CS251" i="3" s="1"/>
  <c r="AR251" i="3" s="1"/>
  <c r="AV112" i="3"/>
  <c r="CR112" i="3" s="1"/>
  <c r="CS112" i="3" s="1"/>
  <c r="AR112" i="3" s="1"/>
  <c r="AV135" i="3"/>
  <c r="CR135" i="3" s="1"/>
  <c r="CS135" i="3" s="1"/>
  <c r="AR135" i="3" s="1"/>
  <c r="BG135" i="3" s="1"/>
  <c r="AV155" i="3"/>
  <c r="CR155" i="3" s="1"/>
  <c r="CS155" i="3" s="1"/>
  <c r="AR155" i="3" s="1"/>
  <c r="BG155" i="3" s="1"/>
  <c r="AV261" i="3"/>
  <c r="CR261" i="3" s="1"/>
  <c r="CS261" i="3" s="1"/>
  <c r="AR261" i="3" s="1"/>
  <c r="AV17" i="3"/>
  <c r="CR17" i="3" s="1"/>
  <c r="CS17" i="3" s="1"/>
  <c r="AR17" i="3" s="1"/>
  <c r="BG17" i="3" s="1"/>
  <c r="BI17" i="3" s="1"/>
  <c r="AV28" i="3"/>
  <c r="CR28" i="3" s="1"/>
  <c r="CS28" i="3" s="1"/>
  <c r="AR28" i="3" s="1"/>
  <c r="AV140" i="3"/>
  <c r="CR140" i="3" s="1"/>
  <c r="CS140" i="3" s="1"/>
  <c r="AR140" i="3" s="1"/>
  <c r="AV185" i="3"/>
  <c r="CR185" i="3" s="1"/>
  <c r="CS185" i="3" s="1"/>
  <c r="AR185" i="3" s="1"/>
  <c r="BF185" i="3" s="1"/>
  <c r="AV259" i="3"/>
  <c r="CR259" i="3" s="1"/>
  <c r="CS259" i="3" s="1"/>
  <c r="AR259" i="3" s="1"/>
  <c r="BG259" i="3" s="1"/>
  <c r="AV103" i="3"/>
  <c r="CR103" i="3" s="1"/>
  <c r="CS103" i="3" s="1"/>
  <c r="AR103" i="3" s="1"/>
  <c r="AV66" i="3"/>
  <c r="CR66" i="3" s="1"/>
  <c r="CS66" i="3" s="1"/>
  <c r="AR66" i="3" s="1"/>
  <c r="AW66" i="3" s="1"/>
  <c r="CW66" i="3" s="1"/>
  <c r="AV150" i="3"/>
  <c r="CR150" i="3" s="1"/>
  <c r="CS150" i="3" s="1"/>
  <c r="AR150" i="3" s="1"/>
  <c r="AV160" i="3"/>
  <c r="CR160" i="3" s="1"/>
  <c r="CS160" i="3" s="1"/>
  <c r="AR160" i="3" s="1"/>
  <c r="AV121" i="3"/>
  <c r="CR121" i="3" s="1"/>
  <c r="CS121" i="3" s="1"/>
  <c r="AR121" i="3" s="1"/>
  <c r="BG121" i="3" s="1"/>
  <c r="AV10" i="3"/>
  <c r="CR10" i="3" s="1"/>
  <c r="CS10" i="3" s="1"/>
  <c r="AR10" i="3" s="1"/>
  <c r="BG10" i="3" s="1"/>
  <c r="BI10" i="3" s="1"/>
  <c r="AV44" i="3"/>
  <c r="CR44" i="3" s="1"/>
  <c r="CS44" i="3" s="1"/>
  <c r="AR44" i="3" s="1"/>
  <c r="BG44" i="3" s="1"/>
  <c r="AV97" i="3"/>
  <c r="CR97" i="3" s="1"/>
  <c r="CS97" i="3" s="1"/>
  <c r="AR97" i="3" s="1"/>
  <c r="BG97" i="3" s="1"/>
  <c r="AV68" i="3"/>
  <c r="CR68" i="3" s="1"/>
  <c r="CS68" i="3" s="1"/>
  <c r="AR68" i="3" s="1"/>
  <c r="AV39" i="3"/>
  <c r="CR39" i="3" s="1"/>
  <c r="CS39" i="3" s="1"/>
  <c r="AR39" i="3" s="1"/>
  <c r="AV45" i="3"/>
  <c r="CR45" i="3" s="1"/>
  <c r="CS45" i="3" s="1"/>
  <c r="AR45" i="3" s="1"/>
  <c r="BO45" i="3" s="1"/>
  <c r="BQ45" i="3" s="1"/>
  <c r="BS45" i="3" s="1"/>
  <c r="BT45" i="3" s="1"/>
  <c r="AV285" i="3"/>
  <c r="CR285" i="3" s="1"/>
  <c r="CS285" i="3" s="1"/>
  <c r="AR285" i="3" s="1"/>
  <c r="AV59" i="3"/>
  <c r="CR59" i="3" s="1"/>
  <c r="CS59" i="3" s="1"/>
  <c r="AR59" i="3" s="1"/>
  <c r="AV65" i="3"/>
  <c r="CR65" i="3" s="1"/>
  <c r="CS65" i="3" s="1"/>
  <c r="AR65" i="3" s="1"/>
  <c r="BG65" i="3" s="1"/>
  <c r="AV199" i="3"/>
  <c r="CR199" i="3" s="1"/>
  <c r="CS199" i="3" s="1"/>
  <c r="AR199" i="3" s="1"/>
  <c r="AV132" i="3"/>
  <c r="CR132" i="3" s="1"/>
  <c r="CS132" i="3" s="1"/>
  <c r="AR132" i="3" s="1"/>
  <c r="AV219" i="3"/>
  <c r="CR219" i="3" s="1"/>
  <c r="CS219" i="3" s="1"/>
  <c r="AR219" i="3" s="1"/>
  <c r="AV236" i="3"/>
  <c r="CR236" i="3" s="1"/>
  <c r="CS236" i="3" s="1"/>
  <c r="AR236" i="3" s="1"/>
  <c r="BG236" i="3" s="1"/>
  <c r="AV166" i="3"/>
  <c r="CR166" i="3" s="1"/>
  <c r="CS166" i="3" s="1"/>
  <c r="AR166" i="3" s="1"/>
  <c r="AV154" i="3"/>
  <c r="CR154" i="3" s="1"/>
  <c r="CS154" i="3" s="1"/>
  <c r="AR154" i="3" s="1"/>
  <c r="AV96" i="3"/>
  <c r="CR96" i="3" s="1"/>
  <c r="CS96" i="3" s="1"/>
  <c r="AR96" i="3" s="1"/>
  <c r="BG96" i="3" s="1"/>
  <c r="AV237" i="3"/>
  <c r="CR237" i="3" s="1"/>
  <c r="CS237" i="3" s="1"/>
  <c r="AR237" i="3" s="1"/>
  <c r="AV60" i="3"/>
  <c r="CR60" i="3" s="1"/>
  <c r="CS60" i="3" s="1"/>
  <c r="AR60" i="3" s="1"/>
  <c r="BF60" i="3" s="1"/>
  <c r="AV203" i="3"/>
  <c r="CR203" i="3" s="1"/>
  <c r="CS203" i="3" s="1"/>
  <c r="AR203" i="3" s="1"/>
  <c r="AV245" i="3"/>
  <c r="CR245" i="3" s="1"/>
  <c r="CS245" i="3" s="1"/>
  <c r="AR245" i="3" s="1"/>
  <c r="BF245" i="3" s="1"/>
  <c r="AV98" i="3"/>
  <c r="CR98" i="3" s="1"/>
  <c r="CS98" i="3" s="1"/>
  <c r="AR98" i="3" s="1"/>
  <c r="BG98" i="3" s="1"/>
  <c r="AV143" i="3"/>
  <c r="CR143" i="3" s="1"/>
  <c r="CS143" i="3" s="1"/>
  <c r="AR143" i="3" s="1"/>
  <c r="AV269" i="3"/>
  <c r="CR269" i="3" s="1"/>
  <c r="CS269" i="3" s="1"/>
  <c r="AR269" i="3" s="1"/>
  <c r="AV218" i="3"/>
  <c r="CR218" i="3" s="1"/>
  <c r="CS218" i="3" s="1"/>
  <c r="AR218" i="3" s="1"/>
  <c r="AV108" i="3"/>
  <c r="CR108" i="3" s="1"/>
  <c r="CS108" i="3" s="1"/>
  <c r="AR108" i="3" s="1"/>
  <c r="AV233" i="3"/>
  <c r="CR233" i="3" s="1"/>
  <c r="CS233" i="3" s="1"/>
  <c r="AR233" i="3" s="1"/>
  <c r="AV204" i="3"/>
  <c r="CR204" i="3" s="1"/>
  <c r="CS204" i="3" s="1"/>
  <c r="AR204" i="3" s="1"/>
  <c r="BG204" i="3" s="1"/>
  <c r="AV289" i="3"/>
  <c r="CR289" i="3" s="1"/>
  <c r="CS289" i="3" s="1"/>
  <c r="AR289" i="3" s="1"/>
  <c r="BG289" i="3" s="1"/>
  <c r="AV175" i="3"/>
  <c r="CR175" i="3" s="1"/>
  <c r="CS175" i="3" s="1"/>
  <c r="AR175" i="3" s="1"/>
  <c r="AV144" i="3"/>
  <c r="CR144" i="3" s="1"/>
  <c r="CS144" i="3" s="1"/>
  <c r="AR144" i="3" s="1"/>
  <c r="AV147" i="3"/>
  <c r="CR147" i="3" s="1"/>
  <c r="CS147" i="3" s="1"/>
  <c r="AR147" i="3" s="1"/>
  <c r="BG147" i="3" s="1"/>
  <c r="AV54" i="3"/>
  <c r="CR54" i="3" s="1"/>
  <c r="CS54" i="3" s="1"/>
  <c r="AR54" i="3" s="1"/>
  <c r="BG54" i="3" s="1"/>
  <c r="AV213" i="3"/>
  <c r="CR213" i="3" s="1"/>
  <c r="CS213" i="3" s="1"/>
  <c r="AR213" i="3" s="1"/>
  <c r="BF213" i="3" s="1"/>
  <c r="AV214" i="3"/>
  <c r="CR214" i="3" s="1"/>
  <c r="CS214" i="3" s="1"/>
  <c r="AR214" i="3" s="1"/>
  <c r="BG214" i="3" s="1"/>
  <c r="AV94" i="3"/>
  <c r="CR94" i="3" s="1"/>
  <c r="CS94" i="3" s="1"/>
  <c r="AR94" i="3" s="1"/>
  <c r="AV196" i="3"/>
  <c r="CR196" i="3" s="1"/>
  <c r="CS196" i="3" s="1"/>
  <c r="AR196" i="3" s="1"/>
  <c r="BO196" i="3" s="1"/>
  <c r="BQ196" i="3" s="1"/>
  <c r="BS196" i="3" s="1"/>
  <c r="BT196" i="3" s="1"/>
  <c r="AV131" i="3"/>
  <c r="CR131" i="3" s="1"/>
  <c r="CS131" i="3" s="1"/>
  <c r="AR131" i="3" s="1"/>
  <c r="AV187" i="3"/>
  <c r="CR187" i="3" s="1"/>
  <c r="CS187" i="3" s="1"/>
  <c r="AR187" i="3" s="1"/>
  <c r="AV70" i="3"/>
  <c r="CR70" i="3" s="1"/>
  <c r="CS70" i="3" s="1"/>
  <c r="AR70" i="3" s="1"/>
  <c r="AV81" i="3"/>
  <c r="CR81" i="3" s="1"/>
  <c r="CS81" i="3" s="1"/>
  <c r="AR81" i="3" s="1"/>
  <c r="BG81" i="3" s="1"/>
  <c r="AV71" i="3"/>
  <c r="CR71" i="3" s="1"/>
  <c r="CS71" i="3" s="1"/>
  <c r="AR71" i="3" s="1"/>
  <c r="AV205" i="3"/>
  <c r="CR205" i="3" s="1"/>
  <c r="CS205" i="3" s="1"/>
  <c r="AR205" i="3" s="1"/>
  <c r="AW205" i="3" s="1"/>
  <c r="CW205" i="3" s="1"/>
  <c r="AV158" i="3"/>
  <c r="CR158" i="3" s="1"/>
  <c r="CS158" i="3" s="1"/>
  <c r="AR158" i="3" s="1"/>
  <c r="BG158" i="3" s="1"/>
  <c r="AV42" i="3"/>
  <c r="CR42" i="3" s="1"/>
  <c r="CS42" i="3" s="1"/>
  <c r="AR42" i="3" s="1"/>
  <c r="AW42" i="3" s="1"/>
  <c r="CW42" i="3" s="1"/>
  <c r="AV137" i="3"/>
  <c r="CR137" i="3" s="1"/>
  <c r="CS137" i="3" s="1"/>
  <c r="AR137" i="3" s="1"/>
  <c r="BG137" i="3" s="1"/>
  <c r="AV109" i="3"/>
  <c r="CR109" i="3" s="1"/>
  <c r="CS109" i="3" s="1"/>
  <c r="AR109" i="3" s="1"/>
  <c r="AV90" i="3"/>
  <c r="CR90" i="3" s="1"/>
  <c r="CS90" i="3" s="1"/>
  <c r="AR90" i="3" s="1"/>
  <c r="BG90" i="3" s="1"/>
  <c r="AV29" i="3"/>
  <c r="CR29" i="3" s="1"/>
  <c r="CS29" i="3" s="1"/>
  <c r="AR29" i="3" s="1"/>
  <c r="BG29" i="3" s="1"/>
  <c r="BI29" i="3" s="1"/>
  <c r="AV134" i="3"/>
  <c r="CR134" i="3" s="1"/>
  <c r="CS134" i="3" s="1"/>
  <c r="AR134" i="3" s="1"/>
  <c r="AW134" i="3" s="1"/>
  <c r="CW134" i="3" s="1"/>
  <c r="AV200" i="3"/>
  <c r="CR200" i="3" s="1"/>
  <c r="CS200" i="3" s="1"/>
  <c r="AR200" i="3" s="1"/>
  <c r="AV139" i="3"/>
  <c r="CR139" i="3" s="1"/>
  <c r="CS139" i="3" s="1"/>
  <c r="AR139" i="3" s="1"/>
  <c r="AV91" i="3"/>
  <c r="CR91" i="3" s="1"/>
  <c r="CS91" i="3" s="1"/>
  <c r="AR91" i="3" s="1"/>
  <c r="BF91" i="3" s="1"/>
  <c r="AV106" i="3"/>
  <c r="CR106" i="3" s="1"/>
  <c r="CS106" i="3" s="1"/>
  <c r="AR106" i="3" s="1"/>
  <c r="BG106" i="3" s="1"/>
  <c r="AV92" i="3"/>
  <c r="CR92" i="3" s="1"/>
  <c r="CS92" i="3" s="1"/>
  <c r="AR92" i="3" s="1"/>
  <c r="BG92" i="3" s="1"/>
  <c r="AV36" i="3"/>
  <c r="CR36" i="3" s="1"/>
  <c r="CS36" i="3" s="1"/>
  <c r="AR36" i="3" s="1"/>
  <c r="BG36" i="3" s="1"/>
  <c r="BI36" i="3" s="1"/>
  <c r="AV243" i="3"/>
  <c r="CR243" i="3" s="1"/>
  <c r="CS243" i="3" s="1"/>
  <c r="AR243" i="3" s="1"/>
  <c r="BG243" i="3" s="1"/>
  <c r="AV282" i="3"/>
  <c r="CR282" i="3" s="1"/>
  <c r="CS282" i="3" s="1"/>
  <c r="AR282" i="3" s="1"/>
  <c r="BG282" i="3" s="1"/>
  <c r="AV284" i="3"/>
  <c r="CR284" i="3" s="1"/>
  <c r="CS284" i="3" s="1"/>
  <c r="AR284" i="3" s="1"/>
  <c r="BG284" i="3" s="1"/>
  <c r="AV201" i="3"/>
  <c r="CR201" i="3" s="1"/>
  <c r="CS201" i="3" s="1"/>
  <c r="AR201" i="3" s="1"/>
  <c r="BO201" i="3" s="1"/>
  <c r="BQ201" i="3" s="1"/>
  <c r="BS201" i="3" s="1"/>
  <c r="AV49" i="3"/>
  <c r="CR49" i="3" s="1"/>
  <c r="CS49" i="3" s="1"/>
  <c r="AR49" i="3" s="1"/>
  <c r="BG49" i="3" s="1"/>
  <c r="AV177" i="3"/>
  <c r="CR177" i="3" s="1"/>
  <c r="CS177" i="3" s="1"/>
  <c r="AR177" i="3" s="1"/>
  <c r="BG177" i="3" s="1"/>
  <c r="AV126" i="3"/>
  <c r="CR126" i="3" s="1"/>
  <c r="CS126" i="3" s="1"/>
  <c r="AR126" i="3" s="1"/>
  <c r="AV256" i="3"/>
  <c r="CR256" i="3" s="1"/>
  <c r="CS256" i="3" s="1"/>
  <c r="AR256" i="3" s="1"/>
  <c r="BG256" i="3" s="1"/>
  <c r="AV247" i="3"/>
  <c r="CR247" i="3" s="1"/>
  <c r="CS247" i="3" s="1"/>
  <c r="AR247" i="3" s="1"/>
  <c r="BG247" i="3" s="1"/>
  <c r="AV240" i="3"/>
  <c r="CR240" i="3" s="1"/>
  <c r="CS240" i="3" s="1"/>
  <c r="AR240" i="3" s="1"/>
  <c r="BG240" i="3" s="1"/>
  <c r="AV182" i="3"/>
  <c r="CR182" i="3" s="1"/>
  <c r="CS182" i="3" s="1"/>
  <c r="AR182" i="3" s="1"/>
  <c r="BG182" i="3" s="1"/>
  <c r="AV167" i="3"/>
  <c r="CR167" i="3" s="1"/>
  <c r="CS167" i="3" s="1"/>
  <c r="AR167" i="3" s="1"/>
  <c r="AW167" i="3" s="1"/>
  <c r="CW167" i="3" s="1"/>
  <c r="AV235" i="3"/>
  <c r="CR235" i="3" s="1"/>
  <c r="CS235" i="3" s="1"/>
  <c r="AR235" i="3" s="1"/>
  <c r="BG235" i="3" s="1"/>
  <c r="AV290" i="3"/>
  <c r="CR290" i="3" s="1"/>
  <c r="CS290" i="3" s="1"/>
  <c r="AR290" i="3" s="1"/>
  <c r="BG290" i="3" s="1"/>
  <c r="AV280" i="3"/>
  <c r="CR280" i="3" s="1"/>
  <c r="CS280" i="3" s="1"/>
  <c r="AR280" i="3" s="1"/>
  <c r="BO280" i="3" s="1"/>
  <c r="BQ280" i="3" s="1"/>
  <c r="BS280" i="3" s="1"/>
  <c r="BT280" i="3" s="1"/>
  <c r="AV278" i="3"/>
  <c r="CR278" i="3" s="1"/>
  <c r="CS278" i="3" s="1"/>
  <c r="AR278" i="3" s="1"/>
  <c r="AV268" i="3"/>
  <c r="CR268" i="3" s="1"/>
  <c r="CS268" i="3" s="1"/>
  <c r="AR268" i="3" s="1"/>
  <c r="AV151" i="3"/>
  <c r="CR151" i="3" s="1"/>
  <c r="CS151" i="3" s="1"/>
  <c r="AR151" i="3" s="1"/>
  <c r="AV255" i="3"/>
  <c r="CR255" i="3" s="1"/>
  <c r="CS255" i="3" s="1"/>
  <c r="AR255" i="3" s="1"/>
  <c r="BG255" i="3" s="1"/>
  <c r="AV193" i="3"/>
  <c r="AV115" i="3"/>
  <c r="CR115" i="3" s="1"/>
  <c r="CS115" i="3" s="1"/>
  <c r="AR115" i="3" s="1"/>
  <c r="AV100" i="3"/>
  <c r="CR100" i="3" s="1"/>
  <c r="CS100" i="3" s="1"/>
  <c r="AR100" i="3" s="1"/>
  <c r="AV266" i="3"/>
  <c r="CR266" i="3" s="1"/>
  <c r="CS266" i="3" s="1"/>
  <c r="AR266" i="3" s="1"/>
  <c r="AV239" i="3"/>
  <c r="CR239" i="3" s="1"/>
  <c r="CS239" i="3" s="1"/>
  <c r="AR239" i="3" s="1"/>
  <c r="BG239" i="3" s="1"/>
  <c r="AV179" i="3"/>
  <c r="CR179" i="3" s="1"/>
  <c r="CS179" i="3" s="1"/>
  <c r="AR179" i="3" s="1"/>
  <c r="BF179" i="3" s="1"/>
  <c r="AV257" i="3"/>
  <c r="CR257" i="3" s="1"/>
  <c r="CS257" i="3" s="1"/>
  <c r="AR257" i="3" s="1"/>
  <c r="BG257" i="3" s="1"/>
  <c r="AV31" i="3"/>
  <c r="CR31" i="3" s="1"/>
  <c r="CS31" i="3" s="1"/>
  <c r="AR31" i="3" s="1"/>
  <c r="BO31" i="3" s="1"/>
  <c r="BQ31" i="3" s="1"/>
  <c r="BS31" i="3" s="1"/>
  <c r="BT31" i="3" s="1"/>
  <c r="AV25" i="3"/>
  <c r="CR25" i="3" s="1"/>
  <c r="CS25" i="3" s="1"/>
  <c r="AR25" i="3" s="1"/>
  <c r="AV163" i="3"/>
  <c r="CR163" i="3" s="1"/>
  <c r="CS163" i="3" s="1"/>
  <c r="AR163" i="3" s="1"/>
  <c r="BG163" i="3" s="1"/>
  <c r="AV34" i="3"/>
  <c r="CR34" i="3" s="1"/>
  <c r="CS34" i="3" s="1"/>
  <c r="AR34" i="3" s="1"/>
  <c r="BF34" i="3" s="1"/>
  <c r="AV136" i="3"/>
  <c r="CR136" i="3" s="1"/>
  <c r="CS136" i="3" s="1"/>
  <c r="AR136" i="3" s="1"/>
  <c r="BG136" i="3" s="1"/>
  <c r="AV104" i="3"/>
  <c r="CR104" i="3" s="1"/>
  <c r="CS104" i="3" s="1"/>
  <c r="AR104" i="3" s="1"/>
  <c r="BG104" i="3" s="1"/>
  <c r="AV281" i="3"/>
  <c r="CR281" i="3" s="1"/>
  <c r="CS281" i="3" s="1"/>
  <c r="AR281" i="3" s="1"/>
  <c r="BG281" i="3" s="1"/>
  <c r="AV6" i="3"/>
  <c r="CR6" i="3" s="1"/>
  <c r="CS6" i="3" s="1"/>
  <c r="AR6" i="3" s="1"/>
  <c r="BG6" i="3" s="1"/>
  <c r="BI6" i="3" s="1"/>
  <c r="AV275" i="3"/>
  <c r="CR275" i="3" s="1"/>
  <c r="CS275" i="3" s="1"/>
  <c r="AR275" i="3" s="1"/>
  <c r="BG275" i="3" s="1"/>
  <c r="AV142" i="3"/>
  <c r="CR142" i="3" s="1"/>
  <c r="CS142" i="3" s="1"/>
  <c r="AR142" i="3" s="1"/>
  <c r="AV149" i="3"/>
  <c r="CR149" i="3" s="1"/>
  <c r="CS149" i="3" s="1"/>
  <c r="AR149" i="3" s="1"/>
  <c r="BG149" i="3" s="1"/>
  <c r="AV249" i="3"/>
  <c r="CR249" i="3" s="1"/>
  <c r="CS249" i="3" s="1"/>
  <c r="AR249" i="3" s="1"/>
  <c r="AV226" i="3"/>
  <c r="CR226" i="3" s="1"/>
  <c r="CS226" i="3" s="1"/>
  <c r="AR226" i="3" s="1"/>
  <c r="BG226" i="3" s="1"/>
  <c r="AV265" i="3"/>
  <c r="CR265" i="3" s="1"/>
  <c r="CS265" i="3" s="1"/>
  <c r="AR265" i="3" s="1"/>
  <c r="AV22" i="3"/>
  <c r="CR22" i="3" s="1"/>
  <c r="CS22" i="3" s="1"/>
  <c r="AR22" i="3" s="1"/>
  <c r="AV183" i="3"/>
  <c r="CR183" i="3" s="1"/>
  <c r="CS183" i="3" s="1"/>
  <c r="AR183" i="3" s="1"/>
  <c r="BG183" i="3" s="1"/>
  <c r="AV171" i="3"/>
  <c r="CR171" i="3" s="1"/>
  <c r="CS171" i="3" s="1"/>
  <c r="AR171" i="3" s="1"/>
  <c r="BF171" i="3" s="1"/>
  <c r="AM4" i="3"/>
  <c r="CM7" i="3"/>
  <c r="CM4" i="3" s="1"/>
  <c r="AO7" i="3"/>
  <c r="AV7" i="3" s="1"/>
  <c r="CR7" i="3" s="1"/>
  <c r="CS7" i="3" s="1"/>
  <c r="AR7" i="3" s="1"/>
  <c r="AV215" i="3"/>
  <c r="CR215" i="3" s="1"/>
  <c r="CS215" i="3" s="1"/>
  <c r="AR215" i="3" s="1"/>
  <c r="BO215" i="3" s="1"/>
  <c r="BQ215" i="3" s="1"/>
  <c r="BS215" i="3" s="1"/>
  <c r="AV186" i="3"/>
  <c r="CR186" i="3" s="1"/>
  <c r="CS186" i="3" s="1"/>
  <c r="AR186" i="3" s="1"/>
  <c r="AW186" i="3" s="1"/>
  <c r="CW186" i="3" s="1"/>
  <c r="AV176" i="3"/>
  <c r="CR162" i="3"/>
  <c r="CS162" i="3" s="1"/>
  <c r="AR162" i="3" s="1"/>
  <c r="BG162" i="3" s="1"/>
  <c r="CR153" i="3"/>
  <c r="CS153" i="3" s="1"/>
  <c r="AR153" i="3" s="1"/>
  <c r="BG153" i="3" s="1"/>
  <c r="CR254" i="3"/>
  <c r="CS254" i="3" s="1"/>
  <c r="AR254" i="3" s="1"/>
  <c r="BG254" i="3" s="1"/>
  <c r="CR146" i="3"/>
  <c r="CS146" i="3" s="1"/>
  <c r="AR146" i="3" s="1"/>
  <c r="CR23" i="3"/>
  <c r="CS23" i="3" s="1"/>
  <c r="AR23" i="3" s="1"/>
  <c r="BG23" i="3" s="1"/>
  <c r="BI23" i="3" s="1"/>
  <c r="CR128" i="3"/>
  <c r="CS128" i="3" s="1"/>
  <c r="AR128" i="3" s="1"/>
  <c r="BG128" i="3" s="1"/>
  <c r="CR123" i="3"/>
  <c r="CS123" i="3" s="1"/>
  <c r="AR123" i="3" s="1"/>
  <c r="CR174" i="3"/>
  <c r="CS174" i="3" s="1"/>
  <c r="AR174" i="3" s="1"/>
  <c r="AW174" i="3" s="1"/>
  <c r="CW174" i="3" s="1"/>
  <c r="CR224" i="3"/>
  <c r="CS224" i="3" s="1"/>
  <c r="AR224" i="3" s="1"/>
  <c r="AW224" i="3" s="1"/>
  <c r="CW224" i="3" s="1"/>
  <c r="CR232" i="3"/>
  <c r="CS232" i="3" s="1"/>
  <c r="AR232" i="3" s="1"/>
  <c r="CR271" i="3"/>
  <c r="CS271" i="3" s="1"/>
  <c r="AR271" i="3" s="1"/>
  <c r="CR197" i="3"/>
  <c r="CS197" i="3" s="1"/>
  <c r="AR197" i="3" s="1"/>
  <c r="BG197" i="3" s="1"/>
  <c r="CR99" i="3"/>
  <c r="CS99" i="3" s="1"/>
  <c r="AR99" i="3" s="1"/>
  <c r="BG99" i="3" s="1"/>
  <c r="CR78" i="3"/>
  <c r="CS78" i="3" s="1"/>
  <c r="AR78" i="3" s="1"/>
  <c r="BG78" i="3" s="1"/>
  <c r="CR43" i="3"/>
  <c r="CS43" i="3" s="1"/>
  <c r="AR43" i="3" s="1"/>
  <c r="BG43" i="3" s="1"/>
  <c r="CR129" i="3"/>
  <c r="CS129" i="3" s="1"/>
  <c r="AR129" i="3" s="1"/>
  <c r="BO129" i="3" s="1"/>
  <c r="BQ129" i="3" s="1"/>
  <c r="BS129" i="3" s="1"/>
  <c r="CR248" i="3"/>
  <c r="CS248" i="3" s="1"/>
  <c r="AR248" i="3" s="1"/>
  <c r="BG248" i="3" s="1"/>
  <c r="CR165" i="3"/>
  <c r="CS165" i="3" s="1"/>
  <c r="AR165" i="3" s="1"/>
  <c r="CR250" i="3"/>
  <c r="CS250" i="3" s="1"/>
  <c r="AR250" i="3" s="1"/>
  <c r="BG250" i="3" s="1"/>
  <c r="CR157" i="3"/>
  <c r="CS157" i="3" s="1"/>
  <c r="AR157" i="3" s="1"/>
  <c r="CR258" i="3"/>
  <c r="CS258" i="3" s="1"/>
  <c r="AR258" i="3" s="1"/>
  <c r="CR216" i="3"/>
  <c r="CS216" i="3" s="1"/>
  <c r="AR216" i="3" s="1"/>
  <c r="CR246" i="3"/>
  <c r="CS246" i="3" s="1"/>
  <c r="AR246" i="3" s="1"/>
  <c r="BG246" i="3" s="1"/>
  <c r="CR189" i="3"/>
  <c r="CS189" i="3" s="1"/>
  <c r="AR189" i="3" s="1"/>
  <c r="BG189" i="3" s="1"/>
  <c r="CR117" i="3"/>
  <c r="CS117" i="3" s="1"/>
  <c r="AR117" i="3" s="1"/>
  <c r="CR19" i="3"/>
  <c r="CS19" i="3" s="1"/>
  <c r="AR19" i="3" s="1"/>
  <c r="AW19" i="3" s="1"/>
  <c r="CW19" i="3" s="1"/>
  <c r="CR264" i="3"/>
  <c r="CS264" i="3" s="1"/>
  <c r="AR264" i="3" s="1"/>
  <c r="BG264" i="3" s="1"/>
  <c r="CR225" i="3"/>
  <c r="CS225" i="3" s="1"/>
  <c r="AR225" i="3" s="1"/>
  <c r="CR156" i="3"/>
  <c r="CS156" i="3" s="1"/>
  <c r="AR156" i="3" s="1"/>
  <c r="CR72" i="3"/>
  <c r="CS72" i="3" s="1"/>
  <c r="AR72" i="3" s="1"/>
  <c r="BF72" i="3" s="1"/>
  <c r="CR222" i="3"/>
  <c r="CS222" i="3" s="1"/>
  <c r="AR222" i="3" s="1"/>
  <c r="CR270" i="3"/>
  <c r="CS270" i="3" s="1"/>
  <c r="AR270" i="3" s="1"/>
  <c r="BG270" i="3" s="1"/>
  <c r="CR190" i="3"/>
  <c r="CS190" i="3" s="1"/>
  <c r="AR190" i="3" s="1"/>
  <c r="BG190" i="3" s="1"/>
  <c r="CR26" i="3"/>
  <c r="CS26" i="3" s="1"/>
  <c r="AR26" i="3" s="1"/>
  <c r="CR85" i="3"/>
  <c r="CS85" i="3" s="1"/>
  <c r="AR85" i="3" s="1"/>
  <c r="BG85" i="3" s="1"/>
  <c r="CR33" i="3"/>
  <c r="CS33" i="3" s="1"/>
  <c r="AR33" i="3" s="1"/>
  <c r="CR279" i="3"/>
  <c r="CS279" i="3" s="1"/>
  <c r="AR279" i="3" s="1"/>
  <c r="CR47" i="3"/>
  <c r="CS47" i="3" s="1"/>
  <c r="AR47" i="3" s="1"/>
  <c r="BG47" i="3" s="1"/>
  <c r="CR88" i="3"/>
  <c r="CS88" i="3" s="1"/>
  <c r="AR88" i="3" s="1"/>
  <c r="BO88" i="3" s="1"/>
  <c r="BQ88" i="3" s="1"/>
  <c r="BS88" i="3" s="1"/>
  <c r="CR20" i="3"/>
  <c r="CS20" i="3" s="1"/>
  <c r="AR20" i="3" s="1"/>
  <c r="BG20" i="3" s="1"/>
  <c r="BI20" i="3" s="1"/>
  <c r="CR206" i="3"/>
  <c r="CS206" i="3" s="1"/>
  <c r="AR206" i="3" s="1"/>
  <c r="CR209" i="3"/>
  <c r="CS209" i="3" s="1"/>
  <c r="AR209" i="3" s="1"/>
  <c r="CR241" i="3"/>
  <c r="CS241" i="3" s="1"/>
  <c r="AR241" i="3" s="1"/>
  <c r="BG241" i="3" s="1"/>
  <c r="CR161" i="3"/>
  <c r="CS161" i="3" s="1"/>
  <c r="AR161" i="3" s="1"/>
  <c r="CR159" i="3"/>
  <c r="CS159" i="3" s="1"/>
  <c r="AR159" i="3" s="1"/>
  <c r="AV210" i="3"/>
  <c r="AV110" i="3"/>
  <c r="AV178" i="3"/>
  <c r="AV114" i="3"/>
  <c r="AV8" i="3"/>
  <c r="AV276" i="3"/>
  <c r="AV77" i="3"/>
  <c r="AV229" i="3"/>
  <c r="AV262" i="3"/>
  <c r="AV274" i="3"/>
  <c r="AV73" i="3"/>
  <c r="AV37" i="3"/>
  <c r="AV21" i="3"/>
  <c r="AG4" i="3"/>
  <c r="AV119" i="3"/>
  <c r="AV56" i="3"/>
  <c r="AV211" i="3"/>
  <c r="AV30" i="3"/>
  <c r="T4" i="3"/>
  <c r="BI226" i="3" l="1"/>
  <c r="BN226" i="3" s="1"/>
  <c r="K226" i="9"/>
  <c r="BI241" i="3"/>
  <c r="BN241" i="3" s="1"/>
  <c r="K241" i="9"/>
  <c r="BI85" i="3"/>
  <c r="BN85" i="3" s="1"/>
  <c r="K85" i="9"/>
  <c r="BI264" i="3"/>
  <c r="BN264" i="3" s="1"/>
  <c r="K264" i="9"/>
  <c r="BI250" i="3"/>
  <c r="BN250" i="3" s="1"/>
  <c r="K250" i="9"/>
  <c r="BI197" i="3"/>
  <c r="BN197" i="3" s="1"/>
  <c r="K197" i="9"/>
  <c r="BI290" i="3"/>
  <c r="BN290" i="3" s="1"/>
  <c r="K290" i="9"/>
  <c r="BI177" i="3"/>
  <c r="BN177" i="3" s="1"/>
  <c r="K177" i="9"/>
  <c r="BI106" i="3"/>
  <c r="BN106" i="3" s="1"/>
  <c r="K106" i="9"/>
  <c r="BI137" i="3"/>
  <c r="BN137" i="3" s="1"/>
  <c r="K137" i="9"/>
  <c r="BI98" i="3"/>
  <c r="BN98" i="3" s="1"/>
  <c r="K98" i="9"/>
  <c r="BI236" i="3"/>
  <c r="BN236" i="3" s="1"/>
  <c r="K236" i="9"/>
  <c r="BI155" i="3"/>
  <c r="BN155" i="3" s="1"/>
  <c r="K155" i="9"/>
  <c r="BI50" i="3"/>
  <c r="BN50" i="3" s="1"/>
  <c r="K50" i="9"/>
  <c r="BI172" i="3"/>
  <c r="BN172" i="3" s="1"/>
  <c r="K172" i="9"/>
  <c r="BI89" i="3"/>
  <c r="BN89" i="3" s="1"/>
  <c r="K89" i="9"/>
  <c r="BI69" i="3"/>
  <c r="K69" i="9"/>
  <c r="BI242" i="3"/>
  <c r="BN242" i="3" s="1"/>
  <c r="K242" i="9"/>
  <c r="BI99" i="3"/>
  <c r="K99" i="9"/>
  <c r="BI202" i="3"/>
  <c r="BN202" i="3" s="1"/>
  <c r="K202" i="9"/>
  <c r="BI105" i="3"/>
  <c r="BN105" i="3" s="1"/>
  <c r="K105" i="9"/>
  <c r="BI238" i="3"/>
  <c r="BN238" i="3" s="1"/>
  <c r="K238" i="9"/>
  <c r="BI149" i="3"/>
  <c r="BN149" i="3" s="1"/>
  <c r="K149" i="9"/>
  <c r="BI163" i="3"/>
  <c r="BN163" i="3" s="1"/>
  <c r="K163" i="9"/>
  <c r="BI235" i="3"/>
  <c r="BN235" i="3" s="1"/>
  <c r="K235" i="9"/>
  <c r="BI49" i="3"/>
  <c r="BN49" i="3" s="1"/>
  <c r="K49" i="9"/>
  <c r="BI289" i="3"/>
  <c r="BN289" i="3" s="1"/>
  <c r="K289" i="9"/>
  <c r="BI135" i="3"/>
  <c r="BN135" i="3" s="1"/>
  <c r="K135" i="9"/>
  <c r="BI52" i="3"/>
  <c r="BN52" i="3" s="1"/>
  <c r="K52" i="9"/>
  <c r="BI188" i="3"/>
  <c r="K188" i="9"/>
  <c r="BI86" i="3"/>
  <c r="BN86" i="3" s="1"/>
  <c r="K86" i="9"/>
  <c r="BI223" i="3"/>
  <c r="BN223" i="3" s="1"/>
  <c r="K223" i="9"/>
  <c r="BI217" i="3"/>
  <c r="K217" i="9"/>
  <c r="BI158" i="3"/>
  <c r="BN158" i="3" s="1"/>
  <c r="K158" i="9"/>
  <c r="BI204" i="3"/>
  <c r="BN204" i="3" s="1"/>
  <c r="K204" i="9"/>
  <c r="BI97" i="3"/>
  <c r="BN97" i="3" s="1"/>
  <c r="K97" i="9"/>
  <c r="BI259" i="3"/>
  <c r="BN259" i="3" s="1"/>
  <c r="K259" i="9"/>
  <c r="BI80" i="3"/>
  <c r="BN80" i="3" s="1"/>
  <c r="K80" i="9"/>
  <c r="BI53" i="3"/>
  <c r="BN53" i="3" s="1"/>
  <c r="K53" i="9"/>
  <c r="BI130" i="3"/>
  <c r="BN130" i="3" s="1"/>
  <c r="K130" i="9"/>
  <c r="BI55" i="3"/>
  <c r="BN55" i="3" s="1"/>
  <c r="K55" i="9"/>
  <c r="BI92" i="3"/>
  <c r="BN92" i="3" s="1"/>
  <c r="K92" i="9"/>
  <c r="BI228" i="3"/>
  <c r="BN228" i="3" s="1"/>
  <c r="K228" i="9"/>
  <c r="BI61" i="3"/>
  <c r="BN61" i="3" s="1"/>
  <c r="K61" i="9"/>
  <c r="BI270" i="3"/>
  <c r="BN270" i="3" s="1"/>
  <c r="K270" i="9"/>
  <c r="BI189" i="3"/>
  <c r="BN189" i="3" s="1"/>
  <c r="K189" i="9"/>
  <c r="BI153" i="3"/>
  <c r="K153" i="9"/>
  <c r="BI275" i="3"/>
  <c r="BN275" i="3" s="1"/>
  <c r="K275" i="9"/>
  <c r="BI255" i="3"/>
  <c r="BN255" i="3" s="1"/>
  <c r="K255" i="9"/>
  <c r="BI182" i="3"/>
  <c r="BN182" i="3" s="1"/>
  <c r="K182" i="9"/>
  <c r="BI284" i="3"/>
  <c r="BN284" i="3" s="1"/>
  <c r="K284" i="9"/>
  <c r="BI214" i="3"/>
  <c r="BN214" i="3" s="1"/>
  <c r="K214" i="9"/>
  <c r="BI44" i="3"/>
  <c r="BN44" i="3" s="1"/>
  <c r="K44" i="9"/>
  <c r="BI125" i="3"/>
  <c r="BN125" i="3" s="1"/>
  <c r="K125" i="9"/>
  <c r="BI286" i="3"/>
  <c r="BN286" i="3" s="1"/>
  <c r="K286" i="9"/>
  <c r="BI169" i="3"/>
  <c r="BN169" i="3" s="1"/>
  <c r="K169" i="9"/>
  <c r="BI170" i="3"/>
  <c r="BN170" i="3" s="1"/>
  <c r="K170" i="9"/>
  <c r="BI230" i="3"/>
  <c r="BN230" i="3" s="1"/>
  <c r="K230" i="9"/>
  <c r="BI74" i="3"/>
  <c r="BN74" i="3" s="1"/>
  <c r="K74" i="9"/>
  <c r="BI221" i="3"/>
  <c r="BN221" i="3" s="1"/>
  <c r="K221" i="9"/>
  <c r="BI248" i="3"/>
  <c r="K248" i="9"/>
  <c r="BI254" i="3"/>
  <c r="BN254" i="3" s="1"/>
  <c r="K254" i="9"/>
  <c r="BI246" i="3"/>
  <c r="BN246" i="3" s="1"/>
  <c r="K246" i="9"/>
  <c r="BI43" i="3"/>
  <c r="BN43" i="3" s="1"/>
  <c r="K43" i="9"/>
  <c r="BI162" i="3"/>
  <c r="BN162" i="3" s="1"/>
  <c r="K162" i="9"/>
  <c r="BI183" i="3"/>
  <c r="BN183" i="3" s="1"/>
  <c r="K183" i="9"/>
  <c r="BI257" i="3"/>
  <c r="BN257" i="3" s="1"/>
  <c r="K257" i="9"/>
  <c r="BI240" i="3"/>
  <c r="BN240" i="3" s="1"/>
  <c r="K240" i="9"/>
  <c r="BI282" i="3"/>
  <c r="BN282" i="3" s="1"/>
  <c r="K282" i="9"/>
  <c r="BI65" i="3"/>
  <c r="BN65" i="3" s="1"/>
  <c r="K65" i="9"/>
  <c r="BI287" i="3"/>
  <c r="BN287" i="3" s="1"/>
  <c r="K287" i="9"/>
  <c r="BI212" i="3"/>
  <c r="BN212" i="3" s="1"/>
  <c r="K212" i="9"/>
  <c r="BI194" i="3"/>
  <c r="K194" i="9"/>
  <c r="BI47" i="3"/>
  <c r="BN47" i="3" s="1"/>
  <c r="K47" i="9"/>
  <c r="BI78" i="3"/>
  <c r="BN78" i="3" s="1"/>
  <c r="K78" i="9"/>
  <c r="BI281" i="3"/>
  <c r="BN281" i="3" s="1"/>
  <c r="K281" i="9"/>
  <c r="BI247" i="3"/>
  <c r="BN247" i="3" s="1"/>
  <c r="K247" i="9"/>
  <c r="BI243" i="3"/>
  <c r="K243" i="9"/>
  <c r="BI81" i="3"/>
  <c r="BN81" i="3" s="1"/>
  <c r="K81" i="9"/>
  <c r="BI54" i="3"/>
  <c r="BN54" i="3" s="1"/>
  <c r="K54" i="9"/>
  <c r="BI96" i="3"/>
  <c r="BN96" i="3" s="1"/>
  <c r="K96" i="9"/>
  <c r="BI121" i="3"/>
  <c r="BN121" i="3" s="1"/>
  <c r="K121" i="9"/>
  <c r="BI195" i="3"/>
  <c r="BN195" i="3" s="1"/>
  <c r="K195" i="9"/>
  <c r="BI46" i="3"/>
  <c r="BN46" i="3" s="1"/>
  <c r="K46" i="9"/>
  <c r="BI82" i="3"/>
  <c r="BN82" i="3" s="1"/>
  <c r="K82" i="9"/>
  <c r="BI136" i="3"/>
  <c r="BN136" i="3" s="1"/>
  <c r="K136" i="9"/>
  <c r="BI190" i="3"/>
  <c r="BN190" i="3" s="1"/>
  <c r="K190" i="9"/>
  <c r="BI128" i="3"/>
  <c r="BN128" i="3" s="1"/>
  <c r="K128" i="9"/>
  <c r="BI104" i="3"/>
  <c r="BN104" i="3" s="1"/>
  <c r="K104" i="9"/>
  <c r="BI239" i="3"/>
  <c r="BN239" i="3" s="1"/>
  <c r="K239" i="9"/>
  <c r="BI256" i="3"/>
  <c r="BN256" i="3" s="1"/>
  <c r="K256" i="9"/>
  <c r="BI90" i="3"/>
  <c r="BN90" i="3" s="1"/>
  <c r="K90" i="9"/>
  <c r="BI147" i="3"/>
  <c r="BN147" i="3" s="1"/>
  <c r="K147" i="9"/>
  <c r="BI145" i="3"/>
  <c r="BN145" i="3" s="1"/>
  <c r="K145" i="9"/>
  <c r="BI273" i="3"/>
  <c r="K273" i="9"/>
  <c r="BI83" i="3"/>
  <c r="BN83" i="3" s="1"/>
  <c r="K83" i="9"/>
  <c r="F62" i="18"/>
  <c r="G62" i="18" s="1"/>
  <c r="F62" i="9" s="1"/>
  <c r="BK62" i="3" s="1"/>
  <c r="BM62" i="3" s="1"/>
  <c r="AX31" i="10"/>
  <c r="BC103" i="3"/>
  <c r="BN17" i="3"/>
  <c r="BN18" i="3"/>
  <c r="BN24" i="3"/>
  <c r="BN15" i="3"/>
  <c r="K32" i="9"/>
  <c r="BN32" i="3"/>
  <c r="K20" i="9"/>
  <c r="BN20" i="3"/>
  <c r="BN6" i="3"/>
  <c r="BN10" i="3"/>
  <c r="BN29" i="3"/>
  <c r="I204" i="19"/>
  <c r="F271" i="19"/>
  <c r="I271" i="19"/>
  <c r="BT88" i="3"/>
  <c r="BT215" i="3"/>
  <c r="BT201" i="3"/>
  <c r="BT129" i="3"/>
  <c r="BT220" i="3"/>
  <c r="BT13" i="3"/>
  <c r="BT116" i="3"/>
  <c r="CR193" i="3"/>
  <c r="CS193" i="3" s="1"/>
  <c r="AR193" i="3" s="1"/>
  <c r="BG193" i="3" s="1"/>
  <c r="F7" i="18"/>
  <c r="AO4" i="3"/>
  <c r="BG71" i="3"/>
  <c r="BO61" i="3"/>
  <c r="BQ61" i="3" s="1"/>
  <c r="BS61" i="3" s="1"/>
  <c r="BT61" i="3" s="1"/>
  <c r="BF61" i="3"/>
  <c r="AW61" i="3"/>
  <c r="CW61" i="3" s="1"/>
  <c r="BF66" i="3"/>
  <c r="BG66" i="3"/>
  <c r="BO66" i="3"/>
  <c r="BQ66" i="3" s="1"/>
  <c r="BS66" i="3" s="1"/>
  <c r="BT66" i="3" s="1"/>
  <c r="BO44" i="3"/>
  <c r="BQ44" i="3" s="1"/>
  <c r="BS44" i="3" s="1"/>
  <c r="BT44" i="3" s="1"/>
  <c r="BF44" i="3"/>
  <c r="AW44" i="3"/>
  <c r="CW44" i="3" s="1"/>
  <c r="BG283" i="3"/>
  <c r="AW283" i="3"/>
  <c r="CW283" i="3" s="1"/>
  <c r="D282" i="19" s="1"/>
  <c r="BF152" i="3"/>
  <c r="BG152" i="3"/>
  <c r="BO48" i="3"/>
  <c r="BQ48" i="3" s="1"/>
  <c r="BS48" i="3" s="1"/>
  <c r="BT48" i="3" s="1"/>
  <c r="BF48" i="3"/>
  <c r="BO152" i="3"/>
  <c r="BQ152" i="3" s="1"/>
  <c r="BS152" i="3" s="1"/>
  <c r="BG48" i="3"/>
  <c r="BO28" i="3"/>
  <c r="BQ28" i="3" s="1"/>
  <c r="BS28" i="3" s="1"/>
  <c r="BT28" i="3" s="1"/>
  <c r="BG139" i="3"/>
  <c r="BO139" i="3"/>
  <c r="BQ139" i="3" s="1"/>
  <c r="BS139" i="3" s="1"/>
  <c r="BF28" i="3"/>
  <c r="BF139" i="3"/>
  <c r="AW139" i="3"/>
  <c r="CW139" i="3" s="1"/>
  <c r="D166" i="19" s="1"/>
  <c r="F166" i="19" s="1"/>
  <c r="AW28" i="3"/>
  <c r="CW28" i="3" s="1"/>
  <c r="BG28" i="3"/>
  <c r="BI28" i="3" s="1"/>
  <c r="AW179" i="3"/>
  <c r="CW179" i="3" s="1"/>
  <c r="D178" i="19" s="1"/>
  <c r="F178" i="19" s="1"/>
  <c r="BO179" i="3"/>
  <c r="BQ179" i="3" s="1"/>
  <c r="BS179" i="3" s="1"/>
  <c r="AW141" i="3"/>
  <c r="CW141" i="3" s="1"/>
  <c r="D140" i="19" s="1"/>
  <c r="BF141" i="3"/>
  <c r="BG179" i="3"/>
  <c r="BO141" i="3"/>
  <c r="BQ141" i="3" s="1"/>
  <c r="BS141" i="3" s="1"/>
  <c r="BG141" i="3"/>
  <c r="AW267" i="3"/>
  <c r="CW267" i="3" s="1"/>
  <c r="BG25" i="3"/>
  <c r="BI25" i="3" s="1"/>
  <c r="BF267" i="3"/>
  <c r="BO267" i="3"/>
  <c r="BQ267" i="3" s="1"/>
  <c r="BS267" i="3" s="1"/>
  <c r="BO64" i="3"/>
  <c r="BQ64" i="3" s="1"/>
  <c r="BS64" i="3" s="1"/>
  <c r="AW64" i="3"/>
  <c r="CW64" i="3" s="1"/>
  <c r="BF25" i="3"/>
  <c r="AW25" i="3"/>
  <c r="CW25" i="3" s="1"/>
  <c r="BO25" i="3"/>
  <c r="BQ25" i="3" s="1"/>
  <c r="BG267" i="3"/>
  <c r="BO283" i="3"/>
  <c r="BQ283" i="3" s="1"/>
  <c r="BS283" i="3" s="1"/>
  <c r="BT283" i="3" s="1"/>
  <c r="BO171" i="3"/>
  <c r="BQ171" i="3" s="1"/>
  <c r="BS171" i="3" s="1"/>
  <c r="BT171" i="3" s="1"/>
  <c r="BF220" i="3"/>
  <c r="BG171" i="3"/>
  <c r="AW171" i="3"/>
  <c r="CW171" i="3" s="1"/>
  <c r="AW220" i="3"/>
  <c r="CW220" i="3" s="1"/>
  <c r="BG220" i="3"/>
  <c r="BO184" i="3"/>
  <c r="BQ184" i="3" s="1"/>
  <c r="BS184" i="3" s="1"/>
  <c r="BT184" i="3" s="1"/>
  <c r="AW184" i="3"/>
  <c r="CW184" i="3" s="1"/>
  <c r="BF184" i="3"/>
  <c r="BG64" i="3"/>
  <c r="BF64" i="3"/>
  <c r="BG184" i="3"/>
  <c r="CR176" i="3"/>
  <c r="CS176" i="3" s="1"/>
  <c r="AR176" i="3" s="1"/>
  <c r="BF82" i="3"/>
  <c r="BF95" i="3"/>
  <c r="AW254" i="3"/>
  <c r="CW254" i="3" s="1"/>
  <c r="BO90" i="3"/>
  <c r="BQ90" i="3" s="1"/>
  <c r="BS90" i="3" s="1"/>
  <c r="BO204" i="3"/>
  <c r="BQ204" i="3" s="1"/>
  <c r="BS204" i="3" s="1"/>
  <c r="BT204" i="3" s="1"/>
  <c r="AW91" i="3"/>
  <c r="CW91" i="3" s="1"/>
  <c r="D90" i="19" s="1"/>
  <c r="AW275" i="3"/>
  <c r="CW275" i="3" s="1"/>
  <c r="BO162" i="3"/>
  <c r="BQ162" i="3" s="1"/>
  <c r="BS162" i="3" s="1"/>
  <c r="BO275" i="3"/>
  <c r="BQ275" i="3" s="1"/>
  <c r="BS275" i="3" s="1"/>
  <c r="BT275" i="3" s="1"/>
  <c r="BF275" i="3"/>
  <c r="BF240" i="3"/>
  <c r="BF162" i="3"/>
  <c r="AW162" i="3"/>
  <c r="CW162" i="3" s="1"/>
  <c r="BG245" i="3"/>
  <c r="BF255" i="3"/>
  <c r="BO128" i="3"/>
  <c r="BQ128" i="3" s="1"/>
  <c r="BS128" i="3" s="1"/>
  <c r="BT128" i="3" s="1"/>
  <c r="BF128" i="3"/>
  <c r="AW128" i="3"/>
  <c r="CW128" i="3" s="1"/>
  <c r="AW287" i="3"/>
  <c r="CW287" i="3" s="1"/>
  <c r="D286" i="19" s="1"/>
  <c r="BO16" i="3"/>
  <c r="BQ16" i="3" s="1"/>
  <c r="BS16" i="3" s="1"/>
  <c r="BT16" i="3" s="1"/>
  <c r="BO287" i="3"/>
  <c r="BQ287" i="3" s="1"/>
  <c r="BS287" i="3" s="1"/>
  <c r="BT287" i="3" s="1"/>
  <c r="BG116" i="3"/>
  <c r="BO240" i="3"/>
  <c r="BQ240" i="3" s="1"/>
  <c r="BS240" i="3" s="1"/>
  <c r="AW204" i="3"/>
  <c r="CW204" i="3" s="1"/>
  <c r="BF287" i="3"/>
  <c r="BG91" i="3"/>
  <c r="BF136" i="3"/>
  <c r="BO91" i="3"/>
  <c r="BQ91" i="3" s="1"/>
  <c r="BS91" i="3" s="1"/>
  <c r="BO170" i="3"/>
  <c r="BQ170" i="3" s="1"/>
  <c r="BS170" i="3" s="1"/>
  <c r="BT170" i="3" s="1"/>
  <c r="BF90" i="3"/>
  <c r="BO155" i="3"/>
  <c r="BQ155" i="3" s="1"/>
  <c r="BS155" i="3" s="1"/>
  <c r="AW155" i="3"/>
  <c r="CW155" i="3" s="1"/>
  <c r="BF155" i="3"/>
  <c r="BF170" i="3"/>
  <c r="BO136" i="3"/>
  <c r="BQ136" i="3" s="1"/>
  <c r="BS136" i="3" s="1"/>
  <c r="AW90" i="3"/>
  <c r="CW90" i="3" s="1"/>
  <c r="AW136" i="3"/>
  <c r="CW136" i="3" s="1"/>
  <c r="D135" i="19" s="1"/>
  <c r="BF116" i="3"/>
  <c r="AW153" i="3"/>
  <c r="CW153" i="3" s="1"/>
  <c r="BF134" i="3"/>
  <c r="BF153" i="3"/>
  <c r="AW74" i="3"/>
  <c r="CW74" i="3" s="1"/>
  <c r="BF290" i="3"/>
  <c r="BO214" i="3"/>
  <c r="BQ214" i="3" s="1"/>
  <c r="BS214" i="3" s="1"/>
  <c r="BF17" i="3"/>
  <c r="AW121" i="3"/>
  <c r="CW121" i="3" s="1"/>
  <c r="BO121" i="3"/>
  <c r="BQ121" i="3" s="1"/>
  <c r="BS121" i="3" s="1"/>
  <c r="AW215" i="3"/>
  <c r="CW215" i="3" s="1"/>
  <c r="AW78" i="3"/>
  <c r="CW78" i="3" s="1"/>
  <c r="AW17" i="3"/>
  <c r="CW17" i="3" s="1"/>
  <c r="AW214" i="3"/>
  <c r="CW214" i="3" s="1"/>
  <c r="BO284" i="3"/>
  <c r="BQ284" i="3" s="1"/>
  <c r="BS284" i="3" s="1"/>
  <c r="BG16" i="3"/>
  <c r="BI16" i="3" s="1"/>
  <c r="BG215" i="3"/>
  <c r="BF214" i="3"/>
  <c r="BO257" i="3"/>
  <c r="BQ257" i="3" s="1"/>
  <c r="BS257" i="3" s="1"/>
  <c r="BO19" i="3"/>
  <c r="BQ19" i="3" s="1"/>
  <c r="BS19" i="3" s="1"/>
  <c r="BT19" i="3" s="1"/>
  <c r="AW16" i="3"/>
  <c r="CW16" i="3" s="1"/>
  <c r="BF215" i="3"/>
  <c r="AW282" i="3"/>
  <c r="CW282" i="3" s="1"/>
  <c r="D281" i="19" s="1"/>
  <c r="BO17" i="3"/>
  <c r="BQ17" i="3" s="1"/>
  <c r="BS17" i="3" s="1"/>
  <c r="BF121" i="3"/>
  <c r="BF204" i="3"/>
  <c r="BO245" i="3"/>
  <c r="BQ245" i="3" s="1"/>
  <c r="BS245" i="3" s="1"/>
  <c r="BT245" i="3" s="1"/>
  <c r="BO256" i="3"/>
  <c r="BQ256" i="3" s="1"/>
  <c r="BS256" i="3" s="1"/>
  <c r="BT256" i="3" s="1"/>
  <c r="BO189" i="3"/>
  <c r="BQ189" i="3" s="1"/>
  <c r="BS189" i="3" s="1"/>
  <c r="BF46" i="3"/>
  <c r="AW43" i="3"/>
  <c r="CW43" i="3" s="1"/>
  <c r="AW245" i="3"/>
  <c r="CW245" i="3" s="1"/>
  <c r="AW240" i="3"/>
  <c r="CW240" i="3" s="1"/>
  <c r="BO185" i="3"/>
  <c r="BQ185" i="3" s="1"/>
  <c r="BS185" i="3" s="1"/>
  <c r="BO153" i="3"/>
  <c r="BQ153" i="3" s="1"/>
  <c r="BS153" i="3" s="1"/>
  <c r="BG127" i="3"/>
  <c r="BO290" i="3"/>
  <c r="BQ290" i="3" s="1"/>
  <c r="BS290" i="3" s="1"/>
  <c r="BT290" i="3" s="1"/>
  <c r="BF24" i="3"/>
  <c r="BF257" i="3"/>
  <c r="BF246" i="3"/>
  <c r="AW135" i="3"/>
  <c r="CW135" i="3" s="1"/>
  <c r="BO24" i="3"/>
  <c r="BQ24" i="3" s="1"/>
  <c r="BS24" i="3" s="1"/>
  <c r="BT24" i="3" s="1"/>
  <c r="AW104" i="3"/>
  <c r="CW104" i="3" s="1"/>
  <c r="AW246" i="3"/>
  <c r="CW246" i="3" s="1"/>
  <c r="BO255" i="3"/>
  <c r="BQ255" i="3" s="1"/>
  <c r="BS255" i="3" s="1"/>
  <c r="AW32" i="3"/>
  <c r="CW32" i="3" s="1"/>
  <c r="AW145" i="3"/>
  <c r="CW145" i="3" s="1"/>
  <c r="BO183" i="3"/>
  <c r="BQ183" i="3" s="1"/>
  <c r="BS183" i="3" s="1"/>
  <c r="AW189" i="3"/>
  <c r="CW189" i="3" s="1"/>
  <c r="AW170" i="3"/>
  <c r="CW170" i="3" s="1"/>
  <c r="BF98" i="3"/>
  <c r="AW255" i="3"/>
  <c r="CW255" i="3" s="1"/>
  <c r="BO282" i="3"/>
  <c r="BQ282" i="3" s="1"/>
  <c r="BS282" i="3" s="1"/>
  <c r="BT282" i="3" s="1"/>
  <c r="BO239" i="3"/>
  <c r="BQ239" i="3" s="1"/>
  <c r="BS239" i="3" s="1"/>
  <c r="BT239" i="3" s="1"/>
  <c r="BF74" i="3"/>
  <c r="BG207" i="3"/>
  <c r="BF256" i="3"/>
  <c r="AW286" i="3"/>
  <c r="CW286" i="3" s="1"/>
  <c r="D285" i="19" s="1"/>
  <c r="BO55" i="3"/>
  <c r="BQ55" i="3" s="1"/>
  <c r="BS55" i="3" s="1"/>
  <c r="BT55" i="3" s="1"/>
  <c r="AW53" i="3"/>
  <c r="CW53" i="3" s="1"/>
  <c r="AW256" i="3"/>
  <c r="CW256" i="3" s="1"/>
  <c r="AW238" i="3"/>
  <c r="CW238" i="3" s="1"/>
  <c r="BF238" i="3"/>
  <c r="BF286" i="3"/>
  <c r="BO286" i="3"/>
  <c r="BQ286" i="3" s="1"/>
  <c r="BS286" i="3" s="1"/>
  <c r="BT286" i="3" s="1"/>
  <c r="BF53" i="3"/>
  <c r="BO207" i="3"/>
  <c r="BQ207" i="3" s="1"/>
  <c r="BS207" i="3" s="1"/>
  <c r="BT207" i="3" s="1"/>
  <c r="BO74" i="3"/>
  <c r="BQ74" i="3" s="1"/>
  <c r="BS74" i="3" s="1"/>
  <c r="BT74" i="3" s="1"/>
  <c r="BG272" i="3"/>
  <c r="AW183" i="3"/>
  <c r="CW183" i="3" s="1"/>
  <c r="AW24" i="3"/>
  <c r="CW24" i="3" s="1"/>
  <c r="AW257" i="3"/>
  <c r="CW257" i="3" s="1"/>
  <c r="BO246" i="3"/>
  <c r="BQ246" i="3" s="1"/>
  <c r="BS246" i="3" s="1"/>
  <c r="BO145" i="3"/>
  <c r="BQ145" i="3" s="1"/>
  <c r="BS145" i="3" s="1"/>
  <c r="BG213" i="3"/>
  <c r="BO6" i="3"/>
  <c r="BQ6" i="3" s="1"/>
  <c r="BS6" i="3" s="1"/>
  <c r="BT6" i="3" s="1"/>
  <c r="AW6" i="3"/>
  <c r="CW6" i="3" s="1"/>
  <c r="AW213" i="3"/>
  <c r="CW213" i="3" s="1"/>
  <c r="AW212" i="3"/>
  <c r="CW212" i="3" s="1"/>
  <c r="BF135" i="3"/>
  <c r="BF190" i="3"/>
  <c r="AW130" i="3"/>
  <c r="CW130" i="3" s="1"/>
  <c r="BF130" i="3"/>
  <c r="AW177" i="3"/>
  <c r="CW177" i="3" s="1"/>
  <c r="BG45" i="3"/>
  <c r="BO104" i="3"/>
  <c r="BQ104" i="3" s="1"/>
  <c r="BS104" i="3" s="1"/>
  <c r="BO135" i="3"/>
  <c r="BQ135" i="3" s="1"/>
  <c r="BS135" i="3" s="1"/>
  <c r="BG60" i="3"/>
  <c r="BG13" i="3"/>
  <c r="BI13" i="3" s="1"/>
  <c r="BO190" i="3"/>
  <c r="BQ190" i="3" s="1"/>
  <c r="BS190" i="3" s="1"/>
  <c r="BT190" i="3" s="1"/>
  <c r="BO212" i="3"/>
  <c r="BQ212" i="3" s="1"/>
  <c r="BS212" i="3" s="1"/>
  <c r="BT212" i="3" s="1"/>
  <c r="BF104" i="3"/>
  <c r="AW13" i="3"/>
  <c r="CW13" i="3" s="1"/>
  <c r="D65" i="19" s="1"/>
  <c r="F65" i="19" s="1"/>
  <c r="BO130" i="3"/>
  <c r="BQ130" i="3" s="1"/>
  <c r="BS130" i="3" s="1"/>
  <c r="BT130" i="3" s="1"/>
  <c r="AW190" i="3"/>
  <c r="CW190" i="3" s="1"/>
  <c r="AW290" i="3"/>
  <c r="CW290" i="3" s="1"/>
  <c r="D289" i="19" s="1"/>
  <c r="BF189" i="3"/>
  <c r="BF145" i="3"/>
  <c r="AW20" i="3"/>
  <c r="CW20" i="3" s="1"/>
  <c r="AW239" i="3"/>
  <c r="CW239" i="3" s="1"/>
  <c r="BO53" i="3"/>
  <c r="BQ53" i="3" s="1"/>
  <c r="BS53" i="3" s="1"/>
  <c r="BT53" i="3" s="1"/>
  <c r="BF239" i="3"/>
  <c r="BF207" i="3"/>
  <c r="AW127" i="3"/>
  <c r="CW127" i="3" s="1"/>
  <c r="BG102" i="3"/>
  <c r="BG174" i="3"/>
  <c r="BG42" i="3"/>
  <c r="BO263" i="3"/>
  <c r="BQ263" i="3" s="1"/>
  <c r="BS263" i="3" s="1"/>
  <c r="AW289" i="3"/>
  <c r="CW289" i="3" s="1"/>
  <c r="D288" i="19" s="1"/>
  <c r="F288" i="19" s="1"/>
  <c r="AW247" i="3"/>
  <c r="CW247" i="3" s="1"/>
  <c r="D246" i="19" s="1"/>
  <c r="F246" i="19" s="1"/>
  <c r="BF55" i="3"/>
  <c r="AW15" i="3"/>
  <c r="CW15" i="3" s="1"/>
  <c r="AW116" i="3"/>
  <c r="CW116" i="3" s="1"/>
  <c r="BO149" i="3"/>
  <c r="BQ149" i="3" s="1"/>
  <c r="BS149" i="3" s="1"/>
  <c r="BT149" i="3" s="1"/>
  <c r="BF83" i="3"/>
  <c r="BO174" i="3"/>
  <c r="BQ174" i="3" s="1"/>
  <c r="BS174" i="3" s="1"/>
  <c r="BT174" i="3" s="1"/>
  <c r="BO42" i="3"/>
  <c r="BQ42" i="3" s="1"/>
  <c r="BS42" i="3" s="1"/>
  <c r="BT42" i="3" s="1"/>
  <c r="BF174" i="3"/>
  <c r="BO102" i="3"/>
  <c r="BQ102" i="3" s="1"/>
  <c r="BS102" i="3" s="1"/>
  <c r="BT102" i="3" s="1"/>
  <c r="BF42" i="3"/>
  <c r="BO177" i="3"/>
  <c r="BQ177" i="3" s="1"/>
  <c r="BS177" i="3" s="1"/>
  <c r="BT177" i="3" s="1"/>
  <c r="BO65" i="3"/>
  <c r="BQ65" i="3" s="1"/>
  <c r="BS65" i="3" s="1"/>
  <c r="BT65" i="3" s="1"/>
  <c r="BF102" i="3"/>
  <c r="BF65" i="3"/>
  <c r="BO289" i="3"/>
  <c r="BQ289" i="3" s="1"/>
  <c r="BS289" i="3" s="1"/>
  <c r="BO236" i="3"/>
  <c r="BQ236" i="3" s="1"/>
  <c r="BS236" i="3" s="1"/>
  <c r="BT236" i="3" s="1"/>
  <c r="AW60" i="3"/>
  <c r="CW60" i="3" s="1"/>
  <c r="BO192" i="3"/>
  <c r="BQ192" i="3" s="1"/>
  <c r="BS192" i="3" s="1"/>
  <c r="BF201" i="3"/>
  <c r="BF223" i="3"/>
  <c r="BO172" i="3"/>
  <c r="BQ172" i="3" s="1"/>
  <c r="BS172" i="3" s="1"/>
  <c r="BT172" i="3" s="1"/>
  <c r="BO36" i="3"/>
  <c r="BQ36" i="3" s="1"/>
  <c r="BS36" i="3" s="1"/>
  <c r="BT36" i="3" s="1"/>
  <c r="BF149" i="3"/>
  <c r="BO43" i="3"/>
  <c r="BQ43" i="3" s="1"/>
  <c r="BS43" i="3" s="1"/>
  <c r="BT43" i="3" s="1"/>
  <c r="BF20" i="3"/>
  <c r="BF194" i="3"/>
  <c r="BF45" i="3"/>
  <c r="AW264" i="3"/>
  <c r="CW264" i="3" s="1"/>
  <c r="BO98" i="3"/>
  <c r="BQ98" i="3" s="1"/>
  <c r="BS98" i="3" s="1"/>
  <c r="AW236" i="3"/>
  <c r="CW236" i="3" s="1"/>
  <c r="BF15" i="3"/>
  <c r="BF36" i="3"/>
  <c r="AW36" i="3"/>
  <c r="CW36" i="3" s="1"/>
  <c r="D35" i="19" s="1"/>
  <c r="BF264" i="3"/>
  <c r="AW55" i="3"/>
  <c r="CW55" i="3" s="1"/>
  <c r="D101" i="19" s="1"/>
  <c r="BF230" i="3"/>
  <c r="AW50" i="3"/>
  <c r="CW50" i="3" s="1"/>
  <c r="BO83" i="3"/>
  <c r="BQ83" i="3" s="1"/>
  <c r="BS83" i="3" s="1"/>
  <c r="BT83" i="3" s="1"/>
  <c r="BF43" i="3"/>
  <c r="BO15" i="3"/>
  <c r="BQ15" i="3" s="1"/>
  <c r="BS15" i="3" s="1"/>
  <c r="BT15" i="3" s="1"/>
  <c r="BN36" i="3"/>
  <c r="AW226" i="3"/>
  <c r="CW226" i="3" s="1"/>
  <c r="D225" i="19" s="1"/>
  <c r="BO264" i="3"/>
  <c r="BQ264" i="3" s="1"/>
  <c r="BS264" i="3" s="1"/>
  <c r="BT264" i="3" s="1"/>
  <c r="AW83" i="3"/>
  <c r="CW83" i="3" s="1"/>
  <c r="D82" i="19" s="1"/>
  <c r="BF13" i="3"/>
  <c r="BO127" i="3"/>
  <c r="BQ127" i="3" s="1"/>
  <c r="BS127" i="3" s="1"/>
  <c r="BO20" i="3"/>
  <c r="BQ20" i="3" s="1"/>
  <c r="BS20" i="3" s="1"/>
  <c r="BT20" i="3" s="1"/>
  <c r="BF183" i="3"/>
  <c r="BO242" i="3"/>
  <c r="BQ242" i="3" s="1"/>
  <c r="BS242" i="3" s="1"/>
  <c r="BT242" i="3" s="1"/>
  <c r="BF226" i="3"/>
  <c r="AW31" i="3"/>
  <c r="CW31" i="3" s="1"/>
  <c r="BO223" i="3"/>
  <c r="BQ223" i="3" s="1"/>
  <c r="BS223" i="3" s="1"/>
  <c r="BT223" i="3" s="1"/>
  <c r="AW10" i="3"/>
  <c r="CW10" i="3" s="1"/>
  <c r="AW172" i="3"/>
  <c r="CW172" i="3" s="1"/>
  <c r="BO147" i="3"/>
  <c r="BQ147" i="3" s="1"/>
  <c r="BS147" i="3" s="1"/>
  <c r="BT147" i="3" s="1"/>
  <c r="BO221" i="3"/>
  <c r="BQ221" i="3" s="1"/>
  <c r="BS221" i="3" s="1"/>
  <c r="BO247" i="3"/>
  <c r="BQ247" i="3" s="1"/>
  <c r="BS247" i="3" s="1"/>
  <c r="AW197" i="3"/>
  <c r="CW197" i="3" s="1"/>
  <c r="BO137" i="3"/>
  <c r="BQ137" i="3" s="1"/>
  <c r="BS137" i="3" s="1"/>
  <c r="BF147" i="3"/>
  <c r="BF236" i="3"/>
  <c r="BO213" i="3"/>
  <c r="BQ213" i="3" s="1"/>
  <c r="BS213" i="3" s="1"/>
  <c r="BO197" i="3"/>
  <c r="BQ197" i="3" s="1"/>
  <c r="BS197" i="3" s="1"/>
  <c r="BT197" i="3" s="1"/>
  <c r="BF163" i="3"/>
  <c r="BF6" i="3"/>
  <c r="BF172" i="3"/>
  <c r="BF221" i="3"/>
  <c r="BF247" i="3"/>
  <c r="AW163" i="3"/>
  <c r="CW163" i="3" s="1"/>
  <c r="BO34" i="3"/>
  <c r="BQ34" i="3" s="1"/>
  <c r="BS34" i="3" s="1"/>
  <c r="BT34" i="3" s="1"/>
  <c r="BO163" i="3"/>
  <c r="BQ163" i="3" s="1"/>
  <c r="BS163" i="3" s="1"/>
  <c r="BF197" i="3"/>
  <c r="BF168" i="3"/>
  <c r="BG168" i="3"/>
  <c r="BG269" i="3"/>
  <c r="AW269" i="3"/>
  <c r="CW269" i="3" s="1"/>
  <c r="D268" i="19" s="1"/>
  <c r="BO269" i="3"/>
  <c r="BQ269" i="3" s="1"/>
  <c r="BS269" i="3" s="1"/>
  <c r="BT269" i="3" s="1"/>
  <c r="AW242" i="3"/>
  <c r="CW242" i="3" s="1"/>
  <c r="AW223" i="3"/>
  <c r="CW223" i="3" s="1"/>
  <c r="AW45" i="3"/>
  <c r="CW45" i="3" s="1"/>
  <c r="BO182" i="3"/>
  <c r="BQ182" i="3" s="1"/>
  <c r="BS182" i="3" s="1"/>
  <c r="AW149" i="3"/>
  <c r="CW149" i="3" s="1"/>
  <c r="BO235" i="3"/>
  <c r="BQ235" i="3" s="1"/>
  <c r="BS235" i="3" s="1"/>
  <c r="AW235" i="3"/>
  <c r="CW235" i="3" s="1"/>
  <c r="BF212" i="3"/>
  <c r="BF182" i="3"/>
  <c r="AW125" i="3"/>
  <c r="CW125" i="3" s="1"/>
  <c r="BF10" i="3"/>
  <c r="AW182" i="3"/>
  <c r="CW182" i="3" s="1"/>
  <c r="D181" i="19" s="1"/>
  <c r="F181" i="19" s="1"/>
  <c r="BF235" i="3"/>
  <c r="BO10" i="3"/>
  <c r="BQ10" i="3" s="1"/>
  <c r="BS10" i="3" s="1"/>
  <c r="AW252" i="3"/>
  <c r="CW252" i="3" s="1"/>
  <c r="D251" i="19" s="1"/>
  <c r="BF242" i="3"/>
  <c r="BF282" i="3"/>
  <c r="BO125" i="3"/>
  <c r="BQ125" i="3" s="1"/>
  <c r="BS125" i="3" s="1"/>
  <c r="BT125" i="3" s="1"/>
  <c r="BG112" i="3"/>
  <c r="AW112" i="3"/>
  <c r="CW112" i="3" s="1"/>
  <c r="BO112" i="3"/>
  <c r="BQ112" i="3" s="1"/>
  <c r="BS112" i="3" s="1"/>
  <c r="BT112" i="3" s="1"/>
  <c r="BF112" i="3"/>
  <c r="BG271" i="3"/>
  <c r="BF271" i="3"/>
  <c r="BO271" i="3"/>
  <c r="BQ271" i="3" s="1"/>
  <c r="BS271" i="3" s="1"/>
  <c r="AW271" i="3"/>
  <c r="CW271" i="3" s="1"/>
  <c r="D270" i="19" s="1"/>
  <c r="F270" i="19" s="1"/>
  <c r="BN153" i="3"/>
  <c r="BG216" i="3"/>
  <c r="BO216" i="3"/>
  <c r="BQ216" i="3" s="1"/>
  <c r="BS216" i="3" s="1"/>
  <c r="BG222" i="3"/>
  <c r="BF222" i="3"/>
  <c r="AW222" i="3"/>
  <c r="CW222" i="3" s="1"/>
  <c r="BO222" i="3"/>
  <c r="BQ222" i="3" s="1"/>
  <c r="BS222" i="3" s="1"/>
  <c r="BG113" i="3"/>
  <c r="AW113" i="3"/>
  <c r="CW113" i="3" s="1"/>
  <c r="BO113" i="3"/>
  <c r="BQ113" i="3" s="1"/>
  <c r="BS113" i="3" s="1"/>
  <c r="BF113" i="3"/>
  <c r="BG118" i="3"/>
  <c r="AW118" i="3"/>
  <c r="CW118" i="3" s="1"/>
  <c r="D117" i="19" s="1"/>
  <c r="BF118" i="3"/>
  <c r="BO118" i="3"/>
  <c r="BQ118" i="3" s="1"/>
  <c r="BS118" i="3" s="1"/>
  <c r="BT118" i="3" s="1"/>
  <c r="BG154" i="3"/>
  <c r="BF154" i="3"/>
  <c r="AW154" i="3"/>
  <c r="CW154" i="3" s="1"/>
  <c r="D153" i="19" s="1"/>
  <c r="BF12" i="3"/>
  <c r="AW12" i="3"/>
  <c r="CW12" i="3" s="1"/>
  <c r="BG285" i="3"/>
  <c r="BO285" i="3"/>
  <c r="BQ285" i="3" s="1"/>
  <c r="BS285" i="3" s="1"/>
  <c r="AW285" i="3"/>
  <c r="CW285" i="3" s="1"/>
  <c r="D284" i="19" s="1"/>
  <c r="F284" i="19" s="1"/>
  <c r="BF285" i="3"/>
  <c r="BG94" i="3"/>
  <c r="AW94" i="3"/>
  <c r="CW94" i="3" s="1"/>
  <c r="BF94" i="3"/>
  <c r="BO94" i="3"/>
  <c r="BQ94" i="3" s="1"/>
  <c r="BS94" i="3" s="1"/>
  <c r="BO226" i="3"/>
  <c r="BQ226" i="3" s="1"/>
  <c r="BS226" i="3" s="1"/>
  <c r="BT226" i="3" s="1"/>
  <c r="BF50" i="3"/>
  <c r="BF177" i="3"/>
  <c r="BO259" i="3"/>
  <c r="BQ259" i="3" s="1"/>
  <c r="BS259" i="3" s="1"/>
  <c r="BT259" i="3" s="1"/>
  <c r="AW221" i="3"/>
  <c r="CW221" i="3" s="1"/>
  <c r="BF125" i="3"/>
  <c r="AW137" i="3"/>
  <c r="CW137" i="3" s="1"/>
  <c r="BO50" i="3"/>
  <c r="BQ50" i="3" s="1"/>
  <c r="BS50" i="3" s="1"/>
  <c r="BT50" i="3" s="1"/>
  <c r="BF281" i="3"/>
  <c r="AW98" i="3"/>
  <c r="CW98" i="3" s="1"/>
  <c r="D18" i="19" s="1"/>
  <c r="F18" i="19" s="1"/>
  <c r="BF216" i="3"/>
  <c r="BO60" i="3"/>
  <c r="BQ60" i="3" s="1"/>
  <c r="BS60" i="3" s="1"/>
  <c r="BT60" i="3" s="1"/>
  <c r="AW47" i="3"/>
  <c r="CW47" i="3" s="1"/>
  <c r="D46" i="19" s="1"/>
  <c r="AW216" i="3"/>
  <c r="CW216" i="3" s="1"/>
  <c r="D215" i="19" s="1"/>
  <c r="AW93" i="3"/>
  <c r="CW93" i="3" s="1"/>
  <c r="D92" i="19" s="1"/>
  <c r="BG67" i="3"/>
  <c r="BO67" i="3"/>
  <c r="BQ67" i="3" s="1"/>
  <c r="BS67" i="3" s="1"/>
  <c r="BT67" i="3" s="1"/>
  <c r="BF67" i="3"/>
  <c r="AW67" i="3"/>
  <c r="CW67" i="3" s="1"/>
  <c r="BG206" i="3"/>
  <c r="BF206" i="3"/>
  <c r="AW206" i="3"/>
  <c r="CW206" i="3" s="1"/>
  <c r="D205" i="19" s="1"/>
  <c r="BO206" i="3"/>
  <c r="BQ206" i="3" s="1"/>
  <c r="BS206" i="3" s="1"/>
  <c r="BT206" i="3" s="1"/>
  <c r="BG146" i="3"/>
  <c r="BF146" i="3"/>
  <c r="BG157" i="3"/>
  <c r="BF157" i="3"/>
  <c r="AW157" i="3"/>
  <c r="CW157" i="3" s="1"/>
  <c r="D156" i="19" s="1"/>
  <c r="BO157" i="3"/>
  <c r="BQ157" i="3" s="1"/>
  <c r="BS157" i="3" s="1"/>
  <c r="BT157" i="3" s="1"/>
  <c r="BG63" i="3"/>
  <c r="BO63" i="3"/>
  <c r="BQ63" i="3" s="1"/>
  <c r="BS63" i="3" s="1"/>
  <c r="AW63" i="3"/>
  <c r="CW63" i="3" s="1"/>
  <c r="D62" i="19" s="1"/>
  <c r="F62" i="19" s="1"/>
  <c r="BF63" i="3"/>
  <c r="BN99" i="3"/>
  <c r="BG41" i="3"/>
  <c r="BI41" i="3" s="1"/>
  <c r="BF41" i="3"/>
  <c r="BO41" i="3"/>
  <c r="BQ41" i="3" s="1"/>
  <c r="BS41" i="3" s="1"/>
  <c r="BT41" i="3" s="1"/>
  <c r="AW41" i="3"/>
  <c r="CW41" i="3" s="1"/>
  <c r="BN23" i="3"/>
  <c r="BG225" i="3"/>
  <c r="BO225" i="3"/>
  <c r="BQ225" i="3" s="1"/>
  <c r="BS225" i="3" s="1"/>
  <c r="BT225" i="3" s="1"/>
  <c r="BG117" i="3"/>
  <c r="BF117" i="3"/>
  <c r="BO117" i="3"/>
  <c r="BQ117" i="3" s="1"/>
  <c r="BS117" i="3" s="1"/>
  <c r="BT117" i="3" s="1"/>
  <c r="BF253" i="3"/>
  <c r="AW253" i="3"/>
  <c r="CW253" i="3" s="1"/>
  <c r="BF217" i="3"/>
  <c r="AW217" i="3"/>
  <c r="CW217" i="3" s="1"/>
  <c r="BG265" i="3"/>
  <c r="BF265" i="3"/>
  <c r="BO265" i="3"/>
  <c r="BQ265" i="3" s="1"/>
  <c r="BS265" i="3" s="1"/>
  <c r="BT265" i="3" s="1"/>
  <c r="AW265" i="3"/>
  <c r="CW265" i="3" s="1"/>
  <c r="D264" i="19" s="1"/>
  <c r="BG232" i="3"/>
  <c r="BO232" i="3"/>
  <c r="BQ232" i="3" s="1"/>
  <c r="BS232" i="3" s="1"/>
  <c r="BT232" i="3" s="1"/>
  <c r="AW232" i="3"/>
  <c r="CW232" i="3" s="1"/>
  <c r="D231" i="19" s="1"/>
  <c r="BF232" i="3"/>
  <c r="BG123" i="3"/>
  <c r="AW123" i="3"/>
  <c r="CW123" i="3" s="1"/>
  <c r="BO123" i="3"/>
  <c r="BQ123" i="3" s="1"/>
  <c r="BS123" i="3" s="1"/>
  <c r="BF123" i="3"/>
  <c r="BG261" i="3"/>
  <c r="BF261" i="3"/>
  <c r="BO261" i="3"/>
  <c r="BQ261" i="3" s="1"/>
  <c r="BS261" i="3" s="1"/>
  <c r="BG231" i="3"/>
  <c r="BO231" i="3"/>
  <c r="BQ231" i="3" s="1"/>
  <c r="BS231" i="3" s="1"/>
  <c r="BT231" i="3" s="1"/>
  <c r="AW231" i="3"/>
  <c r="CW231" i="3" s="1"/>
  <c r="D230" i="19" s="1"/>
  <c r="BF231" i="3"/>
  <c r="BG159" i="3"/>
  <c r="AW159" i="3"/>
  <c r="CW159" i="3" s="1"/>
  <c r="BO159" i="3"/>
  <c r="BQ159" i="3" s="1"/>
  <c r="BS159" i="3" s="1"/>
  <c r="BT159" i="3" s="1"/>
  <c r="BF159" i="3"/>
  <c r="BG11" i="3"/>
  <c r="BI11" i="3" s="1"/>
  <c r="AW11" i="3"/>
  <c r="CW11" i="3" s="1"/>
  <c r="D10" i="19" s="1"/>
  <c r="BO11" i="3"/>
  <c r="BQ11" i="3" s="1"/>
  <c r="BS11" i="3" s="1"/>
  <c r="BT11" i="3" s="1"/>
  <c r="BF11" i="3"/>
  <c r="BG22" i="3"/>
  <c r="BI22" i="3" s="1"/>
  <c r="BO22" i="3"/>
  <c r="BQ22" i="3" s="1"/>
  <c r="BS22" i="3" s="1"/>
  <c r="BT22" i="3" s="1"/>
  <c r="BF22" i="3"/>
  <c r="AW22" i="3"/>
  <c r="CW22" i="3" s="1"/>
  <c r="BF288" i="3"/>
  <c r="AW288" i="3"/>
  <c r="CW288" i="3" s="1"/>
  <c r="D287" i="19" s="1"/>
  <c r="F287" i="19" s="1"/>
  <c r="BG288" i="3"/>
  <c r="BO288" i="3"/>
  <c r="BQ288" i="3" s="1"/>
  <c r="BS288" i="3" s="1"/>
  <c r="BN188" i="3"/>
  <c r="BG70" i="3"/>
  <c r="BO70" i="3"/>
  <c r="BQ70" i="3" s="1"/>
  <c r="BS70" i="3" s="1"/>
  <c r="BT70" i="3" s="1"/>
  <c r="AW70" i="3"/>
  <c r="CW70" i="3" s="1"/>
  <c r="D69" i="19" s="1"/>
  <c r="BF70" i="3"/>
  <c r="BG181" i="3"/>
  <c r="BF181" i="3"/>
  <c r="AW181" i="3"/>
  <c r="CW181" i="3" s="1"/>
  <c r="D180" i="19" s="1"/>
  <c r="BO181" i="3"/>
  <c r="BQ181" i="3" s="1"/>
  <c r="BS181" i="3" s="1"/>
  <c r="BG38" i="3"/>
  <c r="BI38" i="3" s="1"/>
  <c r="BF38" i="3"/>
  <c r="AW38" i="3"/>
  <c r="CW38" i="3" s="1"/>
  <c r="BO38" i="3"/>
  <c r="BQ38" i="3" s="1"/>
  <c r="BS38" i="3" s="1"/>
  <c r="BT38" i="3" s="1"/>
  <c r="BG173" i="3"/>
  <c r="BF173" i="3"/>
  <c r="BO173" i="3"/>
  <c r="BQ173" i="3" s="1"/>
  <c r="BS173" i="3" s="1"/>
  <c r="BT173" i="3" s="1"/>
  <c r="AW173" i="3"/>
  <c r="CW173" i="3" s="1"/>
  <c r="D172" i="19" s="1"/>
  <c r="BG107" i="3"/>
  <c r="BQ107" i="3"/>
  <c r="BS107" i="3" s="1"/>
  <c r="BT107" i="3" s="1"/>
  <c r="AW107" i="3"/>
  <c r="CW107" i="3" s="1"/>
  <c r="D106" i="19" s="1"/>
  <c r="BF107" i="3"/>
  <c r="BO29" i="3"/>
  <c r="BQ29" i="3" s="1"/>
  <c r="BS29" i="3" s="1"/>
  <c r="BT29" i="3" s="1"/>
  <c r="BF284" i="3"/>
  <c r="BO96" i="3"/>
  <c r="BQ96" i="3" s="1"/>
  <c r="BS96" i="3" s="1"/>
  <c r="BO230" i="3"/>
  <c r="BQ230" i="3" s="1"/>
  <c r="BS230" i="3" s="1"/>
  <c r="BT230" i="3" s="1"/>
  <c r="BF270" i="3"/>
  <c r="AW259" i="3"/>
  <c r="CW259" i="3" s="1"/>
  <c r="BO195" i="3"/>
  <c r="BQ195" i="3" s="1"/>
  <c r="BS195" i="3" s="1"/>
  <c r="BT195" i="3" s="1"/>
  <c r="BO243" i="3"/>
  <c r="BQ243" i="3" s="1"/>
  <c r="BS243" i="3" s="1"/>
  <c r="BT243" i="3" s="1"/>
  <c r="BF88" i="3"/>
  <c r="AW85" i="3"/>
  <c r="CW85" i="3" s="1"/>
  <c r="AW29" i="3"/>
  <c r="CW29" i="3" s="1"/>
  <c r="D28" i="19" s="1"/>
  <c r="BF29" i="3"/>
  <c r="BF225" i="3"/>
  <c r="AW72" i="3"/>
  <c r="CW72" i="3" s="1"/>
  <c r="D71" i="19" s="1"/>
  <c r="AW71" i="3"/>
  <c r="CW71" i="3" s="1"/>
  <c r="D70" i="19" s="1"/>
  <c r="BO194" i="3"/>
  <c r="BQ194" i="3" s="1"/>
  <c r="BS194" i="3" s="1"/>
  <c r="BT194" i="3" s="1"/>
  <c r="BO46" i="3"/>
  <c r="BQ46" i="3" s="1"/>
  <c r="BS46" i="3" s="1"/>
  <c r="BT46" i="3" s="1"/>
  <c r="BO49" i="3"/>
  <c r="BQ49" i="3" s="1"/>
  <c r="BS49" i="3" s="1"/>
  <c r="AW281" i="3"/>
  <c r="CW281" i="3" s="1"/>
  <c r="D280" i="19" s="1"/>
  <c r="BF195" i="3"/>
  <c r="AW243" i="3"/>
  <c r="CW243" i="3" s="1"/>
  <c r="D242" i="19" s="1"/>
  <c r="BO72" i="3"/>
  <c r="BQ72" i="3" s="1"/>
  <c r="BS72" i="3" s="1"/>
  <c r="BT72" i="3" s="1"/>
  <c r="BO78" i="3"/>
  <c r="BQ78" i="3" s="1"/>
  <c r="BS78" i="3" s="1"/>
  <c r="BT78" i="3" s="1"/>
  <c r="AW194" i="3"/>
  <c r="CW194" i="3" s="1"/>
  <c r="BF254" i="3"/>
  <c r="BF78" i="3"/>
  <c r="BN194" i="3"/>
  <c r="AW284" i="3"/>
  <c r="CW284" i="3" s="1"/>
  <c r="D283" i="19" s="1"/>
  <c r="F283" i="19" s="1"/>
  <c r="BF85" i="3"/>
  <c r="AW46" i="3"/>
  <c r="CW46" i="3" s="1"/>
  <c r="AW230" i="3"/>
  <c r="CW230" i="3" s="1"/>
  <c r="BO154" i="3"/>
  <c r="BQ154" i="3" s="1"/>
  <c r="BS154" i="3" s="1"/>
  <c r="BT154" i="3" s="1"/>
  <c r="AW65" i="3"/>
  <c r="CW65" i="3" s="1"/>
  <c r="BF158" i="3"/>
  <c r="BO270" i="3"/>
  <c r="BQ270" i="3" s="1"/>
  <c r="BS270" i="3" s="1"/>
  <c r="BT270" i="3" s="1"/>
  <c r="BF289" i="3"/>
  <c r="AW147" i="3"/>
  <c r="CW147" i="3" s="1"/>
  <c r="BF259" i="3"/>
  <c r="AW195" i="3"/>
  <c r="CW195" i="3" s="1"/>
  <c r="AW117" i="3"/>
  <c r="CW117" i="3" s="1"/>
  <c r="BF49" i="3"/>
  <c r="BG72" i="3"/>
  <c r="BO71" i="3"/>
  <c r="BQ71" i="3" s="1"/>
  <c r="BS71" i="3" s="1"/>
  <c r="BT71" i="3" s="1"/>
  <c r="AW129" i="3"/>
  <c r="CW129" i="3" s="1"/>
  <c r="BO254" i="3"/>
  <c r="BQ254" i="3" s="1"/>
  <c r="BS254" i="3" s="1"/>
  <c r="BT254" i="3" s="1"/>
  <c r="K29" i="9"/>
  <c r="AW96" i="3"/>
  <c r="CW96" i="3" s="1"/>
  <c r="D95" i="19" s="1"/>
  <c r="BO238" i="3"/>
  <c r="BQ238" i="3" s="1"/>
  <c r="BS238" i="3" s="1"/>
  <c r="BT238" i="3" s="1"/>
  <c r="AW270" i="3"/>
  <c r="CW270" i="3" s="1"/>
  <c r="D269" i="19" s="1"/>
  <c r="BF71" i="3"/>
  <c r="BO85" i="3"/>
  <c r="BQ85" i="3" s="1"/>
  <c r="BS85" i="3" s="1"/>
  <c r="BT85" i="3" s="1"/>
  <c r="AW225" i="3"/>
  <c r="CW225" i="3" s="1"/>
  <c r="D224" i="19" s="1"/>
  <c r="BF96" i="3"/>
  <c r="AW49" i="3"/>
  <c r="CW49" i="3" s="1"/>
  <c r="BO281" i="3"/>
  <c r="BQ281" i="3" s="1"/>
  <c r="BS281" i="3" s="1"/>
  <c r="BT281" i="3" s="1"/>
  <c r="BF243" i="3"/>
  <c r="BG191" i="3"/>
  <c r="AW191" i="3"/>
  <c r="CW191" i="3" s="1"/>
  <c r="BF191" i="3"/>
  <c r="BO191" i="3"/>
  <c r="BQ191" i="3" s="1"/>
  <c r="BS191" i="3" s="1"/>
  <c r="BN273" i="3"/>
  <c r="BG160" i="3"/>
  <c r="BF160" i="3"/>
  <c r="AW160" i="3"/>
  <c r="CW160" i="3" s="1"/>
  <c r="D159" i="19" s="1"/>
  <c r="BO160" i="3"/>
  <c r="BQ160" i="3" s="1"/>
  <c r="BS160" i="3" s="1"/>
  <c r="BT160" i="3" s="1"/>
  <c r="BG108" i="3"/>
  <c r="BO108" i="3"/>
  <c r="BQ108" i="3" s="1"/>
  <c r="BS108" i="3" s="1"/>
  <c r="AW108" i="3"/>
  <c r="CW108" i="3" s="1"/>
  <c r="D107" i="19" s="1"/>
  <c r="BF108" i="3"/>
  <c r="BG57" i="3"/>
  <c r="BF57" i="3"/>
  <c r="AW57" i="3"/>
  <c r="CW57" i="3" s="1"/>
  <c r="D56" i="19" s="1"/>
  <c r="F56" i="19" s="1"/>
  <c r="BO57" i="3"/>
  <c r="BQ57" i="3" s="1"/>
  <c r="BS57" i="3" s="1"/>
  <c r="BG126" i="3"/>
  <c r="AW126" i="3"/>
  <c r="CW126" i="3" s="1"/>
  <c r="D125" i="19" s="1"/>
  <c r="BF126" i="3"/>
  <c r="BO126" i="3"/>
  <c r="BQ126" i="3" s="1"/>
  <c r="BS126" i="3" s="1"/>
  <c r="AW199" i="3"/>
  <c r="CW199" i="3" s="1"/>
  <c r="BO199" i="3"/>
  <c r="BQ199" i="3" s="1"/>
  <c r="BS199" i="3" s="1"/>
  <c r="BT199" i="3" s="1"/>
  <c r="BG199" i="3"/>
  <c r="BF199" i="3"/>
  <c r="BG142" i="3"/>
  <c r="BF142" i="3"/>
  <c r="BO142" i="3"/>
  <c r="BQ142" i="3" s="1"/>
  <c r="BS142" i="3" s="1"/>
  <c r="BT142" i="3" s="1"/>
  <c r="AW142" i="3"/>
  <c r="CW142" i="3" s="1"/>
  <c r="AW200" i="3"/>
  <c r="CW200" i="3" s="1"/>
  <c r="BG200" i="3"/>
  <c r="BO200" i="3"/>
  <c r="BQ200" i="3" s="1"/>
  <c r="BS200" i="3" s="1"/>
  <c r="BT200" i="3" s="1"/>
  <c r="BF200" i="3"/>
  <c r="BF133" i="3"/>
  <c r="AW133" i="3"/>
  <c r="CW133" i="3" s="1"/>
  <c r="BO133" i="3"/>
  <c r="BQ133" i="3" s="1"/>
  <c r="BS133" i="3" s="1"/>
  <c r="BT133" i="3" s="1"/>
  <c r="BG133" i="3"/>
  <c r="BG39" i="3"/>
  <c r="K39" i="9" s="1"/>
  <c r="AW39" i="3"/>
  <c r="CW39" i="3" s="1"/>
  <c r="D38" i="19" s="1"/>
  <c r="F38" i="19" s="1"/>
  <c r="BF39" i="3"/>
  <c r="BO39" i="3"/>
  <c r="BQ39" i="3" s="1"/>
  <c r="BS39" i="3" s="1"/>
  <c r="BG148" i="3"/>
  <c r="BF148" i="3"/>
  <c r="BO148" i="3"/>
  <c r="BQ148" i="3" s="1"/>
  <c r="BS148" i="3" s="1"/>
  <c r="BT148" i="3" s="1"/>
  <c r="AW148" i="3"/>
  <c r="CW148" i="3" s="1"/>
  <c r="D147" i="19" s="1"/>
  <c r="BG75" i="3"/>
  <c r="AW75" i="3"/>
  <c r="CW75" i="3" s="1"/>
  <c r="BF75" i="3"/>
  <c r="BO75" i="3"/>
  <c r="BQ75" i="3" s="1"/>
  <c r="BS75" i="3" s="1"/>
  <c r="BT75" i="3" s="1"/>
  <c r="BG131" i="3"/>
  <c r="AW131" i="3"/>
  <c r="CW131" i="3" s="1"/>
  <c r="BO131" i="3"/>
  <c r="BQ131" i="3" s="1"/>
  <c r="BS131" i="3" s="1"/>
  <c r="BF131" i="3"/>
  <c r="BG109" i="3"/>
  <c r="BO109" i="3"/>
  <c r="BQ109" i="3" s="1"/>
  <c r="BS109" i="3" s="1"/>
  <c r="BT109" i="3" s="1"/>
  <c r="BF109" i="3"/>
  <c r="AW109" i="3"/>
  <c r="CW109" i="3" s="1"/>
  <c r="D108" i="19" s="1"/>
  <c r="BG166" i="3"/>
  <c r="BF166" i="3"/>
  <c r="BO166" i="3"/>
  <c r="BQ166" i="3" s="1"/>
  <c r="BS166" i="3" s="1"/>
  <c r="BT166" i="3" s="1"/>
  <c r="AW166" i="3"/>
  <c r="CW166" i="3" s="1"/>
  <c r="BG76" i="3"/>
  <c r="AW76" i="3"/>
  <c r="CW76" i="3" s="1"/>
  <c r="D75" i="19" s="1"/>
  <c r="BO76" i="3"/>
  <c r="BQ76" i="3" s="1"/>
  <c r="BS76" i="3" s="1"/>
  <c r="BT76" i="3" s="1"/>
  <c r="BF76" i="3"/>
  <c r="AW51" i="3"/>
  <c r="CW51" i="3" s="1"/>
  <c r="D50" i="19" s="1"/>
  <c r="BG51" i="3"/>
  <c r="BO51" i="3"/>
  <c r="BQ51" i="3" s="1"/>
  <c r="BS51" i="3" s="1"/>
  <c r="BF51" i="3"/>
  <c r="BG115" i="3"/>
  <c r="BO115" i="3"/>
  <c r="BQ115" i="3" s="1"/>
  <c r="BS115" i="3" s="1"/>
  <c r="BT115" i="3" s="1"/>
  <c r="AW115" i="3"/>
  <c r="CW115" i="3" s="1"/>
  <c r="D114" i="19" s="1"/>
  <c r="BF115" i="3"/>
  <c r="BG244" i="3"/>
  <c r="AW244" i="3"/>
  <c r="CW244" i="3" s="1"/>
  <c r="BO244" i="3"/>
  <c r="BQ244" i="3" s="1"/>
  <c r="BS244" i="3" s="1"/>
  <c r="BT244" i="3" s="1"/>
  <c r="BF244" i="3"/>
  <c r="AW103" i="3"/>
  <c r="CW103" i="3" s="1"/>
  <c r="BO103" i="3"/>
  <c r="BQ103" i="3" s="1"/>
  <c r="BS103" i="3" s="1"/>
  <c r="BT103" i="3" s="1"/>
  <c r="BF103" i="3"/>
  <c r="BG103" i="3"/>
  <c r="AW26" i="3"/>
  <c r="CW26" i="3" s="1"/>
  <c r="D25" i="19" s="1"/>
  <c r="BF26" i="3"/>
  <c r="BG258" i="3"/>
  <c r="BF258" i="3"/>
  <c r="AW258" i="3"/>
  <c r="CW258" i="3" s="1"/>
  <c r="D257" i="19" s="1"/>
  <c r="BO258" i="3"/>
  <c r="BQ258" i="3" s="1"/>
  <c r="BS258" i="3" s="1"/>
  <c r="BT258" i="3" s="1"/>
  <c r="BO7" i="3"/>
  <c r="BQ7" i="3" s="1"/>
  <c r="BS7" i="3" s="1"/>
  <c r="BT7" i="3" s="1"/>
  <c r="BG7" i="3"/>
  <c r="BI7" i="3" s="1"/>
  <c r="BG175" i="3"/>
  <c r="BO175" i="3"/>
  <c r="BQ175" i="3" s="1"/>
  <c r="BS175" i="3" s="1"/>
  <c r="BT175" i="3" s="1"/>
  <c r="BF175" i="3"/>
  <c r="AW175" i="3"/>
  <c r="CW175" i="3" s="1"/>
  <c r="D174" i="19" s="1"/>
  <c r="BG58" i="3"/>
  <c r="AW58" i="3"/>
  <c r="CW58" i="3" s="1"/>
  <c r="D57" i="19" s="1"/>
  <c r="F57" i="19" s="1"/>
  <c r="BF58" i="3"/>
  <c r="BO58" i="3"/>
  <c r="BQ58" i="3" s="1"/>
  <c r="BS58" i="3" s="1"/>
  <c r="BG40" i="3"/>
  <c r="BI40" i="3" s="1"/>
  <c r="BF40" i="3"/>
  <c r="AW40" i="3"/>
  <c r="CW40" i="3" s="1"/>
  <c r="BO40" i="3"/>
  <c r="BQ40" i="3" s="1"/>
  <c r="BS40" i="3" s="1"/>
  <c r="BT40" i="3" s="1"/>
  <c r="BG161" i="3"/>
  <c r="BF161" i="3"/>
  <c r="BO161" i="3"/>
  <c r="BQ161" i="3" s="1"/>
  <c r="BS161" i="3" s="1"/>
  <c r="AW161" i="3"/>
  <c r="CW161" i="3" s="1"/>
  <c r="D160" i="19" s="1"/>
  <c r="F160" i="19" s="1"/>
  <c r="BG278" i="3"/>
  <c r="BO278" i="3"/>
  <c r="BQ278" i="3" s="1"/>
  <c r="BS278" i="3" s="1"/>
  <c r="BT278" i="3" s="1"/>
  <c r="AW278" i="3"/>
  <c r="CW278" i="3" s="1"/>
  <c r="D277" i="19" s="1"/>
  <c r="BF278" i="3"/>
  <c r="BG260" i="3"/>
  <c r="AW260" i="3"/>
  <c r="CW260" i="3" s="1"/>
  <c r="D259" i="19" s="1"/>
  <c r="BO260" i="3"/>
  <c r="BQ260" i="3" s="1"/>
  <c r="BS260" i="3" s="1"/>
  <c r="BT260" i="3" s="1"/>
  <c r="BF260" i="3"/>
  <c r="BG151" i="3"/>
  <c r="AW151" i="3"/>
  <c r="CW151" i="3" s="1"/>
  <c r="D150" i="19" s="1"/>
  <c r="BO151" i="3"/>
  <c r="BQ151" i="3" s="1"/>
  <c r="BS151" i="3" s="1"/>
  <c r="BF151" i="3"/>
  <c r="BG14" i="3"/>
  <c r="BI14" i="3" s="1"/>
  <c r="BF14" i="3"/>
  <c r="BO14" i="3"/>
  <c r="BQ14" i="3" s="1"/>
  <c r="BS14" i="3" s="1"/>
  <c r="AW14" i="3"/>
  <c r="CW14" i="3" s="1"/>
  <c r="D13" i="19" s="1"/>
  <c r="BG124" i="3"/>
  <c r="BO124" i="3"/>
  <c r="BQ124" i="3" s="1"/>
  <c r="BS124" i="3" s="1"/>
  <c r="BT124" i="3" s="1"/>
  <c r="BF124" i="3"/>
  <c r="AW124" i="3"/>
  <c r="CW124" i="3" s="1"/>
  <c r="BG198" i="3"/>
  <c r="BO198" i="3"/>
  <c r="BQ198" i="3" s="1"/>
  <c r="BS198" i="3" s="1"/>
  <c r="BT198" i="3" s="1"/>
  <c r="AW198" i="3"/>
  <c r="CW198" i="3" s="1"/>
  <c r="D197" i="19" s="1"/>
  <c r="BF198" i="3"/>
  <c r="BG165" i="3"/>
  <c r="BF165" i="3"/>
  <c r="AW165" i="3"/>
  <c r="CW165" i="3" s="1"/>
  <c r="D164" i="19" s="1"/>
  <c r="BO165" i="3"/>
  <c r="BQ165" i="3" s="1"/>
  <c r="BS165" i="3" s="1"/>
  <c r="BT165" i="3" s="1"/>
  <c r="BG233" i="3"/>
  <c r="BO233" i="3"/>
  <c r="BQ233" i="3" s="1"/>
  <c r="BS233" i="3" s="1"/>
  <c r="AW233" i="3"/>
  <c r="CW233" i="3" s="1"/>
  <c r="D232" i="19" s="1"/>
  <c r="F232" i="19" s="1"/>
  <c r="BF233" i="3"/>
  <c r="BG87" i="3"/>
  <c r="AW87" i="3"/>
  <c r="CW87" i="3" s="1"/>
  <c r="BF87" i="3"/>
  <c r="BO87" i="3"/>
  <c r="BQ87" i="3" s="1"/>
  <c r="BS87" i="3" s="1"/>
  <c r="J128" i="19" s="1"/>
  <c r="CY129" i="3" s="1"/>
  <c r="BG84" i="3"/>
  <c r="BO84" i="3"/>
  <c r="BQ84" i="3" s="1"/>
  <c r="BS84" i="3" s="1"/>
  <c r="BF84" i="3"/>
  <c r="AW84" i="3"/>
  <c r="CW84" i="3" s="1"/>
  <c r="D83" i="19" s="1"/>
  <c r="BG62" i="3"/>
  <c r="BF62" i="3"/>
  <c r="BO62" i="3"/>
  <c r="BQ62" i="3" s="1"/>
  <c r="BS62" i="3" s="1"/>
  <c r="BT62" i="3" s="1"/>
  <c r="AW62" i="3"/>
  <c r="CW62" i="3" s="1"/>
  <c r="BG9" i="3"/>
  <c r="BI9" i="3" s="1"/>
  <c r="BF9" i="3"/>
  <c r="BO9" i="3"/>
  <c r="BQ9" i="3" s="1"/>
  <c r="BS9" i="3" s="1"/>
  <c r="BT9" i="3" s="1"/>
  <c r="AW9" i="3"/>
  <c r="CW9" i="3" s="1"/>
  <c r="D8" i="19" s="1"/>
  <c r="AW164" i="3"/>
  <c r="CW164" i="3" s="1"/>
  <c r="D163" i="19" s="1"/>
  <c r="BG164" i="3"/>
  <c r="BF164" i="3"/>
  <c r="BO164" i="3"/>
  <c r="BQ164" i="3" s="1"/>
  <c r="BS164" i="3" s="1"/>
  <c r="BT164" i="3" s="1"/>
  <c r="BF266" i="3"/>
  <c r="BO266" i="3"/>
  <c r="BQ266" i="3" s="1"/>
  <c r="BS266" i="3" s="1"/>
  <c r="BG266" i="3"/>
  <c r="AW266" i="3"/>
  <c r="CW266" i="3" s="1"/>
  <c r="D265" i="19" s="1"/>
  <c r="BG180" i="3"/>
  <c r="AW180" i="3"/>
  <c r="CW180" i="3" s="1"/>
  <c r="D179" i="19" s="1"/>
  <c r="BF180" i="3"/>
  <c r="BO180" i="3"/>
  <c r="BQ180" i="3" s="1"/>
  <c r="BS180" i="3" s="1"/>
  <c r="BT180" i="3" s="1"/>
  <c r="AW228" i="3"/>
  <c r="CW228" i="3" s="1"/>
  <c r="D227" i="19" s="1"/>
  <c r="AW82" i="3"/>
  <c r="CW82" i="3" s="1"/>
  <c r="BG280" i="3"/>
  <c r="BF80" i="3"/>
  <c r="BF18" i="3"/>
  <c r="BF81" i="3"/>
  <c r="BO228" i="3"/>
  <c r="BQ228" i="3" s="1"/>
  <c r="BS228" i="3" s="1"/>
  <c r="BT228" i="3" s="1"/>
  <c r="AW158" i="3"/>
  <c r="CW158" i="3" s="1"/>
  <c r="BF188" i="3"/>
  <c r="BF86" i="3"/>
  <c r="BO86" i="3"/>
  <c r="BQ86" i="3" s="1"/>
  <c r="BS86" i="3" s="1"/>
  <c r="BT86" i="3" s="1"/>
  <c r="BG253" i="3"/>
  <c r="AW196" i="3"/>
  <c r="CW196" i="3" s="1"/>
  <c r="BF129" i="3"/>
  <c r="BG129" i="3"/>
  <c r="AW18" i="3"/>
  <c r="CW18" i="3" s="1"/>
  <c r="D17" i="19" s="1"/>
  <c r="BO52" i="3"/>
  <c r="BQ52" i="3" s="1"/>
  <c r="BS52" i="3" s="1"/>
  <c r="BO106" i="3"/>
  <c r="BQ106" i="3" s="1"/>
  <c r="BS106" i="3" s="1"/>
  <c r="BT106" i="3" s="1"/>
  <c r="AW54" i="3"/>
  <c r="CW54" i="3" s="1"/>
  <c r="BO54" i="3"/>
  <c r="BQ54" i="3" s="1"/>
  <c r="BS54" i="3" s="1"/>
  <c r="BT54" i="3" s="1"/>
  <c r="BF241" i="3"/>
  <c r="AW188" i="3"/>
  <c r="CW188" i="3" s="1"/>
  <c r="D187" i="19" s="1"/>
  <c r="BF205" i="3"/>
  <c r="BO248" i="3"/>
  <c r="BQ248" i="3" s="1"/>
  <c r="BS248" i="3" s="1"/>
  <c r="BT248" i="3" s="1"/>
  <c r="BG196" i="3"/>
  <c r="AW81" i="3"/>
  <c r="CW81" i="3" s="1"/>
  <c r="BO81" i="3"/>
  <c r="BQ81" i="3" s="1"/>
  <c r="BS81" i="3" s="1"/>
  <c r="BO92" i="3"/>
  <c r="BQ92" i="3" s="1"/>
  <c r="BS92" i="3" s="1"/>
  <c r="BF280" i="3"/>
  <c r="BF105" i="3"/>
  <c r="BF106" i="3"/>
  <c r="AW241" i="3"/>
  <c r="CW241" i="3" s="1"/>
  <c r="D240" i="19" s="1"/>
  <c r="BO158" i="3"/>
  <c r="BQ158" i="3" s="1"/>
  <c r="BS158" i="3" s="1"/>
  <c r="BT158" i="3" s="1"/>
  <c r="AW86" i="3"/>
  <c r="CW86" i="3" s="1"/>
  <c r="BF248" i="3"/>
  <c r="BO97" i="3"/>
  <c r="BQ97" i="3" s="1"/>
  <c r="BS97" i="3" s="1"/>
  <c r="BT97" i="3" s="1"/>
  <c r="BO188" i="3"/>
  <c r="BQ188" i="3" s="1"/>
  <c r="BS188" i="3" s="1"/>
  <c r="BT188" i="3" s="1"/>
  <c r="AW280" i="3"/>
  <c r="CW280" i="3" s="1"/>
  <c r="BF92" i="3"/>
  <c r="BO146" i="3"/>
  <c r="BQ146" i="3" s="1"/>
  <c r="BS146" i="3" s="1"/>
  <c r="BT146" i="3" s="1"/>
  <c r="BO250" i="3"/>
  <c r="BQ250" i="3" s="1"/>
  <c r="BS250" i="3" s="1"/>
  <c r="BT250" i="3" s="1"/>
  <c r="AW52" i="3"/>
  <c r="CW52" i="3" s="1"/>
  <c r="D51" i="19" s="1"/>
  <c r="F51" i="19" s="1"/>
  <c r="AW250" i="3"/>
  <c r="CW250" i="3" s="1"/>
  <c r="AW248" i="3"/>
  <c r="CW248" i="3" s="1"/>
  <c r="AW261" i="3"/>
  <c r="CW261" i="3" s="1"/>
  <c r="D260" i="19" s="1"/>
  <c r="BF97" i="3"/>
  <c r="BO18" i="3"/>
  <c r="BQ18" i="3" s="1"/>
  <c r="BS18" i="3" s="1"/>
  <c r="BT18" i="3" s="1"/>
  <c r="AW105" i="3"/>
  <c r="CW105" i="3" s="1"/>
  <c r="D104" i="19" s="1"/>
  <c r="F104" i="19" s="1"/>
  <c r="AW146" i="3"/>
  <c r="CW146" i="3" s="1"/>
  <c r="D145" i="19" s="1"/>
  <c r="AW92" i="3"/>
  <c r="CW92" i="3" s="1"/>
  <c r="BF228" i="3"/>
  <c r="BO32" i="3"/>
  <c r="BQ32" i="3" s="1"/>
  <c r="BS32" i="3" s="1"/>
  <c r="BT32" i="3" s="1"/>
  <c r="BF54" i="3"/>
  <c r="AW97" i="3"/>
  <c r="CW97" i="3" s="1"/>
  <c r="D96" i="19" s="1"/>
  <c r="BO105" i="3"/>
  <c r="BQ105" i="3" s="1"/>
  <c r="BS105" i="3" s="1"/>
  <c r="BO80" i="3"/>
  <c r="BQ80" i="3" s="1"/>
  <c r="BS80" i="3" s="1"/>
  <c r="BO186" i="3"/>
  <c r="BQ186" i="3" s="1"/>
  <c r="BS186" i="3" s="1"/>
  <c r="AW106" i="3"/>
  <c r="CW106" i="3" s="1"/>
  <c r="BF32" i="3"/>
  <c r="AW80" i="3"/>
  <c r="CW80" i="3" s="1"/>
  <c r="D79" i="19" s="1"/>
  <c r="BO82" i="3"/>
  <c r="BQ82" i="3" s="1"/>
  <c r="BS82" i="3" s="1"/>
  <c r="BO241" i="3"/>
  <c r="BQ241" i="3" s="1"/>
  <c r="BS241" i="3" s="1"/>
  <c r="BT241" i="3" s="1"/>
  <c r="BF196" i="3"/>
  <c r="BF52" i="3"/>
  <c r="BF250" i="3"/>
  <c r="BO253" i="3"/>
  <c r="BQ253" i="3" s="1"/>
  <c r="BS253" i="3" s="1"/>
  <c r="BT253" i="3" s="1"/>
  <c r="BF137" i="3"/>
  <c r="BG27" i="3"/>
  <c r="BI27" i="3" s="1"/>
  <c r="AW27" i="3"/>
  <c r="CW27" i="3" s="1"/>
  <c r="D26" i="19" s="1"/>
  <c r="BF27" i="3"/>
  <c r="BO27" i="3"/>
  <c r="BQ27" i="3" s="1"/>
  <c r="BS27" i="3" s="1"/>
  <c r="BT27" i="3" s="1"/>
  <c r="BG218" i="3"/>
  <c r="AW218" i="3"/>
  <c r="CW218" i="3" s="1"/>
  <c r="BO218" i="3"/>
  <c r="BQ218" i="3" s="1"/>
  <c r="BS218" i="3" s="1"/>
  <c r="BF218" i="3"/>
  <c r="BG122" i="3"/>
  <c r="AW122" i="3"/>
  <c r="CW122" i="3" s="1"/>
  <c r="BO122" i="3"/>
  <c r="BQ122" i="3" s="1"/>
  <c r="BS122" i="3" s="1"/>
  <c r="BT122" i="3" s="1"/>
  <c r="BF122" i="3"/>
  <c r="BG251" i="3"/>
  <c r="BF251" i="3"/>
  <c r="BO251" i="3"/>
  <c r="BQ251" i="3" s="1"/>
  <c r="BS251" i="3" s="1"/>
  <c r="BT251" i="3" s="1"/>
  <c r="AW251" i="3"/>
  <c r="CW251" i="3" s="1"/>
  <c r="D250" i="19" s="1"/>
  <c r="BG209" i="3"/>
  <c r="BF209" i="3"/>
  <c r="AW209" i="3"/>
  <c r="CW209" i="3" s="1"/>
  <c r="D208" i="19" s="1"/>
  <c r="BO209" i="3"/>
  <c r="BQ209" i="3" s="1"/>
  <c r="BS209" i="3" s="1"/>
  <c r="BT209" i="3" s="1"/>
  <c r="BG33" i="3"/>
  <c r="BI33" i="3" s="1"/>
  <c r="BO33" i="3"/>
  <c r="BQ33" i="3" s="1"/>
  <c r="BS33" i="3" s="1"/>
  <c r="BT33" i="3" s="1"/>
  <c r="BF33" i="3"/>
  <c r="AW33" i="3"/>
  <c r="CW33" i="3" s="1"/>
  <c r="D32" i="19" s="1"/>
  <c r="BO208" i="3"/>
  <c r="BQ208" i="3" s="1"/>
  <c r="BS208" i="3" s="1"/>
  <c r="BT208" i="3" s="1"/>
  <c r="AW208" i="3"/>
  <c r="CW208" i="3" s="1"/>
  <c r="D207" i="19" s="1"/>
  <c r="BF208" i="3"/>
  <c r="BG208" i="3"/>
  <c r="BG120" i="3"/>
  <c r="AW120" i="3"/>
  <c r="CW120" i="3" s="1"/>
  <c r="BF120" i="3"/>
  <c r="BO120" i="3"/>
  <c r="BQ120" i="3" s="1"/>
  <c r="BS120" i="3" s="1"/>
  <c r="BT120" i="3" s="1"/>
  <c r="BO68" i="3"/>
  <c r="BQ68" i="3" s="1"/>
  <c r="BS68" i="3" s="1"/>
  <c r="BG68" i="3"/>
  <c r="AW68" i="3"/>
  <c r="CW68" i="3" s="1"/>
  <c r="D67" i="19" s="1"/>
  <c r="F67" i="19" s="1"/>
  <c r="BF68" i="3"/>
  <c r="BG150" i="3"/>
  <c r="BF150" i="3"/>
  <c r="BO150" i="3"/>
  <c r="BQ150" i="3" s="1"/>
  <c r="BS150" i="3" s="1"/>
  <c r="BT150" i="3" s="1"/>
  <c r="AW150" i="3"/>
  <c r="CW150" i="3" s="1"/>
  <c r="AW140" i="3"/>
  <c r="CW140" i="3" s="1"/>
  <c r="BO140" i="3"/>
  <c r="BQ140" i="3" s="1"/>
  <c r="BS140" i="3" s="1"/>
  <c r="BF140" i="3"/>
  <c r="BG140" i="3"/>
  <c r="BG249" i="3"/>
  <c r="BF249" i="3"/>
  <c r="AW249" i="3"/>
  <c r="CW249" i="3" s="1"/>
  <c r="D248" i="19" s="1"/>
  <c r="BO249" i="3"/>
  <c r="BQ249" i="3" s="1"/>
  <c r="BS249" i="3" s="1"/>
  <c r="BT249" i="3" s="1"/>
  <c r="BG100" i="3"/>
  <c r="BF100" i="3"/>
  <c r="AW100" i="3"/>
  <c r="CW100" i="3" s="1"/>
  <c r="D99" i="19" s="1"/>
  <c r="BO100" i="3"/>
  <c r="BQ100" i="3" s="1"/>
  <c r="BS100" i="3" s="1"/>
  <c r="BT100" i="3" s="1"/>
  <c r="BG234" i="3"/>
  <c r="BF234" i="3"/>
  <c r="AW234" i="3"/>
  <c r="CW234" i="3" s="1"/>
  <c r="D233" i="19" s="1"/>
  <c r="BO234" i="3"/>
  <c r="BQ234" i="3" s="1"/>
  <c r="BS234" i="3" s="1"/>
  <c r="BG237" i="3"/>
  <c r="BO237" i="3"/>
  <c r="BQ237" i="3" s="1"/>
  <c r="BS237" i="3" s="1"/>
  <c r="BT237" i="3" s="1"/>
  <c r="AW237" i="3"/>
  <c r="CW237" i="3" s="1"/>
  <c r="BF237" i="3"/>
  <c r="AW268" i="3"/>
  <c r="CW268" i="3" s="1"/>
  <c r="D267" i="19" s="1"/>
  <c r="BO268" i="3"/>
  <c r="BQ268" i="3" s="1"/>
  <c r="BS268" i="3" s="1"/>
  <c r="BT268" i="3" s="1"/>
  <c r="BF268" i="3"/>
  <c r="BG268" i="3"/>
  <c r="BG219" i="3"/>
  <c r="BO219" i="3"/>
  <c r="BQ219" i="3" s="1"/>
  <c r="BS219" i="3" s="1"/>
  <c r="BT219" i="3" s="1"/>
  <c r="BF219" i="3"/>
  <c r="AW219" i="3"/>
  <c r="CW219" i="3" s="1"/>
  <c r="BG59" i="3"/>
  <c r="BO59" i="3"/>
  <c r="BQ59" i="3" s="1"/>
  <c r="BS59" i="3" s="1"/>
  <c r="BF59" i="3"/>
  <c r="AW59" i="3"/>
  <c r="CW59" i="3" s="1"/>
  <c r="D58" i="19" s="1"/>
  <c r="BO132" i="3"/>
  <c r="BQ132" i="3" s="1"/>
  <c r="BS132" i="3" s="1"/>
  <c r="BF132" i="3"/>
  <c r="AW132" i="3"/>
  <c r="CW132" i="3" s="1"/>
  <c r="D131" i="19" s="1"/>
  <c r="F131" i="19" s="1"/>
  <c r="BG132" i="3"/>
  <c r="BG138" i="3"/>
  <c r="AW138" i="3"/>
  <c r="CW138" i="3" s="1"/>
  <c r="D137" i="19" s="1"/>
  <c r="BF138" i="3"/>
  <c r="BO138" i="3"/>
  <c r="BQ138" i="3" s="1"/>
  <c r="BS138" i="3" s="1"/>
  <c r="BG101" i="3"/>
  <c r="BO101" i="3"/>
  <c r="BQ101" i="3" s="1"/>
  <c r="BS101" i="3" s="1"/>
  <c r="BF101" i="3"/>
  <c r="AW101" i="3"/>
  <c r="CW101" i="3" s="1"/>
  <c r="D100" i="19" s="1"/>
  <c r="BG79" i="3"/>
  <c r="BO79" i="3"/>
  <c r="BQ79" i="3" s="1"/>
  <c r="BS79" i="3" s="1"/>
  <c r="BT79" i="3" s="1"/>
  <c r="BF79" i="3"/>
  <c r="AW79" i="3"/>
  <c r="CW79" i="3" s="1"/>
  <c r="D78" i="19" s="1"/>
  <c r="BG35" i="3"/>
  <c r="BI35" i="3" s="1"/>
  <c r="BO35" i="3"/>
  <c r="BQ35" i="3" s="1"/>
  <c r="BS35" i="3" s="1"/>
  <c r="BT35" i="3" s="1"/>
  <c r="AW35" i="3"/>
  <c r="CW35" i="3" s="1"/>
  <c r="D34" i="19" s="1"/>
  <c r="BF35" i="3"/>
  <c r="BG277" i="3"/>
  <c r="BF277" i="3"/>
  <c r="AW277" i="3"/>
  <c r="CW277" i="3" s="1"/>
  <c r="D276" i="19" s="1"/>
  <c r="F276" i="19" s="1"/>
  <c r="BO277" i="3"/>
  <c r="BQ277" i="3" s="1"/>
  <c r="BS277" i="3" s="1"/>
  <c r="BG144" i="3"/>
  <c r="BO144" i="3"/>
  <c r="BQ144" i="3" s="1"/>
  <c r="BS144" i="3" s="1"/>
  <c r="BT144" i="3" s="1"/>
  <c r="AW144" i="3"/>
  <c r="CW144" i="3" s="1"/>
  <c r="D143" i="19" s="1"/>
  <c r="BF144" i="3"/>
  <c r="AW279" i="3"/>
  <c r="CW279" i="3" s="1"/>
  <c r="D278" i="19" s="1"/>
  <c r="BG279" i="3"/>
  <c r="BF279" i="3"/>
  <c r="BO279" i="3"/>
  <c r="BQ279" i="3" s="1"/>
  <c r="BS279" i="3" s="1"/>
  <c r="BT279" i="3" s="1"/>
  <c r="BG203" i="3"/>
  <c r="BF203" i="3"/>
  <c r="AW203" i="3"/>
  <c r="CW203" i="3" s="1"/>
  <c r="D202" i="19" s="1"/>
  <c r="BO203" i="3"/>
  <c r="BQ203" i="3" s="1"/>
  <c r="BS203" i="3" s="1"/>
  <c r="BT203" i="3" s="1"/>
  <c r="BG156" i="3"/>
  <c r="BF156" i="3"/>
  <c r="BO156" i="3"/>
  <c r="BQ156" i="3" s="1"/>
  <c r="BS156" i="3" s="1"/>
  <c r="AW156" i="3"/>
  <c r="CW156" i="3" s="1"/>
  <c r="D155" i="19" s="1"/>
  <c r="F155" i="19" s="1"/>
  <c r="CR119" i="3"/>
  <c r="CS119" i="3" s="1"/>
  <c r="AR119" i="3" s="1"/>
  <c r="BO47" i="3"/>
  <c r="BQ47" i="3" s="1"/>
  <c r="BS47" i="3" s="1"/>
  <c r="BT47" i="3" s="1"/>
  <c r="CR274" i="3"/>
  <c r="CS274" i="3" s="1"/>
  <c r="AR274" i="3" s="1"/>
  <c r="CR77" i="3"/>
  <c r="CS77" i="3" s="1"/>
  <c r="AR77" i="3" s="1"/>
  <c r="BO272" i="3"/>
  <c r="BQ272" i="3" s="1"/>
  <c r="BS272" i="3" s="1"/>
  <c r="BT272" i="3" s="1"/>
  <c r="BF272" i="3"/>
  <c r="CR110" i="3"/>
  <c r="CS110" i="3" s="1"/>
  <c r="AR110" i="3" s="1"/>
  <c r="BF110" i="3" s="1"/>
  <c r="BG185" i="3"/>
  <c r="AW185" i="3"/>
  <c r="CW185" i="3" s="1"/>
  <c r="D206" i="19" s="1"/>
  <c r="F206" i="19" s="1"/>
  <c r="AW7" i="3"/>
  <c r="CW7" i="3" s="1"/>
  <c r="D6" i="19" s="1"/>
  <c r="BF7" i="3"/>
  <c r="CR21" i="3"/>
  <c r="CS21" i="3" s="1"/>
  <c r="AR21" i="3" s="1"/>
  <c r="BG21" i="3" s="1"/>
  <c r="BI21" i="3" s="1"/>
  <c r="CR210" i="3"/>
  <c r="CS210" i="3" s="1"/>
  <c r="AR210" i="3" s="1"/>
  <c r="BG12" i="3"/>
  <c r="BI12" i="3" s="1"/>
  <c r="BO12" i="3"/>
  <c r="BQ12" i="3" s="1"/>
  <c r="BS12" i="3" s="1"/>
  <c r="BT12" i="3" s="1"/>
  <c r="CR211" i="3"/>
  <c r="CS211" i="3" s="1"/>
  <c r="AR211" i="3" s="1"/>
  <c r="BG211" i="3" s="1"/>
  <c r="CR262" i="3"/>
  <c r="CS262" i="3" s="1"/>
  <c r="AR262" i="3" s="1"/>
  <c r="BG167" i="3"/>
  <c r="BO167" i="3"/>
  <c r="BQ167" i="3" s="1"/>
  <c r="BS167" i="3" s="1"/>
  <c r="BF167" i="3"/>
  <c r="BG205" i="3"/>
  <c r="BO205" i="3"/>
  <c r="BQ205" i="3" s="1"/>
  <c r="BS205" i="3" s="1"/>
  <c r="BT205" i="3" s="1"/>
  <c r="BG111" i="3"/>
  <c r="AW111" i="3"/>
  <c r="CW111" i="3" s="1"/>
  <c r="BF111" i="3"/>
  <c r="AW227" i="3"/>
  <c r="CW227" i="3" s="1"/>
  <c r="D226" i="19" s="1"/>
  <c r="BO227" i="3"/>
  <c r="BQ227" i="3" s="1"/>
  <c r="BS227" i="3" s="1"/>
  <c r="BT227" i="3" s="1"/>
  <c r="BF227" i="3"/>
  <c r="BG186" i="3"/>
  <c r="BF186" i="3"/>
  <c r="BO217" i="3"/>
  <c r="BQ217" i="3" s="1"/>
  <c r="BS217" i="3" s="1"/>
  <c r="BT217" i="3" s="1"/>
  <c r="BF47" i="3"/>
  <c r="CR114" i="3"/>
  <c r="CS114" i="3" s="1"/>
  <c r="AR114" i="3" s="1"/>
  <c r="BF114" i="3" s="1"/>
  <c r="AW187" i="3"/>
  <c r="CW187" i="3" s="1"/>
  <c r="D186" i="19" s="1"/>
  <c r="BO187" i="3"/>
  <c r="BQ187" i="3" s="1"/>
  <c r="BS187" i="3" s="1"/>
  <c r="BF187" i="3"/>
  <c r="BG187" i="3"/>
  <c r="BG227" i="3"/>
  <c r="BG201" i="3"/>
  <c r="AW201" i="3"/>
  <c r="CW201" i="3" s="1"/>
  <c r="D200" i="19" s="1"/>
  <c r="BN243" i="3"/>
  <c r="BG134" i="3"/>
  <c r="BO134" i="3"/>
  <c r="BQ134" i="3" s="1"/>
  <c r="BS134" i="3" s="1"/>
  <c r="BG95" i="3"/>
  <c r="BO95" i="3"/>
  <c r="BQ95" i="3" s="1"/>
  <c r="BS95" i="3" s="1"/>
  <c r="BT95" i="3" s="1"/>
  <c r="CR56" i="3"/>
  <c r="CS56" i="3" s="1"/>
  <c r="AR56" i="3" s="1"/>
  <c r="CR37" i="3"/>
  <c r="CS37" i="3" s="1"/>
  <c r="AR37" i="3" s="1"/>
  <c r="BG88" i="3"/>
  <c r="AW88" i="3"/>
  <c r="CW88" i="3" s="1"/>
  <c r="D87" i="19" s="1"/>
  <c r="BO168" i="3"/>
  <c r="BQ168" i="3" s="1"/>
  <c r="BS168" i="3" s="1"/>
  <c r="BT168" i="3" s="1"/>
  <c r="AW168" i="3"/>
  <c r="CW168" i="3" s="1"/>
  <c r="D167" i="19" s="1"/>
  <c r="BG252" i="3"/>
  <c r="BO252" i="3"/>
  <c r="BQ252" i="3" s="1"/>
  <c r="BS252" i="3" s="1"/>
  <c r="BT252" i="3" s="1"/>
  <c r="BG19" i="3"/>
  <c r="BI19" i="3" s="1"/>
  <c r="BF19" i="3"/>
  <c r="BG143" i="3"/>
  <c r="AW143" i="3"/>
  <c r="CW143" i="3" s="1"/>
  <c r="D142" i="19" s="1"/>
  <c r="BO143" i="3"/>
  <c r="BQ143" i="3" s="1"/>
  <c r="BS143" i="3" s="1"/>
  <c r="BT143" i="3" s="1"/>
  <c r="BF143" i="3"/>
  <c r="BG263" i="3"/>
  <c r="BF263" i="3"/>
  <c r="BG34" i="3"/>
  <c r="BI34" i="3" s="1"/>
  <c r="AW34" i="3"/>
  <c r="CW34" i="3" s="1"/>
  <c r="BN217" i="3"/>
  <c r="AW273" i="3"/>
  <c r="CW273" i="3" s="1"/>
  <c r="D272" i="19" s="1"/>
  <c r="BF273" i="3"/>
  <c r="BO273" i="3"/>
  <c r="BQ273" i="3" s="1"/>
  <c r="BS273" i="3" s="1"/>
  <c r="BT273" i="3" s="1"/>
  <c r="BG192" i="3"/>
  <c r="AW192" i="3"/>
  <c r="CW192" i="3" s="1"/>
  <c r="BG224" i="3"/>
  <c r="BO224" i="3"/>
  <c r="BQ224" i="3" s="1"/>
  <c r="BS224" i="3" s="1"/>
  <c r="BT224" i="3" s="1"/>
  <c r="BF224" i="3"/>
  <c r="CR30" i="3"/>
  <c r="CS30" i="3" s="1"/>
  <c r="AR30" i="3" s="1"/>
  <c r="CR73" i="3"/>
  <c r="CS73" i="3" s="1"/>
  <c r="AR73" i="3" s="1"/>
  <c r="CR229" i="3"/>
  <c r="CS229" i="3" s="1"/>
  <c r="AR229" i="3" s="1"/>
  <c r="BG31" i="3"/>
  <c r="BI31" i="3" s="1"/>
  <c r="BF31" i="3"/>
  <c r="BG93" i="3"/>
  <c r="BO93" i="3"/>
  <c r="BQ93" i="3" s="1"/>
  <c r="BS93" i="3" s="1"/>
  <c r="BG26" i="3"/>
  <c r="BI26" i="3" s="1"/>
  <c r="BO26" i="3"/>
  <c r="BQ26" i="3" s="1"/>
  <c r="BS26" i="3" s="1"/>
  <c r="BF269" i="3"/>
  <c r="CR276" i="3"/>
  <c r="CS276" i="3" s="1"/>
  <c r="AR276" i="3" s="1"/>
  <c r="CR8" i="3"/>
  <c r="CS8" i="3" s="1"/>
  <c r="AR8" i="3" s="1"/>
  <c r="CR178" i="3"/>
  <c r="CS178" i="3" s="1"/>
  <c r="AR178" i="3" s="1"/>
  <c r="BF202" i="3"/>
  <c r="AW202" i="3"/>
  <c r="CW202" i="3" s="1"/>
  <c r="BO202" i="3"/>
  <c r="BQ202" i="3" s="1"/>
  <c r="BS202" i="3" s="1"/>
  <c r="BT202" i="3" s="1"/>
  <c r="BO169" i="3"/>
  <c r="BQ169" i="3" s="1"/>
  <c r="BS169" i="3" s="1"/>
  <c r="BT169" i="3" s="1"/>
  <c r="BF169" i="3"/>
  <c r="AW169" i="3"/>
  <c r="CW169" i="3" s="1"/>
  <c r="D168" i="19" s="1"/>
  <c r="BO99" i="3"/>
  <c r="BQ99" i="3" s="1"/>
  <c r="BS99" i="3" s="1"/>
  <c r="BF99" i="3"/>
  <c r="AW99" i="3"/>
  <c r="CW99" i="3" s="1"/>
  <c r="D98" i="19" s="1"/>
  <c r="F98" i="19" s="1"/>
  <c r="AW23" i="3"/>
  <c r="CW23" i="3" s="1"/>
  <c r="D22" i="19" s="1"/>
  <c r="BF23" i="3"/>
  <c r="BO23" i="3"/>
  <c r="BQ23" i="3" s="1"/>
  <c r="BS23" i="3" s="1"/>
  <c r="BT23" i="3" s="1"/>
  <c r="BN248" i="3"/>
  <c r="BF69" i="3"/>
  <c r="AW69" i="3"/>
  <c r="CW69" i="3" s="1"/>
  <c r="D68" i="19" s="1"/>
  <c r="BO69" i="3"/>
  <c r="BQ69" i="3" s="1"/>
  <c r="BS69" i="3" s="1"/>
  <c r="BT69" i="3" s="1"/>
  <c r="BF89" i="3"/>
  <c r="BO89" i="3"/>
  <c r="BQ89" i="3" s="1"/>
  <c r="BS89" i="3" s="1"/>
  <c r="BT89" i="3" s="1"/>
  <c r="AW89" i="3"/>
  <c r="CW89" i="3" s="1"/>
  <c r="D88" i="19" s="1"/>
  <c r="BN69" i="3"/>
  <c r="BI199" i="3" l="1"/>
  <c r="BN199" i="3" s="1"/>
  <c r="K199" i="9"/>
  <c r="BI263" i="3"/>
  <c r="K263" i="9"/>
  <c r="BI156" i="3"/>
  <c r="K156" i="9"/>
  <c r="BI277" i="3"/>
  <c r="BN277" i="3" s="1"/>
  <c r="K277" i="9"/>
  <c r="BI59" i="3"/>
  <c r="BN59" i="3" s="1"/>
  <c r="K59" i="9"/>
  <c r="BI249" i="3"/>
  <c r="K249" i="9"/>
  <c r="BI251" i="3"/>
  <c r="K251" i="9"/>
  <c r="BI218" i="3"/>
  <c r="BN218" i="3" s="1"/>
  <c r="K218" i="9"/>
  <c r="BI107" i="3"/>
  <c r="BN107" i="3" s="1"/>
  <c r="K107" i="9"/>
  <c r="BI143" i="3"/>
  <c r="K143" i="9"/>
  <c r="BI88" i="3"/>
  <c r="K88" i="9"/>
  <c r="BI211" i="3"/>
  <c r="BN211" i="3" s="1"/>
  <c r="K211" i="9"/>
  <c r="BI203" i="3"/>
  <c r="BN203" i="3" s="1"/>
  <c r="K203" i="9"/>
  <c r="BI144" i="3"/>
  <c r="K144" i="9"/>
  <c r="BI101" i="3"/>
  <c r="K101" i="9"/>
  <c r="BI219" i="3"/>
  <c r="BN219" i="3" s="1"/>
  <c r="K219" i="9"/>
  <c r="BI237" i="3"/>
  <c r="K237" i="9"/>
  <c r="BI100" i="3"/>
  <c r="K100" i="9"/>
  <c r="BI209" i="3"/>
  <c r="K209" i="9"/>
  <c r="BI122" i="3"/>
  <c r="BN122" i="3" s="1"/>
  <c r="K122" i="9"/>
  <c r="BI253" i="3"/>
  <c r="BN253" i="3" s="1"/>
  <c r="K253" i="9"/>
  <c r="BI103" i="3"/>
  <c r="BN103" i="3" s="1"/>
  <c r="K103" i="9"/>
  <c r="BI191" i="3"/>
  <c r="K191" i="9"/>
  <c r="BI173" i="3"/>
  <c r="BN173" i="3" s="1"/>
  <c r="K173" i="9"/>
  <c r="BI181" i="3"/>
  <c r="BN181" i="3" s="1"/>
  <c r="K181" i="9"/>
  <c r="BI123" i="3"/>
  <c r="K123" i="9"/>
  <c r="BI265" i="3"/>
  <c r="K265" i="9"/>
  <c r="BI157" i="3"/>
  <c r="BN157" i="3" s="1"/>
  <c r="K157" i="9"/>
  <c r="BI272" i="3"/>
  <c r="BN272" i="3" s="1"/>
  <c r="K272" i="9"/>
  <c r="BI139" i="3"/>
  <c r="K139" i="9"/>
  <c r="BI111" i="3"/>
  <c r="K111" i="9"/>
  <c r="BI267" i="3"/>
  <c r="BN267" i="3" s="1"/>
  <c r="K267" i="9"/>
  <c r="BI283" i="3"/>
  <c r="BN283" i="3" s="1"/>
  <c r="K283" i="9"/>
  <c r="BI93" i="3"/>
  <c r="K93" i="9"/>
  <c r="BI224" i="3"/>
  <c r="K224" i="9"/>
  <c r="BI227" i="3"/>
  <c r="BN227" i="3" s="1"/>
  <c r="K227" i="9"/>
  <c r="BI200" i="3"/>
  <c r="BN200" i="3" s="1"/>
  <c r="K200" i="9"/>
  <c r="BI146" i="3"/>
  <c r="K146" i="9"/>
  <c r="BI67" i="3"/>
  <c r="K67" i="9"/>
  <c r="BI118" i="3"/>
  <c r="BN118" i="3" s="1"/>
  <c r="K118" i="9"/>
  <c r="BI222" i="3"/>
  <c r="BN222" i="3" s="1"/>
  <c r="K222" i="9"/>
  <c r="BI269" i="3"/>
  <c r="K269" i="9"/>
  <c r="BI174" i="3"/>
  <c r="K174" i="9"/>
  <c r="BI213" i="3"/>
  <c r="BN213" i="3" s="1"/>
  <c r="K213" i="9"/>
  <c r="BI127" i="3"/>
  <c r="BN127" i="3" s="1"/>
  <c r="K127" i="9"/>
  <c r="BI220" i="3"/>
  <c r="K220" i="9"/>
  <c r="BI48" i="3"/>
  <c r="K48" i="9"/>
  <c r="BI201" i="3"/>
  <c r="BN201" i="3" s="1"/>
  <c r="K201" i="9"/>
  <c r="BI185" i="3"/>
  <c r="BN185" i="3" s="1"/>
  <c r="K185" i="9"/>
  <c r="BI266" i="3"/>
  <c r="K266" i="9"/>
  <c r="BI285" i="3"/>
  <c r="K285" i="9"/>
  <c r="BI42" i="3"/>
  <c r="BN42" i="3" s="1"/>
  <c r="K42" i="9"/>
  <c r="BI91" i="3"/>
  <c r="BN91" i="3" s="1"/>
  <c r="K91" i="9"/>
  <c r="BI187" i="3"/>
  <c r="K187" i="9"/>
  <c r="BI186" i="3"/>
  <c r="K186" i="9"/>
  <c r="BI205" i="3"/>
  <c r="BN205" i="3" s="1"/>
  <c r="K205" i="9"/>
  <c r="BI279" i="3"/>
  <c r="K279" i="9"/>
  <c r="BI196" i="3"/>
  <c r="BN196" i="3" s="1"/>
  <c r="K196" i="9"/>
  <c r="BI84" i="3"/>
  <c r="K84" i="9"/>
  <c r="BI233" i="3"/>
  <c r="BN233" i="3" s="1"/>
  <c r="K233" i="9"/>
  <c r="BI198" i="3"/>
  <c r="BN198" i="3" s="1"/>
  <c r="K198" i="9"/>
  <c r="BI260" i="3"/>
  <c r="K260" i="9"/>
  <c r="BI161" i="3"/>
  <c r="K161" i="9"/>
  <c r="BI58" i="3"/>
  <c r="BN58" i="3" s="1"/>
  <c r="K58" i="9"/>
  <c r="BI115" i="3"/>
  <c r="BN115" i="3" s="1"/>
  <c r="K115" i="9"/>
  <c r="BI76" i="3"/>
  <c r="K76" i="9"/>
  <c r="BI109" i="3"/>
  <c r="K109" i="9"/>
  <c r="BI75" i="3"/>
  <c r="BN75" i="3" s="1"/>
  <c r="K75" i="9"/>
  <c r="BI57" i="3"/>
  <c r="BN57" i="3" s="1"/>
  <c r="K57" i="9"/>
  <c r="BI160" i="3"/>
  <c r="K160" i="9"/>
  <c r="BI168" i="3"/>
  <c r="K168" i="9"/>
  <c r="BI102" i="3"/>
  <c r="BN102" i="3" s="1"/>
  <c r="K102" i="9"/>
  <c r="BI141" i="3"/>
  <c r="BN141" i="3" s="1"/>
  <c r="K141" i="9"/>
  <c r="BI71" i="3"/>
  <c r="BN71" i="3" s="1"/>
  <c r="K71" i="9"/>
  <c r="BI268" i="3"/>
  <c r="K268" i="9"/>
  <c r="BI133" i="3"/>
  <c r="BN133" i="3" s="1"/>
  <c r="K133" i="9"/>
  <c r="BI70" i="3"/>
  <c r="BN70" i="3" s="1"/>
  <c r="K70" i="9"/>
  <c r="BI232" i="3"/>
  <c r="K232" i="9"/>
  <c r="BI216" i="3"/>
  <c r="K216" i="9"/>
  <c r="BI184" i="3"/>
  <c r="BN184" i="3" s="1"/>
  <c r="K184" i="9"/>
  <c r="BI280" i="3"/>
  <c r="BN280" i="3" s="1"/>
  <c r="K280" i="9"/>
  <c r="BI252" i="3"/>
  <c r="K252" i="9"/>
  <c r="BI261" i="3"/>
  <c r="K261" i="9"/>
  <c r="BI63" i="3"/>
  <c r="BN63" i="3" s="1"/>
  <c r="K63" i="9"/>
  <c r="BI60" i="3"/>
  <c r="BN60" i="3" s="1"/>
  <c r="K60" i="9"/>
  <c r="BI132" i="3"/>
  <c r="BN132" i="3" s="1"/>
  <c r="K132" i="9"/>
  <c r="BI140" i="3"/>
  <c r="K140" i="9"/>
  <c r="BI208" i="3"/>
  <c r="BN208" i="3" s="1"/>
  <c r="K208" i="9"/>
  <c r="BI129" i="3"/>
  <c r="BN129" i="3" s="1"/>
  <c r="K129" i="9"/>
  <c r="BI258" i="3"/>
  <c r="K258" i="9"/>
  <c r="BI159" i="3"/>
  <c r="K159" i="9"/>
  <c r="BI94" i="3"/>
  <c r="BN94" i="3" s="1"/>
  <c r="K94" i="9"/>
  <c r="BI112" i="3"/>
  <c r="BN112" i="3" s="1"/>
  <c r="K112" i="9"/>
  <c r="BI207" i="3"/>
  <c r="BN207" i="3" s="1"/>
  <c r="K207" i="9"/>
  <c r="BI215" i="3"/>
  <c r="BN215" i="3" s="1"/>
  <c r="K215" i="9"/>
  <c r="BI116" i="3"/>
  <c r="BN116" i="3" s="1"/>
  <c r="K116" i="9"/>
  <c r="BI245" i="3"/>
  <c r="BN245" i="3" s="1"/>
  <c r="K245" i="9"/>
  <c r="BI171" i="3"/>
  <c r="BN171" i="3" s="1"/>
  <c r="K171" i="9"/>
  <c r="BI179" i="3"/>
  <c r="BN179" i="3" s="1"/>
  <c r="K179" i="9"/>
  <c r="BI95" i="3"/>
  <c r="BN95" i="3" s="1"/>
  <c r="K95" i="9"/>
  <c r="BI138" i="3"/>
  <c r="BN138" i="3" s="1"/>
  <c r="K138" i="9"/>
  <c r="BI150" i="3"/>
  <c r="K150" i="9"/>
  <c r="BI134" i="3"/>
  <c r="K134" i="9"/>
  <c r="BI167" i="3"/>
  <c r="BN167" i="3" s="1"/>
  <c r="K167" i="9"/>
  <c r="BI164" i="3"/>
  <c r="BN164" i="3" s="1"/>
  <c r="K164" i="9"/>
  <c r="BI51" i="3"/>
  <c r="K51" i="9"/>
  <c r="BI206" i="3"/>
  <c r="K206" i="9"/>
  <c r="BI154" i="3"/>
  <c r="BN154" i="3" s="1"/>
  <c r="K154" i="9"/>
  <c r="BI113" i="3"/>
  <c r="BN113" i="3" s="1"/>
  <c r="K113" i="9"/>
  <c r="BI64" i="3"/>
  <c r="BN64" i="3" s="1"/>
  <c r="K64" i="9"/>
  <c r="BI152" i="3"/>
  <c r="BN152" i="3" s="1"/>
  <c r="K152" i="9"/>
  <c r="BI66" i="3"/>
  <c r="BN66" i="3" s="1"/>
  <c r="K66" i="9"/>
  <c r="BI193" i="3"/>
  <c r="BN193" i="3" s="1"/>
  <c r="K193" i="9"/>
  <c r="BI231" i="3"/>
  <c r="K231" i="9"/>
  <c r="BI225" i="3"/>
  <c r="BN225" i="3" s="1"/>
  <c r="K225" i="9"/>
  <c r="BI271" i="3"/>
  <c r="BN271" i="3" s="1"/>
  <c r="K271" i="9"/>
  <c r="BI192" i="3"/>
  <c r="BN192" i="3" s="1"/>
  <c r="K192" i="9"/>
  <c r="BI79" i="3"/>
  <c r="K79" i="9"/>
  <c r="BI234" i="3"/>
  <c r="K234" i="9"/>
  <c r="BI120" i="3"/>
  <c r="BN120" i="3" s="1"/>
  <c r="K120" i="9"/>
  <c r="BI68" i="3"/>
  <c r="BN68" i="3" s="1"/>
  <c r="K68" i="9"/>
  <c r="BI180" i="3"/>
  <c r="K180" i="9"/>
  <c r="BI62" i="3"/>
  <c r="K62" i="9"/>
  <c r="BI87" i="3"/>
  <c r="BN87" i="3" s="1"/>
  <c r="K87" i="9"/>
  <c r="BI165" i="3"/>
  <c r="BN165" i="3" s="1"/>
  <c r="K165" i="9"/>
  <c r="BI124" i="3"/>
  <c r="K124" i="9"/>
  <c r="BI151" i="3"/>
  <c r="K151" i="9"/>
  <c r="BI278" i="3"/>
  <c r="BN278" i="3" s="1"/>
  <c r="K278" i="9"/>
  <c r="BI175" i="3"/>
  <c r="BN175" i="3" s="1"/>
  <c r="K175" i="9"/>
  <c r="BI244" i="3"/>
  <c r="K244" i="9"/>
  <c r="BI166" i="3"/>
  <c r="K166" i="9"/>
  <c r="BI131" i="3"/>
  <c r="BN131" i="3" s="1"/>
  <c r="K131" i="9"/>
  <c r="BI148" i="3"/>
  <c r="BN148" i="3" s="1"/>
  <c r="K148" i="9"/>
  <c r="BI142" i="3"/>
  <c r="K142" i="9"/>
  <c r="BI126" i="3"/>
  <c r="K126" i="9"/>
  <c r="BI108" i="3"/>
  <c r="BN108" i="3" s="1"/>
  <c r="K108" i="9"/>
  <c r="BI72" i="3"/>
  <c r="BN72" i="3" s="1"/>
  <c r="K72" i="9"/>
  <c r="BI288" i="3"/>
  <c r="BN288" i="3" s="1"/>
  <c r="K288" i="9"/>
  <c r="BI117" i="3"/>
  <c r="K117" i="9"/>
  <c r="BI45" i="3"/>
  <c r="BN45" i="3" s="1"/>
  <c r="K45" i="9"/>
  <c r="BI39" i="3"/>
  <c r="BN39" i="3" s="1"/>
  <c r="I65" i="19"/>
  <c r="J65" i="19" s="1"/>
  <c r="CY66" i="3" s="1"/>
  <c r="I18" i="19"/>
  <c r="J18" i="19" s="1"/>
  <c r="CY19" i="3" s="1"/>
  <c r="I206" i="19"/>
  <c r="F101" i="19"/>
  <c r="I101" i="19"/>
  <c r="J101" i="19" s="1"/>
  <c r="CY102" i="3" s="1"/>
  <c r="F233" i="19"/>
  <c r="G233" i="19" s="1"/>
  <c r="CX234" i="3" s="1"/>
  <c r="I233" i="19"/>
  <c r="J233" i="19" s="1"/>
  <c r="CY234" i="3" s="1"/>
  <c r="D37" i="19"/>
  <c r="I37" i="19" s="1"/>
  <c r="J37" i="19" s="1"/>
  <c r="D216" i="19"/>
  <c r="F216" i="19" s="1"/>
  <c r="G216" i="19" s="1"/>
  <c r="CX217" i="3" s="1"/>
  <c r="D115" i="19"/>
  <c r="D212" i="19"/>
  <c r="D182" i="19"/>
  <c r="F182" i="19" s="1"/>
  <c r="G182" i="19" s="1"/>
  <c r="CX183" i="3" s="1"/>
  <c r="D16" i="19"/>
  <c r="F16" i="19" s="1"/>
  <c r="G16" i="19" s="1"/>
  <c r="CX17" i="3" s="1"/>
  <c r="D89" i="19"/>
  <c r="F89" i="19" s="1"/>
  <c r="G89" i="19" s="1"/>
  <c r="CX90" i="3" s="1"/>
  <c r="D253" i="19"/>
  <c r="F253" i="19" s="1"/>
  <c r="G253" i="19" s="1"/>
  <c r="CX254" i="3" s="1"/>
  <c r="F140" i="19"/>
  <c r="G140" i="19" s="1"/>
  <c r="CX141" i="3" s="1"/>
  <c r="I140" i="19"/>
  <c r="J140" i="19" s="1"/>
  <c r="CY141" i="3" s="1"/>
  <c r="D133" i="19"/>
  <c r="F133" i="19" s="1"/>
  <c r="G133" i="19" s="1"/>
  <c r="CX134" i="3" s="1"/>
  <c r="F137" i="19"/>
  <c r="G137" i="19" s="1"/>
  <c r="CX138" i="3" s="1"/>
  <c r="I137" i="19"/>
  <c r="D217" i="19"/>
  <c r="F217" i="19" s="1"/>
  <c r="G217" i="19" s="1"/>
  <c r="CX218" i="3" s="1"/>
  <c r="D74" i="19"/>
  <c r="F74" i="19" s="1"/>
  <c r="G74" i="19" s="1"/>
  <c r="CX75" i="3" s="1"/>
  <c r="D21" i="19"/>
  <c r="F21" i="19" s="1"/>
  <c r="G21" i="19" s="1"/>
  <c r="CX22" i="3" s="1"/>
  <c r="K23" i="9"/>
  <c r="D66" i="19"/>
  <c r="I66" i="19" s="1"/>
  <c r="J66" i="19" s="1"/>
  <c r="D14" i="19"/>
  <c r="F14" i="19" s="1"/>
  <c r="G14" i="19" s="1"/>
  <c r="CX15" i="3" s="1"/>
  <c r="D5" i="19"/>
  <c r="I5" i="19" s="1"/>
  <c r="J5" i="19" s="1"/>
  <c r="D134" i="19"/>
  <c r="F134" i="19" s="1"/>
  <c r="D77" i="19"/>
  <c r="F77" i="19" s="1"/>
  <c r="G77" i="19" s="1"/>
  <c r="CX78" i="3" s="1"/>
  <c r="D183" i="19"/>
  <c r="F183" i="19" s="1"/>
  <c r="G183" i="19" s="1"/>
  <c r="CX184" i="3" s="1"/>
  <c r="D60" i="19"/>
  <c r="F60" i="19" s="1"/>
  <c r="G60" i="19" s="1"/>
  <c r="CX61" i="3" s="1"/>
  <c r="D262" i="19"/>
  <c r="F262" i="19" s="1"/>
  <c r="G262" i="19" s="1"/>
  <c r="CX263" i="3" s="1"/>
  <c r="G166" i="19"/>
  <c r="CX167" i="3" s="1"/>
  <c r="F260" i="19"/>
  <c r="G260" i="19" s="1"/>
  <c r="CX261" i="3" s="1"/>
  <c r="I260" i="19"/>
  <c r="D198" i="19"/>
  <c r="F198" i="19" s="1"/>
  <c r="G198" i="19" s="1"/>
  <c r="CX199" i="3" s="1"/>
  <c r="D84" i="19"/>
  <c r="I84" i="19" s="1"/>
  <c r="J84" i="19" s="1"/>
  <c r="D252" i="19"/>
  <c r="F252" i="19" s="1"/>
  <c r="G252" i="19" s="1"/>
  <c r="CX253" i="3" s="1"/>
  <c r="D221" i="19"/>
  <c r="D126" i="19"/>
  <c r="D237" i="19"/>
  <c r="F237" i="19" s="1"/>
  <c r="G237" i="19" s="1"/>
  <c r="CX238" i="3" s="1"/>
  <c r="D144" i="19"/>
  <c r="D244" i="19"/>
  <c r="I244" i="19" s="1"/>
  <c r="J244" i="19" s="1"/>
  <c r="D214" i="19"/>
  <c r="D73" i="19"/>
  <c r="I73" i="19" s="1"/>
  <c r="J73" i="19" s="1"/>
  <c r="D204" i="19"/>
  <c r="F204" i="19" s="1"/>
  <c r="G204" i="19" s="1"/>
  <c r="CX205" i="3" s="1"/>
  <c r="D94" i="19"/>
  <c r="F87" i="19"/>
  <c r="I87" i="19"/>
  <c r="J87" i="19" s="1"/>
  <c r="CY88" i="3" s="1"/>
  <c r="F186" i="19"/>
  <c r="G186" i="19" s="1"/>
  <c r="CX187" i="3" s="1"/>
  <c r="I186" i="19"/>
  <c r="F100" i="19"/>
  <c r="I100" i="19"/>
  <c r="J100" i="19" s="1"/>
  <c r="CY101" i="3" s="1"/>
  <c r="D218" i="19"/>
  <c r="F218" i="19" s="1"/>
  <c r="G218" i="19" s="1"/>
  <c r="CX219" i="3" s="1"/>
  <c r="D61" i="19"/>
  <c r="F61" i="19" s="1"/>
  <c r="G61" i="19" s="1"/>
  <c r="CX62" i="3" s="1"/>
  <c r="D123" i="19"/>
  <c r="F123" i="19" s="1"/>
  <c r="G123" i="19" s="1"/>
  <c r="CX124" i="3" s="1"/>
  <c r="D165" i="19"/>
  <c r="F165" i="19" s="1"/>
  <c r="G165" i="19" s="1"/>
  <c r="CX166" i="3" s="1"/>
  <c r="D141" i="19"/>
  <c r="F141" i="19" s="1"/>
  <c r="G141" i="19" s="1"/>
  <c r="CX142" i="3" s="1"/>
  <c r="D48" i="19"/>
  <c r="F95" i="19"/>
  <c r="G95" i="19" s="1"/>
  <c r="CX96" i="3" s="1"/>
  <c r="I95" i="19"/>
  <c r="J95" i="19" s="1"/>
  <c r="CY96" i="3" s="1"/>
  <c r="D229" i="19"/>
  <c r="F229" i="19" s="1"/>
  <c r="G229" i="19" s="1"/>
  <c r="CX230" i="3" s="1"/>
  <c r="D158" i="19"/>
  <c r="F158" i="19" s="1"/>
  <c r="G158" i="19" s="1"/>
  <c r="CX159" i="3" s="1"/>
  <c r="D40" i="19"/>
  <c r="F40" i="19" s="1"/>
  <c r="G40" i="19" s="1"/>
  <c r="CX41" i="3" s="1"/>
  <c r="D124" i="19"/>
  <c r="F124" i="19" s="1"/>
  <c r="G124" i="19" s="1"/>
  <c r="CX125" i="3" s="1"/>
  <c r="D129" i="19"/>
  <c r="F129" i="19" s="1"/>
  <c r="G129" i="19" s="1"/>
  <c r="CX130" i="3" s="1"/>
  <c r="D255" i="19"/>
  <c r="F255" i="19" s="1"/>
  <c r="G255" i="19" s="1"/>
  <c r="CX256" i="3" s="1"/>
  <c r="D31" i="19"/>
  <c r="F31" i="19" s="1"/>
  <c r="G31" i="19" s="1"/>
  <c r="CX32" i="3" s="1"/>
  <c r="D266" i="19"/>
  <c r="F266" i="19" s="1"/>
  <c r="G266" i="19" s="1"/>
  <c r="CX267" i="3" s="1"/>
  <c r="D43" i="19"/>
  <c r="F43" i="19" s="1"/>
  <c r="G43" i="19" s="1"/>
  <c r="CX44" i="3" s="1"/>
  <c r="D236" i="19"/>
  <c r="F236" i="19" s="1"/>
  <c r="G236" i="19" s="1"/>
  <c r="CX237" i="3" s="1"/>
  <c r="D39" i="19"/>
  <c r="F39" i="19" s="1"/>
  <c r="G39" i="19" s="1"/>
  <c r="CX40" i="3" s="1"/>
  <c r="F107" i="19"/>
  <c r="G107" i="19" s="1"/>
  <c r="CX108" i="3" s="1"/>
  <c r="I107" i="19"/>
  <c r="J107" i="19" s="1"/>
  <c r="CY108" i="3" s="1"/>
  <c r="F180" i="19"/>
  <c r="G180" i="19" s="1"/>
  <c r="CX181" i="3" s="1"/>
  <c r="I180" i="19"/>
  <c r="J180" i="19" s="1"/>
  <c r="CY181" i="3" s="1"/>
  <c r="D11" i="19"/>
  <c r="I11" i="19" s="1"/>
  <c r="J11" i="19" s="1"/>
  <c r="K10" i="9"/>
  <c r="D196" i="19"/>
  <c r="I196" i="19" s="1"/>
  <c r="J196" i="19" s="1"/>
  <c r="D52" i="19"/>
  <c r="F52" i="19" s="1"/>
  <c r="G52" i="19" s="1"/>
  <c r="CX53" i="3" s="1"/>
  <c r="D42" i="19"/>
  <c r="F42" i="19" s="1"/>
  <c r="G42" i="19" s="1"/>
  <c r="CX43" i="3" s="1"/>
  <c r="D120" i="19"/>
  <c r="D219" i="19"/>
  <c r="D24" i="19"/>
  <c r="F24" i="19" s="1"/>
  <c r="D27" i="19"/>
  <c r="F27" i="19" s="1"/>
  <c r="G27" i="19" s="1"/>
  <c r="CX28" i="3" s="1"/>
  <c r="D173" i="19"/>
  <c r="F200" i="19"/>
  <c r="I200" i="19"/>
  <c r="J200" i="19" s="1"/>
  <c r="CY201" i="3" s="1"/>
  <c r="D121" i="19"/>
  <c r="I121" i="19" s="1"/>
  <c r="J121" i="19" s="1"/>
  <c r="D86" i="19"/>
  <c r="F150" i="19"/>
  <c r="G150" i="19" s="1"/>
  <c r="CX151" i="3" s="1"/>
  <c r="I150" i="19"/>
  <c r="D243" i="19"/>
  <c r="F243" i="19" s="1"/>
  <c r="G243" i="19" s="1"/>
  <c r="CX244" i="3" s="1"/>
  <c r="D130" i="19"/>
  <c r="D132" i="19"/>
  <c r="F132" i="19" s="1"/>
  <c r="G132" i="19" s="1"/>
  <c r="CX133" i="3" s="1"/>
  <c r="F125" i="19"/>
  <c r="G125" i="19" s="1"/>
  <c r="CX126" i="3" s="1"/>
  <c r="I125" i="19"/>
  <c r="J125" i="19" s="1"/>
  <c r="CY126" i="3" s="1"/>
  <c r="F92" i="19"/>
  <c r="G92" i="19" s="1"/>
  <c r="CX93" i="3" s="1"/>
  <c r="I92" i="19"/>
  <c r="J92" i="19" s="1"/>
  <c r="CY93" i="3" s="1"/>
  <c r="D12" i="19"/>
  <c r="D254" i="19"/>
  <c r="D245" i="19"/>
  <c r="D152" i="19"/>
  <c r="F90" i="19"/>
  <c r="G90" i="19" s="1"/>
  <c r="CX91" i="3" s="1"/>
  <c r="I90" i="19"/>
  <c r="J90" i="19" s="1"/>
  <c r="CY91" i="3" s="1"/>
  <c r="D138" i="19"/>
  <c r="K18" i="9"/>
  <c r="K36" i="9"/>
  <c r="D47" i="19"/>
  <c r="D139" i="19"/>
  <c r="F139" i="19" s="1"/>
  <c r="G139" i="19" s="1"/>
  <c r="CX140" i="3" s="1"/>
  <c r="F25" i="19"/>
  <c r="G25" i="19" s="1"/>
  <c r="CX26" i="3" s="1"/>
  <c r="I25" i="19"/>
  <c r="J25" i="19" s="1"/>
  <c r="CY26" i="3" s="1"/>
  <c r="F50" i="19"/>
  <c r="G50" i="19" s="1"/>
  <c r="CX51" i="3" s="1"/>
  <c r="I50" i="19"/>
  <c r="J50" i="19" s="1"/>
  <c r="CY51" i="3" s="1"/>
  <c r="D128" i="19"/>
  <c r="F128" i="19" s="1"/>
  <c r="D122" i="19"/>
  <c r="F122" i="19" s="1"/>
  <c r="G122" i="19" s="1"/>
  <c r="CX123" i="3" s="1"/>
  <c r="F215" i="19"/>
  <c r="G215" i="19" s="1"/>
  <c r="CX216" i="3" s="1"/>
  <c r="I215" i="19"/>
  <c r="J215" i="19" s="1"/>
  <c r="CY216" i="3" s="1"/>
  <c r="D93" i="19"/>
  <c r="D103" i="19"/>
  <c r="F103" i="19" s="1"/>
  <c r="G103" i="19" s="1"/>
  <c r="CX104" i="3" s="1"/>
  <c r="D63" i="19"/>
  <c r="K15" i="9"/>
  <c r="D41" i="19"/>
  <c r="D185" i="19"/>
  <c r="F58" i="19"/>
  <c r="G58" i="19" s="1"/>
  <c r="CX59" i="3" s="1"/>
  <c r="I58" i="19"/>
  <c r="J58" i="19" s="1"/>
  <c r="CY59" i="3" s="1"/>
  <c r="F79" i="19"/>
  <c r="G79" i="19" s="1"/>
  <c r="CX80" i="3" s="1"/>
  <c r="I79" i="19"/>
  <c r="J79" i="19" s="1"/>
  <c r="CY80" i="3" s="1"/>
  <c r="F265" i="19"/>
  <c r="G265" i="19" s="1"/>
  <c r="CX266" i="3" s="1"/>
  <c r="I265" i="19"/>
  <c r="J265" i="19" s="1"/>
  <c r="CY266" i="3" s="1"/>
  <c r="F83" i="19"/>
  <c r="G83" i="19" s="1"/>
  <c r="CX84" i="3" s="1"/>
  <c r="I83" i="19"/>
  <c r="J83" i="19" s="1"/>
  <c r="CY84" i="3" s="1"/>
  <c r="F13" i="19"/>
  <c r="G13" i="19" s="1"/>
  <c r="CX14" i="3" s="1"/>
  <c r="I13" i="19"/>
  <c r="J13" i="19" s="1"/>
  <c r="CY14" i="3" s="1"/>
  <c r="D190" i="19"/>
  <c r="D112" i="19"/>
  <c r="F112" i="19" s="1"/>
  <c r="G112" i="19" s="1"/>
  <c r="CX113" i="3" s="1"/>
  <c r="D111" i="19"/>
  <c r="F111" i="19" s="1"/>
  <c r="G111" i="19" s="1"/>
  <c r="CX112" i="3" s="1"/>
  <c r="D19" i="19"/>
  <c r="F19" i="19" s="1"/>
  <c r="G19" i="19" s="1"/>
  <c r="CX20" i="3" s="1"/>
  <c r="K24" i="9"/>
  <c r="K6" i="9"/>
  <c r="D15" i="19"/>
  <c r="I15" i="19" s="1"/>
  <c r="J15" i="19" s="1"/>
  <c r="K17" i="9"/>
  <c r="F135" i="19"/>
  <c r="G135" i="19" s="1"/>
  <c r="CX136" i="3" s="1"/>
  <c r="I135" i="19"/>
  <c r="J135" i="19" s="1"/>
  <c r="CY136" i="3" s="1"/>
  <c r="D127" i="19"/>
  <c r="I127" i="19" s="1"/>
  <c r="J127" i="19" s="1"/>
  <c r="BG114" i="3"/>
  <c r="AX32" i="10"/>
  <c r="BC111" i="3"/>
  <c r="K21" i="9"/>
  <c r="BN51" i="3"/>
  <c r="BN140" i="3"/>
  <c r="K16" i="9"/>
  <c r="BN16" i="3"/>
  <c r="BN220" i="3"/>
  <c r="BN28" i="3"/>
  <c r="BN48" i="3"/>
  <c r="BN13" i="3"/>
  <c r="BN266" i="3"/>
  <c r="BN261" i="3"/>
  <c r="BN168" i="3"/>
  <c r="BN268" i="3"/>
  <c r="BN67" i="3"/>
  <c r="BN279" i="3"/>
  <c r="BN174" i="3"/>
  <c r="BN139" i="3"/>
  <c r="F145" i="19"/>
  <c r="G145" i="19" s="1"/>
  <c r="CX146" i="3" s="1"/>
  <c r="I145" i="19"/>
  <c r="J145" i="19" s="1"/>
  <c r="D249" i="19"/>
  <c r="F227" i="19"/>
  <c r="G227" i="19" s="1"/>
  <c r="CX228" i="3" s="1"/>
  <c r="I227" i="19"/>
  <c r="J227" i="19" s="1"/>
  <c r="F197" i="19"/>
  <c r="G197" i="19" s="1"/>
  <c r="CX198" i="3" s="1"/>
  <c r="I197" i="19"/>
  <c r="J197" i="19" s="1"/>
  <c r="F114" i="19"/>
  <c r="G114" i="19" s="1"/>
  <c r="CX115" i="3" s="1"/>
  <c r="I114" i="19"/>
  <c r="J114" i="19" s="1"/>
  <c r="F159" i="19"/>
  <c r="G159" i="19" s="1"/>
  <c r="CX160" i="3" s="1"/>
  <c r="I159" i="19"/>
  <c r="J159" i="19" s="1"/>
  <c r="F172" i="19"/>
  <c r="G172" i="19" s="1"/>
  <c r="CX173" i="3" s="1"/>
  <c r="I172" i="19"/>
  <c r="J172" i="19" s="1"/>
  <c r="F117" i="19"/>
  <c r="G117" i="19" s="1"/>
  <c r="CX118" i="3" s="1"/>
  <c r="I117" i="19"/>
  <c r="J117" i="19" s="1"/>
  <c r="I124" i="19"/>
  <c r="J124" i="19" s="1"/>
  <c r="D44" i="19"/>
  <c r="D9" i="19"/>
  <c r="D23" i="19"/>
  <c r="D188" i="19"/>
  <c r="F188" i="19" s="1"/>
  <c r="G188" i="19" s="1"/>
  <c r="CX189" i="3" s="1"/>
  <c r="D213" i="19"/>
  <c r="D203" i="19"/>
  <c r="D170" i="19"/>
  <c r="D33" i="19"/>
  <c r="D110" i="19"/>
  <c r="D191" i="19"/>
  <c r="F88" i="19"/>
  <c r="G88" i="19" s="1"/>
  <c r="CX89" i="3" s="1"/>
  <c r="I88" i="19"/>
  <c r="J88" i="19" s="1"/>
  <c r="F168" i="19"/>
  <c r="G168" i="19" s="1"/>
  <c r="CX169" i="3" s="1"/>
  <c r="I168" i="19"/>
  <c r="J168" i="19" s="1"/>
  <c r="F78" i="19"/>
  <c r="G78" i="19" s="1"/>
  <c r="CX79" i="3" s="1"/>
  <c r="I78" i="19"/>
  <c r="J78" i="19" s="1"/>
  <c r="F32" i="19"/>
  <c r="G32" i="19" s="1"/>
  <c r="CX33" i="3" s="1"/>
  <c r="I32" i="19"/>
  <c r="J32" i="19" s="1"/>
  <c r="F250" i="19"/>
  <c r="G250" i="19" s="1"/>
  <c r="CX251" i="3" s="1"/>
  <c r="I250" i="19"/>
  <c r="J250" i="19" s="1"/>
  <c r="F187" i="19"/>
  <c r="G187" i="19" s="1"/>
  <c r="CX188" i="3" s="1"/>
  <c r="I187" i="19"/>
  <c r="J187" i="19" s="1"/>
  <c r="F259" i="19"/>
  <c r="G259" i="19" s="1"/>
  <c r="CX260" i="3" s="1"/>
  <c r="I259" i="19"/>
  <c r="J259" i="19" s="1"/>
  <c r="F75" i="19"/>
  <c r="G75" i="19" s="1"/>
  <c r="CX76" i="3" s="1"/>
  <c r="I75" i="19"/>
  <c r="J75" i="19" s="1"/>
  <c r="F269" i="19"/>
  <c r="G269" i="19" s="1"/>
  <c r="CX270" i="3" s="1"/>
  <c r="I269" i="19"/>
  <c r="J269" i="19" s="1"/>
  <c r="F242" i="19"/>
  <c r="G242" i="19" s="1"/>
  <c r="CX243" i="3" s="1"/>
  <c r="I242" i="19"/>
  <c r="J242" i="19" s="1"/>
  <c r="F70" i="19"/>
  <c r="G70" i="19" s="1"/>
  <c r="CX71" i="3" s="1"/>
  <c r="I70" i="19"/>
  <c r="J70" i="19" s="1"/>
  <c r="F264" i="19"/>
  <c r="G264" i="19" s="1"/>
  <c r="CX265" i="3" s="1"/>
  <c r="I264" i="19"/>
  <c r="J264" i="19" s="1"/>
  <c r="F5" i="19"/>
  <c r="G5" i="19" s="1"/>
  <c r="CX6" i="3" s="1"/>
  <c r="I255" i="19"/>
  <c r="J255" i="19" s="1"/>
  <c r="D239" i="19"/>
  <c r="F167" i="19"/>
  <c r="G167" i="19" s="1"/>
  <c r="CX168" i="3" s="1"/>
  <c r="I167" i="19"/>
  <c r="J167" i="19" s="1"/>
  <c r="F248" i="19"/>
  <c r="G248" i="19" s="1"/>
  <c r="CX249" i="3" s="1"/>
  <c r="I248" i="19"/>
  <c r="J248" i="19" s="1"/>
  <c r="D195" i="19"/>
  <c r="F257" i="19"/>
  <c r="G257" i="19" s="1"/>
  <c r="CX258" i="3" s="1"/>
  <c r="I257" i="19"/>
  <c r="J257" i="19" s="1"/>
  <c r="D64" i="19"/>
  <c r="F71" i="19"/>
  <c r="G71" i="19" s="1"/>
  <c r="CX72" i="3" s="1"/>
  <c r="I71" i="19"/>
  <c r="J71" i="19" s="1"/>
  <c r="D136" i="19"/>
  <c r="F136" i="19" s="1"/>
  <c r="G136" i="19" s="1"/>
  <c r="CX137" i="3" s="1"/>
  <c r="F251" i="19"/>
  <c r="G251" i="19" s="1"/>
  <c r="CX252" i="3" s="1"/>
  <c r="I251" i="19"/>
  <c r="J251" i="19" s="1"/>
  <c r="D30" i="19"/>
  <c r="F82" i="19"/>
  <c r="G82" i="19" s="1"/>
  <c r="CX83" i="3" s="1"/>
  <c r="I82" i="19"/>
  <c r="J82" i="19" s="1"/>
  <c r="D235" i="19"/>
  <c r="D238" i="19"/>
  <c r="F244" i="19"/>
  <c r="G244" i="19" s="1"/>
  <c r="CX245" i="3" s="1"/>
  <c r="F96" i="19"/>
  <c r="G96" i="19" s="1"/>
  <c r="CX97" i="3" s="1"/>
  <c r="I96" i="19"/>
  <c r="J96" i="19" s="1"/>
  <c r="I123" i="19"/>
  <c r="J123" i="19" s="1"/>
  <c r="F174" i="19"/>
  <c r="G174" i="19" s="1"/>
  <c r="CX175" i="3" s="1"/>
  <c r="I174" i="19"/>
  <c r="J174" i="19" s="1"/>
  <c r="F147" i="19"/>
  <c r="G147" i="19" s="1"/>
  <c r="CX148" i="3" s="1"/>
  <c r="I147" i="19"/>
  <c r="J147" i="19" s="1"/>
  <c r="F280" i="19"/>
  <c r="G280" i="19" s="1"/>
  <c r="CX281" i="3" s="1"/>
  <c r="I280" i="19"/>
  <c r="J280" i="19" s="1"/>
  <c r="F230" i="19"/>
  <c r="G230" i="19" s="1"/>
  <c r="CX231" i="3" s="1"/>
  <c r="I230" i="19"/>
  <c r="J230" i="19" s="1"/>
  <c r="F205" i="19"/>
  <c r="G205" i="19" s="1"/>
  <c r="CX206" i="3" s="1"/>
  <c r="I205" i="19"/>
  <c r="J205" i="19" s="1"/>
  <c r="F153" i="19"/>
  <c r="G153" i="19" s="1"/>
  <c r="CX154" i="3" s="1"/>
  <c r="I153" i="19"/>
  <c r="J153" i="19" s="1"/>
  <c r="D154" i="19"/>
  <c r="F272" i="19"/>
  <c r="G272" i="19" s="1"/>
  <c r="CX273" i="3" s="1"/>
  <c r="I272" i="19"/>
  <c r="J272" i="19" s="1"/>
  <c r="F142" i="19"/>
  <c r="G142" i="19" s="1"/>
  <c r="CX143" i="3" s="1"/>
  <c r="I142" i="19"/>
  <c r="J142" i="19" s="1"/>
  <c r="F226" i="19"/>
  <c r="G226" i="19" s="1"/>
  <c r="CX227" i="3" s="1"/>
  <c r="I226" i="19"/>
  <c r="J226" i="19" s="1"/>
  <c r="F278" i="19"/>
  <c r="G278" i="19" s="1"/>
  <c r="CX279" i="3" s="1"/>
  <c r="I278" i="19"/>
  <c r="J278" i="19" s="1"/>
  <c r="F267" i="19"/>
  <c r="G267" i="19" s="1"/>
  <c r="CX268" i="3" s="1"/>
  <c r="I267" i="19"/>
  <c r="J267" i="19" s="1"/>
  <c r="D105" i="19"/>
  <c r="D85" i="19"/>
  <c r="D80" i="19"/>
  <c r="D53" i="19"/>
  <c r="F164" i="19"/>
  <c r="G164" i="19" s="1"/>
  <c r="CX165" i="3" s="1"/>
  <c r="I164" i="19"/>
  <c r="J164" i="19" s="1"/>
  <c r="F277" i="19"/>
  <c r="G277" i="19" s="1"/>
  <c r="CX278" i="3" s="1"/>
  <c r="I277" i="19"/>
  <c r="J277" i="19" s="1"/>
  <c r="D194" i="19"/>
  <c r="F10" i="19"/>
  <c r="G10" i="19" s="1"/>
  <c r="CX11" i="3" s="1"/>
  <c r="I10" i="19"/>
  <c r="J10" i="19" s="1"/>
  <c r="F46" i="19"/>
  <c r="G46" i="19" s="1"/>
  <c r="CX47" i="3" s="1"/>
  <c r="I46" i="19"/>
  <c r="J46" i="19" s="1"/>
  <c r="D220" i="19"/>
  <c r="F220" i="19" s="1"/>
  <c r="G220" i="19" s="1"/>
  <c r="CX221" i="3" s="1"/>
  <c r="D234" i="19"/>
  <c r="D241" i="19"/>
  <c r="F225" i="19"/>
  <c r="G225" i="19" s="1"/>
  <c r="CX226" i="3" s="1"/>
  <c r="I225" i="19"/>
  <c r="J225" i="19" s="1"/>
  <c r="D54" i="19"/>
  <c r="F281" i="19"/>
  <c r="G281" i="19" s="1"/>
  <c r="CX282" i="3" s="1"/>
  <c r="I281" i="19"/>
  <c r="J281" i="19" s="1"/>
  <c r="D161" i="19"/>
  <c r="F161" i="19" s="1"/>
  <c r="G161" i="19" s="1"/>
  <c r="CX162" i="3" s="1"/>
  <c r="D274" i="19"/>
  <c r="F282" i="19"/>
  <c r="G282" i="19" s="1"/>
  <c r="CX283" i="3" s="1"/>
  <c r="I282" i="19"/>
  <c r="J282" i="19" s="1"/>
  <c r="F68" i="19"/>
  <c r="G68" i="19" s="1"/>
  <c r="CX69" i="3" s="1"/>
  <c r="I68" i="19"/>
  <c r="J68" i="19" s="1"/>
  <c r="F22" i="19"/>
  <c r="G22" i="19" s="1"/>
  <c r="CX23" i="3" s="1"/>
  <c r="I22" i="19"/>
  <c r="J22" i="19" s="1"/>
  <c r="D279" i="19"/>
  <c r="F179" i="19"/>
  <c r="G179" i="19" s="1"/>
  <c r="CX180" i="3" s="1"/>
  <c r="I179" i="19"/>
  <c r="J179" i="19" s="1"/>
  <c r="F224" i="19"/>
  <c r="G224" i="19" s="1"/>
  <c r="CX225" i="3" s="1"/>
  <c r="I224" i="19"/>
  <c r="J224" i="19" s="1"/>
  <c r="D45" i="19"/>
  <c r="F28" i="19"/>
  <c r="G28" i="19" s="1"/>
  <c r="CX29" i="3" s="1"/>
  <c r="I28" i="19"/>
  <c r="J28" i="19" s="1"/>
  <c r="D258" i="19"/>
  <c r="F106" i="19"/>
  <c r="G106" i="19" s="1"/>
  <c r="CX107" i="3" s="1"/>
  <c r="I106" i="19"/>
  <c r="J106" i="19" s="1"/>
  <c r="F69" i="19"/>
  <c r="G69" i="19" s="1"/>
  <c r="CX70" i="3" s="1"/>
  <c r="I69" i="19"/>
  <c r="J69" i="19" s="1"/>
  <c r="F156" i="19"/>
  <c r="G156" i="19" s="1"/>
  <c r="CX157" i="3" s="1"/>
  <c r="I156" i="19"/>
  <c r="J156" i="19" s="1"/>
  <c r="I14" i="19"/>
  <c r="J14" i="19" s="1"/>
  <c r="F285" i="19"/>
  <c r="G285" i="19" s="1"/>
  <c r="CX286" i="3" s="1"/>
  <c r="I285" i="19"/>
  <c r="J285" i="19" s="1"/>
  <c r="F286" i="19"/>
  <c r="G286" i="19" s="1"/>
  <c r="CX287" i="3" s="1"/>
  <c r="I286" i="19"/>
  <c r="J286" i="19" s="1"/>
  <c r="F6" i="19"/>
  <c r="G6" i="19" s="1"/>
  <c r="CX7" i="3" s="1"/>
  <c r="I6" i="19"/>
  <c r="J6" i="19" s="1"/>
  <c r="F202" i="19"/>
  <c r="G202" i="19" s="1"/>
  <c r="CX203" i="3" s="1"/>
  <c r="I202" i="19"/>
  <c r="J202" i="19" s="1"/>
  <c r="F143" i="19"/>
  <c r="G143" i="19" s="1"/>
  <c r="CX144" i="3" s="1"/>
  <c r="I143" i="19"/>
  <c r="J143" i="19" s="1"/>
  <c r="F34" i="19"/>
  <c r="G34" i="19" s="1"/>
  <c r="CX35" i="3" s="1"/>
  <c r="I34" i="19"/>
  <c r="J34" i="19" s="1"/>
  <c r="F99" i="19"/>
  <c r="G99" i="19" s="1"/>
  <c r="CX100" i="3" s="1"/>
  <c r="I99" i="19"/>
  <c r="J99" i="19" s="1"/>
  <c r="F208" i="19"/>
  <c r="G208" i="19" s="1"/>
  <c r="CX209" i="3" s="1"/>
  <c r="I208" i="19"/>
  <c r="J208" i="19" s="1"/>
  <c r="F240" i="19"/>
  <c r="G240" i="19" s="1"/>
  <c r="CX241" i="3" s="1"/>
  <c r="I240" i="19"/>
  <c r="J240" i="19" s="1"/>
  <c r="F163" i="19"/>
  <c r="G163" i="19" s="1"/>
  <c r="CX164" i="3" s="1"/>
  <c r="I163" i="19"/>
  <c r="J163" i="19" s="1"/>
  <c r="D193" i="19"/>
  <c r="F231" i="19"/>
  <c r="G231" i="19" s="1"/>
  <c r="CX232" i="3" s="1"/>
  <c r="I231" i="19"/>
  <c r="J231" i="19" s="1"/>
  <c r="D148" i="19"/>
  <c r="F268" i="19"/>
  <c r="G268" i="19" s="1"/>
  <c r="CX269" i="3" s="1"/>
  <c r="I268" i="19"/>
  <c r="J268" i="19" s="1"/>
  <c r="F35" i="19"/>
  <c r="G35" i="19" s="1"/>
  <c r="CX36" i="3" s="1"/>
  <c r="I35" i="19"/>
  <c r="J35" i="19" s="1"/>
  <c r="F289" i="19"/>
  <c r="G289" i="19" s="1"/>
  <c r="CX290" i="3" s="1"/>
  <c r="I289" i="19"/>
  <c r="J289" i="19" s="1"/>
  <c r="D184" i="19"/>
  <c r="F207" i="19"/>
  <c r="G207" i="19" s="1"/>
  <c r="CX208" i="3" s="1"/>
  <c r="I207" i="19"/>
  <c r="J207" i="19" s="1"/>
  <c r="F26" i="19"/>
  <c r="G26" i="19" s="1"/>
  <c r="CX27" i="3" s="1"/>
  <c r="I26" i="19"/>
  <c r="J26" i="19" s="1"/>
  <c r="D91" i="19"/>
  <c r="D247" i="19"/>
  <c r="F17" i="19"/>
  <c r="G17" i="19" s="1"/>
  <c r="CX18" i="3" s="1"/>
  <c r="I17" i="19"/>
  <c r="J17" i="19" s="1"/>
  <c r="D157" i="19"/>
  <c r="F8" i="19"/>
  <c r="G8" i="19" s="1"/>
  <c r="CX9" i="3" s="1"/>
  <c r="I8" i="19"/>
  <c r="J8" i="19" s="1"/>
  <c r="F108" i="19"/>
  <c r="G108" i="19" s="1"/>
  <c r="CX109" i="3" s="1"/>
  <c r="I108" i="19"/>
  <c r="J108" i="19" s="1"/>
  <c r="D97" i="19"/>
  <c r="D162" i="19"/>
  <c r="D171" i="19"/>
  <c r="D189" i="19"/>
  <c r="D176" i="19"/>
  <c r="D256" i="19"/>
  <c r="D169" i="19"/>
  <c r="G104" i="19"/>
  <c r="CX105" i="3" s="1"/>
  <c r="J206" i="19"/>
  <c r="CY207" i="3" s="1"/>
  <c r="BT255" i="3"/>
  <c r="BT179" i="3"/>
  <c r="J178" i="19"/>
  <c r="CY179" i="3" s="1"/>
  <c r="BT51" i="3"/>
  <c r="BT192" i="3"/>
  <c r="BT93" i="3"/>
  <c r="BT186" i="3"/>
  <c r="BT108" i="3"/>
  <c r="BT191" i="3"/>
  <c r="G181" i="19"/>
  <c r="CX182" i="3" s="1"/>
  <c r="BT235" i="3"/>
  <c r="BT163" i="3"/>
  <c r="BT221" i="3"/>
  <c r="J220" i="19"/>
  <c r="CY221" i="3" s="1"/>
  <c r="BT145" i="3"/>
  <c r="BT121" i="3"/>
  <c r="G178" i="19"/>
  <c r="CX179" i="3" s="1"/>
  <c r="G65" i="19"/>
  <c r="CX66" i="3" s="1"/>
  <c r="BT247" i="3"/>
  <c r="J246" i="19"/>
  <c r="CY247" i="3" s="1"/>
  <c r="G98" i="19"/>
  <c r="CX99" i="3" s="1"/>
  <c r="BT80" i="3"/>
  <c r="BT52" i="3"/>
  <c r="J51" i="19"/>
  <c r="CY52" i="3" s="1"/>
  <c r="BT261" i="3"/>
  <c r="J260" i="19"/>
  <c r="CY261" i="3" s="1"/>
  <c r="BT222" i="3"/>
  <c r="BT246" i="3"/>
  <c r="BT189" i="3"/>
  <c r="J188" i="19"/>
  <c r="CY189" i="3" s="1"/>
  <c r="BT155" i="3"/>
  <c r="BT151" i="3"/>
  <c r="J150" i="19"/>
  <c r="CY151" i="3" s="1"/>
  <c r="BT131" i="3"/>
  <c r="BT101" i="3"/>
  <c r="BT140" i="3"/>
  <c r="J139" i="19"/>
  <c r="CY140" i="3" s="1"/>
  <c r="BT58" i="3"/>
  <c r="J57" i="19"/>
  <c r="CY58" i="3" s="1"/>
  <c r="BT39" i="3"/>
  <c r="J38" i="19"/>
  <c r="CY39" i="3" s="1"/>
  <c r="BT57" i="3"/>
  <c r="J56" i="19"/>
  <c r="CY57" i="3" s="1"/>
  <c r="BT285" i="3"/>
  <c r="J284" i="19"/>
  <c r="CY285" i="3" s="1"/>
  <c r="BT271" i="3"/>
  <c r="J270" i="19"/>
  <c r="CY271" i="3" s="1"/>
  <c r="BT182" i="3"/>
  <c r="J181" i="19"/>
  <c r="CY182" i="3" s="1"/>
  <c r="BT213" i="3"/>
  <c r="BT289" i="3"/>
  <c r="J288" i="19"/>
  <c r="CY289" i="3" s="1"/>
  <c r="G246" i="19"/>
  <c r="CX247" i="3" s="1"/>
  <c r="BT153" i="3"/>
  <c r="BT284" i="3"/>
  <c r="J283" i="19"/>
  <c r="CY284" i="3" s="1"/>
  <c r="BT136" i="3"/>
  <c r="BT152" i="3"/>
  <c r="BT68" i="3"/>
  <c r="J67" i="19"/>
  <c r="CY68" i="3" s="1"/>
  <c r="BT82" i="3"/>
  <c r="BT14" i="3"/>
  <c r="BT161" i="3"/>
  <c r="J160" i="19"/>
  <c r="CY161" i="3" s="1"/>
  <c r="BT96" i="3"/>
  <c r="BT181" i="3"/>
  <c r="BT127" i="3"/>
  <c r="BT185" i="3"/>
  <c r="BT141" i="3"/>
  <c r="J271" i="19"/>
  <c r="CY272" i="3" s="1"/>
  <c r="G18" i="19"/>
  <c r="CX19" i="3" s="1"/>
  <c r="BT99" i="3"/>
  <c r="J98" i="19"/>
  <c r="CY99" i="3" s="1"/>
  <c r="BT132" i="3"/>
  <c r="J131" i="19"/>
  <c r="CY132" i="3" s="1"/>
  <c r="BT277" i="3"/>
  <c r="J276" i="19"/>
  <c r="CY277" i="3" s="1"/>
  <c r="BT138" i="3"/>
  <c r="J137" i="19"/>
  <c r="CY138" i="3" s="1"/>
  <c r="BT234" i="3"/>
  <c r="BT105" i="3"/>
  <c r="J104" i="19"/>
  <c r="CY105" i="3" s="1"/>
  <c r="G51" i="19"/>
  <c r="CX52" i="3" s="1"/>
  <c r="BT266" i="3"/>
  <c r="BT84" i="3"/>
  <c r="BT233" i="3"/>
  <c r="J232" i="19"/>
  <c r="CY233" i="3" s="1"/>
  <c r="BT94" i="3"/>
  <c r="G288" i="19"/>
  <c r="CX289" i="3" s="1"/>
  <c r="BT135" i="3"/>
  <c r="J134" i="19"/>
  <c r="CY135" i="3" s="1"/>
  <c r="BT183" i="3"/>
  <c r="J182" i="19"/>
  <c r="CY183" i="3" s="1"/>
  <c r="G134" i="19"/>
  <c r="CX135" i="3" s="1"/>
  <c r="BT240" i="3"/>
  <c r="BT90" i="3"/>
  <c r="J89" i="19"/>
  <c r="CY90" i="3" s="1"/>
  <c r="J204" i="19"/>
  <c r="CY205" i="3" s="1"/>
  <c r="G271" i="19"/>
  <c r="CX272" i="3" s="1"/>
  <c r="G206" i="19"/>
  <c r="CX207" i="3" s="1"/>
  <c r="BT134" i="3"/>
  <c r="J133" i="19"/>
  <c r="CY134" i="3" s="1"/>
  <c r="BT156" i="3"/>
  <c r="J155" i="19"/>
  <c r="CY156" i="3" s="1"/>
  <c r="BT218" i="3"/>
  <c r="J217" i="19"/>
  <c r="CY218" i="3" s="1"/>
  <c r="BT92" i="3"/>
  <c r="BT288" i="3"/>
  <c r="J287" i="19"/>
  <c r="CY288" i="3" s="1"/>
  <c r="BT123" i="3"/>
  <c r="J122" i="19"/>
  <c r="CY123" i="3" s="1"/>
  <c r="BT63" i="3"/>
  <c r="J62" i="19"/>
  <c r="CY63" i="3" s="1"/>
  <c r="BT216" i="3"/>
  <c r="BT137" i="3"/>
  <c r="J136" i="19"/>
  <c r="CY137" i="3" s="1"/>
  <c r="BT263" i="3"/>
  <c r="J262" i="19"/>
  <c r="CY263" i="3" s="1"/>
  <c r="BT104" i="3"/>
  <c r="J103" i="19"/>
  <c r="CY104" i="3" s="1"/>
  <c r="BT214" i="3"/>
  <c r="BT91" i="3"/>
  <c r="BT64" i="3"/>
  <c r="G101" i="19"/>
  <c r="CX102" i="3" s="1"/>
  <c r="BT49" i="3"/>
  <c r="BT26" i="3"/>
  <c r="BT187" i="3"/>
  <c r="J186" i="19"/>
  <c r="CY187" i="3" s="1"/>
  <c r="BT167" i="3"/>
  <c r="J166" i="19"/>
  <c r="CY167" i="3" s="1"/>
  <c r="BT59" i="3"/>
  <c r="BT81" i="3"/>
  <c r="BT87" i="3"/>
  <c r="BT126" i="3"/>
  <c r="BT113" i="3"/>
  <c r="J112" i="19"/>
  <c r="CY113" i="3" s="1"/>
  <c r="BT10" i="3"/>
  <c r="BT98" i="3"/>
  <c r="BT17" i="3"/>
  <c r="J16" i="19"/>
  <c r="CY17" i="3" s="1"/>
  <c r="BT257" i="3"/>
  <c r="BT162" i="3"/>
  <c r="J161" i="19"/>
  <c r="CY162" i="3" s="1"/>
  <c r="BT267" i="3"/>
  <c r="J266" i="19"/>
  <c r="CY267" i="3" s="1"/>
  <c r="BT139" i="3"/>
  <c r="G160" i="19"/>
  <c r="CX161" i="3" s="1"/>
  <c r="G270" i="19"/>
  <c r="CX271" i="3" s="1"/>
  <c r="G232" i="19"/>
  <c r="CX233" i="3" s="1"/>
  <c r="G56" i="19"/>
  <c r="CX57" i="3" s="1"/>
  <c r="G67" i="19"/>
  <c r="CX68" i="3" s="1"/>
  <c r="G57" i="19"/>
  <c r="CX58" i="3" s="1"/>
  <c r="G38" i="19"/>
  <c r="CX39" i="3" s="1"/>
  <c r="G62" i="19"/>
  <c r="CX63" i="3" s="1"/>
  <c r="G276" i="19"/>
  <c r="CX277" i="3" s="1"/>
  <c r="G131" i="19"/>
  <c r="CX132" i="3" s="1"/>
  <c r="G155" i="19"/>
  <c r="CX156" i="3" s="1"/>
  <c r="G284" i="19"/>
  <c r="CX285" i="3" s="1"/>
  <c r="G287" i="19"/>
  <c r="CX288" i="3" s="1"/>
  <c r="G100" i="19"/>
  <c r="CX101" i="3" s="1"/>
  <c r="AW193" i="3"/>
  <c r="CW193" i="3" s="1"/>
  <c r="D192" i="19" s="1"/>
  <c r="F192" i="19" s="1"/>
  <c r="BO193" i="3"/>
  <c r="BQ193" i="3" s="1"/>
  <c r="BS193" i="3" s="1"/>
  <c r="BF193" i="3"/>
  <c r="G7" i="18"/>
  <c r="F4" i="18"/>
  <c r="K25" i="9"/>
  <c r="K28" i="9"/>
  <c r="BG176" i="3"/>
  <c r="AW176" i="3"/>
  <c r="CW176" i="3" s="1"/>
  <c r="D175" i="19" s="1"/>
  <c r="BF176" i="3"/>
  <c r="BO176" i="3"/>
  <c r="BQ176" i="3" s="1"/>
  <c r="BS176" i="3" s="1"/>
  <c r="BT176" i="3" s="1"/>
  <c r="K13" i="9"/>
  <c r="K7" i="9"/>
  <c r="BN269" i="3"/>
  <c r="BN216" i="3"/>
  <c r="BN285" i="3"/>
  <c r="BN117" i="3"/>
  <c r="K41" i="9"/>
  <c r="BN41" i="3"/>
  <c r="BN206" i="3"/>
  <c r="BN146" i="3"/>
  <c r="K11" i="9"/>
  <c r="BN11" i="3"/>
  <c r="BN231" i="3"/>
  <c r="BN38" i="3"/>
  <c r="K38" i="9"/>
  <c r="BN232" i="3"/>
  <c r="BN22" i="3"/>
  <c r="K22" i="9"/>
  <c r="BN159" i="3"/>
  <c r="BN123" i="3"/>
  <c r="BN265" i="3"/>
  <c r="BG262" i="3"/>
  <c r="BO262" i="3"/>
  <c r="BQ262" i="3" s="1"/>
  <c r="BS262" i="3" s="1"/>
  <c r="BT262" i="3" s="1"/>
  <c r="AW262" i="3"/>
  <c r="CW262" i="3" s="1"/>
  <c r="D261" i="19" s="1"/>
  <c r="BG73" i="3"/>
  <c r="BO73" i="3"/>
  <c r="BQ73" i="3" s="1"/>
  <c r="BS73" i="3" s="1"/>
  <c r="BT73" i="3" s="1"/>
  <c r="AW73" i="3"/>
  <c r="CW73" i="3" s="1"/>
  <c r="D116" i="19" s="1"/>
  <c r="BG119" i="3"/>
  <c r="BO119" i="3"/>
  <c r="BQ119" i="3" s="1"/>
  <c r="BS119" i="3" s="1"/>
  <c r="BT119" i="3" s="1"/>
  <c r="BF119" i="3"/>
  <c r="AW119" i="3"/>
  <c r="CW119" i="3" s="1"/>
  <c r="BG30" i="3"/>
  <c r="BI30" i="3" s="1"/>
  <c r="AW30" i="3"/>
  <c r="CW30" i="3" s="1"/>
  <c r="D29" i="19" s="1"/>
  <c r="F29" i="19" s="1"/>
  <c r="BO30" i="3"/>
  <c r="BQ30" i="3" s="1"/>
  <c r="BS30" i="3" s="1"/>
  <c r="J81" i="19" s="1"/>
  <c r="CY82" i="3" s="1"/>
  <c r="BF30" i="3"/>
  <c r="BG210" i="3"/>
  <c r="BO210" i="3"/>
  <c r="BQ210" i="3" s="1"/>
  <c r="BS210" i="3" s="1"/>
  <c r="BT210" i="3" s="1"/>
  <c r="AW210" i="3"/>
  <c r="CW210" i="3" s="1"/>
  <c r="D209" i="19" s="1"/>
  <c r="BF210" i="3"/>
  <c r="BG56" i="3"/>
  <c r="AW56" i="3"/>
  <c r="CW56" i="3" s="1"/>
  <c r="D55" i="19" s="1"/>
  <c r="BF56" i="3"/>
  <c r="BO56" i="3"/>
  <c r="BQ56" i="3" s="1"/>
  <c r="BS56" i="3" s="1"/>
  <c r="BT56" i="3" s="1"/>
  <c r="BN180" i="3"/>
  <c r="K9" i="9"/>
  <c r="BN9" i="3"/>
  <c r="BN84" i="3"/>
  <c r="BN14" i="3"/>
  <c r="K14" i="9"/>
  <c r="BN260" i="3"/>
  <c r="BN161" i="3"/>
  <c r="BN76" i="3"/>
  <c r="BN109" i="3"/>
  <c r="BN160" i="3"/>
  <c r="BN258" i="3"/>
  <c r="BN62" i="3"/>
  <c r="BN124" i="3"/>
  <c r="BN151" i="3"/>
  <c r="BN40" i="3"/>
  <c r="K40" i="9"/>
  <c r="BN244" i="3"/>
  <c r="BN166" i="3"/>
  <c r="BN142" i="3"/>
  <c r="BN126" i="3"/>
  <c r="BN191" i="3"/>
  <c r="BG77" i="3"/>
  <c r="BF77" i="3"/>
  <c r="BO77" i="3"/>
  <c r="BQ77" i="3" s="1"/>
  <c r="BS77" i="3" s="1"/>
  <c r="BT77" i="3" s="1"/>
  <c r="AW77" i="3"/>
  <c r="CW77" i="3" s="1"/>
  <c r="D76" i="19" s="1"/>
  <c r="BG178" i="3"/>
  <c r="AW178" i="3"/>
  <c r="CW178" i="3" s="1"/>
  <c r="D177" i="19" s="1"/>
  <c r="BF178" i="3"/>
  <c r="BO178" i="3"/>
  <c r="BQ178" i="3" s="1"/>
  <c r="BS178" i="3" s="1"/>
  <c r="BT178" i="3" s="1"/>
  <c r="BG8" i="3"/>
  <c r="BI8" i="3" s="1"/>
  <c r="BF8" i="3"/>
  <c r="BO8" i="3"/>
  <c r="BQ8" i="3" s="1"/>
  <c r="BS8" i="3" s="1"/>
  <c r="BT8" i="3" s="1"/>
  <c r="AW8" i="3"/>
  <c r="CW8" i="3" s="1"/>
  <c r="BG37" i="3"/>
  <c r="BI37" i="3" s="1"/>
  <c r="BO37" i="3"/>
  <c r="BQ37" i="3" s="1"/>
  <c r="BS37" i="3" s="1"/>
  <c r="BT37" i="3" s="1"/>
  <c r="AW37" i="3"/>
  <c r="CW37" i="3" s="1"/>
  <c r="D36" i="19" s="1"/>
  <c r="BF37" i="3"/>
  <c r="BG274" i="3"/>
  <c r="AW274" i="3"/>
  <c r="CW274" i="3" s="1"/>
  <c r="D273" i="19" s="1"/>
  <c r="BO274" i="3"/>
  <c r="BQ274" i="3" s="1"/>
  <c r="BS274" i="3" s="1"/>
  <c r="BT274" i="3" s="1"/>
  <c r="BF274" i="3"/>
  <c r="BG276" i="3"/>
  <c r="AW276" i="3"/>
  <c r="CW276" i="3" s="1"/>
  <c r="D275" i="19" s="1"/>
  <c r="BF276" i="3"/>
  <c r="BO276" i="3"/>
  <c r="BQ276" i="3" s="1"/>
  <c r="BS276" i="3" s="1"/>
  <c r="BT276" i="3" s="1"/>
  <c r="BG229" i="3"/>
  <c r="BO229" i="3"/>
  <c r="BQ229" i="3" s="1"/>
  <c r="BS229" i="3" s="1"/>
  <c r="BT229" i="3" s="1"/>
  <c r="AW229" i="3"/>
  <c r="CW229" i="3" s="1"/>
  <c r="D228" i="19" s="1"/>
  <c r="BF229" i="3"/>
  <c r="BO114" i="3"/>
  <c r="BQ114" i="3" s="1"/>
  <c r="BS114" i="3" s="1"/>
  <c r="BT114" i="3" s="1"/>
  <c r="AW114" i="3"/>
  <c r="CW114" i="3" s="1"/>
  <c r="D113" i="19" s="1"/>
  <c r="BN134" i="3"/>
  <c r="BN224" i="3"/>
  <c r="AW21" i="3"/>
  <c r="CW21" i="3" s="1"/>
  <c r="K34" i="9"/>
  <c r="BN34" i="3"/>
  <c r="K19" i="9"/>
  <c r="BN19" i="3"/>
  <c r="K12" i="9"/>
  <c r="BN12" i="3"/>
  <c r="K31" i="9"/>
  <c r="BN31" i="3"/>
  <c r="BN88" i="3"/>
  <c r="BN21" i="3"/>
  <c r="BN26" i="3"/>
  <c r="K26" i="9"/>
  <c r="BN263" i="3"/>
  <c r="BN252" i="3"/>
  <c r="BN156" i="3"/>
  <c r="BN79" i="3"/>
  <c r="BN234" i="3"/>
  <c r="BN249" i="3"/>
  <c r="BN150" i="3"/>
  <c r="BN33" i="3"/>
  <c r="K33" i="9"/>
  <c r="BN251" i="3"/>
  <c r="BF211" i="3"/>
  <c r="BO21" i="3"/>
  <c r="BQ21" i="3" s="1"/>
  <c r="BS21" i="3" s="1"/>
  <c r="BT21" i="3" s="1"/>
  <c r="BN143" i="3"/>
  <c r="BN187" i="3"/>
  <c r="BO211" i="3"/>
  <c r="BQ211" i="3" s="1"/>
  <c r="BS211" i="3" s="1"/>
  <c r="BT211" i="3" s="1"/>
  <c r="BN93" i="3"/>
  <c r="BG110" i="3"/>
  <c r="AW110" i="3"/>
  <c r="CW110" i="3" s="1"/>
  <c r="D109" i="19" s="1"/>
  <c r="BO110" i="3"/>
  <c r="BQ110" i="3" s="1"/>
  <c r="BS110" i="3" s="1"/>
  <c r="BT110" i="3" s="1"/>
  <c r="BN186" i="3"/>
  <c r="AW211" i="3"/>
  <c r="CW211" i="3" s="1"/>
  <c r="D223" i="19" s="1"/>
  <c r="BF21" i="3"/>
  <c r="BF73" i="3"/>
  <c r="BF262" i="3"/>
  <c r="BN111" i="3"/>
  <c r="BN144" i="3"/>
  <c r="K35" i="9"/>
  <c r="BN35" i="3"/>
  <c r="BN101" i="3"/>
  <c r="BN237" i="3"/>
  <c r="BN100" i="3"/>
  <c r="BN209" i="3"/>
  <c r="BN27" i="3"/>
  <c r="K27" i="9"/>
  <c r="BN25" i="3"/>
  <c r="BS25" i="3"/>
  <c r="F121" i="19" l="1"/>
  <c r="G121" i="19" s="1"/>
  <c r="CX122" i="3" s="1"/>
  <c r="F84" i="19"/>
  <c r="G84" i="19" s="1"/>
  <c r="CX85" i="3" s="1"/>
  <c r="I27" i="19"/>
  <c r="J27" i="19" s="1"/>
  <c r="CY28" i="3" s="1"/>
  <c r="F73" i="19"/>
  <c r="G73" i="19" s="1"/>
  <c r="CX74" i="3" s="1"/>
  <c r="F127" i="19"/>
  <c r="G127" i="19" s="1"/>
  <c r="CX128" i="3" s="1"/>
  <c r="I237" i="19"/>
  <c r="J237" i="19" s="1"/>
  <c r="CY238" i="3" s="1"/>
  <c r="I52" i="19"/>
  <c r="J52" i="19" s="1"/>
  <c r="CY53" i="3" s="1"/>
  <c r="I253" i="19"/>
  <c r="J253" i="19" s="1"/>
  <c r="CY254" i="3" s="1"/>
  <c r="I43" i="19"/>
  <c r="J43" i="19" s="1"/>
  <c r="CY44" i="3" s="1"/>
  <c r="I218" i="19"/>
  <c r="J218" i="19" s="1"/>
  <c r="CY219" i="3" s="1"/>
  <c r="I183" i="19"/>
  <c r="J183" i="19" s="1"/>
  <c r="CY184" i="3" s="1"/>
  <c r="I229" i="19"/>
  <c r="J229" i="19" s="1"/>
  <c r="CY230" i="3" s="1"/>
  <c r="I21" i="19"/>
  <c r="J21" i="19" s="1"/>
  <c r="CY22" i="3" s="1"/>
  <c r="BI276" i="3"/>
  <c r="BN276" i="3" s="1"/>
  <c r="K276" i="9"/>
  <c r="BI178" i="3"/>
  <c r="BN178" i="3" s="1"/>
  <c r="K178" i="9"/>
  <c r="BI210" i="3"/>
  <c r="BN210" i="3" s="1"/>
  <c r="K210" i="9"/>
  <c r="BI119" i="3"/>
  <c r="BN119" i="3" s="1"/>
  <c r="K119" i="9"/>
  <c r="BI73" i="3"/>
  <c r="BN73" i="3" s="1"/>
  <c r="K73" i="9"/>
  <c r="BI110" i="3"/>
  <c r="BN110" i="3" s="1"/>
  <c r="K110" i="9"/>
  <c r="BI229" i="3"/>
  <c r="BN229" i="3" s="1"/>
  <c r="K229" i="9"/>
  <c r="BI274" i="3"/>
  <c r="BN274" i="3" s="1"/>
  <c r="K274" i="9"/>
  <c r="BI77" i="3"/>
  <c r="BN77" i="3" s="1"/>
  <c r="K77" i="9"/>
  <c r="BI56" i="3"/>
  <c r="BN56" i="3" s="1"/>
  <c r="K56" i="9"/>
  <c r="BI176" i="3"/>
  <c r="BN176" i="3" s="1"/>
  <c r="K176" i="9"/>
  <c r="BI114" i="3"/>
  <c r="BN114" i="3" s="1"/>
  <c r="K114" i="9"/>
  <c r="BI262" i="3"/>
  <c r="BN262" i="3" s="1"/>
  <c r="K262" i="9"/>
  <c r="I60" i="19"/>
  <c r="J60" i="19" s="1"/>
  <c r="CY61" i="3" s="1"/>
  <c r="I74" i="19"/>
  <c r="J74" i="19" s="1"/>
  <c r="CY75" i="3" s="1"/>
  <c r="I77" i="19"/>
  <c r="J77" i="19" s="1"/>
  <c r="CY78" i="3" s="1"/>
  <c r="I31" i="19"/>
  <c r="J31" i="19" s="1"/>
  <c r="CY32" i="3" s="1"/>
  <c r="I42" i="19"/>
  <c r="J42" i="19" s="1"/>
  <c r="CY43" i="3" s="1"/>
  <c r="F66" i="19"/>
  <c r="G66" i="19" s="1"/>
  <c r="CX67" i="3" s="1"/>
  <c r="I198" i="19"/>
  <c r="J198" i="19" s="1"/>
  <c r="CY199" i="3" s="1"/>
  <c r="I111" i="19"/>
  <c r="J111" i="19" s="1"/>
  <c r="CY112" i="3" s="1"/>
  <c r="F196" i="19"/>
  <c r="G196" i="19" s="1"/>
  <c r="CX197" i="3" s="1"/>
  <c r="F15" i="19"/>
  <c r="G15" i="19" s="1"/>
  <c r="CX16" i="3" s="1"/>
  <c r="I24" i="19"/>
  <c r="J24" i="19" s="1"/>
  <c r="CY25" i="3" s="1"/>
  <c r="I40" i="19"/>
  <c r="J40" i="19" s="1"/>
  <c r="CY41" i="3" s="1"/>
  <c r="I19" i="19"/>
  <c r="J19" i="19" s="1"/>
  <c r="CY20" i="3" s="1"/>
  <c r="I61" i="19"/>
  <c r="J61" i="19" s="1"/>
  <c r="CY62" i="3" s="1"/>
  <c r="I158" i="19"/>
  <c r="J158" i="19" s="1"/>
  <c r="CY159" i="3" s="1"/>
  <c r="I252" i="19"/>
  <c r="J252" i="19" s="1"/>
  <c r="CY253" i="3" s="1"/>
  <c r="I243" i="19"/>
  <c r="J243" i="19" s="1"/>
  <c r="CY244" i="3" s="1"/>
  <c r="I216" i="19"/>
  <c r="J216" i="19" s="1"/>
  <c r="CY217" i="3" s="1"/>
  <c r="I141" i="19"/>
  <c r="J141" i="19" s="1"/>
  <c r="CY142" i="3" s="1"/>
  <c r="I39" i="19"/>
  <c r="J39" i="19" s="1"/>
  <c r="CY40" i="3" s="1"/>
  <c r="I129" i="19"/>
  <c r="J129" i="19" s="1"/>
  <c r="CY130" i="3" s="1"/>
  <c r="F37" i="19"/>
  <c r="G37" i="19" s="1"/>
  <c r="CX38" i="3" s="1"/>
  <c r="F11" i="19"/>
  <c r="G11" i="19" s="1"/>
  <c r="CX12" i="3" s="1"/>
  <c r="I236" i="19"/>
  <c r="J236" i="19" s="1"/>
  <c r="CY237" i="3" s="1"/>
  <c r="I132" i="19"/>
  <c r="J132" i="19" s="1"/>
  <c r="CY133" i="3" s="1"/>
  <c r="I165" i="19"/>
  <c r="J165" i="19" s="1"/>
  <c r="CY166" i="3" s="1"/>
  <c r="F47" i="19"/>
  <c r="G47" i="19" s="1"/>
  <c r="CX48" i="3" s="1"/>
  <c r="I47" i="19"/>
  <c r="J47" i="19" s="1"/>
  <c r="CY48" i="3" s="1"/>
  <c r="F116" i="19"/>
  <c r="G116" i="19" s="1"/>
  <c r="CX117" i="3" s="1"/>
  <c r="I116" i="19"/>
  <c r="J116" i="19" s="1"/>
  <c r="CY117" i="3" s="1"/>
  <c r="F223" i="19"/>
  <c r="G223" i="19" s="1"/>
  <c r="CX224" i="3" s="1"/>
  <c r="I223" i="19"/>
  <c r="J223" i="19" s="1"/>
  <c r="CY224" i="3" s="1"/>
  <c r="F63" i="19"/>
  <c r="G63" i="19" s="1"/>
  <c r="CX64" i="3" s="1"/>
  <c r="I63" i="19"/>
  <c r="J63" i="19" s="1"/>
  <c r="CY64" i="3" s="1"/>
  <c r="F138" i="19"/>
  <c r="G138" i="19" s="1"/>
  <c r="CX139" i="3" s="1"/>
  <c r="I138" i="19"/>
  <c r="J138" i="19" s="1"/>
  <c r="CY139" i="3" s="1"/>
  <c r="F86" i="19"/>
  <c r="G86" i="19" s="1"/>
  <c r="CX87" i="3" s="1"/>
  <c r="I86" i="19"/>
  <c r="J86" i="19" s="1"/>
  <c r="CY87" i="3" s="1"/>
  <c r="F144" i="19"/>
  <c r="G144" i="19" s="1"/>
  <c r="CX145" i="3" s="1"/>
  <c r="I144" i="19"/>
  <c r="J144" i="19" s="1"/>
  <c r="CY145" i="3" s="1"/>
  <c r="D49" i="19"/>
  <c r="D119" i="19"/>
  <c r="F115" i="19"/>
  <c r="G115" i="19" s="1"/>
  <c r="CX116" i="3" s="1"/>
  <c r="I115" i="19"/>
  <c r="J115" i="19" s="1"/>
  <c r="CY116" i="3" s="1"/>
  <c r="F256" i="19"/>
  <c r="G256" i="19" s="1"/>
  <c r="CX257" i="3" s="1"/>
  <c r="I256" i="19"/>
  <c r="J256" i="19" s="1"/>
  <c r="CY257" i="3" s="1"/>
  <c r="F184" i="19"/>
  <c r="G184" i="19" s="1"/>
  <c r="CX185" i="3" s="1"/>
  <c r="I184" i="19"/>
  <c r="J184" i="19" s="1"/>
  <c r="CY185" i="3" s="1"/>
  <c r="F234" i="19"/>
  <c r="G234" i="19" s="1"/>
  <c r="CX235" i="3" s="1"/>
  <c r="I234" i="19"/>
  <c r="J234" i="19" s="1"/>
  <c r="CY235" i="3" s="1"/>
  <c r="F213" i="19"/>
  <c r="G213" i="19" s="1"/>
  <c r="CX214" i="3" s="1"/>
  <c r="I213" i="19"/>
  <c r="J213" i="19" s="1"/>
  <c r="CY214" i="3" s="1"/>
  <c r="D149" i="19"/>
  <c r="D72" i="19"/>
  <c r="F72" i="19" s="1"/>
  <c r="G72" i="19" s="1"/>
  <c r="CX73" i="3" s="1"/>
  <c r="D211" i="19"/>
  <c r="F211" i="19" s="1"/>
  <c r="G211" i="19" s="1"/>
  <c r="CX212" i="3" s="1"/>
  <c r="F91" i="19"/>
  <c r="G91" i="19" s="1"/>
  <c r="CX92" i="3" s="1"/>
  <c r="I91" i="19"/>
  <c r="J91" i="19" s="1"/>
  <c r="CY92" i="3" s="1"/>
  <c r="F48" i="19"/>
  <c r="G48" i="19" s="1"/>
  <c r="CX49" i="3" s="1"/>
  <c r="I48" i="19"/>
  <c r="J48" i="19" s="1"/>
  <c r="CY49" i="3" s="1"/>
  <c r="D199" i="19"/>
  <c r="D7" i="19"/>
  <c r="F7" i="19" s="1"/>
  <c r="G7" i="19" s="1"/>
  <c r="CX8" i="3" s="1"/>
  <c r="F80" i="19"/>
  <c r="G80" i="19" s="1"/>
  <c r="CX81" i="3" s="1"/>
  <c r="I80" i="19"/>
  <c r="J80" i="19" s="1"/>
  <c r="CY81" i="3" s="1"/>
  <c r="F154" i="19"/>
  <c r="G154" i="19" s="1"/>
  <c r="CX155" i="3" s="1"/>
  <c r="I154" i="19"/>
  <c r="J154" i="19" s="1"/>
  <c r="CY155" i="3" s="1"/>
  <c r="F152" i="19"/>
  <c r="G152" i="19" s="1"/>
  <c r="CX153" i="3" s="1"/>
  <c r="I152" i="19"/>
  <c r="J152" i="19" s="1"/>
  <c r="CY153" i="3" s="1"/>
  <c r="F219" i="19"/>
  <c r="G219" i="19" s="1"/>
  <c r="CX220" i="3" s="1"/>
  <c r="I219" i="19"/>
  <c r="J219" i="19" s="1"/>
  <c r="CY220" i="3" s="1"/>
  <c r="F126" i="19"/>
  <c r="G126" i="19" s="1"/>
  <c r="CX127" i="3" s="1"/>
  <c r="I126" i="19"/>
  <c r="J126" i="19" s="1"/>
  <c r="CY127" i="3" s="1"/>
  <c r="D102" i="19"/>
  <c r="D263" i="19"/>
  <c r="F263" i="19" s="1"/>
  <c r="G263" i="19" s="1"/>
  <c r="CX264" i="3" s="1"/>
  <c r="F191" i="19"/>
  <c r="G191" i="19" s="1"/>
  <c r="CX192" i="3" s="1"/>
  <c r="I191" i="19"/>
  <c r="J191" i="19" s="1"/>
  <c r="CY192" i="3" s="1"/>
  <c r="F9" i="19"/>
  <c r="G9" i="19" s="1"/>
  <c r="CX10" i="3" s="1"/>
  <c r="I9" i="19"/>
  <c r="J9" i="19" s="1"/>
  <c r="CY10" i="3" s="1"/>
  <c r="F185" i="19"/>
  <c r="G185" i="19" s="1"/>
  <c r="CX186" i="3" s="1"/>
  <c r="I185" i="19"/>
  <c r="J185" i="19" s="1"/>
  <c r="CY186" i="3" s="1"/>
  <c r="F245" i="19"/>
  <c r="G245" i="19" s="1"/>
  <c r="CX246" i="3" s="1"/>
  <c r="I245" i="19"/>
  <c r="J245" i="19" s="1"/>
  <c r="CY246" i="3" s="1"/>
  <c r="F130" i="19"/>
  <c r="G130" i="19" s="1"/>
  <c r="CX131" i="3" s="1"/>
  <c r="I130" i="19"/>
  <c r="J130" i="19" s="1"/>
  <c r="CY131" i="3" s="1"/>
  <c r="F173" i="19"/>
  <c r="G173" i="19" s="1"/>
  <c r="CX174" i="3" s="1"/>
  <c r="I173" i="19"/>
  <c r="J173" i="19" s="1"/>
  <c r="CY174" i="3" s="1"/>
  <c r="F120" i="19"/>
  <c r="G120" i="19" s="1"/>
  <c r="CX121" i="3" s="1"/>
  <c r="I120" i="19"/>
  <c r="J120" i="19" s="1"/>
  <c r="CY121" i="3" s="1"/>
  <c r="D201" i="19"/>
  <c r="F221" i="19"/>
  <c r="G221" i="19" s="1"/>
  <c r="CX222" i="3" s="1"/>
  <c r="I221" i="19"/>
  <c r="J221" i="19" s="1"/>
  <c r="CY222" i="3" s="1"/>
  <c r="D222" i="19"/>
  <c r="F222" i="19" s="1"/>
  <c r="G222" i="19" s="1"/>
  <c r="CX223" i="3" s="1"/>
  <c r="F41" i="19"/>
  <c r="G41" i="19" s="1"/>
  <c r="CX42" i="3" s="1"/>
  <c r="I41" i="19"/>
  <c r="J41" i="19" s="1"/>
  <c r="CY42" i="3" s="1"/>
  <c r="F93" i="19"/>
  <c r="G93" i="19" s="1"/>
  <c r="CX94" i="3" s="1"/>
  <c r="I93" i="19"/>
  <c r="J93" i="19" s="1"/>
  <c r="CY94" i="3" s="1"/>
  <c r="F254" i="19"/>
  <c r="G254" i="19" s="1"/>
  <c r="CX255" i="3" s="1"/>
  <c r="I254" i="19"/>
  <c r="J254" i="19" s="1"/>
  <c r="CY255" i="3" s="1"/>
  <c r="D118" i="19"/>
  <c r="F118" i="19" s="1"/>
  <c r="G118" i="19" s="1"/>
  <c r="CX119" i="3" s="1"/>
  <c r="D151" i="19"/>
  <c r="F162" i="19"/>
  <c r="G162" i="19" s="1"/>
  <c r="CX163" i="3" s="1"/>
  <c r="I162" i="19"/>
  <c r="J162" i="19" s="1"/>
  <c r="CY163" i="3" s="1"/>
  <c r="D146" i="19"/>
  <c r="I146" i="19" s="1"/>
  <c r="J146" i="19" s="1"/>
  <c r="CY147" i="3" s="1"/>
  <c r="F239" i="19"/>
  <c r="G239" i="19" s="1"/>
  <c r="CX240" i="3" s="1"/>
  <c r="I239" i="19"/>
  <c r="J239" i="19" s="1"/>
  <c r="CY240" i="3" s="1"/>
  <c r="F12" i="19"/>
  <c r="G12" i="19" s="1"/>
  <c r="CX13" i="3" s="1"/>
  <c r="I12" i="19"/>
  <c r="J12" i="19" s="1"/>
  <c r="CY13" i="3" s="1"/>
  <c r="F94" i="19"/>
  <c r="G94" i="19" s="1"/>
  <c r="CX95" i="3" s="1"/>
  <c r="I94" i="19"/>
  <c r="J94" i="19" s="1"/>
  <c r="CY95" i="3" s="1"/>
  <c r="F214" i="19"/>
  <c r="G214" i="19" s="1"/>
  <c r="CX215" i="3" s="1"/>
  <c r="I214" i="19"/>
  <c r="J214" i="19" s="1"/>
  <c r="CY215" i="3" s="1"/>
  <c r="D81" i="19"/>
  <c r="F81" i="19" s="1"/>
  <c r="G81" i="19" s="1"/>
  <c r="CX82" i="3" s="1"/>
  <c r="F97" i="19"/>
  <c r="G97" i="19" s="1"/>
  <c r="CX98" i="3" s="1"/>
  <c r="I97" i="19"/>
  <c r="J97" i="19" s="1"/>
  <c r="CY98" i="3" s="1"/>
  <c r="F190" i="19"/>
  <c r="G190" i="19" s="1"/>
  <c r="CX191" i="3" s="1"/>
  <c r="I190" i="19"/>
  <c r="J190" i="19" s="1"/>
  <c r="CY191" i="3" s="1"/>
  <c r="F212" i="19"/>
  <c r="G212" i="19" s="1"/>
  <c r="CX213" i="3" s="1"/>
  <c r="I212" i="19"/>
  <c r="J212" i="19" s="1"/>
  <c r="CY213" i="3" s="1"/>
  <c r="AX33" i="10"/>
  <c r="BC139" i="3"/>
  <c r="K30" i="9"/>
  <c r="BN30" i="3"/>
  <c r="G24" i="19"/>
  <c r="CX25" i="3" s="1"/>
  <c r="F228" i="19"/>
  <c r="G228" i="19" s="1"/>
  <c r="CX229" i="3" s="1"/>
  <c r="I228" i="19"/>
  <c r="J228" i="19" s="1"/>
  <c r="F273" i="19"/>
  <c r="G273" i="19" s="1"/>
  <c r="CX274" i="3" s="1"/>
  <c r="I273" i="19"/>
  <c r="J273" i="19" s="1"/>
  <c r="F55" i="19"/>
  <c r="G55" i="19" s="1"/>
  <c r="CX56" i="3" s="1"/>
  <c r="I55" i="19"/>
  <c r="J55" i="19" s="1"/>
  <c r="F110" i="19"/>
  <c r="G110" i="19" s="1"/>
  <c r="CX111" i="3" s="1"/>
  <c r="I110" i="19"/>
  <c r="J110" i="19" s="1"/>
  <c r="CY111" i="3" s="1"/>
  <c r="F44" i="19"/>
  <c r="G44" i="19" s="1"/>
  <c r="CX45" i="3" s="1"/>
  <c r="I44" i="19"/>
  <c r="J44" i="19" s="1"/>
  <c r="CY45" i="3" s="1"/>
  <c r="D210" i="19"/>
  <c r="F261" i="19"/>
  <c r="G261" i="19" s="1"/>
  <c r="CX262" i="3" s="1"/>
  <c r="I261" i="19"/>
  <c r="J261" i="19" s="1"/>
  <c r="F169" i="19"/>
  <c r="G169" i="19" s="1"/>
  <c r="CX170" i="3" s="1"/>
  <c r="I169" i="19"/>
  <c r="J169" i="19" s="1"/>
  <c r="CY170" i="3" s="1"/>
  <c r="F176" i="19"/>
  <c r="G176" i="19" s="1"/>
  <c r="CX177" i="3" s="1"/>
  <c r="I176" i="19"/>
  <c r="J176" i="19" s="1"/>
  <c r="CY177" i="3" s="1"/>
  <c r="F157" i="19"/>
  <c r="G157" i="19" s="1"/>
  <c r="CX158" i="3" s="1"/>
  <c r="I157" i="19"/>
  <c r="J157" i="19" s="1"/>
  <c r="CY158" i="3" s="1"/>
  <c r="F45" i="19"/>
  <c r="G45" i="19" s="1"/>
  <c r="CX46" i="3" s="1"/>
  <c r="I45" i="19"/>
  <c r="J45" i="19" s="1"/>
  <c r="CY46" i="3" s="1"/>
  <c r="F241" i="19"/>
  <c r="G241" i="19" s="1"/>
  <c r="CX242" i="3" s="1"/>
  <c r="I241" i="19"/>
  <c r="J241" i="19" s="1"/>
  <c r="CY242" i="3" s="1"/>
  <c r="F175" i="19"/>
  <c r="G175" i="19" s="1"/>
  <c r="CX176" i="3" s="1"/>
  <c r="I175" i="19"/>
  <c r="J175" i="19" s="1"/>
  <c r="F33" i="19"/>
  <c r="G33" i="19" s="1"/>
  <c r="CX34" i="3" s="1"/>
  <c r="I33" i="19"/>
  <c r="J33" i="19" s="1"/>
  <c r="CY34" i="3" s="1"/>
  <c r="F189" i="19"/>
  <c r="G189" i="19" s="1"/>
  <c r="CX190" i="3" s="1"/>
  <c r="I189" i="19"/>
  <c r="J189" i="19" s="1"/>
  <c r="CY190" i="3" s="1"/>
  <c r="F148" i="19"/>
  <c r="G148" i="19" s="1"/>
  <c r="CX149" i="3" s="1"/>
  <c r="I148" i="19"/>
  <c r="J148" i="19" s="1"/>
  <c r="CY149" i="3" s="1"/>
  <c r="F279" i="19"/>
  <c r="G279" i="19" s="1"/>
  <c r="CX280" i="3" s="1"/>
  <c r="I279" i="19"/>
  <c r="J279" i="19" s="1"/>
  <c r="CY280" i="3" s="1"/>
  <c r="F274" i="19"/>
  <c r="G274" i="19" s="1"/>
  <c r="CX275" i="3" s="1"/>
  <c r="I274" i="19"/>
  <c r="J274" i="19" s="1"/>
  <c r="CY275" i="3" s="1"/>
  <c r="F85" i="19"/>
  <c r="G85" i="19" s="1"/>
  <c r="CX86" i="3" s="1"/>
  <c r="I85" i="19"/>
  <c r="J85" i="19" s="1"/>
  <c r="CY86" i="3" s="1"/>
  <c r="D20" i="19"/>
  <c r="F36" i="19"/>
  <c r="G36" i="19" s="1"/>
  <c r="CX37" i="3" s="1"/>
  <c r="I36" i="19"/>
  <c r="J36" i="19" s="1"/>
  <c r="F209" i="19"/>
  <c r="G209" i="19" s="1"/>
  <c r="CX210" i="3" s="1"/>
  <c r="I209" i="19"/>
  <c r="J209" i="19" s="1"/>
  <c r="F275" i="19"/>
  <c r="G275" i="19" s="1"/>
  <c r="CX276" i="3" s="1"/>
  <c r="I275" i="19"/>
  <c r="J275" i="19" s="1"/>
  <c r="F177" i="19"/>
  <c r="G177" i="19" s="1"/>
  <c r="CX178" i="3" s="1"/>
  <c r="I177" i="19"/>
  <c r="J177" i="19" s="1"/>
  <c r="F238" i="19"/>
  <c r="G238" i="19" s="1"/>
  <c r="CX239" i="3" s="1"/>
  <c r="I238" i="19"/>
  <c r="J238" i="19" s="1"/>
  <c r="CY239" i="3" s="1"/>
  <c r="F30" i="19"/>
  <c r="G30" i="19" s="1"/>
  <c r="CX31" i="3" s="1"/>
  <c r="I30" i="19"/>
  <c r="J30" i="19" s="1"/>
  <c r="CY31" i="3" s="1"/>
  <c r="F64" i="19"/>
  <c r="G64" i="19" s="1"/>
  <c r="CX65" i="3" s="1"/>
  <c r="I64" i="19"/>
  <c r="J64" i="19" s="1"/>
  <c r="CY65" i="3" s="1"/>
  <c r="F170" i="19"/>
  <c r="G170" i="19" s="1"/>
  <c r="CX171" i="3" s="1"/>
  <c r="I170" i="19"/>
  <c r="J170" i="19" s="1"/>
  <c r="CY171" i="3" s="1"/>
  <c r="F23" i="19"/>
  <c r="G23" i="19" s="1"/>
  <c r="CX24" i="3" s="1"/>
  <c r="I23" i="19"/>
  <c r="J23" i="19" s="1"/>
  <c r="CY24" i="3" s="1"/>
  <c r="F249" i="19"/>
  <c r="G249" i="19" s="1"/>
  <c r="CX250" i="3" s="1"/>
  <c r="I249" i="19"/>
  <c r="J249" i="19" s="1"/>
  <c r="CY250" i="3" s="1"/>
  <c r="F113" i="19"/>
  <c r="G113" i="19" s="1"/>
  <c r="CX114" i="3" s="1"/>
  <c r="I113" i="19"/>
  <c r="J113" i="19" s="1"/>
  <c r="F109" i="19"/>
  <c r="G109" i="19" s="1"/>
  <c r="CX110" i="3" s="1"/>
  <c r="I109" i="19"/>
  <c r="J109" i="19" s="1"/>
  <c r="F171" i="19"/>
  <c r="G171" i="19" s="1"/>
  <c r="CX172" i="3" s="1"/>
  <c r="I171" i="19"/>
  <c r="J171" i="19" s="1"/>
  <c r="CY172" i="3" s="1"/>
  <c r="F247" i="19"/>
  <c r="G247" i="19" s="1"/>
  <c r="CX248" i="3" s="1"/>
  <c r="I247" i="19"/>
  <c r="J247" i="19" s="1"/>
  <c r="CY248" i="3" s="1"/>
  <c r="F193" i="19"/>
  <c r="G193" i="19" s="1"/>
  <c r="CX194" i="3" s="1"/>
  <c r="I193" i="19"/>
  <c r="J193" i="19" s="1"/>
  <c r="CY194" i="3" s="1"/>
  <c r="F258" i="19"/>
  <c r="G258" i="19" s="1"/>
  <c r="CX259" i="3" s="1"/>
  <c r="I258" i="19"/>
  <c r="J258" i="19" s="1"/>
  <c r="CY259" i="3" s="1"/>
  <c r="F54" i="19"/>
  <c r="G54" i="19" s="1"/>
  <c r="CX55" i="3" s="1"/>
  <c r="I54" i="19"/>
  <c r="J54" i="19" s="1"/>
  <c r="CY55" i="3" s="1"/>
  <c r="F105" i="19"/>
  <c r="G105" i="19" s="1"/>
  <c r="CX106" i="3" s="1"/>
  <c r="I105" i="19"/>
  <c r="J105" i="19" s="1"/>
  <c r="CY106" i="3" s="1"/>
  <c r="F76" i="19"/>
  <c r="G76" i="19" s="1"/>
  <c r="CX77" i="3" s="1"/>
  <c r="I76" i="19"/>
  <c r="J76" i="19" s="1"/>
  <c r="F235" i="19"/>
  <c r="G235" i="19" s="1"/>
  <c r="CX236" i="3" s="1"/>
  <c r="I235" i="19"/>
  <c r="J235" i="19" s="1"/>
  <c r="CY236" i="3" s="1"/>
  <c r="F195" i="19"/>
  <c r="G195" i="19" s="1"/>
  <c r="CX196" i="3" s="1"/>
  <c r="I195" i="19"/>
  <c r="J195" i="19" s="1"/>
  <c r="CY196" i="3" s="1"/>
  <c r="F203" i="19"/>
  <c r="G203" i="19" s="1"/>
  <c r="CX204" i="3" s="1"/>
  <c r="I203" i="19"/>
  <c r="J203" i="19" s="1"/>
  <c r="CY204" i="3" s="1"/>
  <c r="F194" i="19"/>
  <c r="G194" i="19" s="1"/>
  <c r="CX195" i="3" s="1"/>
  <c r="I194" i="19"/>
  <c r="J194" i="19" s="1"/>
  <c r="CY195" i="3" s="1"/>
  <c r="F53" i="19"/>
  <c r="G53" i="19" s="1"/>
  <c r="CX54" i="3" s="1"/>
  <c r="I53" i="19"/>
  <c r="J53" i="19" s="1"/>
  <c r="CY54" i="3" s="1"/>
  <c r="BT193" i="3"/>
  <c r="J192" i="19"/>
  <c r="CY193" i="3" s="1"/>
  <c r="BT30" i="3"/>
  <c r="J29" i="19"/>
  <c r="CY30" i="3" s="1"/>
  <c r="G87" i="19"/>
  <c r="CX88" i="3" s="1"/>
  <c r="G29" i="19"/>
  <c r="CX30" i="3" s="1"/>
  <c r="G128" i="19"/>
  <c r="CX129" i="3" s="1"/>
  <c r="G283" i="19"/>
  <c r="CX284" i="3" s="1"/>
  <c r="G192" i="19"/>
  <c r="CX193" i="3" s="1"/>
  <c r="G200" i="19"/>
  <c r="CX201" i="3" s="1"/>
  <c r="CY175" i="3"/>
  <c r="CY226" i="3"/>
  <c r="CY69" i="3"/>
  <c r="CY231" i="3"/>
  <c r="CY188" i="3"/>
  <c r="CY279" i="3"/>
  <c r="CY143" i="3"/>
  <c r="CY85" i="3"/>
  <c r="CY203" i="3"/>
  <c r="CY269" i="3"/>
  <c r="CY100" i="3"/>
  <c r="CY256" i="3"/>
  <c r="CY125" i="3"/>
  <c r="CY154" i="3"/>
  <c r="CY228" i="3"/>
  <c r="CY290" i="3"/>
  <c r="CY173" i="3"/>
  <c r="CY27" i="3"/>
  <c r="CY15" i="3"/>
  <c r="CY118" i="3"/>
  <c r="CY249" i="3"/>
  <c r="CY286" i="3"/>
  <c r="CY268" i="3"/>
  <c r="CY83" i="3"/>
  <c r="CY168" i="3"/>
  <c r="CY29" i="3"/>
  <c r="CY18" i="3"/>
  <c r="CY148" i="3"/>
  <c r="CY165" i="3"/>
  <c r="CY74" i="3"/>
  <c r="CY265" i="3"/>
  <c r="CY282" i="3"/>
  <c r="CY124" i="3"/>
  <c r="CY144" i="3"/>
  <c r="CY11" i="3"/>
  <c r="CY283" i="3"/>
  <c r="CY35" i="3"/>
  <c r="CY97" i="3"/>
  <c r="CY241" i="3"/>
  <c r="CY258" i="3"/>
  <c r="CY225" i="3"/>
  <c r="CY38" i="3"/>
  <c r="CY6" i="3"/>
  <c r="CY7" i="3"/>
  <c r="CY281" i="3"/>
  <c r="CY278" i="3"/>
  <c r="CY67" i="3"/>
  <c r="CY160" i="3"/>
  <c r="CY260" i="3"/>
  <c r="CY169" i="3"/>
  <c r="CY47" i="3"/>
  <c r="CY23" i="3"/>
  <c r="CY209" i="3"/>
  <c r="CY227" i="3"/>
  <c r="CY79" i="3"/>
  <c r="CY245" i="3"/>
  <c r="CY9" i="3"/>
  <c r="CY107" i="3"/>
  <c r="CY16" i="3"/>
  <c r="CY146" i="3"/>
  <c r="CY273" i="3"/>
  <c r="CY70" i="3"/>
  <c r="CY122" i="3"/>
  <c r="CY76" i="3"/>
  <c r="CY115" i="3"/>
  <c r="CY197" i="3"/>
  <c r="CY33" i="3"/>
  <c r="CY180" i="3"/>
  <c r="CY251" i="3"/>
  <c r="CY287" i="3"/>
  <c r="CY232" i="3"/>
  <c r="CY71" i="3"/>
  <c r="CY36" i="3"/>
  <c r="CY206" i="3"/>
  <c r="CY72" i="3"/>
  <c r="CY109" i="3"/>
  <c r="CY12" i="3"/>
  <c r="CY198" i="3"/>
  <c r="CY128" i="3"/>
  <c r="CY208" i="3"/>
  <c r="CY89" i="3"/>
  <c r="CY157" i="3"/>
  <c r="CY270" i="3"/>
  <c r="CY252" i="3"/>
  <c r="CY164" i="3"/>
  <c r="CY243" i="3"/>
  <c r="F7" i="9"/>
  <c r="BK7" i="3" s="1"/>
  <c r="G4" i="18"/>
  <c r="BN37" i="3"/>
  <c r="K37" i="9"/>
  <c r="K8" i="9"/>
  <c r="BN8" i="3"/>
  <c r="BT25" i="3"/>
  <c r="I263" i="19" l="1"/>
  <c r="J263" i="19" s="1"/>
  <c r="CY264" i="3" s="1"/>
  <c r="I211" i="19"/>
  <c r="J211" i="19" s="1"/>
  <c r="CY212" i="3" s="1"/>
  <c r="I118" i="19"/>
  <c r="J118" i="19" s="1"/>
  <c r="CY119" i="3" s="1"/>
  <c r="I222" i="19"/>
  <c r="J222" i="19" s="1"/>
  <c r="CY223" i="3" s="1"/>
  <c r="F146" i="19"/>
  <c r="G146" i="19" s="1"/>
  <c r="CX147" i="3" s="1"/>
  <c r="I72" i="19"/>
  <c r="J72" i="19" s="1"/>
  <c r="CY73" i="3" s="1"/>
  <c r="I7" i="19"/>
  <c r="J7" i="19" s="1"/>
  <c r="CY8" i="3" s="1"/>
  <c r="F119" i="19"/>
  <c r="G119" i="19" s="1"/>
  <c r="CX120" i="3" s="1"/>
  <c r="I119" i="19"/>
  <c r="J119" i="19" s="1"/>
  <c r="CY120" i="3" s="1"/>
  <c r="F49" i="19"/>
  <c r="G49" i="19" s="1"/>
  <c r="CX50" i="3" s="1"/>
  <c r="I49" i="19"/>
  <c r="J49" i="19" s="1"/>
  <c r="CY50" i="3" s="1"/>
  <c r="F151" i="19"/>
  <c r="G151" i="19" s="1"/>
  <c r="CX152" i="3" s="1"/>
  <c r="I151" i="19"/>
  <c r="J151" i="19" s="1"/>
  <c r="CY152" i="3" s="1"/>
  <c r="F199" i="19"/>
  <c r="G199" i="19" s="1"/>
  <c r="CX200" i="3" s="1"/>
  <c r="I199" i="19"/>
  <c r="J199" i="19" s="1"/>
  <c r="CY200" i="3" s="1"/>
  <c r="F149" i="19"/>
  <c r="G149" i="19" s="1"/>
  <c r="CX150" i="3" s="1"/>
  <c r="I149" i="19"/>
  <c r="J149" i="19" s="1"/>
  <c r="CY150" i="3" s="1"/>
  <c r="F201" i="19"/>
  <c r="G201" i="19" s="1"/>
  <c r="CX202" i="3" s="1"/>
  <c r="I201" i="19"/>
  <c r="J201" i="19" s="1"/>
  <c r="CY202" i="3" s="1"/>
  <c r="F102" i="19"/>
  <c r="G102" i="19" s="1"/>
  <c r="CX103" i="3" s="1"/>
  <c r="I102" i="19"/>
  <c r="J102" i="19" s="1"/>
  <c r="CY103" i="3" s="1"/>
  <c r="AX34" i="10"/>
  <c r="AX35" i="10" s="1"/>
  <c r="AX36" i="10" s="1"/>
  <c r="AX37" i="10" s="1"/>
  <c r="AX38" i="10" s="1"/>
  <c r="AX39" i="10" s="1"/>
  <c r="AX40" i="10" s="1"/>
  <c r="AX41" i="10" s="1"/>
  <c r="AX42" i="10" s="1"/>
  <c r="AX43" i="10" s="1"/>
  <c r="AX44" i="10" s="1"/>
  <c r="AX45" i="10" s="1"/>
  <c r="AX46" i="10" s="1"/>
  <c r="AX47" i="10" s="1"/>
  <c r="AX48" i="10" s="1"/>
  <c r="AX49" i="10" s="1"/>
  <c r="AX50" i="10" s="1"/>
  <c r="AX51" i="10" s="1"/>
  <c r="AX52" i="10" s="1"/>
  <c r="AX53" i="10" s="1"/>
  <c r="AX54" i="10" s="1"/>
  <c r="AX55" i="10" s="1"/>
  <c r="AX56" i="10" s="1"/>
  <c r="AX57" i="10" s="1"/>
  <c r="AX58" i="10" s="1"/>
  <c r="AX59" i="10" s="1"/>
  <c r="AX60" i="10" s="1"/>
  <c r="AX61" i="10" s="1"/>
  <c r="AX62" i="10" s="1"/>
  <c r="AX63" i="10" s="1"/>
  <c r="AX64" i="10" s="1"/>
  <c r="AX65" i="10" s="1"/>
  <c r="AX66" i="10" s="1"/>
  <c r="AX67" i="10" s="1"/>
  <c r="AX68" i="10" s="1"/>
  <c r="AX69" i="10" s="1"/>
  <c r="AX70" i="10" s="1"/>
  <c r="AX71" i="10" s="1"/>
  <c r="AX72" i="10" s="1"/>
  <c r="AX73" i="10" s="1"/>
  <c r="AX74" i="10" s="1"/>
  <c r="AX75" i="10" s="1"/>
  <c r="AX76" i="10" s="1"/>
  <c r="AX77" i="10" s="1"/>
  <c r="AX78" i="10" s="1"/>
  <c r="AX79" i="10" s="1"/>
  <c r="AX80" i="10" s="1"/>
  <c r="AX81" i="10" s="1"/>
  <c r="AX82" i="10" s="1"/>
  <c r="AX83" i="10" s="1"/>
  <c r="AX84" i="10" s="1"/>
  <c r="AX85" i="10" s="1"/>
  <c r="AX86" i="10" s="1"/>
  <c r="AX87" i="10" s="1"/>
  <c r="AX88" i="10" s="1"/>
  <c r="AX89" i="10" s="1"/>
  <c r="AX90" i="10" s="1"/>
  <c r="AX91" i="10" s="1"/>
  <c r="AX92" i="10" s="1"/>
  <c r="AX93" i="10" s="1"/>
  <c r="AX94" i="10" s="1"/>
  <c r="AX95" i="10" s="1"/>
  <c r="AX96" i="10" s="1"/>
  <c r="AX97" i="10" s="1"/>
  <c r="AX98" i="10" s="1"/>
  <c r="AX99" i="10" s="1"/>
  <c r="AX100" i="10" s="1"/>
  <c r="AX101" i="10" s="1"/>
  <c r="AX102" i="10" s="1"/>
  <c r="AX103" i="10" s="1"/>
  <c r="AX104" i="10" s="1"/>
  <c r="AX105" i="10" s="1"/>
  <c r="AX106" i="10" s="1"/>
  <c r="AX107" i="10" s="1"/>
  <c r="AX108" i="10" s="1"/>
  <c r="AX109" i="10" s="1"/>
  <c r="AX110" i="10" s="1"/>
  <c r="AX111" i="10" s="1"/>
  <c r="AX112" i="10" s="1"/>
  <c r="AX113" i="10" s="1"/>
  <c r="AX114" i="10" s="1"/>
  <c r="AX115" i="10" s="1"/>
  <c r="AX116" i="10" s="1"/>
  <c r="AX117" i="10" s="1"/>
  <c r="AX118" i="10" s="1"/>
  <c r="AX119" i="10" s="1"/>
  <c r="AX120" i="10" s="1"/>
  <c r="AX121" i="10" s="1"/>
  <c r="AX122" i="10" s="1"/>
  <c r="AX123" i="10" s="1"/>
  <c r="AX124" i="10" s="1"/>
  <c r="AX125" i="10" s="1"/>
  <c r="AX126" i="10" s="1"/>
  <c r="AX127" i="10" s="1"/>
  <c r="AX128" i="10" s="1"/>
  <c r="AX129" i="10" s="1"/>
  <c r="AX130" i="10" s="1"/>
  <c r="AX131" i="10" s="1"/>
  <c r="AX132" i="10" s="1"/>
  <c r="AX133" i="10" s="1"/>
  <c r="AX134" i="10" s="1"/>
  <c r="AX135" i="10" s="1"/>
  <c r="AX136" i="10" s="1"/>
  <c r="AX137" i="10" s="1"/>
  <c r="AX138" i="10" s="1"/>
  <c r="AX139" i="10" s="1"/>
  <c r="AX140" i="10" s="1"/>
  <c r="AX141" i="10" s="1"/>
  <c r="AX142" i="10" s="1"/>
  <c r="AX143" i="10" s="1"/>
  <c r="AX144" i="10" s="1"/>
  <c r="AX145" i="10" s="1"/>
  <c r="AX146" i="10" s="1"/>
  <c r="AX147" i="10" s="1"/>
  <c r="AX148" i="10" s="1"/>
  <c r="AX149" i="10" s="1"/>
  <c r="AX150" i="10" s="1"/>
  <c r="AX151" i="10" s="1"/>
  <c r="AX152" i="10" s="1"/>
  <c r="AX153" i="10" s="1"/>
  <c r="AX154" i="10" s="1"/>
  <c r="AX155" i="10" s="1"/>
  <c r="AX156" i="10" s="1"/>
  <c r="AX157" i="10" s="1"/>
  <c r="AX158" i="10" s="1"/>
  <c r="AX159" i="10" s="1"/>
  <c r="AX160" i="10" s="1"/>
  <c r="AX161" i="10" s="1"/>
  <c r="AX162" i="10" s="1"/>
  <c r="AX163" i="10" s="1"/>
  <c r="AX164" i="10" s="1"/>
  <c r="AX165" i="10" s="1"/>
  <c r="AX166" i="10" s="1"/>
  <c r="AX167" i="10" s="1"/>
  <c r="AX168" i="10" s="1"/>
  <c r="AX169" i="10" s="1"/>
  <c r="AX170" i="10" s="1"/>
  <c r="AX171" i="10" s="1"/>
  <c r="AX172" i="10" s="1"/>
  <c r="AX173" i="10" s="1"/>
  <c r="AX174" i="10" s="1"/>
  <c r="AX175" i="10" s="1"/>
  <c r="AX176" i="10" s="1"/>
  <c r="AX177" i="10" s="1"/>
  <c r="AX178" i="10" s="1"/>
  <c r="AX179" i="10" s="1"/>
  <c r="AX180" i="10" s="1"/>
  <c r="AX181" i="10" s="1"/>
  <c r="AX182" i="10" s="1"/>
  <c r="AX183" i="10" s="1"/>
  <c r="AX184" i="10" s="1"/>
  <c r="AX185" i="10" s="1"/>
  <c r="AX186" i="10" s="1"/>
  <c r="AX187" i="10" s="1"/>
  <c r="AX188" i="10" s="1"/>
  <c r="AX189" i="10" s="1"/>
  <c r="AX190" i="10" s="1"/>
  <c r="AX191" i="10" s="1"/>
  <c r="AX192" i="10" s="1"/>
  <c r="AX193" i="10" s="1"/>
  <c r="AX194" i="10" s="1"/>
  <c r="AX195" i="10" s="1"/>
  <c r="AX196" i="10" s="1"/>
  <c r="AX197" i="10" s="1"/>
  <c r="AX198" i="10" s="1"/>
  <c r="AX199" i="10" s="1"/>
  <c r="AX200" i="10" s="1"/>
  <c r="AX201" i="10" s="1"/>
  <c r="AX202" i="10" s="1"/>
  <c r="AX203" i="10" s="1"/>
  <c r="AX204" i="10" s="1"/>
  <c r="AX205" i="10" s="1"/>
  <c r="AX206" i="10" s="1"/>
  <c r="AX207" i="10" s="1"/>
  <c r="AX208" i="10" s="1"/>
  <c r="AX209" i="10" s="1"/>
  <c r="AX210" i="10" s="1"/>
  <c r="AX211" i="10" s="1"/>
  <c r="AX212" i="10" s="1"/>
  <c r="AX213" i="10" s="1"/>
  <c r="AX214" i="10" s="1"/>
  <c r="AX215" i="10" s="1"/>
  <c r="AX216" i="10" s="1"/>
  <c r="AX217" i="10" s="1"/>
  <c r="AX218" i="10" s="1"/>
  <c r="AX219" i="10" s="1"/>
  <c r="AX220" i="10" s="1"/>
  <c r="AX221" i="10" s="1"/>
  <c r="AX222" i="10" s="1"/>
  <c r="AX223" i="10" s="1"/>
  <c r="AX224" i="10" s="1"/>
  <c r="AX225" i="10" s="1"/>
  <c r="AX226" i="10" s="1"/>
  <c r="AX227" i="10" s="1"/>
  <c r="AX228" i="10" s="1"/>
  <c r="AX229" i="10" s="1"/>
  <c r="AX230" i="10" s="1"/>
  <c r="AX231" i="10" s="1"/>
  <c r="AX232" i="10" s="1"/>
  <c r="AX233" i="10" s="1"/>
  <c r="AX234" i="10" s="1"/>
  <c r="AX235" i="10" s="1"/>
  <c r="AX236" i="10" s="1"/>
  <c r="AX237" i="10" s="1"/>
  <c r="AX238" i="10" s="1"/>
  <c r="AX239" i="10" s="1"/>
  <c r="AX240" i="10" s="1"/>
  <c r="AX241" i="10" s="1"/>
  <c r="AX242" i="10" s="1"/>
  <c r="AX243" i="10" s="1"/>
  <c r="AX244" i="10" s="1"/>
  <c r="AX245" i="10" s="1"/>
  <c r="AX246" i="10" s="1"/>
  <c r="AX247" i="10" s="1"/>
  <c r="AX248" i="10" s="1"/>
  <c r="AX249" i="10" s="1"/>
  <c r="AX250" i="10" s="1"/>
  <c r="AX251" i="10" s="1"/>
  <c r="AX252" i="10" s="1"/>
  <c r="AX253" i="10" s="1"/>
  <c r="AX254" i="10" s="1"/>
  <c r="AX255" i="10" s="1"/>
  <c r="AX256" i="10" s="1"/>
  <c r="AX257" i="10" s="1"/>
  <c r="AX258" i="10" s="1"/>
  <c r="AX259" i="10" s="1"/>
  <c r="AX260" i="10" s="1"/>
  <c r="AX261" i="10" s="1"/>
  <c r="AX262" i="10" s="1"/>
  <c r="AX263" i="10" s="1"/>
  <c r="AX264" i="10" s="1"/>
  <c r="AX265" i="10" s="1"/>
  <c r="AX266" i="10" s="1"/>
  <c r="AX267" i="10" s="1"/>
  <c r="AX268" i="10" s="1"/>
  <c r="AX269" i="10" s="1"/>
  <c r="AX270" i="10" s="1"/>
  <c r="AX271" i="10" s="1"/>
  <c r="AX272" i="10" s="1"/>
  <c r="AX273" i="10" s="1"/>
  <c r="AX274" i="10" s="1"/>
  <c r="AX275" i="10" s="1"/>
  <c r="AX276" i="10" s="1"/>
  <c r="AX277" i="10" s="1"/>
  <c r="AX278" i="10" s="1"/>
  <c r="AX279" i="10" s="1"/>
  <c r="AX280" i="10" s="1"/>
  <c r="AX281" i="10" s="1"/>
  <c r="AX282" i="10" s="1"/>
  <c r="AX283" i="10" s="1"/>
  <c r="AX284" i="10" s="1"/>
  <c r="AX285" i="10" s="1"/>
  <c r="AX286" i="10" s="1"/>
  <c r="AX287" i="10" s="1"/>
  <c r="AX288" i="10" s="1"/>
  <c r="AX289" i="10" s="1"/>
  <c r="BC177" i="3"/>
  <c r="F20" i="19"/>
  <c r="G20" i="19" s="1"/>
  <c r="CX21" i="3" s="1"/>
  <c r="I20" i="19"/>
  <c r="J20" i="19" s="1"/>
  <c r="CY21" i="3" s="1"/>
  <c r="F210" i="19"/>
  <c r="G210" i="19" s="1"/>
  <c r="CX211" i="3" s="1"/>
  <c r="I210" i="19"/>
  <c r="J210" i="19" s="1"/>
  <c r="CY211" i="3" s="1"/>
  <c r="CY56" i="3"/>
  <c r="CY176" i="3"/>
  <c r="CY178" i="3"/>
  <c r="CY210" i="3"/>
  <c r="CY276" i="3"/>
  <c r="CY229" i="3"/>
  <c r="CY262" i="3"/>
  <c r="CY77" i="3"/>
  <c r="CY114" i="3"/>
  <c r="CY37" i="3"/>
  <c r="CY274" i="3"/>
  <c r="CY110" i="3"/>
  <c r="BM7" i="3"/>
  <c r="BK4" i="3"/>
  <c r="AD4" i="3"/>
  <c r="CT4" i="3"/>
  <c r="CT5" i="3"/>
  <c r="CU5" i="3" s="1"/>
  <c r="BC207" i="3" l="1"/>
  <c r="BM4" i="3"/>
  <c r="BN7" i="3"/>
  <c r="CU4" i="3"/>
  <c r="CV5" i="3"/>
  <c r="CV4" i="3" s="1"/>
  <c r="AE4" i="3"/>
  <c r="AF5" i="3" l="1"/>
  <c r="BC33" i="3" l="1"/>
  <c r="AF4" i="3"/>
  <c r="AH5" i="3"/>
  <c r="AV5" i="3" s="1"/>
  <c r="BC41" i="3" l="1"/>
  <c r="AH4" i="3"/>
  <c r="BC61" i="3" l="1"/>
  <c r="CR5" i="3"/>
  <c r="CS5" i="3" s="1"/>
  <c r="AV4" i="3"/>
  <c r="BC68" i="3" l="1"/>
  <c r="CR4" i="3"/>
  <c r="AR5" i="3"/>
  <c r="CS4" i="3"/>
  <c r="BC280" i="3" l="1"/>
  <c r="BC113" i="3"/>
  <c r="AR4" i="3"/>
  <c r="AW5" i="3"/>
  <c r="BO5" i="3"/>
  <c r="BF5" i="3"/>
  <c r="BF4" i="3" s="1"/>
  <c r="BG5" i="3"/>
  <c r="BI5" i="3" l="1"/>
  <c r="BC149" i="3"/>
  <c r="K5" i="9"/>
  <c r="BG4" i="3"/>
  <c r="BO4" i="3"/>
  <c r="BQ5" i="3"/>
  <c r="CW5" i="3"/>
  <c r="AW4" i="3"/>
  <c r="D4" i="19" l="1"/>
  <c r="F4" i="19" s="1"/>
  <c r="D59" i="19"/>
  <c r="CW4" i="3"/>
  <c r="BS5" i="3"/>
  <c r="BQ4" i="3"/>
  <c r="BN5" i="3"/>
  <c r="BN4" i="3" s="1"/>
  <c r="BI4" i="3"/>
  <c r="D3" i="19" l="1"/>
  <c r="F3" i="19" s="1"/>
  <c r="I4" i="19"/>
  <c r="J4" i="19" s="1"/>
  <c r="I59" i="19"/>
  <c r="J59" i="19" s="1"/>
  <c r="CY60" i="3" s="1"/>
  <c r="F59" i="19"/>
  <c r="G59" i="19" s="1"/>
  <c r="CX60" i="3" s="1"/>
  <c r="BC170" i="3"/>
  <c r="G4" i="19"/>
  <c r="BS4" i="3"/>
  <c r="BT5" i="3"/>
  <c r="BT4" i="3" s="1"/>
  <c r="I3" i="19" l="1"/>
  <c r="BC275" i="3"/>
  <c r="BC211" i="3"/>
  <c r="J3" i="19"/>
  <c r="CY5" i="3"/>
  <c r="CY4" i="3" s="1"/>
  <c r="G3" i="19"/>
  <c r="CX5" i="3"/>
  <c r="CX4" i="3" s="1"/>
  <c r="BC272" i="3" l="1"/>
  <c r="BC282" i="3" l="1"/>
  <c r="BC90" i="3" l="1"/>
  <c r="BC269" i="3" l="1"/>
  <c r="BC198" i="3"/>
  <c r="BC65" i="3" l="1"/>
  <c r="BC83" i="3" l="1"/>
  <c r="BC130" i="3" l="1"/>
  <c r="BC127" i="3" l="1"/>
  <c r="BC173" i="3" l="1"/>
  <c r="BC277" i="3" l="1"/>
  <c r="BC89" i="3"/>
  <c r="BC16" i="3" l="1"/>
  <c r="BC22" i="3" l="1"/>
  <c r="BC49" i="3" l="1"/>
  <c r="BC174" i="3" l="1"/>
  <c r="BC245" i="3" l="1"/>
  <c r="BC36" i="3" l="1"/>
  <c r="BC40" i="3" l="1"/>
  <c r="BC46" i="3" l="1"/>
  <c r="BC58" i="3" l="1"/>
  <c r="BC59" i="3" l="1"/>
  <c r="BC60" i="3" l="1"/>
  <c r="BC64" i="3" l="1"/>
  <c r="BC66" i="3" l="1"/>
  <c r="BC80" i="3" l="1"/>
  <c r="BC129" i="3" l="1"/>
  <c r="BC133" i="3" l="1"/>
  <c r="BC138" i="3" l="1"/>
  <c r="BC142" i="3" l="1"/>
  <c r="BC158" i="3" l="1"/>
  <c r="BC161" i="3" l="1"/>
  <c r="BC182" i="3" l="1"/>
  <c r="BC208" i="3" l="1"/>
  <c r="BC233" i="3" l="1"/>
  <c r="BC243" i="3" l="1"/>
  <c r="BC6" i="3" l="1"/>
  <c r="BC47" i="3" l="1"/>
  <c r="BC91" i="3" l="1"/>
  <c r="BC93" i="3" l="1"/>
  <c r="BC240" i="3" l="1"/>
  <c r="BC92" i="3" l="1"/>
  <c r="BC15" i="3" l="1"/>
  <c r="BC70" i="3" l="1"/>
  <c r="BC84" i="3" l="1"/>
  <c r="BC119" i="3" l="1"/>
  <c r="BC120" i="3" l="1"/>
  <c r="BC163" i="3" l="1"/>
  <c r="BC183" i="3" l="1"/>
  <c r="BC184" i="3" l="1"/>
  <c r="BC217" i="3" l="1"/>
  <c r="BC290" i="3" l="1"/>
  <c r="BC249" i="3" l="1"/>
  <c r="BC19" i="3" l="1"/>
  <c r="BC20" i="3" l="1"/>
  <c r="BC23" i="3" l="1"/>
  <c r="BC27" i="3" l="1"/>
  <c r="BC32" i="3" l="1"/>
  <c r="BC56" i="3" l="1"/>
  <c r="BC94" i="3" l="1"/>
  <c r="BC137" i="3" l="1"/>
  <c r="BC144" i="3" l="1"/>
  <c r="BC151" i="3" l="1"/>
  <c r="BC159" i="3" l="1"/>
  <c r="BC168" i="3" l="1"/>
  <c r="BC181" i="3" l="1"/>
  <c r="BC185" i="3" l="1"/>
  <c r="BC186" i="3" l="1"/>
  <c r="BC202" i="3" l="1"/>
  <c r="BC218" i="3" l="1"/>
  <c r="BC220" i="3" l="1"/>
  <c r="BC222" i="3" l="1"/>
  <c r="BC230" i="3" l="1"/>
  <c r="BC248" i="3" l="1"/>
  <c r="BC239" i="3"/>
  <c r="BC250" i="3" l="1"/>
  <c r="BC251" i="3" l="1"/>
  <c r="BC283" i="3" l="1"/>
  <c r="BC7" i="3" l="1"/>
  <c r="BC45" i="3" l="1"/>
  <c r="BC53" i="3" l="1"/>
  <c r="BC54" i="3" l="1"/>
  <c r="BC55" i="3" l="1"/>
  <c r="BC57" i="3" l="1"/>
  <c r="BC98" i="3" l="1"/>
  <c r="BC100" i="3" l="1"/>
  <c r="BC101" i="3" l="1"/>
  <c r="BC179" i="3" l="1"/>
  <c r="BC221" i="3" l="1"/>
  <c r="BC266" i="3" l="1"/>
  <c r="BC227" i="3"/>
  <c r="BC8" i="3" l="1"/>
  <c r="BC13" i="3" l="1"/>
  <c r="BC14" i="3" l="1"/>
  <c r="BC21" i="3" l="1"/>
  <c r="BC28" i="3" l="1"/>
  <c r="BC30" i="3" l="1"/>
  <c r="BC37" i="3" l="1"/>
  <c r="BC38" i="3" l="1"/>
  <c r="BC50" i="3" l="1"/>
  <c r="BC51" i="3" l="1"/>
  <c r="BC82" i="3" l="1"/>
  <c r="BC85" i="3" l="1"/>
  <c r="BC86" i="3" l="1"/>
  <c r="BC96" i="3" l="1"/>
  <c r="BC102" i="3" l="1"/>
  <c r="BC104" i="3" l="1"/>
  <c r="BC105" i="3" l="1"/>
  <c r="BC122" i="3" l="1"/>
  <c r="BC123" i="3" l="1"/>
  <c r="BC124" i="3" l="1"/>
  <c r="BC126" i="3" l="1"/>
  <c r="BC131" i="3" l="1"/>
  <c r="BC132" i="3" l="1"/>
  <c r="BC136" i="3" l="1"/>
  <c r="BC141" i="3" l="1"/>
  <c r="BC143" i="3" l="1"/>
  <c r="BC145" i="3" l="1"/>
  <c r="BC146" i="3" l="1"/>
  <c r="BC150" i="3" l="1"/>
  <c r="BC172" i="3" l="1"/>
  <c r="BC176" i="3" l="1"/>
  <c r="BC188" i="3" l="1"/>
  <c r="BC189" i="3" l="1"/>
  <c r="BC197" i="3" l="1"/>
  <c r="BC204" i="3" l="1"/>
  <c r="BC205" i="3" l="1"/>
  <c r="BC212" i="3" l="1"/>
  <c r="BC213" i="3" l="1"/>
  <c r="BC224" i="3" l="1"/>
  <c r="BC234" i="3" l="1"/>
  <c r="BC244" i="3" l="1"/>
  <c r="BC246" i="3" l="1"/>
  <c r="BC255" i="3" l="1"/>
  <c r="BC257" i="3" l="1"/>
  <c r="BC289" i="3" l="1"/>
  <c r="BC162" i="3" l="1"/>
  <c r="BC9" i="3" l="1"/>
  <c r="BC10" i="3" l="1"/>
  <c r="BC29" i="3" l="1"/>
  <c r="BC52" i="3" l="1"/>
  <c r="BC63" i="3" l="1"/>
  <c r="BC191" i="3" l="1"/>
  <c r="BC192" i="3" l="1"/>
  <c r="BC215" i="3" l="1"/>
  <c r="BC231" i="3" l="1"/>
  <c r="BC253" i="3" l="1"/>
  <c r="BC235" i="3"/>
  <c r="BC262" i="3" l="1"/>
  <c r="BC263" i="3" l="1"/>
  <c r="BC5" i="3" l="1"/>
  <c r="BC17" i="3" l="1"/>
  <c r="BC26" i="3" l="1"/>
  <c r="BC31" i="3" l="1"/>
  <c r="BC35" i="3" l="1"/>
  <c r="BC42" i="3" l="1"/>
  <c r="BC48" i="3" l="1"/>
  <c r="BC73" i="3" l="1"/>
  <c r="BC74" i="3" l="1"/>
  <c r="BC76" i="3" l="1"/>
  <c r="BC78" i="3" l="1"/>
  <c r="BC79" i="3" l="1"/>
  <c r="BC87" i="3" l="1"/>
  <c r="BC109" i="3" l="1"/>
  <c r="BC110" i="3" l="1"/>
  <c r="BC112" i="3" l="1"/>
  <c r="BC117" i="3" l="1"/>
  <c r="BC125" i="3" l="1"/>
  <c r="BC148" i="3" l="1"/>
  <c r="BC157" i="3" l="1"/>
  <c r="BC165" i="3" l="1"/>
  <c r="BC169" i="3" l="1"/>
  <c r="BC195" i="3" l="1"/>
  <c r="BC201" i="3" l="1"/>
  <c r="BC228" i="3" l="1"/>
  <c r="BC232" i="3" l="1"/>
  <c r="BC237" i="3" l="1"/>
  <c r="BC256" i="3" l="1"/>
  <c r="BC238" i="3"/>
  <c r="BC261" i="3" l="1"/>
  <c r="BC271" i="3" l="1"/>
  <c r="BC273" i="3" l="1"/>
  <c r="BC276" i="3" l="1"/>
  <c r="BC281" i="3" l="1"/>
  <c r="BC286" i="3" l="1"/>
  <c r="BC287" i="3" l="1"/>
  <c r="BC25" i="3" l="1"/>
  <c r="BC77" i="3" l="1"/>
  <c r="BC166" i="3" l="1"/>
  <c r="BC69" i="3" l="1"/>
  <c r="BC128" i="3" l="1"/>
  <c r="BC226" i="3" l="1"/>
  <c r="BC264" i="3" l="1"/>
  <c r="BC147" i="3" l="1"/>
  <c r="BC107" i="3" l="1"/>
  <c r="BC196" i="3" l="1"/>
  <c r="BC267" i="3" l="1"/>
  <c r="BC200" i="3"/>
  <c r="BC95" i="3" l="1"/>
  <c r="BC171" i="3" l="1"/>
  <c r="BC278" i="3" l="1"/>
  <c r="BC190" i="3"/>
  <c r="BC24" i="3" l="1"/>
  <c r="BC210" i="3"/>
  <c r="BC43" i="3" l="1"/>
  <c r="BC72" i="3"/>
  <c r="BC44" i="3" l="1"/>
  <c r="BC62" i="3" l="1"/>
  <c r="BC116" i="3"/>
  <c r="BC75" i="3" l="1"/>
  <c r="BC81" i="3" l="1"/>
  <c r="BC97" i="3" l="1"/>
  <c r="BC268" i="3"/>
  <c r="BC99" i="3" l="1"/>
  <c r="BC247" i="3"/>
  <c r="BC254" i="3"/>
  <c r="BC108" i="3" l="1"/>
  <c r="BC114" i="3" l="1"/>
  <c r="BC115" i="3" l="1"/>
  <c r="BC118" i="3" l="1"/>
  <c r="BC121" i="3" l="1"/>
  <c r="BC134" i="3" l="1"/>
  <c r="BC154" i="3" l="1"/>
  <c r="BC164" i="3" l="1"/>
  <c r="BC167" i="3" l="1"/>
  <c r="BC178" i="3" l="1"/>
  <c r="BC180" i="3" l="1"/>
  <c r="BC187" i="3" l="1"/>
  <c r="BC194" i="3" l="1"/>
  <c r="BC199" i="3" l="1"/>
  <c r="BC203" i="3" l="1"/>
  <c r="BC206" i="3" l="1"/>
  <c r="BC214" i="3" l="1"/>
  <c r="BC223" i="3" l="1"/>
  <c r="BC225" i="3" l="1"/>
  <c r="BC229" i="3" l="1"/>
  <c r="BC236" i="3" l="1"/>
  <c r="BC241" i="3" l="1"/>
  <c r="BC242" i="3" l="1"/>
  <c r="BC252" i="3" l="1"/>
  <c r="BC258" i="3" l="1"/>
  <c r="BC270" i="3" l="1"/>
  <c r="BC279" i="3" l="1"/>
  <c r="BC285" i="3" l="1"/>
  <c r="BC284" i="3"/>
</calcChain>
</file>

<file path=xl/comments1.xml><?xml version="1.0" encoding="utf-8"?>
<comments xmlns="http://schemas.openxmlformats.org/spreadsheetml/2006/main">
  <authors>
    <author>RoseMary Ireland</author>
    <author>Sara Barnes</author>
  </authors>
  <commentList>
    <comment ref="AS2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pull from budget
</t>
        </r>
      </text>
    </comment>
    <comment ref="AZ3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Virtual Credits are est on S066 then updated in June based on Local Effort Virtual Credits.  Put back formula next FY</t>
        </r>
      </text>
    </comment>
    <comment ref="BH3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pull from budget
</t>
        </r>
      </text>
    </comment>
    <comment ref="BO3" authorId="1" shapeId="0">
      <text>
        <r>
          <rPr>
            <b/>
            <sz val="9"/>
            <color indexed="81"/>
            <rFont val="Tahoma"/>
            <family val="2"/>
          </rPr>
          <t>Sara Barnes:</t>
        </r>
        <r>
          <rPr>
            <sz val="9"/>
            <color indexed="81"/>
            <rFont val="Tahoma"/>
            <family val="2"/>
          </rPr>
          <t xml:space="preserve">
Excludes KAMS, Virtual and Extraordinary Need.</t>
        </r>
      </text>
    </comment>
    <comment ref="BR3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pull from budget
</t>
        </r>
      </text>
    </comment>
    <comment ref="H72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Added 2/20 K to the 2/20 FTE Enroll</t>
        </r>
      </text>
    </comment>
    <comment ref="E104" authorId="1" shapeId="0">
      <text>
        <r>
          <rPr>
            <b/>
            <sz val="9"/>
            <color indexed="81"/>
            <rFont val="Tahoma"/>
            <family val="2"/>
          </rPr>
          <t>Sara Barnes:</t>
        </r>
        <r>
          <rPr>
            <sz val="9"/>
            <color indexed="81"/>
            <rFont val="Tahoma"/>
            <family val="2"/>
          </rPr>
          <t xml:space="preserve">
10-30-17:  USD estimated 2/20 enrollment by mistake as 214.9 FTE.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excludes Kindergarten</t>
        </r>
      </text>
    </comment>
    <comment ref="F116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excludes Kindergarten. put back formula next year</t>
        </r>
      </text>
    </comment>
    <comment ref="G116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excludes Kindergarten</t>
        </r>
      </text>
    </comment>
    <comment ref="I116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excludes Kindergarten. Put back formula</t>
        </r>
      </text>
    </comment>
    <comment ref="J116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exc Kindergarten. Put back formula next year</t>
        </r>
      </text>
    </comment>
    <comment ref="L116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excludes  Kindergarten. Put back formula 4.8 FTE</t>
        </r>
      </text>
    </comment>
    <comment ref="H178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Added 2/20 K to the 2/20 FTE Enroll</t>
        </r>
      </text>
    </comment>
    <comment ref="H258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Added 2/20 K to the 2/20 FTE Enroll</t>
        </r>
      </text>
    </comment>
  </commentList>
</comments>
</file>

<file path=xl/comments2.xml><?xml version="1.0" encoding="utf-8"?>
<comments xmlns="http://schemas.openxmlformats.org/spreadsheetml/2006/main">
  <authors>
    <author>RoseMary Ireland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Federal Impact Aid Payments</t>
        </r>
      </text>
    </comment>
    <comment ref="F3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From District Global Data PBR/S066</t>
        </r>
      </text>
    </comment>
    <comment ref="H3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Legal Max</t>
        </r>
      </text>
    </comment>
  </commentList>
</comments>
</file>

<file path=xl/comments3.xml><?xml version="1.0" encoding="utf-8"?>
<comments xmlns="http://schemas.openxmlformats.org/spreadsheetml/2006/main">
  <authors>
    <author>RoseMary Ireland</author>
  </authors>
  <commentList>
    <comment ref="AR1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Pull from Local Effort
</t>
        </r>
      </text>
    </comment>
  </commentList>
</comments>
</file>

<file path=xl/comments4.xml><?xml version="1.0" encoding="utf-8"?>
<comments xmlns="http://schemas.openxmlformats.org/spreadsheetml/2006/main">
  <authors>
    <author>RoseMary Ireland</author>
  </authors>
  <commentList>
    <comment ref="M1092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
</t>
        </r>
      </text>
    </comment>
    <comment ref="M1093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094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095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096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097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098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099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100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101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102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103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46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47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48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49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50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51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52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53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54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55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56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57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58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259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60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61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62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63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64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65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66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67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68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69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70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71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72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73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74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75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  <comment ref="M1276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6/4/19 Lauel said the BLDG HD AR Tab on the audit was doubling 2/20 count. Adj formula to get this audit processed. Put back formula next year. </t>
        </r>
      </text>
    </comment>
  </commentList>
</comments>
</file>

<file path=xl/comments5.xml><?xml version="1.0" encoding="utf-8"?>
<comments xmlns="http://schemas.openxmlformats.org/spreadsheetml/2006/main">
  <authors>
    <author>Sara Barnes</author>
    <author>kmercer</author>
  </authors>
  <commentList>
    <comment ref="G2" authorId="0" shapeId="0">
      <text>
        <r>
          <rPr>
            <b/>
            <sz val="9"/>
            <color indexed="81"/>
            <rFont val="Tahoma"/>
            <family val="2"/>
          </rPr>
          <t>Sara Barnes:</t>
        </r>
        <r>
          <rPr>
            <sz val="9"/>
            <color indexed="81"/>
            <rFont val="Tahoma"/>
            <family val="2"/>
          </rPr>
          <t xml:space="preserve">
Prior Year Budget Reduction due to overspending general fund is copied from CPA audit spreadsheet.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Sara Barnes:</t>
        </r>
        <r>
          <rPr>
            <sz val="9"/>
            <color indexed="81"/>
            <rFont val="Tahoma"/>
            <family val="2"/>
          </rPr>
          <t xml:space="preserve">
6-10-15:  FY09 sped aid = $440,826.  Due to correction for FY15 sped aid supplemental, USD received actual $356,981 but entitled to receive $638,066.  Using entitlement to compute LOB and acutal to compute general fund.
6-23-15:  It was decided to use the actual sped aid entitlement of $638,066 for General Fund as adjusted on the LM worksheet.  Putting sped aid back to original amount.  - sjb</t>
        </r>
      </text>
    </comment>
    <comment ref="B279" authorId="1" shapeId="0">
      <text>
        <r>
          <rPr>
            <sz val="8"/>
            <color indexed="81"/>
            <rFont val="Tahoma"/>
            <family val="2"/>
          </rPr>
          <t xml:space="preserve">$303,432 payment added back for 07-08 payment paid in 08-09
</t>
        </r>
      </text>
    </comment>
  </commentList>
</comments>
</file>

<file path=xl/comments6.xml><?xml version="1.0" encoding="utf-8"?>
<comments xmlns="http://schemas.openxmlformats.org/spreadsheetml/2006/main">
  <authors>
    <author>Sara Barnes</author>
    <author>RoseMary Ireland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 xml:space="preserve">RoseMary Ireland:
</t>
        </r>
        <r>
          <rPr>
            <sz val="9"/>
            <color indexed="81"/>
            <rFont val="Tahoma"/>
            <family val="2"/>
          </rPr>
          <t xml:space="preserve">Pulled from District Global Data File and inserted as not on Preliminary Legal Max data file.
</t>
        </r>
      </text>
    </comment>
    <comment ref="AG4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Keep formula
</t>
        </r>
      </text>
    </comment>
    <comment ref="V19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11/7/18:  At A Glance was 2,530.  Excludes NG Free Lunch in error.</t>
        </r>
      </text>
    </comment>
    <comment ref="V40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At A Glance was 164.  Excludes NG Free Lunch in error.M</t>
        </r>
      </text>
    </comment>
    <comment ref="AE45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11-8-17: not  eligible for 2/20, zeroed this cell.</t>
        </r>
      </text>
    </comment>
    <comment ref="V46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At A Glance was 5,778.  Excludes NG Free Lunch in error.</t>
        </r>
      </text>
    </comment>
    <comment ref="V64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11/7/18: At A Glance was 2,105.  Excludes NG Free Lunch in error.</t>
        </r>
      </text>
    </comment>
    <comment ref="F67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 11/7/18 The district had 4.0 for Milt. They are not a Milt district. </t>
        </r>
      </text>
    </comment>
    <comment ref="M67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The district had 251.0. Not a Milt district. </t>
        </r>
      </text>
    </comment>
    <comment ref="O67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The district had 4.0 for Milt. They are not a Milt district. </t>
        </r>
      </text>
    </comment>
    <comment ref="Q67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Not a Milt district. See comment on LM </t>
        </r>
      </text>
    </comment>
    <comment ref="W67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Not a Milt district. </t>
        </r>
      </text>
    </comment>
    <comment ref="Z67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Not a Milt district. </t>
        </r>
      </text>
    </comment>
    <comment ref="V70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11/7/18: At A Glance was 33,369.  Excludes NG Free Lunch in error.</t>
        </r>
      </text>
    </comment>
    <comment ref="Z71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 Not a Milt district. </t>
        </r>
      </text>
    </comment>
    <comment ref="V96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11/7/18: At A Glance was 961.  Excludes NG Free Lunch in error.</t>
        </r>
      </text>
    </comment>
    <comment ref="D103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11-8-17: not  eligible for 2/20, zeroed this cell.</t>
        </r>
      </text>
    </comment>
    <comment ref="E103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11-8-17: not  eligible for 2/20, zeroed this cell.</t>
        </r>
      </text>
    </comment>
    <comment ref="I103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not  eligible for 2/20, zeroed this cell</t>
        </r>
      </text>
    </comment>
    <comment ref="J103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not  eligible for 2/20, zeroed this cell</t>
        </r>
      </text>
    </comment>
    <comment ref="AI103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Sara Barnes:
10-30-17:  USD estimated 2/20 enrollment by mistake as 214.9 FTE.</t>
        </r>
      </text>
    </comment>
    <comment ref="V145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11/7/18: At A Glance was 108.  Excludes NG Free Lunch in error.</t>
        </r>
      </text>
    </comment>
    <comment ref="V201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11/7/18: At A Glance was 916.  Excludes NG Free Lunch in error.</t>
        </r>
      </text>
    </comment>
    <comment ref="V214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11/7/18: At A Glance was 87.  Excludes NG Free Lunch in error.</t>
        </r>
      </text>
    </comment>
    <comment ref="V278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11/7/18: At A Glance was 14,935.  Excludes NG Free Lunch in error.</t>
        </r>
      </text>
    </comment>
    <comment ref="AG286" authorId="1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Entered Military on the HS. </t>
        </r>
      </text>
    </comment>
  </commentList>
</comments>
</file>

<file path=xl/comments7.xml><?xml version="1.0" encoding="utf-8"?>
<comments xmlns="http://schemas.openxmlformats.org/spreadsheetml/2006/main">
  <authors>
    <author>RoseMary Ireland</author>
  </authors>
  <commentList>
    <comment ref="E588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11/7/18: Not a Milt district. Entered 283 on 2/20</t>
        </r>
      </text>
    </comment>
    <comment ref="E802" authorId="0" shapeId="0">
      <text>
        <r>
          <rPr>
            <sz val="9"/>
            <color indexed="81"/>
            <rFont val="Tahoma"/>
            <family val="2"/>
          </rPr>
          <t>RoseMary Ireland:
11/7/18: Not a Milt District. Entered 171 on 2/20</t>
        </r>
      </text>
    </comment>
    <comment ref="H802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RoseMary Ireland:
11/7/18: Not a Milt District. Entered 64 on 2/20</t>
        </r>
      </text>
    </comment>
    <comment ref="E811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RoseMary Ireland:
11/7/18: Not a Milt District. Entered 87 on 2/20</t>
        </r>
      </text>
    </comment>
    <comment ref="H811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RoseMary Ireland:
11/7/18: Not a Milt District. Entered 36 on 2/20</t>
        </r>
      </text>
    </comment>
    <comment ref="E1262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RoseMary Ireland:
11/7/18: Not a Milt District. Entered 221 on 2/20</t>
        </r>
      </text>
    </comment>
    <comment ref="H1262" authorId="0" shapeId="0">
      <text>
        <r>
          <rPr>
            <b/>
            <sz val="9"/>
            <color indexed="81"/>
            <rFont val="Tahoma"/>
            <family val="2"/>
          </rPr>
          <t>RoseMary Ireland:</t>
        </r>
        <r>
          <rPr>
            <sz val="9"/>
            <color indexed="81"/>
            <rFont val="Tahoma"/>
            <family val="2"/>
          </rPr>
          <t xml:space="preserve">
RoseMary Ireland:
11/7/18: Not a Milt District. Entered 122 on 2/20</t>
        </r>
      </text>
    </comment>
  </commentList>
</comments>
</file>

<file path=xl/sharedStrings.xml><?xml version="1.0" encoding="utf-8"?>
<sst xmlns="http://schemas.openxmlformats.org/spreadsheetml/2006/main" count="11788" uniqueCount="3947">
  <si>
    <t>USD</t>
  </si>
  <si>
    <t/>
  </si>
  <si>
    <t>0-99.9</t>
  </si>
  <si>
    <t>100-299.9</t>
  </si>
  <si>
    <t>Neosho</t>
  </si>
  <si>
    <t>Gray</t>
  </si>
  <si>
    <t>Cheyenne</t>
  </si>
  <si>
    <t>Jewell</t>
  </si>
  <si>
    <t>Greeley</t>
  </si>
  <si>
    <t>Wyandotte</t>
  </si>
  <si>
    <t>Butler</t>
  </si>
  <si>
    <t>Leavenworth</t>
  </si>
  <si>
    <t>Trego</t>
  </si>
  <si>
    <t>Stevens</t>
  </si>
  <si>
    <t>Norton</t>
  </si>
  <si>
    <t>Grant</t>
  </si>
  <si>
    <t>Kearny</t>
  </si>
  <si>
    <t>Morton</t>
  </si>
  <si>
    <t>Clark</t>
  </si>
  <si>
    <t>Washington</t>
  </si>
  <si>
    <t>Meade</t>
  </si>
  <si>
    <t>Hodgeman</t>
  </si>
  <si>
    <t>Johnson</t>
  </si>
  <si>
    <t>Bourbon</t>
  </si>
  <si>
    <t>Smith</t>
  </si>
  <si>
    <t>Ottawa</t>
  </si>
  <si>
    <t>Wallace</t>
  </si>
  <si>
    <t>Coffey</t>
  </si>
  <si>
    <t>Crawford</t>
  </si>
  <si>
    <t>Cherokee</t>
  </si>
  <si>
    <t>Lyon</t>
  </si>
  <si>
    <t>Barber</t>
  </si>
  <si>
    <t>Allen</t>
  </si>
  <si>
    <t>Sedgwick</t>
  </si>
  <si>
    <t>Wichita</t>
  </si>
  <si>
    <t>Rooks</t>
  </si>
  <si>
    <t>Mitchell</t>
  </si>
  <si>
    <t>Logan</t>
  </si>
  <si>
    <t>Graham</t>
  </si>
  <si>
    <t>Elk</t>
  </si>
  <si>
    <t>Chase</t>
  </si>
  <si>
    <t>Chautauqua</t>
  </si>
  <si>
    <t>Franklin</t>
  </si>
  <si>
    <t>Gove</t>
  </si>
  <si>
    <t>Decatur</t>
  </si>
  <si>
    <t>Lincoln</t>
  </si>
  <si>
    <t>Comanche</t>
  </si>
  <si>
    <t>Ness</t>
  </si>
  <si>
    <t>Saline</t>
  </si>
  <si>
    <t>Reno</t>
  </si>
  <si>
    <t>Thomas</t>
  </si>
  <si>
    <t>Rawlins</t>
  </si>
  <si>
    <t>Pottawatomie</t>
  </si>
  <si>
    <t>Phillips</t>
  </si>
  <si>
    <t>Ellsworth</t>
  </si>
  <si>
    <t>Wabaunsee</t>
  </si>
  <si>
    <t>Kingman</t>
  </si>
  <si>
    <t>Cloud</t>
  </si>
  <si>
    <t>Jackson</t>
  </si>
  <si>
    <t>Jefferson</t>
  </si>
  <si>
    <t>Linn</t>
  </si>
  <si>
    <t>Shawnee</t>
  </si>
  <si>
    <t>Edwards</t>
  </si>
  <si>
    <t>Douglas</t>
  </si>
  <si>
    <t>Stafford</t>
  </si>
  <si>
    <t>Sherman</t>
  </si>
  <si>
    <t>Sumner</t>
  </si>
  <si>
    <t>Barton</t>
  </si>
  <si>
    <t>Harper</t>
  </si>
  <si>
    <t>Finney</t>
  </si>
  <si>
    <t>Marshall</t>
  </si>
  <si>
    <t>Anderson</t>
  </si>
  <si>
    <t>Woodson</t>
  </si>
  <si>
    <t>Miami</t>
  </si>
  <si>
    <t>Harvey</t>
  </si>
  <si>
    <t>Haskell</t>
  </si>
  <si>
    <t>Rice</t>
  </si>
  <si>
    <t>Atchison</t>
  </si>
  <si>
    <t>Riley</t>
  </si>
  <si>
    <t>Clay</t>
  </si>
  <si>
    <t>Ford</t>
  </si>
  <si>
    <t>Pratt</t>
  </si>
  <si>
    <t>Greenwood</t>
  </si>
  <si>
    <t>Wilson</t>
  </si>
  <si>
    <t>Ellis</t>
  </si>
  <si>
    <t>Hamilton</t>
  </si>
  <si>
    <t>Osborne</t>
  </si>
  <si>
    <t>Dickinson</t>
  </si>
  <si>
    <t>Rush</t>
  </si>
  <si>
    <t>Marion</t>
  </si>
  <si>
    <t>Russell</t>
  </si>
  <si>
    <t>McPherson</t>
  </si>
  <si>
    <t>Doniphan</t>
  </si>
  <si>
    <t>Sheridan</t>
  </si>
  <si>
    <t>Brown</t>
  </si>
  <si>
    <t>Morris</t>
  </si>
  <si>
    <t>Osage</t>
  </si>
  <si>
    <t>Kiowa</t>
  </si>
  <si>
    <t>Republic</t>
  </si>
  <si>
    <t>Montgomery</t>
  </si>
  <si>
    <t>Nemaha</t>
  </si>
  <si>
    <t>Stanton</t>
  </si>
  <si>
    <t>Cowley</t>
  </si>
  <si>
    <t>Scott</t>
  </si>
  <si>
    <t>Lane</t>
  </si>
  <si>
    <t>Geary</t>
  </si>
  <si>
    <t>Seward</t>
  </si>
  <si>
    <t>Pawnee</t>
  </si>
  <si>
    <t>Labette</t>
  </si>
  <si>
    <t>Spec Ed</t>
  </si>
  <si>
    <t>Legal GF Budget</t>
  </si>
  <si>
    <t>combined</t>
  </si>
  <si>
    <t>(inc Spec Ed)</t>
  </si>
  <si>
    <t>280 Spec Ed</t>
  </si>
  <si>
    <t>281 Spec Ed</t>
  </si>
  <si>
    <t>combined (ex SE)</t>
  </si>
  <si>
    <t>spec ed dollars</t>
  </si>
  <si>
    <t>317 Spec Ed</t>
  </si>
  <si>
    <t>318 Spec Ed</t>
  </si>
  <si>
    <t>CY spec ed dollars</t>
  </si>
  <si>
    <t>FY05 GF Budget</t>
  </si>
  <si>
    <t>302 Spec Ed</t>
  </si>
  <si>
    <t>304 Spec Ed</t>
  </si>
  <si>
    <t>FY06 GF Budget</t>
  </si>
  <si>
    <t>(incl Spec Ed)</t>
  </si>
  <si>
    <t>104 Spec Ed</t>
  </si>
  <si>
    <t>278 Spec Ed</t>
  </si>
  <si>
    <t>221 Spec Ed</t>
  </si>
  <si>
    <t>222 Spec Ed</t>
  </si>
  <si>
    <t>427 Spec Ed</t>
  </si>
  <si>
    <t>455 Spec Ed</t>
  </si>
  <si>
    <t>FY07 GF Budget</t>
  </si>
  <si>
    <t>CY sped dollars</t>
  </si>
  <si>
    <t>300-1621.9</t>
  </si>
  <si>
    <t>238 Spec Ed</t>
  </si>
  <si>
    <t>324 Spec Ed</t>
  </si>
  <si>
    <t>FY09 GF Budget</t>
  </si>
  <si>
    <t>FY 09</t>
  </si>
  <si>
    <t>425 Spec Ed</t>
  </si>
  <si>
    <t>433 Spec Ed</t>
  </si>
  <si>
    <t>FY10 GF Budget</t>
  </si>
  <si>
    <t>107 Spec Ed</t>
  </si>
  <si>
    <t>279 Spec Ed</t>
  </si>
  <si>
    <t>273 Spec Ed</t>
  </si>
  <si>
    <t>Exceptions District</t>
  </si>
  <si>
    <t>328 Spec Ed</t>
  </si>
  <si>
    <t>354 Spec Ed</t>
  </si>
  <si>
    <t>441 Spec Ed</t>
  </si>
  <si>
    <t>FY11 GF Budget</t>
  </si>
  <si>
    <t>406 Spec Ed</t>
  </si>
  <si>
    <t>486 Spec Ed</t>
  </si>
  <si>
    <t>211 Spec Ed</t>
  </si>
  <si>
    <t>213 Spec Ed</t>
  </si>
  <si>
    <t>488 Spec Ed</t>
  </si>
  <si>
    <t>Col 1</t>
  </si>
  <si>
    <t>Col 2</t>
  </si>
  <si>
    <t>Col 3</t>
  </si>
  <si>
    <t>Col 4</t>
  </si>
  <si>
    <t>Col 6</t>
  </si>
  <si>
    <t>Col 7</t>
  </si>
  <si>
    <t>Col 8</t>
  </si>
  <si>
    <t>Col 9</t>
  </si>
  <si>
    <t>Col 10</t>
  </si>
  <si>
    <t>Col 11</t>
  </si>
  <si>
    <t>Col 13</t>
  </si>
  <si>
    <t>Col 14</t>
  </si>
  <si>
    <t>Col 15</t>
  </si>
  <si>
    <t>Col 16</t>
  </si>
  <si>
    <t>Col 17</t>
  </si>
  <si>
    <t>Col 18</t>
  </si>
  <si>
    <t>Col 21</t>
  </si>
  <si>
    <t>USD #</t>
  </si>
  <si>
    <t>County</t>
  </si>
  <si>
    <t>District Name</t>
  </si>
  <si>
    <t>1622 and higher</t>
  </si>
  <si>
    <t>Area in Square Miles</t>
  </si>
  <si>
    <t>Trans Weighted FTE</t>
  </si>
  <si>
    <t>Cost of Living Authorized Percent</t>
  </si>
  <si>
    <t>Max Computed Cost of Living</t>
  </si>
  <si>
    <t>Cost of Living Authority</t>
  </si>
  <si>
    <t>Table IV High Density At Risk</t>
  </si>
  <si>
    <t>Ftee Lunch &gt;=50%</t>
  </si>
  <si>
    <t>LOB Percent Used</t>
  </si>
  <si>
    <t>Sequence Number</t>
  </si>
  <si>
    <t>Audit</t>
  </si>
  <si>
    <t>Republished</t>
  </si>
  <si>
    <t>KAMS FTE</t>
  </si>
  <si>
    <t>FY</t>
  </si>
  <si>
    <t>FY GF Budget</t>
  </si>
  <si>
    <t>227 Spec Ed</t>
  </si>
  <si>
    <t>228 Spec Ed</t>
  </si>
  <si>
    <t>424 Spec Ed</t>
  </si>
  <si>
    <t>422 Spec Ed</t>
  </si>
  <si>
    <t>Col 19</t>
  </si>
  <si>
    <t>Col 20</t>
  </si>
  <si>
    <t>KAMS</t>
  </si>
  <si>
    <t>Total</t>
  </si>
  <si>
    <t>D0101</t>
  </si>
  <si>
    <t>D0102</t>
  </si>
  <si>
    <t>D0103</t>
  </si>
  <si>
    <t>D0105</t>
  </si>
  <si>
    <t>D0106</t>
  </si>
  <si>
    <t>D0107</t>
  </si>
  <si>
    <t>D0108</t>
  </si>
  <si>
    <t>D0109</t>
  </si>
  <si>
    <t>D0110</t>
  </si>
  <si>
    <t>D0111</t>
  </si>
  <si>
    <t>D0112</t>
  </si>
  <si>
    <t>D0113</t>
  </si>
  <si>
    <t>D0114</t>
  </si>
  <si>
    <t>D0115</t>
  </si>
  <si>
    <t>D0200</t>
  </si>
  <si>
    <t>D0202</t>
  </si>
  <si>
    <t>D0203</t>
  </si>
  <si>
    <t>D0204</t>
  </si>
  <si>
    <t>D0205</t>
  </si>
  <si>
    <t>D0206</t>
  </si>
  <si>
    <t>D0207</t>
  </si>
  <si>
    <t>D0208</t>
  </si>
  <si>
    <t>D0209</t>
  </si>
  <si>
    <t>D0210</t>
  </si>
  <si>
    <t>D0211</t>
  </si>
  <si>
    <t>D0212</t>
  </si>
  <si>
    <t>D0214</t>
  </si>
  <si>
    <t>D0215</t>
  </si>
  <si>
    <t>D0216</t>
  </si>
  <si>
    <t>D0217</t>
  </si>
  <si>
    <t>D0218</t>
  </si>
  <si>
    <t>D0219</t>
  </si>
  <si>
    <t>D0220</t>
  </si>
  <si>
    <t>D0223</t>
  </si>
  <si>
    <t>D0224</t>
  </si>
  <si>
    <t>D0225</t>
  </si>
  <si>
    <t>D0226</t>
  </si>
  <si>
    <t>D0227</t>
  </si>
  <si>
    <t>D0229</t>
  </si>
  <si>
    <t>D0230</t>
  </si>
  <si>
    <t>D0231</t>
  </si>
  <si>
    <t>D0232</t>
  </si>
  <si>
    <t>D0233</t>
  </si>
  <si>
    <t>D0234</t>
  </si>
  <si>
    <t>D0235</t>
  </si>
  <si>
    <t>D0237</t>
  </si>
  <si>
    <t>D0239</t>
  </si>
  <si>
    <t>D0240</t>
  </si>
  <si>
    <t>D0241</t>
  </si>
  <si>
    <t>D0242</t>
  </si>
  <si>
    <t>D0243</t>
  </si>
  <si>
    <t>D0244</t>
  </si>
  <si>
    <t>D0245</t>
  </si>
  <si>
    <t>D0246</t>
  </si>
  <si>
    <t>D0247</t>
  </si>
  <si>
    <t>D0248</t>
  </si>
  <si>
    <t>D0249</t>
  </si>
  <si>
    <t>D0250</t>
  </si>
  <si>
    <t>D0251</t>
  </si>
  <si>
    <t>D0252</t>
  </si>
  <si>
    <t>D0253</t>
  </si>
  <si>
    <t>D0254</t>
  </si>
  <si>
    <t>D0255</t>
  </si>
  <si>
    <t>D0256</t>
  </si>
  <si>
    <t>D0257</t>
  </si>
  <si>
    <t>D0258</t>
  </si>
  <si>
    <t>D0259</t>
  </si>
  <si>
    <t>D0260</t>
  </si>
  <si>
    <t>D0261</t>
  </si>
  <si>
    <t>D0262</t>
  </si>
  <si>
    <t>D0263</t>
  </si>
  <si>
    <t>D0264</t>
  </si>
  <si>
    <t>D0265</t>
  </si>
  <si>
    <t>D0266</t>
  </si>
  <si>
    <t>D0267</t>
  </si>
  <si>
    <t>D0268</t>
  </si>
  <si>
    <t>D0269</t>
  </si>
  <si>
    <t>D0270</t>
  </si>
  <si>
    <t>D0271</t>
  </si>
  <si>
    <t>D0272</t>
  </si>
  <si>
    <t>D0273</t>
  </si>
  <si>
    <t>D0274</t>
  </si>
  <si>
    <t>D0275</t>
  </si>
  <si>
    <t>D0281</t>
  </si>
  <si>
    <t>D0282</t>
  </si>
  <si>
    <t>D0283</t>
  </si>
  <si>
    <t>D0284</t>
  </si>
  <si>
    <t>D0285</t>
  </si>
  <si>
    <t>D0286</t>
  </si>
  <si>
    <t>D0287</t>
  </si>
  <si>
    <t>D0288</t>
  </si>
  <si>
    <t>D0289</t>
  </si>
  <si>
    <t>D0290</t>
  </si>
  <si>
    <t>D0291</t>
  </si>
  <si>
    <t>D0292</t>
  </si>
  <si>
    <t>D0293</t>
  </si>
  <si>
    <t>D0294</t>
  </si>
  <si>
    <t>D0297</t>
  </si>
  <si>
    <t>D0298</t>
  </si>
  <si>
    <t>D0299</t>
  </si>
  <si>
    <t>D0300</t>
  </si>
  <si>
    <t>D0303</t>
  </si>
  <si>
    <t>D0305</t>
  </si>
  <si>
    <t>D0306</t>
  </si>
  <si>
    <t>D0307</t>
  </si>
  <si>
    <t>D0308</t>
  </si>
  <si>
    <t>D0309</t>
  </si>
  <si>
    <t>D0310</t>
  </si>
  <si>
    <t>D0311</t>
  </si>
  <si>
    <t>D0312</t>
  </si>
  <si>
    <t>D0313</t>
  </si>
  <si>
    <t>D0314</t>
  </si>
  <si>
    <t>D0315</t>
  </si>
  <si>
    <t>D0316</t>
  </si>
  <si>
    <t>D0320</t>
  </si>
  <si>
    <t>D0321</t>
  </si>
  <si>
    <t>D0322</t>
  </si>
  <si>
    <t>D0323</t>
  </si>
  <si>
    <t>D0325</t>
  </si>
  <si>
    <t>D0326</t>
  </si>
  <si>
    <t>D0327</t>
  </si>
  <si>
    <t>D0329</t>
  </si>
  <si>
    <t>D0330</t>
  </si>
  <si>
    <t>D0331</t>
  </si>
  <si>
    <t>D0332</t>
  </si>
  <si>
    <t>D0333</t>
  </si>
  <si>
    <t>D0334</t>
  </si>
  <si>
    <t>D0335</t>
  </si>
  <si>
    <t>D0336</t>
  </si>
  <si>
    <t>D0337</t>
  </si>
  <si>
    <t>D0338</t>
  </si>
  <si>
    <t>D0339</t>
  </si>
  <si>
    <t>D0340</t>
  </si>
  <si>
    <t>D0341</t>
  </si>
  <si>
    <t>D0342</t>
  </si>
  <si>
    <t>D0343</t>
  </si>
  <si>
    <t>D0344</t>
  </si>
  <si>
    <t>D0345</t>
  </si>
  <si>
    <t>D0346</t>
  </si>
  <si>
    <t>D0347</t>
  </si>
  <si>
    <t>D0348</t>
  </si>
  <si>
    <t>D0349</t>
  </si>
  <si>
    <t>D0350</t>
  </si>
  <si>
    <t>D0351</t>
  </si>
  <si>
    <t>D0352</t>
  </si>
  <si>
    <t>D0353</t>
  </si>
  <si>
    <t>D0355</t>
  </si>
  <si>
    <t>D0356</t>
  </si>
  <si>
    <t>D0357</t>
  </si>
  <si>
    <t>D0358</t>
  </si>
  <si>
    <t>D0359</t>
  </si>
  <si>
    <t>D0360</t>
  </si>
  <si>
    <t>D0361</t>
  </si>
  <si>
    <t>D0362</t>
  </si>
  <si>
    <t>D0363</t>
  </si>
  <si>
    <t>D0364</t>
  </si>
  <si>
    <t>D0365</t>
  </si>
  <si>
    <t>D0366</t>
  </si>
  <si>
    <t>D0367</t>
  </si>
  <si>
    <t>D0368</t>
  </si>
  <si>
    <t>D0369</t>
  </si>
  <si>
    <t>D0371</t>
  </si>
  <si>
    <t>D0372</t>
  </si>
  <si>
    <t>D0373</t>
  </si>
  <si>
    <t>D0374</t>
  </si>
  <si>
    <t>D0375</t>
  </si>
  <si>
    <t>D0376</t>
  </si>
  <si>
    <t>D0377</t>
  </si>
  <si>
    <t>D0378</t>
  </si>
  <si>
    <t>D0379</t>
  </si>
  <si>
    <t>D0380</t>
  </si>
  <si>
    <t>D0381</t>
  </si>
  <si>
    <t>D0382</t>
  </si>
  <si>
    <t>D0383</t>
  </si>
  <si>
    <t>D0384</t>
  </si>
  <si>
    <t>D0385</t>
  </si>
  <si>
    <t>D0386</t>
  </si>
  <si>
    <t>D0387</t>
  </si>
  <si>
    <t>D0388</t>
  </si>
  <si>
    <t>D0389</t>
  </si>
  <si>
    <t>D0390</t>
  </si>
  <si>
    <t>D0392</t>
  </si>
  <si>
    <t>D0393</t>
  </si>
  <si>
    <t>D0394</t>
  </si>
  <si>
    <t>D0395</t>
  </si>
  <si>
    <t>D0396</t>
  </si>
  <si>
    <t>D0397</t>
  </si>
  <si>
    <t>D0398</t>
  </si>
  <si>
    <t>D0399</t>
  </si>
  <si>
    <t>D0400</t>
  </si>
  <si>
    <t>D0401</t>
  </si>
  <si>
    <t>D0402</t>
  </si>
  <si>
    <t>D0403</t>
  </si>
  <si>
    <t>D0404</t>
  </si>
  <si>
    <t>D0405</t>
  </si>
  <si>
    <t>D0407</t>
  </si>
  <si>
    <t>D0408</t>
  </si>
  <si>
    <t>D0409</t>
  </si>
  <si>
    <t>D0410</t>
  </si>
  <si>
    <t>D0411</t>
  </si>
  <si>
    <t>D0412</t>
  </si>
  <si>
    <t>D0413</t>
  </si>
  <si>
    <t>D0415</t>
  </si>
  <si>
    <t>D0416</t>
  </si>
  <si>
    <t>D0417</t>
  </si>
  <si>
    <t>D0418</t>
  </si>
  <si>
    <t>D0419</t>
  </si>
  <si>
    <t>D0420</t>
  </si>
  <si>
    <t>D0421</t>
  </si>
  <si>
    <t>D0422</t>
  </si>
  <si>
    <t>D0423</t>
  </si>
  <si>
    <t>D0426</t>
  </si>
  <si>
    <t>D0428</t>
  </si>
  <si>
    <t>D0429</t>
  </si>
  <si>
    <t>D0430</t>
  </si>
  <si>
    <t>D0431</t>
  </si>
  <si>
    <t>D0432</t>
  </si>
  <si>
    <t>D0434</t>
  </si>
  <si>
    <t>D0435</t>
  </si>
  <si>
    <t>D0436</t>
  </si>
  <si>
    <t>D0437</t>
  </si>
  <si>
    <t>D0438</t>
  </si>
  <si>
    <t>D0439</t>
  </si>
  <si>
    <t>D0440</t>
  </si>
  <si>
    <t>D0443</t>
  </si>
  <si>
    <t>D0444</t>
  </si>
  <si>
    <t>D0445</t>
  </si>
  <si>
    <t>D0446</t>
  </si>
  <si>
    <t>D0447</t>
  </si>
  <si>
    <t>D0448</t>
  </si>
  <si>
    <t>D0449</t>
  </si>
  <si>
    <t>D0450</t>
  </si>
  <si>
    <t>D0452</t>
  </si>
  <si>
    <t>D0453</t>
  </si>
  <si>
    <t>D0454</t>
  </si>
  <si>
    <t>D0456</t>
  </si>
  <si>
    <t>D0457</t>
  </si>
  <si>
    <t>D0458</t>
  </si>
  <si>
    <t>D0459</t>
  </si>
  <si>
    <t>D0460</t>
  </si>
  <si>
    <t>D0461</t>
  </si>
  <si>
    <t>D0462</t>
  </si>
  <si>
    <t>D0463</t>
  </si>
  <si>
    <t>D0464</t>
  </si>
  <si>
    <t>D0465</t>
  </si>
  <si>
    <t>D0466</t>
  </si>
  <si>
    <t>D0467</t>
  </si>
  <si>
    <t>D0468</t>
  </si>
  <si>
    <t>D0469</t>
  </si>
  <si>
    <t>D0470</t>
  </si>
  <si>
    <t>D0471</t>
  </si>
  <si>
    <t>D0473</t>
  </si>
  <si>
    <t>D0474</t>
  </si>
  <si>
    <t>D0475</t>
  </si>
  <si>
    <t>D0476</t>
  </si>
  <si>
    <t>D0477</t>
  </si>
  <si>
    <t>D0479</t>
  </si>
  <si>
    <t>D0480</t>
  </si>
  <si>
    <t>D0481</t>
  </si>
  <si>
    <t>D0482</t>
  </si>
  <si>
    <t>D0483</t>
  </si>
  <si>
    <t>D0484</t>
  </si>
  <si>
    <t>D0487</t>
  </si>
  <si>
    <t>D0489</t>
  </si>
  <si>
    <t>D0490</t>
  </si>
  <si>
    <t>D0491</t>
  </si>
  <si>
    <t>D0492</t>
  </si>
  <si>
    <t>D0493</t>
  </si>
  <si>
    <t>D0494</t>
  </si>
  <si>
    <t>D0495</t>
  </si>
  <si>
    <t>D0496</t>
  </si>
  <si>
    <t>D0497</t>
  </si>
  <si>
    <t>D0498</t>
  </si>
  <si>
    <t>D0499</t>
  </si>
  <si>
    <t>D0500</t>
  </si>
  <si>
    <t>D0501</t>
  </si>
  <si>
    <t>D0502</t>
  </si>
  <si>
    <t>D0503</t>
  </si>
  <si>
    <t>D0504</t>
  </si>
  <si>
    <t>D0505</t>
  </si>
  <si>
    <t>D0506</t>
  </si>
  <si>
    <t>D0507</t>
  </si>
  <si>
    <t>D0508</t>
  </si>
  <si>
    <t>D0509</t>
  </si>
  <si>
    <t>D0511</t>
  </si>
  <si>
    <t>D0512</t>
  </si>
  <si>
    <t>USD 104 and USD 278 will close and create USD 107 effective FY07.  USD 107 will use combined budget and higher state aid rates locked in for 2006-07, 2007-08 and 2008-09 school years.</t>
  </si>
  <si>
    <t>USD 221 and USD 222 will close and create USD 108 effective FY07.  USD 108 will use combined budget and higher state aid rates locked in for 2006-07, 2007-08 and 2008-09 school years.</t>
  </si>
  <si>
    <t>USD 427 and USD 455 will close and create USD 109 effective FY07.  USD 109 will use combined budget and higher state aid rates locked in for 2006-07, 2007-08 and 2008-09 school years.</t>
  </si>
  <si>
    <t>USD 238 and USD 324 will close and create USD 110 effective FY09.  USD 110 will use combined budget and higher state aid rates locked in for 2008-09, 2009-10 and 2010-11 school years.</t>
  </si>
  <si>
    <t>USD 425 and USD 433 will close and create USD 111 effective FY10.  USD 111 will use combined budget and higher state aid rates locked in for 2009-10, 2010-11, 2011-12, and 2012-13 school years.</t>
  </si>
  <si>
    <t>USD 279 will close and transfer territory into USD 107 effective FY10.  USD 107 will use combined budget and higher state aid rates locked in for 2009-10, 2010-11 and 2011-12 school years.</t>
  </si>
  <si>
    <t>USD 279 will close and transfer territory into USD 273 effective FY10.  USD 273 will use combined budget and higher state aid rates locked in for 2009-10, 2010-11 and 2011-12 school years.</t>
  </si>
  <si>
    <t>USD 328 and USD 354 will close and create USD 112 effective FY11.  USD 112 will use combined budget and higher state aid rates locked in for 2010-11, 2011-12, 2012,13, 2013-14, 2014-15 school years.</t>
  </si>
  <si>
    <t>USD 441 and USD 488 will close and create USD 113 effective FY11.  USD 113 will use combined budget and higher state aid rates locked in for 2010-11, 2011-12, 2012,13, 2013-14, 2014-15 school years.</t>
  </si>
  <si>
    <t>USD 406 and USD 486 will close and create USD 114 effective FY11.  USD 114 will use combined budget and higher state aid rates locked in for 2010-11, 2011-12, 2012,13, 2013-14, 2014-15 school years.</t>
  </si>
  <si>
    <t>USD 213 will close and transfer territory into USD 211 effective FY11.  USD 211 will use combined budget and higher state aid rates locked in for 2010-11, 2011-12 and 2012-13 school years.</t>
  </si>
  <si>
    <t>USD 442 and USD 451 will close and create USD 115 effective FY12.  USD 115 will use combined budget and higher state aid rates locked in for 2011-12 2012-13, 2013-14, 2014-15 school years.</t>
  </si>
  <si>
    <t>USD 228 will close and transfer territory into USD 227 effective FY12.  USD 227 will use combined budget and higher state aid rates locked in for 2011-12 2012-13, 2013-14 school years.</t>
  </si>
  <si>
    <t>and higher state aid rates locked in for 2011-12 2012-13, 2013-14, 2014-15 school years.</t>
  </si>
  <si>
    <t>USD 317 and USD 318 will close and create USD 105 effective FY04.  USD 105 will use combined budget and higher state aid rates locked in for 2003-04, 2004-05,2005-06 and 2006-07 school years.</t>
  </si>
  <si>
    <t>USD 302 and USD 304 will close and create USD 106 effective FY05.  USD 106 will use combined budget and higher state aid rates locked in for 2004-05, 2005-06, 2006-07 and 2007-08 school years.</t>
  </si>
  <si>
    <t>USD 280 will close and transfer territory into USD 281 effective FY03.  USD 281 will use combined budget and higher state aid rates locked in for 2002-03, 2003-04,2004-05, and 2005-06 school years.</t>
  </si>
  <si>
    <t>Exceptions allowed per 72-6434b &amp; 72-8814b</t>
  </si>
  <si>
    <t xml:space="preserve"> Spec Ed</t>
  </si>
  <si>
    <t>FY 11</t>
  </si>
  <si>
    <t>FY 12</t>
  </si>
  <si>
    <t>FY 08</t>
  </si>
  <si>
    <t>FY 06</t>
  </si>
  <si>
    <t>FY 04</t>
  </si>
  <si>
    <t>FY 03</t>
  </si>
  <si>
    <t>FY 02</t>
  </si>
  <si>
    <t>FY12 GF Budget</t>
  </si>
  <si>
    <t>Seq Num</t>
  </si>
  <si>
    <t>FY09 Sped</t>
  </si>
  <si>
    <t>D0#</t>
  </si>
  <si>
    <t>Trans Adj</t>
  </si>
  <si>
    <t>Repub</t>
  </si>
  <si>
    <t>Series No</t>
  </si>
  <si>
    <t>Pending</t>
  </si>
  <si>
    <t>Color Key:</t>
  </si>
  <si>
    <t>Adopted Under Authority</t>
  </si>
  <si>
    <t xml:space="preserve">Erie-Galesburg </t>
  </si>
  <si>
    <t xml:space="preserve">Cheylin </t>
  </si>
  <si>
    <t xml:space="preserve">Rawlins County </t>
  </si>
  <si>
    <t xml:space="preserve">Western Plains </t>
  </si>
  <si>
    <t xml:space="preserve">Rock Hills </t>
  </si>
  <si>
    <t xml:space="preserve">Washington Co. Schools </t>
  </si>
  <si>
    <t xml:space="preserve">Republic County </t>
  </si>
  <si>
    <t xml:space="preserve">Thunder Ridge Schools </t>
  </si>
  <si>
    <t xml:space="preserve">Doniphan West Schools </t>
  </si>
  <si>
    <t xml:space="preserve">Central Plains </t>
  </si>
  <si>
    <t xml:space="preserve">Prairie Hills </t>
  </si>
  <si>
    <t xml:space="preserve">Riverside </t>
  </si>
  <si>
    <t xml:space="preserve">Nemaha Central </t>
  </si>
  <si>
    <t xml:space="preserve">Greeley County Schools </t>
  </si>
  <si>
    <t xml:space="preserve">Turner-Kansas City </t>
  </si>
  <si>
    <t xml:space="preserve">Piper-Kansas City </t>
  </si>
  <si>
    <t xml:space="preserve">Bonner Springs </t>
  </si>
  <si>
    <t xml:space="preserve">Bluestem </t>
  </si>
  <si>
    <t xml:space="preserve">Remington-Whitewater </t>
  </si>
  <si>
    <t xml:space="preserve">Ft Leavenworth </t>
  </si>
  <si>
    <t xml:space="preserve">Wakeeney </t>
  </si>
  <si>
    <t xml:space="preserve">Moscow Public Schools </t>
  </si>
  <si>
    <t xml:space="preserve">Hugoton Public Schools </t>
  </si>
  <si>
    <t xml:space="preserve">Norton Community Schools </t>
  </si>
  <si>
    <t xml:space="preserve">Northern Valley </t>
  </si>
  <si>
    <t xml:space="preserve">Ulysses </t>
  </si>
  <si>
    <t xml:space="preserve">Lakin </t>
  </si>
  <si>
    <t xml:space="preserve">Deerfield </t>
  </si>
  <si>
    <t xml:space="preserve">Rolla </t>
  </si>
  <si>
    <t xml:space="preserve">Elkhart </t>
  </si>
  <si>
    <t xml:space="preserve">Minneola </t>
  </si>
  <si>
    <t xml:space="preserve">Ashland </t>
  </si>
  <si>
    <t xml:space="preserve">Barnes </t>
  </si>
  <si>
    <t xml:space="preserve">Clifton-Clyde </t>
  </si>
  <si>
    <t xml:space="preserve">Fowler </t>
  </si>
  <si>
    <t xml:space="preserve">Meade </t>
  </si>
  <si>
    <t xml:space="preserve">Hodgeman County Schools </t>
  </si>
  <si>
    <t xml:space="preserve">Blue Valley </t>
  </si>
  <si>
    <t xml:space="preserve">Spring Hill </t>
  </si>
  <si>
    <t xml:space="preserve">Gardner Edgerton </t>
  </si>
  <si>
    <t xml:space="preserve">De Soto </t>
  </si>
  <si>
    <t xml:space="preserve">Olathe </t>
  </si>
  <si>
    <t xml:space="preserve">Fort Scott </t>
  </si>
  <si>
    <t xml:space="preserve">Uniontown </t>
  </si>
  <si>
    <t xml:space="preserve">Smith Center </t>
  </si>
  <si>
    <t xml:space="preserve">North Ottawa County </t>
  </si>
  <si>
    <t xml:space="preserve">Twin Valley </t>
  </si>
  <si>
    <t xml:space="preserve">Wallace County Schools </t>
  </si>
  <si>
    <t xml:space="preserve">Weskan </t>
  </si>
  <si>
    <t xml:space="preserve">Lebo-Waverly </t>
  </si>
  <si>
    <t xml:space="preserve">Burlington </t>
  </si>
  <si>
    <t xml:space="preserve">LeRoy-Gridley </t>
  </si>
  <si>
    <t xml:space="preserve">Northeast </t>
  </si>
  <si>
    <t xml:space="preserve">Cherokee </t>
  </si>
  <si>
    <t xml:space="preserve">Girard </t>
  </si>
  <si>
    <t xml:space="preserve">Frontenac Public Schools </t>
  </si>
  <si>
    <t xml:space="preserve">Pittsburg </t>
  </si>
  <si>
    <t xml:space="preserve">North Lyon County </t>
  </si>
  <si>
    <t xml:space="preserve">Southern Lyon County </t>
  </si>
  <si>
    <t xml:space="preserve">Emporia </t>
  </si>
  <si>
    <t xml:space="preserve">Barber County North </t>
  </si>
  <si>
    <t xml:space="preserve">South Barber </t>
  </si>
  <si>
    <t xml:space="preserve">Marmaton Valley </t>
  </si>
  <si>
    <t xml:space="preserve">Iola </t>
  </si>
  <si>
    <t xml:space="preserve">Humboldt </t>
  </si>
  <si>
    <t xml:space="preserve">Wichita </t>
  </si>
  <si>
    <t xml:space="preserve">Derby </t>
  </si>
  <si>
    <t xml:space="preserve">Haysville </t>
  </si>
  <si>
    <t xml:space="preserve">Valley Center Pub Sch </t>
  </si>
  <si>
    <t xml:space="preserve">Mulvane </t>
  </si>
  <si>
    <t xml:space="preserve">Clearwater </t>
  </si>
  <si>
    <t xml:space="preserve">Goddard </t>
  </si>
  <si>
    <t xml:space="preserve">Maize </t>
  </si>
  <si>
    <t xml:space="preserve">Renwick </t>
  </si>
  <si>
    <t xml:space="preserve">Cheney </t>
  </si>
  <si>
    <t xml:space="preserve">Palco </t>
  </si>
  <si>
    <t xml:space="preserve">Plainville </t>
  </si>
  <si>
    <t xml:space="preserve">Stockton </t>
  </si>
  <si>
    <t xml:space="preserve">Waconda </t>
  </si>
  <si>
    <t xml:space="preserve">Beloit </t>
  </si>
  <si>
    <t xml:space="preserve">Oakley </t>
  </si>
  <si>
    <t xml:space="preserve">Triplains </t>
  </si>
  <si>
    <t xml:space="preserve">Graham County </t>
  </si>
  <si>
    <t xml:space="preserve">West Elk </t>
  </si>
  <si>
    <t xml:space="preserve">Elk Valley </t>
  </si>
  <si>
    <t xml:space="preserve">Chase County </t>
  </si>
  <si>
    <t xml:space="preserve">Cedar Vale </t>
  </si>
  <si>
    <t xml:space="preserve">Chautauqua Co Community </t>
  </si>
  <si>
    <t xml:space="preserve">West Franklin </t>
  </si>
  <si>
    <t xml:space="preserve">Central Heights </t>
  </si>
  <si>
    <t xml:space="preserve">Wellsville </t>
  </si>
  <si>
    <t xml:space="preserve">Ottawa </t>
  </si>
  <si>
    <t xml:space="preserve">Grinnell Public Schools </t>
  </si>
  <si>
    <t xml:space="preserve">Wheatland </t>
  </si>
  <si>
    <t xml:space="preserve">Quinter Public Schools </t>
  </si>
  <si>
    <t xml:space="preserve">Oberlin </t>
  </si>
  <si>
    <t xml:space="preserve">St Francis Comm Sch </t>
  </si>
  <si>
    <t xml:space="preserve">Lincoln </t>
  </si>
  <si>
    <t xml:space="preserve">Sylvan Grove </t>
  </si>
  <si>
    <t xml:space="preserve">Comanche County </t>
  </si>
  <si>
    <t xml:space="preserve">Ness City </t>
  </si>
  <si>
    <t xml:space="preserve">Salina </t>
  </si>
  <si>
    <t xml:space="preserve">Southeast Of Saline </t>
  </si>
  <si>
    <t xml:space="preserve">Ell-Saline </t>
  </si>
  <si>
    <t xml:space="preserve">Hutchinson Public Schools </t>
  </si>
  <si>
    <t xml:space="preserve">Nickerson </t>
  </si>
  <si>
    <t xml:space="preserve">Fairfield </t>
  </si>
  <si>
    <t xml:space="preserve">Pretty Prairie </t>
  </si>
  <si>
    <t xml:space="preserve">Haven Public Schools </t>
  </si>
  <si>
    <t xml:space="preserve">Buhler </t>
  </si>
  <si>
    <t xml:space="preserve">Brewster </t>
  </si>
  <si>
    <t xml:space="preserve">Colby Public Schools </t>
  </si>
  <si>
    <t xml:space="preserve">Golden Plains </t>
  </si>
  <si>
    <t xml:space="preserve">Wamego </t>
  </si>
  <si>
    <t xml:space="preserve">Kaw Valley </t>
  </si>
  <si>
    <t xml:space="preserve">Onaga-Havensville-Wheaton </t>
  </si>
  <si>
    <t xml:space="preserve">Rock Creek </t>
  </si>
  <si>
    <t xml:space="preserve">Phillipsburg </t>
  </si>
  <si>
    <t xml:space="preserve">Logan </t>
  </si>
  <si>
    <t xml:space="preserve">Ellsworth </t>
  </si>
  <si>
    <t xml:space="preserve">Mill Creek Valley </t>
  </si>
  <si>
    <t xml:space="preserve">Mission Valley </t>
  </si>
  <si>
    <t xml:space="preserve">Kingman - Norwich </t>
  </si>
  <si>
    <t xml:space="preserve">Cunningham </t>
  </si>
  <si>
    <t xml:space="preserve">Concordia </t>
  </si>
  <si>
    <t xml:space="preserve">Southern Cloud </t>
  </si>
  <si>
    <t xml:space="preserve">North Jackson </t>
  </si>
  <si>
    <t xml:space="preserve">Holton </t>
  </si>
  <si>
    <t xml:space="preserve">Royal Valley </t>
  </si>
  <si>
    <t xml:space="preserve">Valley Falls </t>
  </si>
  <si>
    <t xml:space="preserve">Jefferson County North </t>
  </si>
  <si>
    <t xml:space="preserve">Jefferson West </t>
  </si>
  <si>
    <t xml:space="preserve">Oskaloosa Public Schools </t>
  </si>
  <si>
    <t xml:space="preserve">McLouth </t>
  </si>
  <si>
    <t xml:space="preserve">Perry Public Schools </t>
  </si>
  <si>
    <t xml:space="preserve">Pleasanton </t>
  </si>
  <si>
    <t xml:space="preserve">Seaman </t>
  </si>
  <si>
    <t xml:space="preserve">Jayhawk </t>
  </si>
  <si>
    <t xml:space="preserve">Kinsley-Offerle </t>
  </si>
  <si>
    <t xml:space="preserve">Baldwin City </t>
  </si>
  <si>
    <t xml:space="preserve">Stafford </t>
  </si>
  <si>
    <t xml:space="preserve">St John-Hudson </t>
  </si>
  <si>
    <t xml:space="preserve">Macksville </t>
  </si>
  <si>
    <t xml:space="preserve">Goodland </t>
  </si>
  <si>
    <t xml:space="preserve">Wellington </t>
  </si>
  <si>
    <t xml:space="preserve">Ellinwood Public Schools </t>
  </si>
  <si>
    <t xml:space="preserve">Conway Springs </t>
  </si>
  <si>
    <t xml:space="preserve">Belle Plaine </t>
  </si>
  <si>
    <t xml:space="preserve">Oxford </t>
  </si>
  <si>
    <t xml:space="preserve">Argonia Public Schools </t>
  </si>
  <si>
    <t xml:space="preserve">Caldwell </t>
  </si>
  <si>
    <t xml:space="preserve">Anthony-Harper </t>
  </si>
  <si>
    <t xml:space="preserve">Prairie View </t>
  </si>
  <si>
    <t xml:space="preserve">Holcomb </t>
  </si>
  <si>
    <t xml:space="preserve">Marysville </t>
  </si>
  <si>
    <t xml:space="preserve">Garnett </t>
  </si>
  <si>
    <t xml:space="preserve">Woodson </t>
  </si>
  <si>
    <t xml:space="preserve">Osawatomie </t>
  </si>
  <si>
    <t xml:space="preserve">Paola </t>
  </si>
  <si>
    <t xml:space="preserve">Burrton </t>
  </si>
  <si>
    <t xml:space="preserve">Montezuma </t>
  </si>
  <si>
    <t xml:space="preserve">Silver Lake </t>
  </si>
  <si>
    <t xml:space="preserve">Newton </t>
  </si>
  <si>
    <t xml:space="preserve">Sublette </t>
  </si>
  <si>
    <t xml:space="preserve">Circle </t>
  </si>
  <si>
    <t xml:space="preserve">Sterling </t>
  </si>
  <si>
    <t xml:space="preserve">Atchison Co Comm Schools </t>
  </si>
  <si>
    <t xml:space="preserve">Riley County </t>
  </si>
  <si>
    <t xml:space="preserve">Clay Center </t>
  </si>
  <si>
    <t xml:space="preserve">Vermillion </t>
  </si>
  <si>
    <t xml:space="preserve">Spearville </t>
  </si>
  <si>
    <t xml:space="preserve">Pratt </t>
  </si>
  <si>
    <t xml:space="preserve">Manhattan-Ogden </t>
  </si>
  <si>
    <t xml:space="preserve">Andover </t>
  </si>
  <si>
    <t xml:space="preserve">Madison-Virgil </t>
  </si>
  <si>
    <t xml:space="preserve">Altoona-Midway </t>
  </si>
  <si>
    <t xml:space="preserve">Ellis </t>
  </si>
  <si>
    <t xml:space="preserve">Eureka </t>
  </si>
  <si>
    <t xml:space="preserve">Hamilton </t>
  </si>
  <si>
    <t xml:space="preserve">Osborne County </t>
  </si>
  <si>
    <t xml:space="preserve">Solomon </t>
  </si>
  <si>
    <t xml:space="preserve">Rose Hill Public Schools </t>
  </si>
  <si>
    <t xml:space="preserve">LaCrosse </t>
  </si>
  <si>
    <t xml:space="preserve">Douglass Public Schools </t>
  </si>
  <si>
    <t xml:space="preserve">Centre </t>
  </si>
  <si>
    <t xml:space="preserve">Peabody-Burns </t>
  </si>
  <si>
    <t xml:space="preserve">Paradise </t>
  </si>
  <si>
    <t xml:space="preserve">Smoky Valley </t>
  </si>
  <si>
    <t xml:space="preserve">Chase-Raymond </t>
  </si>
  <si>
    <t xml:space="preserve">Augusta </t>
  </si>
  <si>
    <t xml:space="preserve">Otis-Bison </t>
  </si>
  <si>
    <t xml:space="preserve">Riverton </t>
  </si>
  <si>
    <t xml:space="preserve">Lyons </t>
  </si>
  <si>
    <t xml:space="preserve">Russell County </t>
  </si>
  <si>
    <t xml:space="preserve">Marion-Florence </t>
  </si>
  <si>
    <t xml:space="preserve">Atchison Public Schools </t>
  </si>
  <si>
    <t xml:space="preserve">Durham-Hillsboro-Lehigh </t>
  </si>
  <si>
    <t xml:space="preserve">Goessel </t>
  </si>
  <si>
    <t xml:space="preserve">Hoxie Community Schools </t>
  </si>
  <si>
    <t xml:space="preserve">Chanute Public Schools </t>
  </si>
  <si>
    <t xml:space="preserve">Hiawatha </t>
  </si>
  <si>
    <t xml:space="preserve">Louisburg </t>
  </si>
  <si>
    <t xml:space="preserve">Morris County </t>
  </si>
  <si>
    <t xml:space="preserve">McPherson </t>
  </si>
  <si>
    <t xml:space="preserve">Canton-Galva </t>
  </si>
  <si>
    <t xml:space="preserve">Osage City </t>
  </si>
  <si>
    <t xml:space="preserve">Lyndon </t>
  </si>
  <si>
    <t xml:space="preserve">Kiowa County </t>
  </si>
  <si>
    <t xml:space="preserve">Moundridge </t>
  </si>
  <si>
    <t xml:space="preserve">Pike Valley </t>
  </si>
  <si>
    <t xml:space="preserve">Great Bend </t>
  </si>
  <si>
    <t xml:space="preserve">Troy Public Schools </t>
  </si>
  <si>
    <t xml:space="preserve">South Brown County </t>
  </si>
  <si>
    <t xml:space="preserve">Hoisington </t>
  </si>
  <si>
    <t xml:space="preserve">Victoria </t>
  </si>
  <si>
    <t xml:space="preserve">Santa Fe Trail </t>
  </si>
  <si>
    <t xml:space="preserve">Abilene </t>
  </si>
  <si>
    <t xml:space="preserve">Caney Valley </t>
  </si>
  <si>
    <t xml:space="preserve">Auburn Washburn </t>
  </si>
  <si>
    <t xml:space="preserve">Skyline Schools </t>
  </si>
  <si>
    <t xml:space="preserve">Sedgwick Public Schools </t>
  </si>
  <si>
    <t xml:space="preserve">Halstead </t>
  </si>
  <si>
    <t xml:space="preserve">Dodge City </t>
  </si>
  <si>
    <t xml:space="preserve">Little River </t>
  </si>
  <si>
    <t xml:space="preserve">Coffeyville </t>
  </si>
  <si>
    <t xml:space="preserve">Independence </t>
  </si>
  <si>
    <t xml:space="preserve">Cherryvale </t>
  </si>
  <si>
    <t xml:space="preserve">Inman </t>
  </si>
  <si>
    <t xml:space="preserve">Easton </t>
  </si>
  <si>
    <t xml:space="preserve">Shawnee Heights </t>
  </si>
  <si>
    <t xml:space="preserve">Stanton County </t>
  </si>
  <si>
    <t xml:space="preserve">Leavenworth </t>
  </si>
  <si>
    <t xml:space="preserve">Burlingame Public School </t>
  </si>
  <si>
    <t xml:space="preserve">Marais Des Cygnes Valley </t>
  </si>
  <si>
    <t xml:space="preserve">Garden City </t>
  </si>
  <si>
    <t xml:space="preserve">Basehor-Linwood </t>
  </si>
  <si>
    <t xml:space="preserve">Bucklin </t>
  </si>
  <si>
    <t xml:space="preserve">Hesston </t>
  </si>
  <si>
    <t xml:space="preserve">Neodesha </t>
  </si>
  <si>
    <t xml:space="preserve">Central </t>
  </si>
  <si>
    <t xml:space="preserve">Udall </t>
  </si>
  <si>
    <t xml:space="preserve">Tonganoxie </t>
  </si>
  <si>
    <t xml:space="preserve">Winfield </t>
  </si>
  <si>
    <t xml:space="preserve">Scott County </t>
  </si>
  <si>
    <t xml:space="preserve">Leoti </t>
  </si>
  <si>
    <t xml:space="preserve">Healy Public Schools </t>
  </si>
  <si>
    <t xml:space="preserve">Lansing </t>
  </si>
  <si>
    <t xml:space="preserve">Arkansas City </t>
  </si>
  <si>
    <t xml:space="preserve">Dexter </t>
  </si>
  <si>
    <t xml:space="preserve">Chapman </t>
  </si>
  <si>
    <t xml:space="preserve">Haviland </t>
  </si>
  <si>
    <t xml:space="preserve">Geary County Schools </t>
  </si>
  <si>
    <t xml:space="preserve">Copeland </t>
  </si>
  <si>
    <t xml:space="preserve">Ingalls </t>
  </si>
  <si>
    <t xml:space="preserve">Crest </t>
  </si>
  <si>
    <t xml:space="preserve">Liberal </t>
  </si>
  <si>
    <t xml:space="preserve">Rural Vista </t>
  </si>
  <si>
    <t xml:space="preserve">Dighton </t>
  </si>
  <si>
    <t xml:space="preserve">Kismet-Plains </t>
  </si>
  <si>
    <t xml:space="preserve">Fredonia </t>
  </si>
  <si>
    <t xml:space="preserve">Herington </t>
  </si>
  <si>
    <t xml:space="preserve">Hays </t>
  </si>
  <si>
    <t xml:space="preserve">El Dorado </t>
  </si>
  <si>
    <t xml:space="preserve">Eudora </t>
  </si>
  <si>
    <t xml:space="preserve">Flinthills </t>
  </si>
  <si>
    <t xml:space="preserve">Columbus </t>
  </si>
  <si>
    <t xml:space="preserve">Syracuse </t>
  </si>
  <si>
    <t xml:space="preserve">Ft Larned </t>
  </si>
  <si>
    <t xml:space="preserve">Pawnee Heights </t>
  </si>
  <si>
    <t xml:space="preserve">Lawrence </t>
  </si>
  <si>
    <t xml:space="preserve">Valley Heights </t>
  </si>
  <si>
    <t xml:space="preserve">Galena </t>
  </si>
  <si>
    <t xml:space="preserve">Kansas City </t>
  </si>
  <si>
    <t xml:space="preserve">Topeka Public Schools </t>
  </si>
  <si>
    <t xml:space="preserve">Lewis </t>
  </si>
  <si>
    <t xml:space="preserve">Parsons </t>
  </si>
  <si>
    <t xml:space="preserve">Oswego </t>
  </si>
  <si>
    <t xml:space="preserve">Chetopa-St. Paul </t>
  </si>
  <si>
    <t xml:space="preserve">Labette County </t>
  </si>
  <si>
    <t xml:space="preserve">Satanta </t>
  </si>
  <si>
    <t xml:space="preserve">Baxter Springs </t>
  </si>
  <si>
    <t xml:space="preserve">South Haven </t>
  </si>
  <si>
    <t xml:space="preserve">Attica </t>
  </si>
  <si>
    <t>Shawnee Mission Pub Sch</t>
  </si>
  <si>
    <t>Dup Test</t>
  </si>
  <si>
    <t>STATE TOTALS</t>
  </si>
  <si>
    <t>Sped for LOB</t>
  </si>
  <si>
    <t>Transp A</t>
  </si>
  <si>
    <t>Free Lunch &gt;=35% &lt;50%</t>
  </si>
  <si>
    <t>Repub Check</t>
  </si>
  <si>
    <t>Potential Military District</t>
  </si>
  <si>
    <t>Missing Republication Docs</t>
  </si>
  <si>
    <t>Cimmaron-Ensign</t>
  </si>
  <si>
    <t>USD 424 will close and transfer territory into USD 422 effective FY12.  USD 422 will use combined budget and higher state aid rates locked in for 2011-12 2012-13, 2013-14, 2014-15 and 2015-16 school years.</t>
  </si>
  <si>
    <t>WTD FTE</t>
  </si>
  <si>
    <t>Col 5</t>
  </si>
  <si>
    <t>Col 22</t>
  </si>
  <si>
    <t>Col 23</t>
  </si>
  <si>
    <t>Col 24</t>
  </si>
  <si>
    <t>Percent</t>
  </si>
  <si>
    <t>Col 26</t>
  </si>
  <si>
    <r>
      <t xml:space="preserve">Board of Tax Appeals </t>
    </r>
    <r>
      <rPr>
        <b/>
        <sz val="10"/>
        <rFont val="Calibri"/>
        <family val="2"/>
        <scheme val="minor"/>
      </rPr>
      <t>(Ancillary)</t>
    </r>
  </si>
  <si>
    <r>
      <t>Board of Tax Appeals</t>
    </r>
    <r>
      <rPr>
        <b/>
        <sz val="10"/>
        <rFont val="Calibri"/>
        <family val="2"/>
        <scheme val="minor"/>
      </rPr>
      <t xml:space="preserve"> (Declining Enrollment)</t>
    </r>
  </si>
  <si>
    <t>Virtual State Aid</t>
  </si>
  <si>
    <t>Chaparral Schools</t>
  </si>
  <si>
    <t>Reduction</t>
  </si>
  <si>
    <t>Col 27</t>
  </si>
  <si>
    <t xml:space="preserve"> </t>
  </si>
  <si>
    <t>Col 28</t>
  </si>
  <si>
    <t>Virt Amts</t>
  </si>
  <si>
    <t xml:space="preserve">Budget </t>
  </si>
  <si>
    <t xml:space="preserve">Total </t>
  </si>
  <si>
    <t>Adj. Enr.</t>
  </si>
  <si>
    <r>
      <rPr>
        <sz val="10"/>
        <color rgb="FFFF0000"/>
        <rFont val="Calibri"/>
        <family val="2"/>
        <scheme val="minor"/>
      </rPr>
      <t>Form 150-</t>
    </r>
    <r>
      <rPr>
        <sz val="10"/>
        <rFont val="Calibri"/>
        <family val="2"/>
        <scheme val="minor"/>
      </rPr>
      <t xml:space="preserve">Board of Tax Appeals </t>
    </r>
    <r>
      <rPr>
        <b/>
        <sz val="10"/>
        <rFont val="Calibri"/>
        <family val="2"/>
        <scheme val="minor"/>
      </rPr>
      <t>(Cost of Living)</t>
    </r>
  </si>
  <si>
    <t>Military Dependent Student for PY</t>
  </si>
  <si>
    <t>Adjusted Enrollment</t>
  </si>
  <si>
    <t>4yr Old At Risk (9/20 + 2/20)</t>
  </si>
  <si>
    <t>Bilingual Contact Hours WTD FTE</t>
  </si>
  <si>
    <t>Biling Hrs Factor</t>
  </si>
  <si>
    <t>Biling Hdct Factor</t>
  </si>
  <si>
    <t>Bilingual Headcount WTD FTE</t>
  </si>
  <si>
    <t>Career/Tech Ed Factor</t>
  </si>
  <si>
    <t>Free Lunch Factor</t>
  </si>
  <si>
    <t>New Facilities Factor</t>
  </si>
  <si>
    <t>BASE LOB</t>
  </si>
  <si>
    <t>Free Lunch (9/20 + 2/20)</t>
  </si>
  <si>
    <t>Weighting Factors</t>
  </si>
  <si>
    <t>High Density At-Risk (USD)</t>
  </si>
  <si>
    <t>High Density At-Risk (School)</t>
  </si>
  <si>
    <t>School Faciltiies FTE (9/20 + 2/20)</t>
  </si>
  <si>
    <t>Transportation FTE &gt; = 2.5 Miles (9/20 + 2/20)</t>
  </si>
  <si>
    <t>2016-17 Transportation Aid</t>
  </si>
  <si>
    <t>Col 29</t>
  </si>
  <si>
    <t>Col 30</t>
  </si>
  <si>
    <t>Special  Education State Aid</t>
  </si>
  <si>
    <t>Col 31</t>
  </si>
  <si>
    <t>Col 32</t>
  </si>
  <si>
    <t>Col 34</t>
  </si>
  <si>
    <t>Virtual Full-Time FTE</t>
  </si>
  <si>
    <t>Virtual Part-Time FTE</t>
  </si>
  <si>
    <t>Virtual Credits (19yrs &amp; Older)</t>
  </si>
  <si>
    <t>Col 36</t>
  </si>
  <si>
    <t>Extraordinary Need Aid</t>
  </si>
  <si>
    <t>Info Only General Fund (excl SPED)</t>
  </si>
  <si>
    <t>Col 37</t>
  </si>
  <si>
    <t>(Info Only)</t>
  </si>
  <si>
    <t>Update hidden columns annually; all other should calculate accordingly.</t>
  </si>
  <si>
    <t>Adopted General Fund</t>
  </si>
  <si>
    <t>Free Lunch 10% (Guaranteed)</t>
  </si>
  <si>
    <t>Col 33</t>
  </si>
  <si>
    <t>Virt FT</t>
  </si>
  <si>
    <t>Virt PT</t>
  </si>
  <si>
    <t>Virt Credits</t>
  </si>
  <si>
    <t>Col 39</t>
  </si>
  <si>
    <t>Col 38</t>
  </si>
  <si>
    <t>Computed General Fund</t>
  </si>
  <si>
    <t>Col 40</t>
  </si>
  <si>
    <t>Col 41</t>
  </si>
  <si>
    <t>Legal Max General Fund (before reductions)</t>
  </si>
  <si>
    <r>
      <rPr>
        <b/>
        <sz val="10"/>
        <rFont val="Calibri"/>
        <family val="2"/>
        <scheme val="minor"/>
      </rPr>
      <t>Prior Year</t>
    </r>
    <r>
      <rPr>
        <sz val="10"/>
        <rFont val="Calibri"/>
        <family val="2"/>
        <scheme val="minor"/>
      </rPr>
      <t xml:space="preserve"> Budget Law Violation</t>
    </r>
  </si>
  <si>
    <r>
      <rPr>
        <b/>
        <sz val="10"/>
        <rFont val="Calibri"/>
        <family val="2"/>
        <scheme val="minor"/>
      </rPr>
      <t>Prior Year</t>
    </r>
    <r>
      <rPr>
        <sz val="10"/>
        <rFont val="Calibri"/>
        <family val="2"/>
        <scheme val="minor"/>
      </rPr>
      <t xml:space="preserve"> Trans Audit Adjust</t>
    </r>
  </si>
  <si>
    <r>
      <rPr>
        <b/>
        <sz val="10"/>
        <rFont val="Calibri"/>
        <family val="2"/>
        <scheme val="minor"/>
      </rPr>
      <t>Prior Year</t>
    </r>
    <r>
      <rPr>
        <sz val="10"/>
        <rFont val="Calibri"/>
        <family val="2"/>
        <scheme val="minor"/>
      </rPr>
      <t xml:space="preserve"> Virtual Credits   Audit Adj</t>
    </r>
  </si>
  <si>
    <r>
      <rPr>
        <b/>
        <sz val="10"/>
        <rFont val="Calibri"/>
        <family val="2"/>
        <scheme val="minor"/>
      </rPr>
      <t>Prior Year</t>
    </r>
    <r>
      <rPr>
        <sz val="10"/>
        <rFont val="Calibri"/>
        <family val="2"/>
        <scheme val="minor"/>
      </rPr>
      <t xml:space="preserve"> Total Reductions</t>
    </r>
  </si>
  <si>
    <t>Col 42</t>
  </si>
  <si>
    <t>Col 43</t>
  </si>
  <si>
    <t>Col 44</t>
  </si>
  <si>
    <t>Computed Local Option Budget</t>
  </si>
  <si>
    <t>Adopted Local Option Budget</t>
  </si>
  <si>
    <t>Legal Max Local Option Budget</t>
  </si>
  <si>
    <t>Table I - Low &amp; High Enrollment</t>
  </si>
  <si>
    <t>Table II - Transportation</t>
  </si>
  <si>
    <t>Table III - Tax Appeal Amounts</t>
  </si>
  <si>
    <t>Prior Year</t>
  </si>
  <si>
    <t>BLDG Name</t>
  </si>
  <si>
    <t>BLDG #</t>
  </si>
  <si>
    <t>0111</t>
  </si>
  <si>
    <t>Erie Elementary</t>
  </si>
  <si>
    <t>0112</t>
  </si>
  <si>
    <t>Galesburg Middle School</t>
  </si>
  <si>
    <t>0113</t>
  </si>
  <si>
    <t>Erie High School</t>
  </si>
  <si>
    <t>0124</t>
  </si>
  <si>
    <t>Cimarron Elem</t>
  </si>
  <si>
    <t>0125</t>
  </si>
  <si>
    <t>Cimarron High</t>
  </si>
  <si>
    <t>2780</t>
  </si>
  <si>
    <t>Cheylin Jr/Sr High</t>
  </si>
  <si>
    <t>3374</t>
  </si>
  <si>
    <t>Cheylin Elementary</t>
  </si>
  <si>
    <t>3348</t>
  </si>
  <si>
    <t>Rawlins County Elementary</t>
  </si>
  <si>
    <t>3350</t>
  </si>
  <si>
    <t>Rawlins County Jr/Sr High School</t>
  </si>
  <si>
    <t>2926</t>
  </si>
  <si>
    <t>Western Plains North Elem</t>
  </si>
  <si>
    <t>2928</t>
  </si>
  <si>
    <t>Western Plains High</t>
  </si>
  <si>
    <t>2966</t>
  </si>
  <si>
    <t>Western Plains South Elem/Jr High</t>
  </si>
  <si>
    <t>2976</t>
  </si>
  <si>
    <t>Rock Hills Elementary School</t>
  </si>
  <si>
    <t>2977</t>
  </si>
  <si>
    <t>Rock Hills Jr/Sr High School</t>
  </si>
  <si>
    <t>2981</t>
  </si>
  <si>
    <t>Washington County High School</t>
  </si>
  <si>
    <t>2983</t>
  </si>
  <si>
    <t>Washington Elementary</t>
  </si>
  <si>
    <t>2972</t>
  </si>
  <si>
    <t>Belleville East Elementary</t>
  </si>
  <si>
    <t>3070</t>
  </si>
  <si>
    <t>Republic County Jr./Sr. High School</t>
  </si>
  <si>
    <t>0192</t>
  </si>
  <si>
    <t>Thunder Ridge Elementary</t>
  </si>
  <si>
    <t>0193</t>
  </si>
  <si>
    <t>Thunder Ridge High School</t>
  </si>
  <si>
    <t>0194</t>
  </si>
  <si>
    <t>Thunder Ridge Middle School</t>
  </si>
  <si>
    <t>0200</t>
  </si>
  <si>
    <t>Doniphan West JR/SR High School</t>
  </si>
  <si>
    <t>0201</t>
  </si>
  <si>
    <t>Doniphan West Elementary School</t>
  </si>
  <si>
    <t>0393</t>
  </si>
  <si>
    <t>Wilson Junior/Senior High School</t>
  </si>
  <si>
    <t>0415</t>
  </si>
  <si>
    <t>Wilson Elementary School</t>
  </si>
  <si>
    <t>0416</t>
  </si>
  <si>
    <t>Central Plains Elementary School - Holyrood</t>
  </si>
  <si>
    <t>0417</t>
  </si>
  <si>
    <t>Central Plains High School - Claflin</t>
  </si>
  <si>
    <t>0418</t>
  </si>
  <si>
    <t>Central Plains Middle School - Bushton</t>
  </si>
  <si>
    <t>0399</t>
  </si>
  <si>
    <t>Axtell High</t>
  </si>
  <si>
    <t>0409</t>
  </si>
  <si>
    <t>Sabetha Elementary School</t>
  </si>
  <si>
    <t>0410</t>
  </si>
  <si>
    <t>Sabetha High School</t>
  </si>
  <si>
    <t>0411</t>
  </si>
  <si>
    <t>Sabetha Middle School</t>
  </si>
  <si>
    <t>0413</t>
  </si>
  <si>
    <t>Wetmore Elementary</t>
  </si>
  <si>
    <t>0414</t>
  </si>
  <si>
    <t>Wetmore High</t>
  </si>
  <si>
    <t>0462</t>
  </si>
  <si>
    <t>Axtell Elementary School</t>
  </si>
  <si>
    <t>0433</t>
  </si>
  <si>
    <t>Riverside Intermediate</t>
  </si>
  <si>
    <t>0434</t>
  </si>
  <si>
    <t>Riverside Middle School</t>
  </si>
  <si>
    <t>0435</t>
  </si>
  <si>
    <t>Riverside Primary School</t>
  </si>
  <si>
    <t>0436</t>
  </si>
  <si>
    <t>Riverside High School</t>
  </si>
  <si>
    <t>0437</t>
  </si>
  <si>
    <t>Riverside Virtual High School</t>
  </si>
  <si>
    <t>0280</t>
  </si>
  <si>
    <t>Nemaha Central Elementary and Middle School</t>
  </si>
  <si>
    <t>0281</t>
  </si>
  <si>
    <t>Nemaha Central High School</t>
  </si>
  <si>
    <t>0132</t>
  </si>
  <si>
    <t>Greeley County Elem School</t>
  </si>
  <si>
    <t>0134</t>
  </si>
  <si>
    <t>Greeley County Jr./Sr. High</t>
  </si>
  <si>
    <t>0154</t>
  </si>
  <si>
    <t>Junction Elementary</t>
  </si>
  <si>
    <t>0155</t>
  </si>
  <si>
    <t>Turner Sixth Grade Academy</t>
  </si>
  <si>
    <t>0157</t>
  </si>
  <si>
    <t>Midland Trail</t>
  </si>
  <si>
    <t>0160</t>
  </si>
  <si>
    <t>Oak Grove Elem</t>
  </si>
  <si>
    <t>0164</t>
  </si>
  <si>
    <t>Turner Elem</t>
  </si>
  <si>
    <t>0167</t>
  </si>
  <si>
    <t>Turner Middle School</t>
  </si>
  <si>
    <t>0168</t>
  </si>
  <si>
    <t>Turner High</t>
  </si>
  <si>
    <t>0181</t>
  </si>
  <si>
    <t>0187</t>
  </si>
  <si>
    <t>Piper East Elementary School</t>
  </si>
  <si>
    <t>0189</t>
  </si>
  <si>
    <t>Piper Middle</t>
  </si>
  <si>
    <t>0190</t>
  </si>
  <si>
    <t>Piper High</t>
  </si>
  <si>
    <t>0210</t>
  </si>
  <si>
    <t>Bonner Springs Elementary</t>
  </si>
  <si>
    <t>0214</t>
  </si>
  <si>
    <t>Bonner Springs High</t>
  </si>
  <si>
    <t>0216</t>
  </si>
  <si>
    <t>Edwardsville Elem</t>
  </si>
  <si>
    <t>0221</t>
  </si>
  <si>
    <t>Robert E Clark Middle</t>
  </si>
  <si>
    <t>0228</t>
  </si>
  <si>
    <t>Delaware Ridge Elementary</t>
  </si>
  <si>
    <t>0238</t>
  </si>
  <si>
    <t>Bluestem Elementary School</t>
  </si>
  <si>
    <t>0240</t>
  </si>
  <si>
    <t>Bluestem Jr/Sr High</t>
  </si>
  <si>
    <t>0260</t>
  </si>
  <si>
    <t>Frederic Remington High</t>
  </si>
  <si>
    <t>0272</t>
  </si>
  <si>
    <t>Remington Elementary at Potwin</t>
  </si>
  <si>
    <t>0274</t>
  </si>
  <si>
    <t>Remington Middle School</t>
  </si>
  <si>
    <t>0286</t>
  </si>
  <si>
    <t>Bradley Elem</t>
  </si>
  <si>
    <t>0288</t>
  </si>
  <si>
    <t>Eisenhower Elem</t>
  </si>
  <si>
    <t>0290</t>
  </si>
  <si>
    <t>MacArthur Elem</t>
  </si>
  <si>
    <t>0294</t>
  </si>
  <si>
    <t>Patton Jr High</t>
  </si>
  <si>
    <t>0306</t>
  </si>
  <si>
    <t>Trego Grade School</t>
  </si>
  <si>
    <t>0308</t>
  </si>
  <si>
    <t>Trego Community High</t>
  </si>
  <si>
    <t>0342</t>
  </si>
  <si>
    <t>Moscow Elem</t>
  </si>
  <si>
    <t>0344</t>
  </si>
  <si>
    <t>Moscow High</t>
  </si>
  <si>
    <t>0356</t>
  </si>
  <si>
    <t>Hugoton Elem</t>
  </si>
  <si>
    <t>0357</t>
  </si>
  <si>
    <t>Hugoton Middle</t>
  </si>
  <si>
    <t>0358</t>
  </si>
  <si>
    <t>Hugoton High</t>
  </si>
  <si>
    <t>0367</t>
  </si>
  <si>
    <t>Hugoton Learning Academy</t>
  </si>
  <si>
    <t>0374</t>
  </si>
  <si>
    <t>0378</t>
  </si>
  <si>
    <t>Norton Jr High</t>
  </si>
  <si>
    <t>0380</t>
  </si>
  <si>
    <t>Norton High</t>
  </si>
  <si>
    <t>0404</t>
  </si>
  <si>
    <t>Almena Elem</t>
  </si>
  <si>
    <t>0406</t>
  </si>
  <si>
    <t>Northern Valley High</t>
  </si>
  <si>
    <t>0408</t>
  </si>
  <si>
    <t>Long Island Elem</t>
  </si>
  <si>
    <t>0443</t>
  </si>
  <si>
    <t>Kepley Middle School</t>
  </si>
  <si>
    <t>0444</t>
  </si>
  <si>
    <t>Sullivan Elem</t>
  </si>
  <si>
    <t>0446</t>
  </si>
  <si>
    <t>Ulysses High</t>
  </si>
  <si>
    <t>0450</t>
  </si>
  <si>
    <t>Hickok Elem</t>
  </si>
  <si>
    <t>0466</t>
  </si>
  <si>
    <t>Lakin Elem</t>
  </si>
  <si>
    <t>0467</t>
  </si>
  <si>
    <t>Lakin Middle</t>
  </si>
  <si>
    <t>0468</t>
  </si>
  <si>
    <t>Lakin High</t>
  </si>
  <si>
    <t>0482</t>
  </si>
  <si>
    <t>Deerfield Elem</t>
  </si>
  <si>
    <t>0483</t>
  </si>
  <si>
    <t>Deerfield Middle School</t>
  </si>
  <si>
    <t>0484</t>
  </si>
  <si>
    <t>Deerfield High</t>
  </si>
  <si>
    <t>0496</t>
  </si>
  <si>
    <t>Rolla Elem (PreK-5)</t>
  </si>
  <si>
    <t>0498</t>
  </si>
  <si>
    <t>Rolla JH/HS (6-12)</t>
  </si>
  <si>
    <t>0514</t>
  </si>
  <si>
    <t>Elkhart Middle School</t>
  </si>
  <si>
    <t>0516</t>
  </si>
  <si>
    <t>Elkhart Elem</t>
  </si>
  <si>
    <t>0520</t>
  </si>
  <si>
    <t>Elkhart High</t>
  </si>
  <si>
    <t>0523</t>
  </si>
  <si>
    <t>Kansas Connections Academy</t>
  </si>
  <si>
    <t>0525</t>
  </si>
  <si>
    <t>Point Rock Alternative</t>
  </si>
  <si>
    <t>0536</t>
  </si>
  <si>
    <t>Minneola Elem</t>
  </si>
  <si>
    <t>0538</t>
  </si>
  <si>
    <t>Minneola High</t>
  </si>
  <si>
    <t>0552</t>
  </si>
  <si>
    <t>Ashland Elem</t>
  </si>
  <si>
    <t>0553</t>
  </si>
  <si>
    <t>Ashland Junior High School</t>
  </si>
  <si>
    <t>0554</t>
  </si>
  <si>
    <t>Ashland High</t>
  </si>
  <si>
    <t>0620</t>
  </si>
  <si>
    <t>Hanover Elem</t>
  </si>
  <si>
    <t>0622</t>
  </si>
  <si>
    <t>Hanover High</t>
  </si>
  <si>
    <t>0628</t>
  </si>
  <si>
    <t>Linn Elem</t>
  </si>
  <si>
    <t>0630</t>
  </si>
  <si>
    <t>Linn High</t>
  </si>
  <si>
    <t>0658</t>
  </si>
  <si>
    <t>Clifton-Clyde Grade School K-3</t>
  </si>
  <si>
    <t>0660</t>
  </si>
  <si>
    <t>Clifton-Clyde Middle School</t>
  </si>
  <si>
    <t>0668</t>
  </si>
  <si>
    <t>Clifton-Clyde Sr High</t>
  </si>
  <si>
    <t>0684</t>
  </si>
  <si>
    <t>Fowler Elem</t>
  </si>
  <si>
    <t>0686</t>
  </si>
  <si>
    <t>Fowler High</t>
  </si>
  <si>
    <t>0700</t>
  </si>
  <si>
    <t>Meade Elem</t>
  </si>
  <si>
    <t>0702</t>
  </si>
  <si>
    <t>Meade High</t>
  </si>
  <si>
    <t>0722</t>
  </si>
  <si>
    <t>Hodgeman County Elementary</t>
  </si>
  <si>
    <t>0724</t>
  </si>
  <si>
    <t>Hodgeman County High</t>
  </si>
  <si>
    <t>0756</t>
  </si>
  <si>
    <t>Lakewood Elementary</t>
  </si>
  <si>
    <t>0757</t>
  </si>
  <si>
    <t xml:space="preserve">Lakewood Middle </t>
  </si>
  <si>
    <t>0758</t>
  </si>
  <si>
    <t>Cedar Hills Elementary</t>
  </si>
  <si>
    <t>0759</t>
  </si>
  <si>
    <t>Timber Creek Elementary School</t>
  </si>
  <si>
    <t>0765</t>
  </si>
  <si>
    <t>Liberty View Elementary</t>
  </si>
  <si>
    <t>0767</t>
  </si>
  <si>
    <t>Oxford Middle</t>
  </si>
  <si>
    <t>0768</t>
  </si>
  <si>
    <t>Stanley Elementary</t>
  </si>
  <si>
    <t>0769</t>
  </si>
  <si>
    <t>Blue Valley North High</t>
  </si>
  <si>
    <t>0770</t>
  </si>
  <si>
    <t>Blue Valley High</t>
  </si>
  <si>
    <t>0771</t>
  </si>
  <si>
    <t>Morse Elementary</t>
  </si>
  <si>
    <t>0772</t>
  </si>
  <si>
    <t>Valley Park Elementary</t>
  </si>
  <si>
    <t>0773</t>
  </si>
  <si>
    <t>Leawood Elementary</t>
  </si>
  <si>
    <t>0774</t>
  </si>
  <si>
    <t>Stilwell Elementary</t>
  </si>
  <si>
    <t>0776</t>
  </si>
  <si>
    <t>Blue Valley Middle</t>
  </si>
  <si>
    <t>0777</t>
  </si>
  <si>
    <t>Mission Trail Elementary</t>
  </si>
  <si>
    <t>0778</t>
  </si>
  <si>
    <t>Leawood Middle</t>
  </si>
  <si>
    <t>0779</t>
  </si>
  <si>
    <t>Overland Trail Elementary</t>
  </si>
  <si>
    <t>0780</t>
  </si>
  <si>
    <t>Indian Valley Elementary</t>
  </si>
  <si>
    <t>0781</t>
  </si>
  <si>
    <t>Overland Trail Middle</t>
  </si>
  <si>
    <t>0782</t>
  </si>
  <si>
    <t>Oak Hill Elementary</t>
  </si>
  <si>
    <t>0783</t>
  </si>
  <si>
    <t>Cottonwood Point Elementary</t>
  </si>
  <si>
    <t>0784</t>
  </si>
  <si>
    <t>Harmony Middle</t>
  </si>
  <si>
    <t>0785</t>
  </si>
  <si>
    <t>Harmony Elementary</t>
  </si>
  <si>
    <t>0820</t>
  </si>
  <si>
    <t>Blue Valley Southwest High School</t>
  </si>
  <si>
    <t>0823</t>
  </si>
  <si>
    <t>Aubry Bend Middle School</t>
  </si>
  <si>
    <t>0937</t>
  </si>
  <si>
    <t>Wolf Springs Elementary School</t>
  </si>
  <si>
    <t>7773</t>
  </si>
  <si>
    <t>Prairie Star Elementary</t>
  </si>
  <si>
    <t>7774</t>
  </si>
  <si>
    <t>Blue Valley Northwest High</t>
  </si>
  <si>
    <t>7775</t>
  </si>
  <si>
    <t>Heartland Elementary</t>
  </si>
  <si>
    <t>7776</t>
  </si>
  <si>
    <t>Prairie Star Middle</t>
  </si>
  <si>
    <t>7777</t>
  </si>
  <si>
    <t>Blue Valley West High</t>
  </si>
  <si>
    <t>7786</t>
  </si>
  <si>
    <t>Blue River Elementary</t>
  </si>
  <si>
    <t>7787</t>
  </si>
  <si>
    <t>Pleasant Ridge Middle</t>
  </si>
  <si>
    <t>7788</t>
  </si>
  <si>
    <t>Sunset Ridge Elementary</t>
  </si>
  <si>
    <t>7790</t>
  </si>
  <si>
    <t>Sunrise Point Elementary</t>
  </si>
  <si>
    <t>0787</t>
  </si>
  <si>
    <t>Spring Hill Elementary School</t>
  </si>
  <si>
    <t>0790</t>
  </si>
  <si>
    <t>Spring Hill High School</t>
  </si>
  <si>
    <t>0792</t>
  </si>
  <si>
    <t>Spring Hill Middle School</t>
  </si>
  <si>
    <t>0793</t>
  </si>
  <si>
    <t>Prairie Creek Elementary</t>
  </si>
  <si>
    <t>0794</t>
  </si>
  <si>
    <t>Insight School of KS at Hilltop Ed Center</t>
  </si>
  <si>
    <t>0929</t>
  </si>
  <si>
    <t>Wolf Creek Elementary School</t>
  </si>
  <si>
    <t>0931</t>
  </si>
  <si>
    <t>Kansas Virtual Academy (KSVA)</t>
  </si>
  <si>
    <t>0804</t>
  </si>
  <si>
    <t>Gardner Elem</t>
  </si>
  <si>
    <t>0808</t>
  </si>
  <si>
    <t>Gardner Edgerton High</t>
  </si>
  <si>
    <t>0812</t>
  </si>
  <si>
    <t>Edgerton Elem</t>
  </si>
  <si>
    <t>0814</t>
  </si>
  <si>
    <t>Sunflower Elementary</t>
  </si>
  <si>
    <t>0815</t>
  </si>
  <si>
    <t>Moonlight Elementary School</t>
  </si>
  <si>
    <t>0816</t>
  </si>
  <si>
    <t>Madison Elementary</t>
  </si>
  <si>
    <t>0817</t>
  </si>
  <si>
    <t>Pioneer Ridge Middle School</t>
  </si>
  <si>
    <t>0818</t>
  </si>
  <si>
    <t>Nike Elementary</t>
  </si>
  <si>
    <t>0819</t>
  </si>
  <si>
    <t>Wheatridge Middle School</t>
  </si>
  <si>
    <t>0927</t>
  </si>
  <si>
    <t>Grand Star Elementary</t>
  </si>
  <si>
    <t>0936</t>
  </si>
  <si>
    <t>Trail Ridge Middle School</t>
  </si>
  <si>
    <t>0825</t>
  </si>
  <si>
    <t>Clear Creek Elem</t>
  </si>
  <si>
    <t>0829</t>
  </si>
  <si>
    <t>Horizon Elementary</t>
  </si>
  <si>
    <t>0832</t>
  </si>
  <si>
    <t>De Soto  High  School</t>
  </si>
  <si>
    <t>0833</t>
  </si>
  <si>
    <t>Mill Valley High School</t>
  </si>
  <si>
    <t>0835</t>
  </si>
  <si>
    <t>Monticello Trails Middle School</t>
  </si>
  <si>
    <t>0836</t>
  </si>
  <si>
    <t>Lexington Trails Middle School</t>
  </si>
  <si>
    <t>0837</t>
  </si>
  <si>
    <t>Starside Elem</t>
  </si>
  <si>
    <t>0841</t>
  </si>
  <si>
    <t>Prairie Ridge Elementary School</t>
  </si>
  <si>
    <t>0842</t>
  </si>
  <si>
    <t>Mize Elementary School</t>
  </si>
  <si>
    <t>0843</t>
  </si>
  <si>
    <t>Riverview Elementary</t>
  </si>
  <si>
    <t>0844</t>
  </si>
  <si>
    <t>Mill Creek Middle School</t>
  </si>
  <si>
    <t>0912</t>
  </si>
  <si>
    <t>Belmont Elementary School</t>
  </si>
  <si>
    <t>0845</t>
  </si>
  <si>
    <t>Olathe Northwest High School</t>
  </si>
  <si>
    <t>0846</t>
  </si>
  <si>
    <t>Regency Place Elementary</t>
  </si>
  <si>
    <t>0847</t>
  </si>
  <si>
    <t>Frontier Trail Middle School</t>
  </si>
  <si>
    <t>0849</t>
  </si>
  <si>
    <t>Brougham Elem</t>
  </si>
  <si>
    <t>0850</t>
  </si>
  <si>
    <t>Central Elem</t>
  </si>
  <si>
    <t>0851</t>
  </si>
  <si>
    <t>Indian Creek Elem</t>
  </si>
  <si>
    <t>0852</t>
  </si>
  <si>
    <t>Fairview Elem</t>
  </si>
  <si>
    <t>0853</t>
  </si>
  <si>
    <t>Briarwood Elem</t>
  </si>
  <si>
    <t>0854</t>
  </si>
  <si>
    <t>Ridgeview Elem</t>
  </si>
  <si>
    <t>0855</t>
  </si>
  <si>
    <t>Walnut Grove Elem</t>
  </si>
  <si>
    <t>0856</t>
  </si>
  <si>
    <t>Prairie Center Elem</t>
  </si>
  <si>
    <t>0857</t>
  </si>
  <si>
    <t>Pioneer Trail Middle School</t>
  </si>
  <si>
    <t>0858</t>
  </si>
  <si>
    <t>Washington Elem</t>
  </si>
  <si>
    <t>0859</t>
  </si>
  <si>
    <t>Countryside Elementary</t>
  </si>
  <si>
    <t>0860</t>
  </si>
  <si>
    <t>Westview Elem</t>
  </si>
  <si>
    <t>0861</t>
  </si>
  <si>
    <t>Santa Fe Trail Middle School</t>
  </si>
  <si>
    <t>0862</t>
  </si>
  <si>
    <t>Oregon Trail Middle School</t>
  </si>
  <si>
    <t>0863</t>
  </si>
  <si>
    <t>Indian Trail Middle School</t>
  </si>
  <si>
    <t>0864</t>
  </si>
  <si>
    <t>Olathe North Sr High</t>
  </si>
  <si>
    <t>0865</t>
  </si>
  <si>
    <t>Olathe South Sr High</t>
  </si>
  <si>
    <t>0868</t>
  </si>
  <si>
    <t>Meadow Lane Elem</t>
  </si>
  <si>
    <t>0870</t>
  </si>
  <si>
    <t>Rolling Ridge Elem</t>
  </si>
  <si>
    <t>0871</t>
  </si>
  <si>
    <t>Northview Elem</t>
  </si>
  <si>
    <t>0872</t>
  </si>
  <si>
    <t>Havencroft Elem</t>
  </si>
  <si>
    <t>0874</t>
  </si>
  <si>
    <t>Scarborough Elem</t>
  </si>
  <si>
    <t>0875</t>
  </si>
  <si>
    <t>Heritage Elementary</t>
  </si>
  <si>
    <t>0876</t>
  </si>
  <si>
    <t>Black Bob Elem</t>
  </si>
  <si>
    <t>0877</t>
  </si>
  <si>
    <t>Tomahawk Elem</t>
  </si>
  <si>
    <t>0885</t>
  </si>
  <si>
    <t>Olathe East Sr High</t>
  </si>
  <si>
    <t>0913</t>
  </si>
  <si>
    <t>Mission Trail Middle School</t>
  </si>
  <si>
    <t>0934</t>
  </si>
  <si>
    <t>Millbrooke Elementary</t>
  </si>
  <si>
    <t>0939</t>
  </si>
  <si>
    <t>Olathe West High School</t>
  </si>
  <si>
    <t>2781</t>
  </si>
  <si>
    <t>Green Springs Elem</t>
  </si>
  <si>
    <t>2782</t>
  </si>
  <si>
    <t>Mahaffie Elem</t>
  </si>
  <si>
    <t>2783</t>
  </si>
  <si>
    <t>Pleasant Ridge Elem</t>
  </si>
  <si>
    <t>2784</t>
  </si>
  <si>
    <t>Heatherstone Elem</t>
  </si>
  <si>
    <t>2785</t>
  </si>
  <si>
    <t>Bentwood Elem</t>
  </si>
  <si>
    <t>2786</t>
  </si>
  <si>
    <t>California Trail Middle School</t>
  </si>
  <si>
    <t>2787</t>
  </si>
  <si>
    <t>Cedar Creek Elem</t>
  </si>
  <si>
    <t>2789</t>
  </si>
  <si>
    <t>Madison Place Elementary</t>
  </si>
  <si>
    <t>2790</t>
  </si>
  <si>
    <t>Woodland Elem</t>
  </si>
  <si>
    <t>9300</t>
  </si>
  <si>
    <t>Sunnyside Elementary School</t>
  </si>
  <si>
    <t>9301</t>
  </si>
  <si>
    <t>Chisholm Trail Middle School</t>
  </si>
  <si>
    <t>9302</t>
  </si>
  <si>
    <t>Arbor Creek Elementary</t>
  </si>
  <si>
    <t>9304</t>
  </si>
  <si>
    <t>Manchester Park Elementary</t>
  </si>
  <si>
    <t>9305</t>
  </si>
  <si>
    <t>Clearwater Creek Elementary</t>
  </si>
  <si>
    <t>9306</t>
  </si>
  <si>
    <t>Prairie Trail Middle School</t>
  </si>
  <si>
    <t>9307</t>
  </si>
  <si>
    <t>Ravenwood Elementary</t>
  </si>
  <si>
    <t>9311</t>
  </si>
  <si>
    <t>Forest View Elem</t>
  </si>
  <si>
    <t>0898</t>
  </si>
  <si>
    <t>Eugene Ware Elem</t>
  </si>
  <si>
    <t>0900</t>
  </si>
  <si>
    <t>Winfield Scott Elem</t>
  </si>
  <si>
    <t>0902</t>
  </si>
  <si>
    <t>Fort Scott Middle School</t>
  </si>
  <si>
    <t>0904</t>
  </si>
  <si>
    <t>Fort Scott Sr High</t>
  </si>
  <si>
    <t>0964</t>
  </si>
  <si>
    <t>Uniontown High School</t>
  </si>
  <si>
    <t>0966</t>
  </si>
  <si>
    <t>West Bourbon Elementary</t>
  </si>
  <si>
    <t>1010</t>
  </si>
  <si>
    <t>Smith Center Elem</t>
  </si>
  <si>
    <t>1012</t>
  </si>
  <si>
    <t>Smith Center Jr Sr High</t>
  </si>
  <si>
    <t>1060</t>
  </si>
  <si>
    <t>Minneapolis Elementary</t>
  </si>
  <si>
    <t>1064</t>
  </si>
  <si>
    <t>Minneapolis High</t>
  </si>
  <si>
    <t>1078</t>
  </si>
  <si>
    <t>Bennington Elem</t>
  </si>
  <si>
    <t>1080</t>
  </si>
  <si>
    <t>Bennington Junior High/High School</t>
  </si>
  <si>
    <t>1088</t>
  </si>
  <si>
    <t>Tescott Elem</t>
  </si>
  <si>
    <t>1090</t>
  </si>
  <si>
    <t>Tescott Junior High/High School</t>
  </si>
  <si>
    <t>1104</t>
  </si>
  <si>
    <t>Sharon Springs Elem</t>
  </si>
  <si>
    <t>1106</t>
  </si>
  <si>
    <t>Wallace County High</t>
  </si>
  <si>
    <t>1120</t>
  </si>
  <si>
    <t>Weskan Elem</t>
  </si>
  <si>
    <t>1122</t>
  </si>
  <si>
    <t>Weskan High</t>
  </si>
  <si>
    <t>1134</t>
  </si>
  <si>
    <t>Lebo Elem</t>
  </si>
  <si>
    <t>1136</t>
  </si>
  <si>
    <t>Lebo High</t>
  </si>
  <si>
    <t>1138</t>
  </si>
  <si>
    <t>Waverly Elem</t>
  </si>
  <si>
    <t>1140</t>
  </si>
  <si>
    <t>Waverly High</t>
  </si>
  <si>
    <t>1154</t>
  </si>
  <si>
    <t>Burlington High</t>
  </si>
  <si>
    <t>1163</t>
  </si>
  <si>
    <t>Burlington Elementary School</t>
  </si>
  <si>
    <t>1165</t>
  </si>
  <si>
    <t>Burlington Middle School 5 - 8</t>
  </si>
  <si>
    <t>1174</t>
  </si>
  <si>
    <t>LeRoy Elem</t>
  </si>
  <si>
    <t>1176</t>
  </si>
  <si>
    <t>Southern Coffey County High School</t>
  </si>
  <si>
    <t>1178</t>
  </si>
  <si>
    <t>Gridley Elem</t>
  </si>
  <si>
    <t>1182</t>
  </si>
  <si>
    <t>Southern Coffey County Jr. High School</t>
  </si>
  <si>
    <t>1194</t>
  </si>
  <si>
    <t>Northeast Elem</t>
  </si>
  <si>
    <t>1198</t>
  </si>
  <si>
    <t>North East High</t>
  </si>
  <si>
    <t>1220</t>
  </si>
  <si>
    <t>Southeast Junior High School</t>
  </si>
  <si>
    <t>1230</t>
  </si>
  <si>
    <t>Southeast High</t>
  </si>
  <si>
    <t>1232</t>
  </si>
  <si>
    <t>Southeast Elementary School</t>
  </si>
  <si>
    <t>1258</t>
  </si>
  <si>
    <t>R V Haderlein Elem</t>
  </si>
  <si>
    <t>1260</t>
  </si>
  <si>
    <t>Girard Middle</t>
  </si>
  <si>
    <t>1262</t>
  </si>
  <si>
    <t>Girard High</t>
  </si>
  <si>
    <t>1287</t>
  </si>
  <si>
    <t>Frank Layden Elem</t>
  </si>
  <si>
    <t>1291</t>
  </si>
  <si>
    <t>Frontenac Jr. High</t>
  </si>
  <si>
    <t>1293</t>
  </si>
  <si>
    <t>Frontenac Sr. High School</t>
  </si>
  <si>
    <t>1302</t>
  </si>
  <si>
    <t>Geo E Nettels Elem</t>
  </si>
  <si>
    <t>1304</t>
  </si>
  <si>
    <t>Lakeside Elem</t>
  </si>
  <si>
    <t>1307</t>
  </si>
  <si>
    <t>Meadowlark Elementary</t>
  </si>
  <si>
    <t>1310</t>
  </si>
  <si>
    <t>Westside Elem</t>
  </si>
  <si>
    <t>1314</t>
  </si>
  <si>
    <t>Pittsburg Middle School</t>
  </si>
  <si>
    <t>1316</t>
  </si>
  <si>
    <t>Pittsburg High</t>
  </si>
  <si>
    <t>1350</t>
  </si>
  <si>
    <t>1358</t>
  </si>
  <si>
    <t>Northern Heights</t>
  </si>
  <si>
    <t>1382</t>
  </si>
  <si>
    <t>Hartford Jr./Sr. High School</t>
  </si>
  <si>
    <t>1388</t>
  </si>
  <si>
    <t>Neosho Rapids Elementary</t>
  </si>
  <si>
    <t>1392</t>
  </si>
  <si>
    <t>Olpe Elementary</t>
  </si>
  <si>
    <t>1394</t>
  </si>
  <si>
    <t>Olpe Jr./Sr. High School</t>
  </si>
  <si>
    <t>1414</t>
  </si>
  <si>
    <t>Village Elem</t>
  </si>
  <si>
    <t>1416</t>
  </si>
  <si>
    <t>Walnut Elem</t>
  </si>
  <si>
    <t>1418</t>
  </si>
  <si>
    <t>W A White Elem</t>
  </si>
  <si>
    <t>1422</t>
  </si>
  <si>
    <t>Emporia Middle School</t>
  </si>
  <si>
    <t>1424</t>
  </si>
  <si>
    <t>Emporia High</t>
  </si>
  <si>
    <t>1428</t>
  </si>
  <si>
    <t>Logan Ave Elem</t>
  </si>
  <si>
    <t>1429</t>
  </si>
  <si>
    <t>Riverside Elementary</t>
  </si>
  <si>
    <t>1430</t>
  </si>
  <si>
    <t>Timmerman Elementary</t>
  </si>
  <si>
    <t>1472</t>
  </si>
  <si>
    <t>Medicine Lodge Grade School</t>
  </si>
  <si>
    <t>1475</t>
  </si>
  <si>
    <t>Medicine Lodge Jr/Sr High School</t>
  </si>
  <si>
    <t>1503</t>
  </si>
  <si>
    <t>South Barber Pre-K-6</t>
  </si>
  <si>
    <t>1504</t>
  </si>
  <si>
    <t>South Barber 7-12</t>
  </si>
  <si>
    <t>1536</t>
  </si>
  <si>
    <t>Marmaton Valley Elem</t>
  </si>
  <si>
    <t>1538</t>
  </si>
  <si>
    <t>Marmaton Valley High</t>
  </si>
  <si>
    <t>1556</t>
  </si>
  <si>
    <t>Jefferson Elem</t>
  </si>
  <si>
    <t>1558</t>
  </si>
  <si>
    <t>Lincoln Elem</t>
  </si>
  <si>
    <t>1560</t>
  </si>
  <si>
    <t>McKinley Elem</t>
  </si>
  <si>
    <t>1562</t>
  </si>
  <si>
    <t>Iola Middle School</t>
  </si>
  <si>
    <t>1564</t>
  </si>
  <si>
    <t>Iola Sr High</t>
  </si>
  <si>
    <t>1592</t>
  </si>
  <si>
    <t>Humboldt High School</t>
  </si>
  <si>
    <t>1596</t>
  </si>
  <si>
    <t>Humboldt Elementary School</t>
  </si>
  <si>
    <t>1600</t>
  </si>
  <si>
    <t>Humboldt Middle School</t>
  </si>
  <si>
    <t>1613</t>
  </si>
  <si>
    <t>Wichita Virtual School</t>
  </si>
  <si>
    <t>1614</t>
  </si>
  <si>
    <t>Adams Elem</t>
  </si>
  <si>
    <t>1617</t>
  </si>
  <si>
    <t>Marshall Middle School</t>
  </si>
  <si>
    <t>1618</t>
  </si>
  <si>
    <t>Allen Elem</t>
  </si>
  <si>
    <t>1622</t>
  </si>
  <si>
    <t>Benton Elem</t>
  </si>
  <si>
    <t>1623</t>
  </si>
  <si>
    <t>Beech Elem</t>
  </si>
  <si>
    <t>1624</t>
  </si>
  <si>
    <t>Black Traditional Magnet Elem</t>
  </si>
  <si>
    <t>1625</t>
  </si>
  <si>
    <t>Gordon Parks Academy</t>
  </si>
  <si>
    <t>1627</t>
  </si>
  <si>
    <t>Mead Middle School</t>
  </si>
  <si>
    <t>1628</t>
  </si>
  <si>
    <t>Jackson Elementary</t>
  </si>
  <si>
    <t>1634</t>
  </si>
  <si>
    <t>Buckner Performing Arts Magnet Elem</t>
  </si>
  <si>
    <t>1636</t>
  </si>
  <si>
    <t>Caldwell Elem</t>
  </si>
  <si>
    <t>1640</t>
  </si>
  <si>
    <t>Cessna Elem</t>
  </si>
  <si>
    <t>1644</t>
  </si>
  <si>
    <t>Chisholm Trail Elem</t>
  </si>
  <si>
    <t>1646</t>
  </si>
  <si>
    <t>Clark Elem</t>
  </si>
  <si>
    <t>1648</t>
  </si>
  <si>
    <t>Cleaveland Traditional Magnet Elementary</t>
  </si>
  <si>
    <t>1649</t>
  </si>
  <si>
    <t>Wichita Learning Center</t>
  </si>
  <si>
    <t>1650</t>
  </si>
  <si>
    <t>Cloud Elem</t>
  </si>
  <si>
    <t>1652</t>
  </si>
  <si>
    <t>College Hill Elem</t>
  </si>
  <si>
    <t>1653</t>
  </si>
  <si>
    <t>Colvin Elem</t>
  </si>
  <si>
    <t>1658</t>
  </si>
  <si>
    <t>Earhart Environ Magnet Elem</t>
  </si>
  <si>
    <t>1660</t>
  </si>
  <si>
    <t>Enterprise Elem</t>
  </si>
  <si>
    <t>1662</t>
  </si>
  <si>
    <t>Dodge Literacy Magnet</t>
  </si>
  <si>
    <t>1663</t>
  </si>
  <si>
    <t>Ortiz Elementary School</t>
  </si>
  <si>
    <t>1664</t>
  </si>
  <si>
    <t>Christa McAuliffe Academy</t>
  </si>
  <si>
    <t>1674</t>
  </si>
  <si>
    <t>Franklin Elem</t>
  </si>
  <si>
    <t>1677</t>
  </si>
  <si>
    <t>Gammon Elem</t>
  </si>
  <si>
    <t>1678</t>
  </si>
  <si>
    <t>Gardiner Elem</t>
  </si>
  <si>
    <t>1682</t>
  </si>
  <si>
    <t>Greiffenstein Alternative Elementary</t>
  </si>
  <si>
    <t>1684</t>
  </si>
  <si>
    <t>Griffith Elem</t>
  </si>
  <si>
    <t>1686</t>
  </si>
  <si>
    <t>Price-Harris Communications Magnet</t>
  </si>
  <si>
    <t>1688</t>
  </si>
  <si>
    <t>Harry Street Elem</t>
  </si>
  <si>
    <t>1690</t>
  </si>
  <si>
    <t>Hyde Intl Studies/Commun Elem Magnet</t>
  </si>
  <si>
    <t>1693</t>
  </si>
  <si>
    <t>Spaght Multimedia Magnet</t>
  </si>
  <si>
    <t>1694</t>
  </si>
  <si>
    <t>Irving Elementary</t>
  </si>
  <si>
    <t>1695</t>
  </si>
  <si>
    <t>Isely Traditional Magnet Elem</t>
  </si>
  <si>
    <t>1698</t>
  </si>
  <si>
    <t>1704</t>
  </si>
  <si>
    <t>Kelly Liberal Arts Academy</t>
  </si>
  <si>
    <t>1706</t>
  </si>
  <si>
    <t>Kensler Elem</t>
  </si>
  <si>
    <t>1708</t>
  </si>
  <si>
    <t>Bostic Traditional Magnet Elem</t>
  </si>
  <si>
    <t>1710</t>
  </si>
  <si>
    <t>James Enders Elementary</t>
  </si>
  <si>
    <t>1712</t>
  </si>
  <si>
    <t>Lawrence Elem</t>
  </si>
  <si>
    <t>1715</t>
  </si>
  <si>
    <t>Levy Sp Ed Center</t>
  </si>
  <si>
    <t>1718</t>
  </si>
  <si>
    <t>Linwood Elementary</t>
  </si>
  <si>
    <t>1724</t>
  </si>
  <si>
    <t>L'Ouverture Computer Technology Magnet</t>
  </si>
  <si>
    <t>1736</t>
  </si>
  <si>
    <t>McCollom Elem</t>
  </si>
  <si>
    <t>1740</t>
  </si>
  <si>
    <t>McLean Science/Tech Magnet Elem</t>
  </si>
  <si>
    <t>1744</t>
  </si>
  <si>
    <t>Minneha Core Knowledge Elem</t>
  </si>
  <si>
    <t>1746</t>
  </si>
  <si>
    <t>Mueller Aerospace/Engineering Discovery Magne</t>
  </si>
  <si>
    <t>1754</t>
  </si>
  <si>
    <t>O K Elem</t>
  </si>
  <si>
    <t>1756</t>
  </si>
  <si>
    <t>Park Elementary</t>
  </si>
  <si>
    <t>1758</t>
  </si>
  <si>
    <t>Payne Elem</t>
  </si>
  <si>
    <t>1760</t>
  </si>
  <si>
    <t>Peterson Elem</t>
  </si>
  <si>
    <t>1766</t>
  </si>
  <si>
    <t>Riverside Leadership Magnet Elementary</t>
  </si>
  <si>
    <t>1772</t>
  </si>
  <si>
    <t>Seltzer Elem</t>
  </si>
  <si>
    <t>1778</t>
  </si>
  <si>
    <t>Pleasant Valley Elem</t>
  </si>
  <si>
    <t>1780</t>
  </si>
  <si>
    <t>Sowers Alternative High School</t>
  </si>
  <si>
    <t>1782</t>
  </si>
  <si>
    <t>Stanley Elem</t>
  </si>
  <si>
    <t>1785</t>
  </si>
  <si>
    <t>Stucky Middle School</t>
  </si>
  <si>
    <t>1790</t>
  </si>
  <si>
    <t>Washington Accelerated Learning Elem</t>
  </si>
  <si>
    <t>1792</t>
  </si>
  <si>
    <t>Wells Alternative Middle School</t>
  </si>
  <si>
    <t>1796</t>
  </si>
  <si>
    <t>White Elem</t>
  </si>
  <si>
    <t>1798</t>
  </si>
  <si>
    <t>Anderson Elem</t>
  </si>
  <si>
    <t>1800</t>
  </si>
  <si>
    <t>Woodland Health / Wellness Magnet Elem</t>
  </si>
  <si>
    <t>1802</t>
  </si>
  <si>
    <t>Woodman Elem</t>
  </si>
  <si>
    <t>1804</t>
  </si>
  <si>
    <t>Allison Traditional Magnet Middle</t>
  </si>
  <si>
    <t>1806</t>
  </si>
  <si>
    <t>Brooks Magnet Middle School</t>
  </si>
  <si>
    <t>1808</t>
  </si>
  <si>
    <t>Curtis Middle School</t>
  </si>
  <si>
    <t>1810</t>
  </si>
  <si>
    <t>Coleman Middle School</t>
  </si>
  <si>
    <t>1812</t>
  </si>
  <si>
    <t>Hadley Middle School</t>
  </si>
  <si>
    <t>1814</t>
  </si>
  <si>
    <t>Hamilton Middle School</t>
  </si>
  <si>
    <t>1817</t>
  </si>
  <si>
    <t>Jardine Technology Middle Magnet</t>
  </si>
  <si>
    <t>1818</t>
  </si>
  <si>
    <t>Horace Mann Dual Language Magnet</t>
  </si>
  <si>
    <t>1823</t>
  </si>
  <si>
    <t>Northeast Magnet High School</t>
  </si>
  <si>
    <t>1824</t>
  </si>
  <si>
    <t>Mayberry Cultural and Fine Arts Magnet Middle</t>
  </si>
  <si>
    <t>1828</t>
  </si>
  <si>
    <t>Pleasant Valley Middle School</t>
  </si>
  <si>
    <t>1830</t>
  </si>
  <si>
    <t>Robinson Middle School</t>
  </si>
  <si>
    <t>1833</t>
  </si>
  <si>
    <t>Wilbur Middle School</t>
  </si>
  <si>
    <t>1834</t>
  </si>
  <si>
    <t>Truesdell Middle School</t>
  </si>
  <si>
    <t>1836</t>
  </si>
  <si>
    <t>East High</t>
  </si>
  <si>
    <t>1837</t>
  </si>
  <si>
    <t>Wichita Alternative High</t>
  </si>
  <si>
    <t>1838</t>
  </si>
  <si>
    <t>North High</t>
  </si>
  <si>
    <t>1840</t>
  </si>
  <si>
    <t>South High</t>
  </si>
  <si>
    <t>1842</t>
  </si>
  <si>
    <t>1844</t>
  </si>
  <si>
    <t>West High</t>
  </si>
  <si>
    <t>1846</t>
  </si>
  <si>
    <t>Heights High</t>
  </si>
  <si>
    <t>1847</t>
  </si>
  <si>
    <t>Northwest High</t>
  </si>
  <si>
    <t>1948</t>
  </si>
  <si>
    <t>Chisholm Life Skills Center</t>
  </si>
  <si>
    <t>1926</t>
  </si>
  <si>
    <t>Derby Middle Sch</t>
  </si>
  <si>
    <t>1927</t>
  </si>
  <si>
    <t>El Paso Elem</t>
  </si>
  <si>
    <t>1928</t>
  </si>
  <si>
    <t>Oaklawn Elem</t>
  </si>
  <si>
    <t>1930</t>
  </si>
  <si>
    <t>Paul B Cooper Elem</t>
  </si>
  <si>
    <t>1932</t>
  </si>
  <si>
    <t>Pleasantview Elem</t>
  </si>
  <si>
    <t>1934</t>
  </si>
  <si>
    <t>Swaney Elem</t>
  </si>
  <si>
    <t>1936</t>
  </si>
  <si>
    <t>Wineteer Elem</t>
  </si>
  <si>
    <t>1941</t>
  </si>
  <si>
    <t>Derby Hills Elem</t>
  </si>
  <si>
    <t>1942</t>
  </si>
  <si>
    <t>Derby High School</t>
  </si>
  <si>
    <t>1944</t>
  </si>
  <si>
    <t>Tanglewood Elem</t>
  </si>
  <si>
    <t>1945</t>
  </si>
  <si>
    <t>Park Hill Elementary</t>
  </si>
  <si>
    <t>1976</t>
  </si>
  <si>
    <t>Derby North Middle School</t>
  </si>
  <si>
    <t>1955</t>
  </si>
  <si>
    <t>Haysville West Middle School</t>
  </si>
  <si>
    <t>1956</t>
  </si>
  <si>
    <t>Campus High Haysville</t>
  </si>
  <si>
    <t>1958</t>
  </si>
  <si>
    <t>Haysville Middle School</t>
  </si>
  <si>
    <t>1960</t>
  </si>
  <si>
    <t>Freeman Elem</t>
  </si>
  <si>
    <t>1961</t>
  </si>
  <si>
    <t>Prairie Elementary School</t>
  </si>
  <si>
    <t>1964</t>
  </si>
  <si>
    <t>Nelson Elem</t>
  </si>
  <si>
    <t>1965</t>
  </si>
  <si>
    <t>Ruth Clark Elementary K-5</t>
  </si>
  <si>
    <t>1966</t>
  </si>
  <si>
    <t>Oatville Elem</t>
  </si>
  <si>
    <t>1968</t>
  </si>
  <si>
    <t>Rex Elem</t>
  </si>
  <si>
    <t>1977</t>
  </si>
  <si>
    <t>Valley Center Intermediate School</t>
  </si>
  <si>
    <t>1980</t>
  </si>
  <si>
    <t>Abilene Elem</t>
  </si>
  <si>
    <t>1981</t>
  </si>
  <si>
    <t>Wheatland Elem</t>
  </si>
  <si>
    <t>1984</t>
  </si>
  <si>
    <t>West Elem</t>
  </si>
  <si>
    <t>1985</t>
  </si>
  <si>
    <t>Valley Center Middle School</t>
  </si>
  <si>
    <t>1986</t>
  </si>
  <si>
    <t>Valley Center High</t>
  </si>
  <si>
    <t>2007</t>
  </si>
  <si>
    <t>The Learning Center</t>
  </si>
  <si>
    <t>1992</t>
  </si>
  <si>
    <t>Mulvane Elem W D Munson</t>
  </si>
  <si>
    <t>1996</t>
  </si>
  <si>
    <t>Mulvane High</t>
  </si>
  <si>
    <t>1997</t>
  </si>
  <si>
    <t>Mulvane Middle School</t>
  </si>
  <si>
    <t>1998</t>
  </si>
  <si>
    <t>Mulvane Grade School</t>
  </si>
  <si>
    <t>2011</t>
  </si>
  <si>
    <t>Clearwater Elementary West</t>
  </si>
  <si>
    <t>2012</t>
  </si>
  <si>
    <t>2014</t>
  </si>
  <si>
    <t>Clearwater High</t>
  </si>
  <si>
    <t>2025</t>
  </si>
  <si>
    <t>Clark Davidson Elem</t>
  </si>
  <si>
    <t>2026</t>
  </si>
  <si>
    <t>Oak Street Elementary School K-4</t>
  </si>
  <si>
    <t>2027</t>
  </si>
  <si>
    <t>Goddard Middle School</t>
  </si>
  <si>
    <t>2028</t>
  </si>
  <si>
    <t>Challenger Intermediate School</t>
  </si>
  <si>
    <t>2029</t>
  </si>
  <si>
    <t>Dwight D. Eisenhower Middle School</t>
  </si>
  <si>
    <t>2030</t>
  </si>
  <si>
    <t>Goddard High</t>
  </si>
  <si>
    <t>2033</t>
  </si>
  <si>
    <t>Amelia Earhart Elementary School</t>
  </si>
  <si>
    <t>2034</t>
  </si>
  <si>
    <t>Discovery Intermediate School</t>
  </si>
  <si>
    <t>2035</t>
  </si>
  <si>
    <t>Explorer Elementary School</t>
  </si>
  <si>
    <t>2069</t>
  </si>
  <si>
    <t>Apollo Elementary School</t>
  </si>
  <si>
    <t>2073</t>
  </si>
  <si>
    <t>Eisenhower High School</t>
  </si>
  <si>
    <t>2043</t>
  </si>
  <si>
    <t>Pray-Woodman Elementary</t>
  </si>
  <si>
    <t>2044</t>
  </si>
  <si>
    <t>Maize Middle School</t>
  </si>
  <si>
    <t>2045</t>
  </si>
  <si>
    <t>Maize South Elementary</t>
  </si>
  <si>
    <t>2046</t>
  </si>
  <si>
    <t>Maize Elementary</t>
  </si>
  <si>
    <t>2047</t>
  </si>
  <si>
    <t>Maize South Middle School</t>
  </si>
  <si>
    <t>2050</t>
  </si>
  <si>
    <t>Maize Sr High</t>
  </si>
  <si>
    <t>2051</t>
  </si>
  <si>
    <t>Maize Central Elementary</t>
  </si>
  <si>
    <t>2052</t>
  </si>
  <si>
    <t>Maize South High School</t>
  </si>
  <si>
    <t>2075</t>
  </si>
  <si>
    <t>Vermillion Elementary School</t>
  </si>
  <si>
    <t>2076</t>
  </si>
  <si>
    <t>Maize Virtual Preparatory School</t>
  </si>
  <si>
    <t>2062</t>
  </si>
  <si>
    <t>Andale Elem-Middle</t>
  </si>
  <si>
    <t>2064</t>
  </si>
  <si>
    <t>Andale High</t>
  </si>
  <si>
    <t>2066</t>
  </si>
  <si>
    <t>Colwich Elem</t>
  </si>
  <si>
    <t>2068</t>
  </si>
  <si>
    <t>Garden Plain Elem</t>
  </si>
  <si>
    <t>2070</t>
  </si>
  <si>
    <t>Garden Plain High</t>
  </si>
  <si>
    <t>2071</t>
  </si>
  <si>
    <t>St. Marks School</t>
  </si>
  <si>
    <t>2090</t>
  </si>
  <si>
    <t>Cheney Elem</t>
  </si>
  <si>
    <t>2091</t>
  </si>
  <si>
    <t>Cheney Middle School  6-8</t>
  </si>
  <si>
    <t>2092</t>
  </si>
  <si>
    <t>Cheney High</t>
  </si>
  <si>
    <t>2110</t>
  </si>
  <si>
    <t>Palco Jr. High</t>
  </si>
  <si>
    <t>2115</t>
  </si>
  <si>
    <t>Damar Elementary School</t>
  </si>
  <si>
    <t>2116</t>
  </si>
  <si>
    <t>Palco High</t>
  </si>
  <si>
    <t>2136</t>
  </si>
  <si>
    <t>Plainville Elem</t>
  </si>
  <si>
    <t>2138</t>
  </si>
  <si>
    <t>Plainville High</t>
  </si>
  <si>
    <t>2156</t>
  </si>
  <si>
    <t>Stockton Elem</t>
  </si>
  <si>
    <t>2158</t>
  </si>
  <si>
    <t>Stockton High</t>
  </si>
  <si>
    <t>2171</t>
  </si>
  <si>
    <t>Lakeside Elementary</t>
  </si>
  <si>
    <t>2176</t>
  </si>
  <si>
    <t>Lakeside Junior/Senior High School</t>
  </si>
  <si>
    <t>2179</t>
  </si>
  <si>
    <t>Tipton Community School</t>
  </si>
  <si>
    <t>2214</t>
  </si>
  <si>
    <t>Beloit Elem</t>
  </si>
  <si>
    <t>2218</t>
  </si>
  <si>
    <t>Beloit Jr-Sr High</t>
  </si>
  <si>
    <t>2262</t>
  </si>
  <si>
    <t>Oakley Elem</t>
  </si>
  <si>
    <t>2266</t>
  </si>
  <si>
    <t>Oakley Sr High</t>
  </si>
  <si>
    <t>2268</t>
  </si>
  <si>
    <t>Oakley Middle School</t>
  </si>
  <si>
    <t>2286</t>
  </si>
  <si>
    <t>Winona Elem</t>
  </si>
  <si>
    <t>2288</t>
  </si>
  <si>
    <t>Winona High</t>
  </si>
  <si>
    <t>2407</t>
  </si>
  <si>
    <t>Hill City Junior-Senior High</t>
  </si>
  <si>
    <t>2412</t>
  </si>
  <si>
    <t>Hill City Elem</t>
  </si>
  <si>
    <t>2436</t>
  </si>
  <si>
    <t>West Elk Schools</t>
  </si>
  <si>
    <t>2470</t>
  </si>
  <si>
    <t>Elk Valley Elementary</t>
  </si>
  <si>
    <t>2472</t>
  </si>
  <si>
    <t>Elk Valley High School</t>
  </si>
  <si>
    <t>2489</t>
  </si>
  <si>
    <t>Chase County Junior Senior High School</t>
  </si>
  <si>
    <t>2491</t>
  </si>
  <si>
    <t>Chase County Elementary School</t>
  </si>
  <si>
    <t>2518</t>
  </si>
  <si>
    <t>Cedar Vale Elem</t>
  </si>
  <si>
    <t>2520</t>
  </si>
  <si>
    <t>Cedar Vale High</t>
  </si>
  <si>
    <t>2544</t>
  </si>
  <si>
    <t>Sedan Elem</t>
  </si>
  <si>
    <t>2546</t>
  </si>
  <si>
    <t>Sedan High</t>
  </si>
  <si>
    <t>2559</t>
  </si>
  <si>
    <t>Appanoose Elementary School</t>
  </si>
  <si>
    <t>2563</t>
  </si>
  <si>
    <t>West Franklin Middle School</t>
  </si>
  <si>
    <t>2564</t>
  </si>
  <si>
    <t>Williamsburg Elementary School</t>
  </si>
  <si>
    <t>2569</t>
  </si>
  <si>
    <t>West Franklin High School</t>
  </si>
  <si>
    <t>2584</t>
  </si>
  <si>
    <t>Central Heights High</t>
  </si>
  <si>
    <t>2585</t>
  </si>
  <si>
    <t>Central Heights Elem</t>
  </si>
  <si>
    <t>2620</t>
  </si>
  <si>
    <t>Wellsville Elem</t>
  </si>
  <si>
    <t>2621</t>
  </si>
  <si>
    <t>Wellsville Middle School</t>
  </si>
  <si>
    <t>2622</t>
  </si>
  <si>
    <t>Wellsville High</t>
  </si>
  <si>
    <t>2644</t>
  </si>
  <si>
    <t>Garfield Elem</t>
  </si>
  <si>
    <t>2648</t>
  </si>
  <si>
    <t>2650</t>
  </si>
  <si>
    <t>Ottawa Middle School</t>
  </si>
  <si>
    <t>2652</t>
  </si>
  <si>
    <t>Ottawa Sr High</t>
  </si>
  <si>
    <t>2658</t>
  </si>
  <si>
    <t>Sunflower Elementary School</t>
  </si>
  <si>
    <t>2666</t>
  </si>
  <si>
    <t>Grinnell Grade School</t>
  </si>
  <si>
    <t>2671</t>
  </si>
  <si>
    <t>Grinnell Middle School</t>
  </si>
  <si>
    <t>2689</t>
  </si>
  <si>
    <t>Wheatland Elementary School</t>
  </si>
  <si>
    <t>2691</t>
  </si>
  <si>
    <t>Wheatland High School</t>
  </si>
  <si>
    <t>2710</t>
  </si>
  <si>
    <t>Quinter Elem</t>
  </si>
  <si>
    <t>2712</t>
  </si>
  <si>
    <t>Quinter Jr-Sr High</t>
  </si>
  <si>
    <t>2738</t>
  </si>
  <si>
    <t>Oberlin Elem</t>
  </si>
  <si>
    <t>2740</t>
  </si>
  <si>
    <t>Decatur Community Jr/Sr High</t>
  </si>
  <si>
    <t>2812</t>
  </si>
  <si>
    <t>St Francis Elem</t>
  </si>
  <si>
    <t>2816</t>
  </si>
  <si>
    <t>St Francis High</t>
  </si>
  <si>
    <t>2840</t>
  </si>
  <si>
    <t>2842</t>
  </si>
  <si>
    <t>Lincoln Jr/Sr High</t>
  </si>
  <si>
    <t>2860</t>
  </si>
  <si>
    <t>Lucas/Sylvan Elementary Unified</t>
  </si>
  <si>
    <t>2861</t>
  </si>
  <si>
    <t>Sylvan-Lucas Unified Jr. sr</t>
  </si>
  <si>
    <t>2890</t>
  </si>
  <si>
    <t>South Central High School</t>
  </si>
  <si>
    <t>2892</t>
  </si>
  <si>
    <t>South Central Elementary School</t>
  </si>
  <si>
    <t>2894</t>
  </si>
  <si>
    <t>South Central Middle School</t>
  </si>
  <si>
    <t>2948</t>
  </si>
  <si>
    <t>Ness City Elem</t>
  </si>
  <si>
    <t>2952</t>
  </si>
  <si>
    <t>Ness City High</t>
  </si>
  <si>
    <t>2985</t>
  </si>
  <si>
    <t>Coronado Elem</t>
  </si>
  <si>
    <t>2994</t>
  </si>
  <si>
    <t>Heusner Elem</t>
  </si>
  <si>
    <t>3000</t>
  </si>
  <si>
    <t>Meadowlark Ridge Elem</t>
  </si>
  <si>
    <t>3002</t>
  </si>
  <si>
    <t>Oakdale Elem</t>
  </si>
  <si>
    <t>3008</t>
  </si>
  <si>
    <t>Schilling Elem</t>
  </si>
  <si>
    <t>3014</t>
  </si>
  <si>
    <t>Stewart Elem</t>
  </si>
  <si>
    <t>3018</t>
  </si>
  <si>
    <t>Sunset Elem</t>
  </si>
  <si>
    <t>3020</t>
  </si>
  <si>
    <t>3022</t>
  </si>
  <si>
    <t>Lakewood Middle School</t>
  </si>
  <si>
    <t>3024</t>
  </si>
  <si>
    <t>Salina South Middle</t>
  </si>
  <si>
    <t>3026</t>
  </si>
  <si>
    <t>Salina High Central</t>
  </si>
  <si>
    <t>3027</t>
  </si>
  <si>
    <t>Salina High South</t>
  </si>
  <si>
    <t>3052</t>
  </si>
  <si>
    <t>Southeast Saline High</t>
  </si>
  <si>
    <t>3056</t>
  </si>
  <si>
    <t>Southeast Saline Elem</t>
  </si>
  <si>
    <t>3080</t>
  </si>
  <si>
    <t>Ell-Saline Middle/High School</t>
  </si>
  <si>
    <t>3082</t>
  </si>
  <si>
    <t>Ell-Saline Elementary</t>
  </si>
  <si>
    <t>3101</t>
  </si>
  <si>
    <t>Hutchinson Magnet School at Allen</t>
  </si>
  <si>
    <t>3106</t>
  </si>
  <si>
    <t>Faris Elementary</t>
  </si>
  <si>
    <t>3108</t>
  </si>
  <si>
    <t>Graber Elementary</t>
  </si>
  <si>
    <t>3114</t>
  </si>
  <si>
    <t>Lincoln Elementary School</t>
  </si>
  <si>
    <t>3116</t>
  </si>
  <si>
    <t>McCandless Elementary</t>
  </si>
  <si>
    <t>3118</t>
  </si>
  <si>
    <t>Morgan Elementary</t>
  </si>
  <si>
    <t>3124</t>
  </si>
  <si>
    <t>Wiley Elementary</t>
  </si>
  <si>
    <t>3130</t>
  </si>
  <si>
    <t>Hutchinson Middle School 8</t>
  </si>
  <si>
    <t>3134</t>
  </si>
  <si>
    <t>Hutchinson High School</t>
  </si>
  <si>
    <t>3139</t>
  </si>
  <si>
    <t>Hutchinson Middle School 7</t>
  </si>
  <si>
    <t>3164</t>
  </si>
  <si>
    <t>Nickerson Elem</t>
  </si>
  <si>
    <t>3166</t>
  </si>
  <si>
    <t>Nickerson High</t>
  </si>
  <si>
    <t>3168</t>
  </si>
  <si>
    <t>Reno Valley Middle School</t>
  </si>
  <si>
    <t>3170</t>
  </si>
  <si>
    <t>South Hutchinson Elem</t>
  </si>
  <si>
    <t>3171</t>
  </si>
  <si>
    <t>3191</t>
  </si>
  <si>
    <t>Fairfield Schools</t>
  </si>
  <si>
    <t>3218</t>
  </si>
  <si>
    <t>Pretty Prairie Elem</t>
  </si>
  <si>
    <t>3220</t>
  </si>
  <si>
    <t>Pretty Prairie High</t>
  </si>
  <si>
    <t>3222</t>
  </si>
  <si>
    <t>Pretty Prairie Middle</t>
  </si>
  <si>
    <t>3232</t>
  </si>
  <si>
    <t>Haven Elem</t>
  </si>
  <si>
    <t>3233</t>
  </si>
  <si>
    <t>Haven Middle School</t>
  </si>
  <si>
    <t>3234</t>
  </si>
  <si>
    <t>Haven High</t>
  </si>
  <si>
    <t>3238</t>
  </si>
  <si>
    <t>Yoder Charter Elem School</t>
  </si>
  <si>
    <t>3263</t>
  </si>
  <si>
    <t>Haven Virtual Academy</t>
  </si>
  <si>
    <t>3252</t>
  </si>
  <si>
    <t>Buhler Elem</t>
  </si>
  <si>
    <t>3254</t>
  </si>
  <si>
    <t>Buhler High</t>
  </si>
  <si>
    <t>3261</t>
  </si>
  <si>
    <t>Plum Creek Elementary</t>
  </si>
  <si>
    <t>3262</t>
  </si>
  <si>
    <t>Prairie Hills Middle</t>
  </si>
  <si>
    <t>3264</t>
  </si>
  <si>
    <t>Union Valley Elem</t>
  </si>
  <si>
    <t>3276</t>
  </si>
  <si>
    <t>Brewster Elem</t>
  </si>
  <si>
    <t>3278</t>
  </si>
  <si>
    <t>Brewster High</t>
  </si>
  <si>
    <t>3290</t>
  </si>
  <si>
    <t>Colby Elem</t>
  </si>
  <si>
    <t>3292</t>
  </si>
  <si>
    <t>Colby Middle School</t>
  </si>
  <si>
    <t>3294</t>
  </si>
  <si>
    <t>Colby Senior High</t>
  </si>
  <si>
    <t>3314</t>
  </si>
  <si>
    <t>Golden Plains Middle</t>
  </si>
  <si>
    <t>3316</t>
  </si>
  <si>
    <t>Golden Plains High</t>
  </si>
  <si>
    <t>3318</t>
  </si>
  <si>
    <t>Golden Plains Elem</t>
  </si>
  <si>
    <t>3388</t>
  </si>
  <si>
    <t>Wamego Middle School</t>
  </si>
  <si>
    <t>3396</t>
  </si>
  <si>
    <t>3398</t>
  </si>
  <si>
    <t>Wamego High</t>
  </si>
  <si>
    <t>3399</t>
  </si>
  <si>
    <t>3426</t>
  </si>
  <si>
    <t>Rossville Elem</t>
  </si>
  <si>
    <t>3428</t>
  </si>
  <si>
    <t>Rossville Jr.-Sr. High School</t>
  </si>
  <si>
    <t>3430</t>
  </si>
  <si>
    <t>St Marys Elem</t>
  </si>
  <si>
    <t>3432</t>
  </si>
  <si>
    <t>St. Marys Junior Senior High</t>
  </si>
  <si>
    <t>3456</t>
  </si>
  <si>
    <t>Onaga Elem</t>
  </si>
  <si>
    <t>3458</t>
  </si>
  <si>
    <t>Onaga Senior High</t>
  </si>
  <si>
    <t>3488</t>
  </si>
  <si>
    <t>St George Elem</t>
  </si>
  <si>
    <t>3492</t>
  </si>
  <si>
    <t>Westmoreland Elem</t>
  </si>
  <si>
    <t>3495</t>
  </si>
  <si>
    <t>Rock Creek Jr/Sr High School</t>
  </si>
  <si>
    <t>3538</t>
  </si>
  <si>
    <t>Phillipsburg Elem</t>
  </si>
  <si>
    <t>3540</t>
  </si>
  <si>
    <t>Phillipsburg Middle</t>
  </si>
  <si>
    <t>3542</t>
  </si>
  <si>
    <t>Phillipsburg High</t>
  </si>
  <si>
    <t>3562</t>
  </si>
  <si>
    <t>Logan Elem</t>
  </si>
  <si>
    <t>3564</t>
  </si>
  <si>
    <t>Logan High</t>
  </si>
  <si>
    <t>3594</t>
  </si>
  <si>
    <t>Ellsworth Elem</t>
  </si>
  <si>
    <t>3598</t>
  </si>
  <si>
    <t>Ellsworth High</t>
  </si>
  <si>
    <t>3600</t>
  </si>
  <si>
    <t>Kanopolis Middle</t>
  </si>
  <si>
    <t>3650</t>
  </si>
  <si>
    <t>Alma Elementary School</t>
  </si>
  <si>
    <t>3652</t>
  </si>
  <si>
    <t>Wabaunsee Sr High</t>
  </si>
  <si>
    <t>3664</t>
  </si>
  <si>
    <t>Paxico Middle School</t>
  </si>
  <si>
    <t>3665</t>
  </si>
  <si>
    <t>Wabaunsee Junior High</t>
  </si>
  <si>
    <t>3667</t>
  </si>
  <si>
    <t>Maple Hill Elem</t>
  </si>
  <si>
    <t>3686</t>
  </si>
  <si>
    <t>Mission Valley Junior and Senior High School</t>
  </si>
  <si>
    <t>3687</t>
  </si>
  <si>
    <t>Mission  Valley Elementary</t>
  </si>
  <si>
    <t>3709</t>
  </si>
  <si>
    <t>Kingman Elementary School</t>
  </si>
  <si>
    <t>3710</t>
  </si>
  <si>
    <t>Kingman Middle School</t>
  </si>
  <si>
    <t>3711</t>
  </si>
  <si>
    <t>Norwich Middle School</t>
  </si>
  <si>
    <t>3712</t>
  </si>
  <si>
    <t>Norwich Elementary School</t>
  </si>
  <si>
    <t>3713</t>
  </si>
  <si>
    <t>USD 331 Virtual School</t>
  </si>
  <si>
    <t>3716</t>
  </si>
  <si>
    <t>Kingman High</t>
  </si>
  <si>
    <t>3724</t>
  </si>
  <si>
    <t>Norwich High</t>
  </si>
  <si>
    <t>3748</t>
  </si>
  <si>
    <t>Cunningham Elem</t>
  </si>
  <si>
    <t>3750</t>
  </si>
  <si>
    <t>Cunningham High</t>
  </si>
  <si>
    <t>3780</t>
  </si>
  <si>
    <t>Concordia Elementary</t>
  </si>
  <si>
    <t>3793</t>
  </si>
  <si>
    <t>Concordia Middle</t>
  </si>
  <si>
    <t>3794</t>
  </si>
  <si>
    <t>Concordia Jr-Sr High</t>
  </si>
  <si>
    <t>3832</t>
  </si>
  <si>
    <t>Glasco Elem</t>
  </si>
  <si>
    <t>3834</t>
  </si>
  <si>
    <t>Glasco High</t>
  </si>
  <si>
    <t>3836</t>
  </si>
  <si>
    <t>Miltonvale Elem</t>
  </si>
  <si>
    <t>3838</t>
  </si>
  <si>
    <t>Miltonvale High</t>
  </si>
  <si>
    <t>3871</t>
  </si>
  <si>
    <t>Jackson Heights Elementary School</t>
  </si>
  <si>
    <t>3872</t>
  </si>
  <si>
    <t>Jackson Heights High School and Middle School</t>
  </si>
  <si>
    <t>3887</t>
  </si>
  <si>
    <t>Holton Elementary School</t>
  </si>
  <si>
    <t>3890</t>
  </si>
  <si>
    <t>Holton Middle</t>
  </si>
  <si>
    <t>3892</t>
  </si>
  <si>
    <t>Holton High</t>
  </si>
  <si>
    <t>3916</t>
  </si>
  <si>
    <t>Royal Valley Elementary</t>
  </si>
  <si>
    <t>3918</t>
  </si>
  <si>
    <t>Royal Valley High</t>
  </si>
  <si>
    <t>3921</t>
  </si>
  <si>
    <t>Royal Valley Middle School</t>
  </si>
  <si>
    <t>3936</t>
  </si>
  <si>
    <t>Valley Falls Elem</t>
  </si>
  <si>
    <t>3938</t>
  </si>
  <si>
    <t>Valley Falls High</t>
  </si>
  <si>
    <t>3948</t>
  </si>
  <si>
    <t>Jefferson Co North High</t>
  </si>
  <si>
    <t>3950</t>
  </si>
  <si>
    <t>Jefferson County North Elem/Middle</t>
  </si>
  <si>
    <t>3970</t>
  </si>
  <si>
    <t>Jefferson West High</t>
  </si>
  <si>
    <t>3972</t>
  </si>
  <si>
    <t>Jefferson West Middle</t>
  </si>
  <si>
    <t>3975</t>
  </si>
  <si>
    <t>Jefferson West Elementary School</t>
  </si>
  <si>
    <t>3988</t>
  </si>
  <si>
    <t>Oskaloosa Elem</t>
  </si>
  <si>
    <t>3991</t>
  </si>
  <si>
    <t>Oskaloosa JR-SR High School</t>
  </si>
  <si>
    <t>4006</t>
  </si>
  <si>
    <t>McLouth Elem</t>
  </si>
  <si>
    <t>4007</t>
  </si>
  <si>
    <t>McLouth Middle</t>
  </si>
  <si>
    <t>4008</t>
  </si>
  <si>
    <t>McLouth High</t>
  </si>
  <si>
    <t>4022</t>
  </si>
  <si>
    <t>Lecompton Elem</t>
  </si>
  <si>
    <t>4029</t>
  </si>
  <si>
    <t>Perry-Lecompton Middle</t>
  </si>
  <si>
    <t>4030</t>
  </si>
  <si>
    <t>Perry Lecompton High</t>
  </si>
  <si>
    <t>4038</t>
  </si>
  <si>
    <t>Pleasanton Elem</t>
  </si>
  <si>
    <t>4040</t>
  </si>
  <si>
    <t>Pleasanton High</t>
  </si>
  <si>
    <t>4054</t>
  </si>
  <si>
    <t>Logan Elementary</t>
  </si>
  <si>
    <t>4055</t>
  </si>
  <si>
    <t>North Fairview</t>
  </si>
  <si>
    <t>4058</t>
  </si>
  <si>
    <t>Elmont Elem</t>
  </si>
  <si>
    <t>4069</t>
  </si>
  <si>
    <t>Northern Hills Elementary</t>
  </si>
  <si>
    <t>4072</t>
  </si>
  <si>
    <t>West Indianola Elem</t>
  </si>
  <si>
    <t>4075</t>
  </si>
  <si>
    <t>Seaman Middle School</t>
  </si>
  <si>
    <t>4076</t>
  </si>
  <si>
    <t>Seaman High</t>
  </si>
  <si>
    <t>4092</t>
  </si>
  <si>
    <t>Jayhawk Elementary</t>
  </si>
  <si>
    <t>4094</t>
  </si>
  <si>
    <t>Jayhawk-Linn High</t>
  </si>
  <si>
    <t>4117</t>
  </si>
  <si>
    <t>Kinsley Jr/Sr High School</t>
  </si>
  <si>
    <t>4120</t>
  </si>
  <si>
    <t>4141</t>
  </si>
  <si>
    <t>Baldwin Junior High School</t>
  </si>
  <si>
    <t>4142</t>
  </si>
  <si>
    <t>Baldwin High School</t>
  </si>
  <si>
    <t>4150</t>
  </si>
  <si>
    <t>Baldwin Elementary Primary Center</t>
  </si>
  <si>
    <t>4151</t>
  </si>
  <si>
    <t>Baldwin Elementary Intermediate Center</t>
  </si>
  <si>
    <t>4158</t>
  </si>
  <si>
    <t>Stafford Elementary</t>
  </si>
  <si>
    <t>4164</t>
  </si>
  <si>
    <t>Stafford Middle School/High School</t>
  </si>
  <si>
    <t>4180</t>
  </si>
  <si>
    <t>St John Elem</t>
  </si>
  <si>
    <t>4182</t>
  </si>
  <si>
    <t>St John High</t>
  </si>
  <si>
    <t>4196</t>
  </si>
  <si>
    <t>Macksville Elem</t>
  </si>
  <si>
    <t>4200</t>
  </si>
  <si>
    <t>Macksville High</t>
  </si>
  <si>
    <t>4228</t>
  </si>
  <si>
    <t>Goodland Jr-Sr. High School</t>
  </si>
  <si>
    <t>4230</t>
  </si>
  <si>
    <t>North Elementary</t>
  </si>
  <si>
    <t>4239</t>
  </si>
  <si>
    <t>West Elementary</t>
  </si>
  <si>
    <t>4260</t>
  </si>
  <si>
    <t>4265</t>
  </si>
  <si>
    <t>Kennedy Elem</t>
  </si>
  <si>
    <t>4266</t>
  </si>
  <si>
    <t>4274</t>
  </si>
  <si>
    <t>4276</t>
  </si>
  <si>
    <t>Wellington Middle School</t>
  </si>
  <si>
    <t>4280</t>
  </si>
  <si>
    <t>Wellington High School</t>
  </si>
  <si>
    <t>4318</t>
  </si>
  <si>
    <t>Ellinwood Elem</t>
  </si>
  <si>
    <t>4320</t>
  </si>
  <si>
    <t>Ellinwood  Middle School</t>
  </si>
  <si>
    <t>4322</t>
  </si>
  <si>
    <t>Ellinwood High</t>
  </si>
  <si>
    <t>4340</t>
  </si>
  <si>
    <t>Conway Springs Kyle Trueblood</t>
  </si>
  <si>
    <t>4341</t>
  </si>
  <si>
    <t>Conway Springs Middle School</t>
  </si>
  <si>
    <t>4342</t>
  </si>
  <si>
    <t>Conway Springs High School</t>
  </si>
  <si>
    <t>4362</t>
  </si>
  <si>
    <t>Belle Plaine Elem</t>
  </si>
  <si>
    <t>4363</t>
  </si>
  <si>
    <t>Belle Plaine Middle</t>
  </si>
  <si>
    <t>4364</t>
  </si>
  <si>
    <t>Belle Plaine High</t>
  </si>
  <si>
    <t>4388</t>
  </si>
  <si>
    <t>Oxford Elem</t>
  </si>
  <si>
    <t>4390</t>
  </si>
  <si>
    <t>Oxford Jr/Sr High</t>
  </si>
  <si>
    <t>4404</t>
  </si>
  <si>
    <t>Argonia Elem</t>
  </si>
  <si>
    <t>4406</t>
  </si>
  <si>
    <t>Argonia High</t>
  </si>
  <si>
    <t>4420</t>
  </si>
  <si>
    <t>4422</t>
  </si>
  <si>
    <t>Caldwell Secondary School</t>
  </si>
  <si>
    <t>4438</t>
  </si>
  <si>
    <t>Anthony Elem</t>
  </si>
  <si>
    <t>4442</t>
  </si>
  <si>
    <t>Chaparral Jr/Sr High</t>
  </si>
  <si>
    <t>4458</t>
  </si>
  <si>
    <t>Harper Elem</t>
  </si>
  <si>
    <t>4496</t>
  </si>
  <si>
    <t>Lacygne Elem</t>
  </si>
  <si>
    <t>4502</t>
  </si>
  <si>
    <t>Parker Elem</t>
  </si>
  <si>
    <t>4504</t>
  </si>
  <si>
    <t>Prairie View Middle</t>
  </si>
  <si>
    <t>4505</t>
  </si>
  <si>
    <t>Prairie View High</t>
  </si>
  <si>
    <t>4516</t>
  </si>
  <si>
    <t>Holcomb Elem 3-5</t>
  </si>
  <si>
    <t>4517</t>
  </si>
  <si>
    <t>Holcomb Middle</t>
  </si>
  <si>
    <t>4518</t>
  </si>
  <si>
    <t>Holcomb High</t>
  </si>
  <si>
    <t>4519</t>
  </si>
  <si>
    <t>Wiley Elem</t>
  </si>
  <si>
    <t>4545</t>
  </si>
  <si>
    <t>Marysville Elem</t>
  </si>
  <si>
    <t>4548</t>
  </si>
  <si>
    <t>Marysville Jr/Sr High</t>
  </si>
  <si>
    <t>4580</t>
  </si>
  <si>
    <t>Garnett Elementary School</t>
  </si>
  <si>
    <t>4592</t>
  </si>
  <si>
    <t>Greeley Elem</t>
  </si>
  <si>
    <t>4610</t>
  </si>
  <si>
    <t>Westphalia</t>
  </si>
  <si>
    <t>4612</t>
  </si>
  <si>
    <t>Anderson County Jr/Sr High School</t>
  </si>
  <si>
    <t>4639</t>
  </si>
  <si>
    <t>Yates Center Elem</t>
  </si>
  <si>
    <t>4646</t>
  </si>
  <si>
    <t>Yates Center High</t>
  </si>
  <si>
    <t>4662</t>
  </si>
  <si>
    <t>Trojan Elem</t>
  </si>
  <si>
    <t>4664</t>
  </si>
  <si>
    <t>Swenson Early Childhood Education Center</t>
  </si>
  <si>
    <t>4665</t>
  </si>
  <si>
    <t>Osawatomie Middle School</t>
  </si>
  <si>
    <t>4666</t>
  </si>
  <si>
    <t>Osawatomie High</t>
  </si>
  <si>
    <t>4690</t>
  </si>
  <si>
    <t>Sunflower Elem</t>
  </si>
  <si>
    <t>4694</t>
  </si>
  <si>
    <t>Paola Middle</t>
  </si>
  <si>
    <t>4700</t>
  </si>
  <si>
    <t>Paola High</t>
  </si>
  <si>
    <t>4701</t>
  </si>
  <si>
    <t>Cottonwood Elem</t>
  </si>
  <si>
    <t>4734</t>
  </si>
  <si>
    <t>Burrton Elem</t>
  </si>
  <si>
    <t>4736</t>
  </si>
  <si>
    <t>Burrton MS/HS</t>
  </si>
  <si>
    <t>4762</t>
  </si>
  <si>
    <t>Montezuma Elem</t>
  </si>
  <si>
    <t>4764</t>
  </si>
  <si>
    <t>South Gray High</t>
  </si>
  <si>
    <t>4776</t>
  </si>
  <si>
    <t>Silver Lake Elem</t>
  </si>
  <si>
    <t>4778</t>
  </si>
  <si>
    <t>Silver Lake Jr-Sr High</t>
  </si>
  <si>
    <t>4810</t>
  </si>
  <si>
    <t>Newton Sr High</t>
  </si>
  <si>
    <t>4821</t>
  </si>
  <si>
    <t>Chisholm Middle School</t>
  </si>
  <si>
    <t>4823</t>
  </si>
  <si>
    <t>Northridge Elementary</t>
  </si>
  <si>
    <t>4824</t>
  </si>
  <si>
    <t>Santa Fe 5/6 Center</t>
  </si>
  <si>
    <t>4827</t>
  </si>
  <si>
    <t>Slate Creek Elementary</t>
  </si>
  <si>
    <t>4831</t>
  </si>
  <si>
    <t>South Breeze Elementary</t>
  </si>
  <si>
    <t>4842</t>
  </si>
  <si>
    <t>Sunset Elementary</t>
  </si>
  <si>
    <t>4843</t>
  </si>
  <si>
    <t>Walton Rural Life Center</t>
  </si>
  <si>
    <t>4834</t>
  </si>
  <si>
    <t>Sublette Elem</t>
  </si>
  <si>
    <t>4836</t>
  </si>
  <si>
    <t>Sublette High</t>
  </si>
  <si>
    <t>4838</t>
  </si>
  <si>
    <t>Sublette Middle</t>
  </si>
  <si>
    <t>4850</t>
  </si>
  <si>
    <t>Circle Benton Elementary</t>
  </si>
  <si>
    <t>4852</t>
  </si>
  <si>
    <t>Circle High</t>
  </si>
  <si>
    <t>4854</t>
  </si>
  <si>
    <t>Circle Oil Hill Elementary</t>
  </si>
  <si>
    <t>4856</t>
  </si>
  <si>
    <t>Circle Towanda Elementary</t>
  </si>
  <si>
    <t>4859</t>
  </si>
  <si>
    <t>Circle Middle School</t>
  </si>
  <si>
    <t>4876</t>
  </si>
  <si>
    <t>Circle Greenwich Elementary</t>
  </si>
  <si>
    <t>4864</t>
  </si>
  <si>
    <t>Sterling Grade School</t>
  </si>
  <si>
    <t>4866</t>
  </si>
  <si>
    <t>Sterling Junior High/Senior High</t>
  </si>
  <si>
    <t>4889</t>
  </si>
  <si>
    <t>Atchison County Community Elementary School</t>
  </si>
  <si>
    <t>4891</t>
  </si>
  <si>
    <t>Atchison County Community JR/SR High</t>
  </si>
  <si>
    <t>4950</t>
  </si>
  <si>
    <t>Riley County Grade School</t>
  </si>
  <si>
    <t>4952</t>
  </si>
  <si>
    <t>Riley County High School</t>
  </si>
  <si>
    <t>4970</t>
  </si>
  <si>
    <t>4972</t>
  </si>
  <si>
    <t>4974</t>
  </si>
  <si>
    <t>Clay Center Community Middle</t>
  </si>
  <si>
    <t>4976</t>
  </si>
  <si>
    <t>Clay Center Community High</t>
  </si>
  <si>
    <t>5014</t>
  </si>
  <si>
    <t>Wakefield Elem</t>
  </si>
  <si>
    <t>5016</t>
  </si>
  <si>
    <t>Wakefield High</t>
  </si>
  <si>
    <t>5032</t>
  </si>
  <si>
    <t>Centralia Elem</t>
  </si>
  <si>
    <t>5034</t>
  </si>
  <si>
    <t>Centralia High</t>
  </si>
  <si>
    <t>5036</t>
  </si>
  <si>
    <t>Frankfort Elem</t>
  </si>
  <si>
    <t>5038</t>
  </si>
  <si>
    <t>Frankfort High</t>
  </si>
  <si>
    <t>5058</t>
  </si>
  <si>
    <t>Spearville Elem</t>
  </si>
  <si>
    <t>5060</t>
  </si>
  <si>
    <t>Spearville Jr/Sr High</t>
  </si>
  <si>
    <t>5088</t>
  </si>
  <si>
    <t>Southwest Elem</t>
  </si>
  <si>
    <t>5090</t>
  </si>
  <si>
    <t>Liberty Middle School</t>
  </si>
  <si>
    <t>5092</t>
  </si>
  <si>
    <t>Pratt Sr High</t>
  </si>
  <si>
    <t>5112</t>
  </si>
  <si>
    <t>Amanda Arnold Elem</t>
  </si>
  <si>
    <t>5113</t>
  </si>
  <si>
    <t>Frank V Bergman Elem</t>
  </si>
  <si>
    <t>5114</t>
  </si>
  <si>
    <t>Bluemont Elementary School</t>
  </si>
  <si>
    <t>5124</t>
  </si>
  <si>
    <t>Lee Elem</t>
  </si>
  <si>
    <t>5126</t>
  </si>
  <si>
    <t>Marlatt Elem</t>
  </si>
  <si>
    <t>5128</t>
  </si>
  <si>
    <t>5130</t>
  </si>
  <si>
    <t>Theo Roosevelt Elem</t>
  </si>
  <si>
    <t>5132</t>
  </si>
  <si>
    <t>Woodrow Wilson Elem</t>
  </si>
  <si>
    <t>5135</t>
  </si>
  <si>
    <t>Susan B Anthony Middle School</t>
  </si>
  <si>
    <t>5136</t>
  </si>
  <si>
    <t>Manhattan High School West/East Campus</t>
  </si>
  <si>
    <t>5137</t>
  </si>
  <si>
    <t>Dwight D Eisenhower Middle School</t>
  </si>
  <si>
    <t>5138</t>
  </si>
  <si>
    <t>Ogden Elem</t>
  </si>
  <si>
    <t>5160</t>
  </si>
  <si>
    <t>McCormick Elementary</t>
  </si>
  <si>
    <t>5164</t>
  </si>
  <si>
    <t>Randolph Middle</t>
  </si>
  <si>
    <t>5166</t>
  </si>
  <si>
    <t>5177</t>
  </si>
  <si>
    <t>Cottonwood Elementary</t>
  </si>
  <si>
    <t>5179</t>
  </si>
  <si>
    <t>Andover Middle School</t>
  </si>
  <si>
    <t>5180</t>
  </si>
  <si>
    <t>Andover High</t>
  </si>
  <si>
    <t>5181</t>
  </si>
  <si>
    <t>Robert M. Martin Elementary</t>
  </si>
  <si>
    <t>5182</t>
  </si>
  <si>
    <t>5183</t>
  </si>
  <si>
    <t>5184</t>
  </si>
  <si>
    <t>5185</t>
  </si>
  <si>
    <t>Andover Central Middle School</t>
  </si>
  <si>
    <t>5186</t>
  </si>
  <si>
    <t>Andover Central High School</t>
  </si>
  <si>
    <t>5187</t>
  </si>
  <si>
    <t>Wheatland Elementary</t>
  </si>
  <si>
    <t>5204</t>
  </si>
  <si>
    <t>Andover eCademy</t>
  </si>
  <si>
    <t>5198</t>
  </si>
  <si>
    <t>Madison Elem</t>
  </si>
  <si>
    <t>5202</t>
  </si>
  <si>
    <t>Madison High</t>
  </si>
  <si>
    <t>5215</t>
  </si>
  <si>
    <t>Altoona-Midway Elementary</t>
  </si>
  <si>
    <t>5223</t>
  </si>
  <si>
    <t>Altoona-Midway Middle/High School</t>
  </si>
  <si>
    <t>5236</t>
  </si>
  <si>
    <t>5238</t>
  </si>
  <si>
    <t>Ellis Jr/Sr High</t>
  </si>
  <si>
    <t>5268</t>
  </si>
  <si>
    <t>Eureka Jr/Sr High</t>
  </si>
  <si>
    <t>5287</t>
  </si>
  <si>
    <t>Marshall Elementary School</t>
  </si>
  <si>
    <t>5332</t>
  </si>
  <si>
    <t>Osborne Elem</t>
  </si>
  <si>
    <t>5334</t>
  </si>
  <si>
    <t>Osborne Junior/Senior High</t>
  </si>
  <si>
    <t>5354</t>
  </si>
  <si>
    <t>Solomon Elem</t>
  </si>
  <si>
    <t>5356</t>
  </si>
  <si>
    <t>Solomon High</t>
  </si>
  <si>
    <t>5370</t>
  </si>
  <si>
    <t>Rose Hill Primary</t>
  </si>
  <si>
    <t>5371</t>
  </si>
  <si>
    <t>Rose Hill Middle</t>
  </si>
  <si>
    <t>5372</t>
  </si>
  <si>
    <t>Rose Hill High</t>
  </si>
  <si>
    <t>5374</t>
  </si>
  <si>
    <t>Rose Hill Intermediate</t>
  </si>
  <si>
    <t>5389</t>
  </si>
  <si>
    <t>La Crosse Elementary</t>
  </si>
  <si>
    <t>5390</t>
  </si>
  <si>
    <t>La Crosse High</t>
  </si>
  <si>
    <t>5396</t>
  </si>
  <si>
    <t>La Crosse Middle School</t>
  </si>
  <si>
    <t>5411</t>
  </si>
  <si>
    <t>Leonard C Seal Elem</t>
  </si>
  <si>
    <t>5413</t>
  </si>
  <si>
    <t>Marvin Sisk Middle School</t>
  </si>
  <si>
    <t>5414</t>
  </si>
  <si>
    <t>Douglass High</t>
  </si>
  <si>
    <t>5435</t>
  </si>
  <si>
    <t>Centre</t>
  </si>
  <si>
    <t>5460</t>
  </si>
  <si>
    <t>Peabody-Burns Elementary</t>
  </si>
  <si>
    <t>5462</t>
  </si>
  <si>
    <t>Peabody-Burns Jr/Sr High School</t>
  </si>
  <si>
    <t>5486</t>
  </si>
  <si>
    <t>Natoma Elem</t>
  </si>
  <si>
    <t>5488</t>
  </si>
  <si>
    <t>Natoma High (7-12)</t>
  </si>
  <si>
    <t>5498</t>
  </si>
  <si>
    <t>Smoky Valley Virtual Charter School</t>
  </si>
  <si>
    <t>5504</t>
  </si>
  <si>
    <t>Soderstrom Elem</t>
  </si>
  <si>
    <t>5505</t>
  </si>
  <si>
    <t>Smoky Valley Middle School</t>
  </si>
  <si>
    <t>5506</t>
  </si>
  <si>
    <t>Smoky Valley High</t>
  </si>
  <si>
    <t>5534</t>
  </si>
  <si>
    <t>Chase Elem</t>
  </si>
  <si>
    <t>5536</t>
  </si>
  <si>
    <t>Chase High</t>
  </si>
  <si>
    <t>5538</t>
  </si>
  <si>
    <t>Raymond Jr High</t>
  </si>
  <si>
    <t>5554</t>
  </si>
  <si>
    <t>5555</t>
  </si>
  <si>
    <t>Ewalt Elementary</t>
  </si>
  <si>
    <t>5556</t>
  </si>
  <si>
    <t>5558</t>
  </si>
  <si>
    <t>Robinson Elem</t>
  </si>
  <si>
    <t>5560</t>
  </si>
  <si>
    <t>Augusta Middle School</t>
  </si>
  <si>
    <t>5562</t>
  </si>
  <si>
    <t>Augusta Sr High</t>
  </si>
  <si>
    <t>5587</t>
  </si>
  <si>
    <t>SouthWinds Academy</t>
  </si>
  <si>
    <t>5598</t>
  </si>
  <si>
    <t>Otis-Bison Elementary</t>
  </si>
  <si>
    <t>5600</t>
  </si>
  <si>
    <t>Otis-Bison Junior/Senior High School</t>
  </si>
  <si>
    <t>5620</t>
  </si>
  <si>
    <t>Riverton Elem</t>
  </si>
  <si>
    <t>5621</t>
  </si>
  <si>
    <t>Riverton Middle</t>
  </si>
  <si>
    <t>5622</t>
  </si>
  <si>
    <t>Riverton High</t>
  </si>
  <si>
    <t>5636</t>
  </si>
  <si>
    <t>Lyons Central Elementary</t>
  </si>
  <si>
    <t>5638</t>
  </si>
  <si>
    <t>Lyons Park Elementary</t>
  </si>
  <si>
    <t>5640</t>
  </si>
  <si>
    <t>Lyons Middle School</t>
  </si>
  <si>
    <t>5642</t>
  </si>
  <si>
    <t>Lyons High School</t>
  </si>
  <si>
    <t>5718</t>
  </si>
  <si>
    <t>Bickerdyke Elem</t>
  </si>
  <si>
    <t>5720</t>
  </si>
  <si>
    <t>Simpson Elem</t>
  </si>
  <si>
    <t>5722</t>
  </si>
  <si>
    <t>Ruppenthal Middle</t>
  </si>
  <si>
    <t>5724</t>
  </si>
  <si>
    <t>Russell High</t>
  </si>
  <si>
    <t>5746</t>
  </si>
  <si>
    <t>Marion Middle</t>
  </si>
  <si>
    <t>5748</t>
  </si>
  <si>
    <t>Marion High</t>
  </si>
  <si>
    <t>5750</t>
  </si>
  <si>
    <t>Marion Elem</t>
  </si>
  <si>
    <t>5761</t>
  </si>
  <si>
    <t>Atchison Elementary School</t>
  </si>
  <si>
    <t>5770</t>
  </si>
  <si>
    <t>Atchison High  School</t>
  </si>
  <si>
    <t>5775</t>
  </si>
  <si>
    <t>Central School</t>
  </si>
  <si>
    <t>5776</t>
  </si>
  <si>
    <t>Atchison Middle School</t>
  </si>
  <si>
    <t>5812</t>
  </si>
  <si>
    <t>Hillsboro Elem</t>
  </si>
  <si>
    <t>5814</t>
  </si>
  <si>
    <t>Hillsboro Middle/High School</t>
  </si>
  <si>
    <t>5834</t>
  </si>
  <si>
    <t>Goessel Elem</t>
  </si>
  <si>
    <t>5836</t>
  </si>
  <si>
    <t>Goessel High</t>
  </si>
  <si>
    <t>5852</t>
  </si>
  <si>
    <t>Hoxie Elem</t>
  </si>
  <si>
    <t>5854</t>
  </si>
  <si>
    <t>Hoxie High</t>
  </si>
  <si>
    <t>5871</t>
  </si>
  <si>
    <t>Chanute Elementary School</t>
  </si>
  <si>
    <t>5880</t>
  </si>
  <si>
    <t>Royster Middle School</t>
  </si>
  <si>
    <t>5882</t>
  </si>
  <si>
    <t>Chanute High</t>
  </si>
  <si>
    <t>5936</t>
  </si>
  <si>
    <t>Hiawatha Elem</t>
  </si>
  <si>
    <t>5940</t>
  </si>
  <si>
    <t>Hiawatha Sr High</t>
  </si>
  <si>
    <t>5950</t>
  </si>
  <si>
    <t>Hiawatha Middle School</t>
  </si>
  <si>
    <t>5970</t>
  </si>
  <si>
    <t>Broadmoor Elementary</t>
  </si>
  <si>
    <t>5972</t>
  </si>
  <si>
    <t>Louisburg High</t>
  </si>
  <si>
    <t>5978</t>
  </si>
  <si>
    <t>Louisburg Middle</t>
  </si>
  <si>
    <t>5980</t>
  </si>
  <si>
    <t>Rockville Elementary School</t>
  </si>
  <si>
    <t>5987</t>
  </si>
  <si>
    <t>Prairie Heights Elementary School</t>
  </si>
  <si>
    <t>5990</t>
  </si>
  <si>
    <t>Council Grove Elementary School</t>
  </si>
  <si>
    <t>5994</t>
  </si>
  <si>
    <t>Council Grove Junior Senior High School</t>
  </si>
  <si>
    <t>6028</t>
  </si>
  <si>
    <t>Eisenhower Elementary</t>
  </si>
  <si>
    <t>6030</t>
  </si>
  <si>
    <t>6032</t>
  </si>
  <si>
    <t>Roosevelt Elem</t>
  </si>
  <si>
    <t>6034</t>
  </si>
  <si>
    <t>6038</t>
  </si>
  <si>
    <t>McPherson Middle School</t>
  </si>
  <si>
    <t>6040</t>
  </si>
  <si>
    <t>McPherson High</t>
  </si>
  <si>
    <t>6066</t>
  </si>
  <si>
    <t>Canton-Galva Jr./Sr. High</t>
  </si>
  <si>
    <t>6070</t>
  </si>
  <si>
    <t>Canton-Galva Elementary</t>
  </si>
  <si>
    <t>6088</t>
  </si>
  <si>
    <t>Osage City Elem</t>
  </si>
  <si>
    <t>6090</t>
  </si>
  <si>
    <t>Osage City High</t>
  </si>
  <si>
    <t>6091</t>
  </si>
  <si>
    <t>Osage City Middle School</t>
  </si>
  <si>
    <t>6102</t>
  </si>
  <si>
    <t>Lyndon Elem</t>
  </si>
  <si>
    <t>6104</t>
  </si>
  <si>
    <t>Lyndon High</t>
  </si>
  <si>
    <t>6118</t>
  </si>
  <si>
    <t>Kiowa County Elem/Jr. High</t>
  </si>
  <si>
    <t>6121</t>
  </si>
  <si>
    <t>21st Century Learning Academy/Kiowa County</t>
  </si>
  <si>
    <t>6122</t>
  </si>
  <si>
    <t>Kiowa County High School</t>
  </si>
  <si>
    <t>6140</t>
  </si>
  <si>
    <t>Moundridge Elem</t>
  </si>
  <si>
    <t>6142</t>
  </si>
  <si>
    <t>Moundridge High</t>
  </si>
  <si>
    <t>6146</t>
  </si>
  <si>
    <t>Moundridge Middle</t>
  </si>
  <si>
    <t>6192</t>
  </si>
  <si>
    <t>Pike Valley Elem</t>
  </si>
  <si>
    <t>6194</t>
  </si>
  <si>
    <t>Pike Valley Jr High</t>
  </si>
  <si>
    <t>6206</t>
  </si>
  <si>
    <t>Pike Valley High</t>
  </si>
  <si>
    <t>6256</t>
  </si>
  <si>
    <t>6268</t>
  </si>
  <si>
    <t>6270</t>
  </si>
  <si>
    <t>6274</t>
  </si>
  <si>
    <t>Park Elem</t>
  </si>
  <si>
    <t>6276</t>
  </si>
  <si>
    <t>Riley Elem</t>
  </si>
  <si>
    <t>6280</t>
  </si>
  <si>
    <t>Great Bend Middle School</t>
  </si>
  <si>
    <t>6284</t>
  </si>
  <si>
    <t>Great Bend High School</t>
  </si>
  <si>
    <t>6324</t>
  </si>
  <si>
    <t>Troy Elem</t>
  </si>
  <si>
    <t>6326</t>
  </si>
  <si>
    <t>Troy High and Middle School</t>
  </si>
  <si>
    <t>6344</t>
  </si>
  <si>
    <t>Everest Middle</t>
  </si>
  <si>
    <t>6348</t>
  </si>
  <si>
    <t>Horton Elem</t>
  </si>
  <si>
    <t>6350</t>
  </si>
  <si>
    <t>Horton High</t>
  </si>
  <si>
    <t>6375</t>
  </si>
  <si>
    <t>Lincoln Elementary</t>
  </si>
  <si>
    <t>6377</t>
  </si>
  <si>
    <t>Roosevelt Elementary</t>
  </si>
  <si>
    <t>6378</t>
  </si>
  <si>
    <t>Hoisington Middle</t>
  </si>
  <si>
    <t>6380</t>
  </si>
  <si>
    <t>Hoisington High</t>
  </si>
  <si>
    <t>6399</t>
  </si>
  <si>
    <t>Victoria Elementary</t>
  </si>
  <si>
    <t>6403</t>
  </si>
  <si>
    <t>Victoria Junior-Senior High School</t>
  </si>
  <si>
    <t>6440</t>
  </si>
  <si>
    <t>Carbondale Attendance Center</t>
  </si>
  <si>
    <t>6444</t>
  </si>
  <si>
    <t>Overbrook Attendance Center</t>
  </si>
  <si>
    <t>6446</t>
  </si>
  <si>
    <t>Santa Fe Trail High</t>
  </si>
  <si>
    <t>6464</t>
  </si>
  <si>
    <t>Dwight D. Eisenhower Elementary</t>
  </si>
  <si>
    <t>6466</t>
  </si>
  <si>
    <t>6470</t>
  </si>
  <si>
    <t>6475</t>
  </si>
  <si>
    <t>Abilene Middle School</t>
  </si>
  <si>
    <t>6476</t>
  </si>
  <si>
    <t>Abilene High School</t>
  </si>
  <si>
    <t>6490</t>
  </si>
  <si>
    <t>Lincoln Memorial Elem</t>
  </si>
  <si>
    <t>6491</t>
  </si>
  <si>
    <t>Caney Valley Charter Academy</t>
  </si>
  <si>
    <t>6492</t>
  </si>
  <si>
    <t>Caney Valley High</t>
  </si>
  <si>
    <t>6512</t>
  </si>
  <si>
    <t>Auburn Elementary</t>
  </si>
  <si>
    <t>6513</t>
  </si>
  <si>
    <t>Farley Elementary</t>
  </si>
  <si>
    <t>6517</t>
  </si>
  <si>
    <t>Indian Hills Elementary</t>
  </si>
  <si>
    <t>6518</t>
  </si>
  <si>
    <t>Pauline Central Primary</t>
  </si>
  <si>
    <t>6522</t>
  </si>
  <si>
    <t>Pauline South Intermediate</t>
  </si>
  <si>
    <t>6527</t>
  </si>
  <si>
    <t>Washburn Rural Middle School</t>
  </si>
  <si>
    <t>6528</t>
  </si>
  <si>
    <t>Wanamaker Elem</t>
  </si>
  <si>
    <t>6530</t>
  </si>
  <si>
    <t>Jay Shideler Elementary</t>
  </si>
  <si>
    <t>6532</t>
  </si>
  <si>
    <t>Washburn Rural High</t>
  </si>
  <si>
    <t>6559</t>
  </si>
  <si>
    <t>Skyline Elem</t>
  </si>
  <si>
    <t>6560</t>
  </si>
  <si>
    <t>Skyline High</t>
  </si>
  <si>
    <t>6572</t>
  </si>
  <si>
    <t>R L Wright  Elem</t>
  </si>
  <si>
    <t>6574</t>
  </si>
  <si>
    <t>Sedgwick High</t>
  </si>
  <si>
    <t>6586</t>
  </si>
  <si>
    <t>Bentley Primary School</t>
  </si>
  <si>
    <t>6592</t>
  </si>
  <si>
    <t>Halstead Middle School</t>
  </si>
  <si>
    <t>6594</t>
  </si>
  <si>
    <t>Halstead High</t>
  </si>
  <si>
    <t>6674</t>
  </si>
  <si>
    <t>6678</t>
  </si>
  <si>
    <t>Miller Elem</t>
  </si>
  <si>
    <t>6680</t>
  </si>
  <si>
    <t>Northwest Elem</t>
  </si>
  <si>
    <t>6682</t>
  </si>
  <si>
    <t>Sunnyside Elem</t>
  </si>
  <si>
    <t>6684</t>
  </si>
  <si>
    <t>Dodge City Middle School</t>
  </si>
  <si>
    <t>6685</t>
  </si>
  <si>
    <t>Ross Elementary School</t>
  </si>
  <si>
    <t>6686</t>
  </si>
  <si>
    <t>Dodge City High School</t>
  </si>
  <si>
    <t>6687</t>
  </si>
  <si>
    <t>Beeson Elementary</t>
  </si>
  <si>
    <t>6688</t>
  </si>
  <si>
    <t>Linn Elementary</t>
  </si>
  <si>
    <t>6689</t>
  </si>
  <si>
    <t>Soule Elementary School</t>
  </si>
  <si>
    <t>6702</t>
  </si>
  <si>
    <t>Wilroads Gardens Elem</t>
  </si>
  <si>
    <t>6707</t>
  </si>
  <si>
    <t>Comanche Middle School</t>
  </si>
  <si>
    <t>6726</t>
  </si>
  <si>
    <t>Little River Junior High</t>
  </si>
  <si>
    <t>6728</t>
  </si>
  <si>
    <t>Little River High</t>
  </si>
  <si>
    <t>6734</t>
  </si>
  <si>
    <t>Windom Elem</t>
  </si>
  <si>
    <t>6756</t>
  </si>
  <si>
    <t>Community Elementary</t>
  </si>
  <si>
    <t>6770</t>
  </si>
  <si>
    <t>Roosevelt Middle</t>
  </si>
  <si>
    <t>6772</t>
  </si>
  <si>
    <t>Field Kindley High</t>
  </si>
  <si>
    <t>6821</t>
  </si>
  <si>
    <t>6825</t>
  </si>
  <si>
    <t>Jefferson School</t>
  </si>
  <si>
    <t>6828</t>
  </si>
  <si>
    <t>Independence Middle</t>
  </si>
  <si>
    <t>6830</t>
  </si>
  <si>
    <t>Independence Sr High</t>
  </si>
  <si>
    <t>6870</t>
  </si>
  <si>
    <t>Lincoln Central Elem</t>
  </si>
  <si>
    <t>6871</t>
  </si>
  <si>
    <t>Thayer Schools</t>
  </si>
  <si>
    <t>6876</t>
  </si>
  <si>
    <t>Cherryvale Sr / Middle School</t>
  </si>
  <si>
    <t>6896</t>
  </si>
  <si>
    <t>Inman Elem</t>
  </si>
  <si>
    <t>6898</t>
  </si>
  <si>
    <t>Inman Jr/Sr High School</t>
  </si>
  <si>
    <t>6917</t>
  </si>
  <si>
    <t>6918</t>
  </si>
  <si>
    <t>Pleasant Ridge High</t>
  </si>
  <si>
    <t>6919</t>
  </si>
  <si>
    <t>Pleasant Ridge Elementary</t>
  </si>
  <si>
    <t>6938</t>
  </si>
  <si>
    <t>Berryton Elem</t>
  </si>
  <si>
    <t>6940</t>
  </si>
  <si>
    <t>Shawnee Heights Elem</t>
  </si>
  <si>
    <t>6944</t>
  </si>
  <si>
    <t>Shawnee Heights High</t>
  </si>
  <si>
    <t>6945</t>
  </si>
  <si>
    <t>Shawnee Heights Middle</t>
  </si>
  <si>
    <t>6946</t>
  </si>
  <si>
    <t>Tecumseh North Elem</t>
  </si>
  <si>
    <t>6948</t>
  </si>
  <si>
    <t>Tecumseh South Elem</t>
  </si>
  <si>
    <t>6982</t>
  </si>
  <si>
    <t>Stanton County Elementary</t>
  </si>
  <si>
    <t>6984</t>
  </si>
  <si>
    <t>Stanton County Jr./Sr. High School</t>
  </si>
  <si>
    <t>7020</t>
  </si>
  <si>
    <t>Leavenworth Sr High</t>
  </si>
  <si>
    <t>7026</t>
  </si>
  <si>
    <t>Leavenworth Virtual School</t>
  </si>
  <si>
    <t>7028</t>
  </si>
  <si>
    <t>Henry Leavenworth</t>
  </si>
  <si>
    <t>7029</t>
  </si>
  <si>
    <t>Anthony Elementary</t>
  </si>
  <si>
    <t>7031</t>
  </si>
  <si>
    <t>David Brewer Elementary</t>
  </si>
  <si>
    <t>7033</t>
  </si>
  <si>
    <t>Richard Warren Middle School</t>
  </si>
  <si>
    <t>7037</t>
  </si>
  <si>
    <t>Earl Lawson Elementary</t>
  </si>
  <si>
    <t>7057</t>
  </si>
  <si>
    <t>Burlingame Elementary</t>
  </si>
  <si>
    <t>7058</t>
  </si>
  <si>
    <t>Burlingame Junior/Senior High</t>
  </si>
  <si>
    <t>7094</t>
  </si>
  <si>
    <t>Marais Des Cygnes Valley Elem</t>
  </si>
  <si>
    <t>7096</t>
  </si>
  <si>
    <t>Marais Des Cygnes Valley High</t>
  </si>
  <si>
    <t>7104</t>
  </si>
  <si>
    <t>Marais Des Cygnes Valley Middle</t>
  </si>
  <si>
    <t>7115</t>
  </si>
  <si>
    <t>Edith Scheuerman Elem</t>
  </si>
  <si>
    <t>7118</t>
  </si>
  <si>
    <t>Alta Brown Elem</t>
  </si>
  <si>
    <t>7119</t>
  </si>
  <si>
    <t>Florence Wilson Elem</t>
  </si>
  <si>
    <t>7120</t>
  </si>
  <si>
    <t>Abe Hubert Elementary School</t>
  </si>
  <si>
    <t>7124</t>
  </si>
  <si>
    <t>Buffalo Jones Elem</t>
  </si>
  <si>
    <t>7126</t>
  </si>
  <si>
    <t>Georgia Matthews Elem</t>
  </si>
  <si>
    <t>7128</t>
  </si>
  <si>
    <t>Horace J. Good Middle School</t>
  </si>
  <si>
    <t>7130</t>
  </si>
  <si>
    <t>Garden City High School</t>
  </si>
  <si>
    <t>7131</t>
  </si>
  <si>
    <t>Gertrude Walker Elem</t>
  </si>
  <si>
    <t>7132</t>
  </si>
  <si>
    <t>Jennie Barker Elem</t>
  </si>
  <si>
    <t>7133</t>
  </si>
  <si>
    <t>Jennie Wilson Elem</t>
  </si>
  <si>
    <t>7138</t>
  </si>
  <si>
    <t>Kenneth Henderson Middle</t>
  </si>
  <si>
    <t>7140</t>
  </si>
  <si>
    <t>Plymell Elementary</t>
  </si>
  <si>
    <t>7143</t>
  </si>
  <si>
    <t>Victor Ornelas Elem</t>
  </si>
  <si>
    <t>7147</t>
  </si>
  <si>
    <t>Bernadine Sitts Intermediate Ctr</t>
  </si>
  <si>
    <t>7148</t>
  </si>
  <si>
    <t>Charles O Stones Intermediate Ctr</t>
  </si>
  <si>
    <t>7177</t>
  </si>
  <si>
    <t>Garden City Alternate Education Center</t>
  </si>
  <si>
    <t>7160</t>
  </si>
  <si>
    <t>Basehor Elementary School</t>
  </si>
  <si>
    <t>7164</t>
  </si>
  <si>
    <t>Basehor-Linwood High School</t>
  </si>
  <si>
    <t>7170</t>
  </si>
  <si>
    <t>Linwood Elementary School</t>
  </si>
  <si>
    <t>7172</t>
  </si>
  <si>
    <t>Basehor-Linwood Middle School</t>
  </si>
  <si>
    <t>7175</t>
  </si>
  <si>
    <t>Glenwood Ridge Elementary School</t>
  </si>
  <si>
    <t>7184</t>
  </si>
  <si>
    <t>Bucklin Elem</t>
  </si>
  <si>
    <t>7186</t>
  </si>
  <si>
    <t>Bucklin High</t>
  </si>
  <si>
    <t>7206</t>
  </si>
  <si>
    <t>Hesston Elem</t>
  </si>
  <si>
    <t>7208</t>
  </si>
  <si>
    <t>Hesston Middle</t>
  </si>
  <si>
    <t>7210</t>
  </si>
  <si>
    <t>Hesston High</t>
  </si>
  <si>
    <t>7226</t>
  </si>
  <si>
    <t>Heller Elem</t>
  </si>
  <si>
    <t>7228</t>
  </si>
  <si>
    <t>North Lawn Elem</t>
  </si>
  <si>
    <t>7232</t>
  </si>
  <si>
    <t>Neodesha High</t>
  </si>
  <si>
    <t>7246</t>
  </si>
  <si>
    <t>7254</t>
  </si>
  <si>
    <t>Central Jr-Sr High</t>
  </si>
  <si>
    <t>7270</t>
  </si>
  <si>
    <t>Udall Elem</t>
  </si>
  <si>
    <t>7271</t>
  </si>
  <si>
    <t>Udall Middle School</t>
  </si>
  <si>
    <t>7272</t>
  </si>
  <si>
    <t>Udall High</t>
  </si>
  <si>
    <t>7298</t>
  </si>
  <si>
    <t>Tonganoxie High</t>
  </si>
  <si>
    <t>7299</t>
  </si>
  <si>
    <t>Tonganoxie Middle School</t>
  </si>
  <si>
    <t>7300</t>
  </si>
  <si>
    <t>Tonganoxie Elem</t>
  </si>
  <si>
    <t>7310</t>
  </si>
  <si>
    <t>Country View Elem</t>
  </si>
  <si>
    <t>7324</t>
  </si>
  <si>
    <t>Irving Elem</t>
  </si>
  <si>
    <t>7326</t>
  </si>
  <si>
    <t>Lowell Elem</t>
  </si>
  <si>
    <t>7330</t>
  </si>
  <si>
    <t>Whittier Elem</t>
  </si>
  <si>
    <t>7332</t>
  </si>
  <si>
    <t>Winfield High</t>
  </si>
  <si>
    <t>7333</t>
  </si>
  <si>
    <t>Winfield Middle School</t>
  </si>
  <si>
    <t>7356</t>
  </si>
  <si>
    <t>Scott City Lower Elem</t>
  </si>
  <si>
    <t>7358</t>
  </si>
  <si>
    <t>Scott City Middle</t>
  </si>
  <si>
    <t>7360</t>
  </si>
  <si>
    <t>Scott City High</t>
  </si>
  <si>
    <t>7382</t>
  </si>
  <si>
    <t>Wichita County Elementary</t>
  </si>
  <si>
    <t>7385</t>
  </si>
  <si>
    <t>Wichita County Junior-Senior High School</t>
  </si>
  <si>
    <t>7402</t>
  </si>
  <si>
    <t>Healy Elem</t>
  </si>
  <si>
    <t>7404</t>
  </si>
  <si>
    <t>Healy High</t>
  </si>
  <si>
    <t>7420</t>
  </si>
  <si>
    <t>Lansing Middle 6-8</t>
  </si>
  <si>
    <t>7423</t>
  </si>
  <si>
    <t>Lansing Elementary School</t>
  </si>
  <si>
    <t>7426</t>
  </si>
  <si>
    <t>Lansing High 9-12</t>
  </si>
  <si>
    <t>7440</t>
  </si>
  <si>
    <t>7442</t>
  </si>
  <si>
    <t>Frances Willard Elem</t>
  </si>
  <si>
    <t>7443</t>
  </si>
  <si>
    <t>7448</t>
  </si>
  <si>
    <t>7454</t>
  </si>
  <si>
    <t>Arkansas City Middle Sch</t>
  </si>
  <si>
    <t>7456</t>
  </si>
  <si>
    <t>Arkansas City High</t>
  </si>
  <si>
    <t>7458</t>
  </si>
  <si>
    <t>C 4 Elem</t>
  </si>
  <si>
    <t>7466</t>
  </si>
  <si>
    <t>I X L Elem</t>
  </si>
  <si>
    <t>7492</t>
  </si>
  <si>
    <t>Dexter Elem</t>
  </si>
  <si>
    <t>7494</t>
  </si>
  <si>
    <t>Dexter High</t>
  </si>
  <si>
    <t>7534</t>
  </si>
  <si>
    <t>Blue Ridge Elem</t>
  </si>
  <si>
    <t>7540</t>
  </si>
  <si>
    <t>Chapman Elem</t>
  </si>
  <si>
    <t>7541</t>
  </si>
  <si>
    <t>Chapman Middle School</t>
  </si>
  <si>
    <t>7542</t>
  </si>
  <si>
    <t>Chapman High</t>
  </si>
  <si>
    <t>7546</t>
  </si>
  <si>
    <t>7552</t>
  </si>
  <si>
    <t>Rural Center Elem</t>
  </si>
  <si>
    <t>7574</t>
  </si>
  <si>
    <t>Haviland Elem</t>
  </si>
  <si>
    <t>7592</t>
  </si>
  <si>
    <t>Grandview Elem</t>
  </si>
  <si>
    <t>7593</t>
  </si>
  <si>
    <t>Spring Valley Elementary</t>
  </si>
  <si>
    <t>7598</t>
  </si>
  <si>
    <t>7600</t>
  </si>
  <si>
    <t>Fort Riley Elem</t>
  </si>
  <si>
    <t>7601</t>
  </si>
  <si>
    <t>LTG Richard J. Seitz Elementary</t>
  </si>
  <si>
    <t>7602</t>
  </si>
  <si>
    <t>7604</t>
  </si>
  <si>
    <t>7606</t>
  </si>
  <si>
    <t>7608</t>
  </si>
  <si>
    <t>Morris Hill Elem</t>
  </si>
  <si>
    <t>7610</t>
  </si>
  <si>
    <t>Sheridan Elem</t>
  </si>
  <si>
    <t>7612</t>
  </si>
  <si>
    <t>7614</t>
  </si>
  <si>
    <t>Westwood Elem</t>
  </si>
  <si>
    <t>7616</t>
  </si>
  <si>
    <t>Fort Riley Middle School</t>
  </si>
  <si>
    <t>7618</t>
  </si>
  <si>
    <t>Junction City Middle School</t>
  </si>
  <si>
    <t>7620</t>
  </si>
  <si>
    <t>Junction City Sr High</t>
  </si>
  <si>
    <t>7624</t>
  </si>
  <si>
    <t>Milford Elem</t>
  </si>
  <si>
    <t>7630</t>
  </si>
  <si>
    <t>Ware Elem</t>
  </si>
  <si>
    <t>7648</t>
  </si>
  <si>
    <t>Copeland Elem</t>
  </si>
  <si>
    <t>7651</t>
  </si>
  <si>
    <t>South Gray Jr High</t>
  </si>
  <si>
    <t>7664</t>
  </si>
  <si>
    <t>Ingalls Elem</t>
  </si>
  <si>
    <t>7666</t>
  </si>
  <si>
    <t>Ingalls High School/Junior High</t>
  </si>
  <si>
    <t>7692</t>
  </si>
  <si>
    <t>Crest Elementary</t>
  </si>
  <si>
    <t>7694</t>
  </si>
  <si>
    <t>Crest High</t>
  </si>
  <si>
    <t>7715</t>
  </si>
  <si>
    <t>Cottonwood Elementary School</t>
  </si>
  <si>
    <t>7718</t>
  </si>
  <si>
    <t>MacArthur Elementary School</t>
  </si>
  <si>
    <t>7725</t>
  </si>
  <si>
    <t>7732</t>
  </si>
  <si>
    <t>Liberal Sr High</t>
  </si>
  <si>
    <t>7736</t>
  </si>
  <si>
    <t>Eisenhower Middle School</t>
  </si>
  <si>
    <t>7737</t>
  </si>
  <si>
    <t>Prairie View Elementary School</t>
  </si>
  <si>
    <t>7738</t>
  </si>
  <si>
    <t>Meadowlark Elementary School</t>
  </si>
  <si>
    <t>7739</t>
  </si>
  <si>
    <t>Seymour Rogers Middle School</t>
  </si>
  <si>
    <t>7750</t>
  </si>
  <si>
    <t>Hope Elem</t>
  </si>
  <si>
    <t>7752</t>
  </si>
  <si>
    <t>Hope High</t>
  </si>
  <si>
    <t>7758</t>
  </si>
  <si>
    <t>White City Elem</t>
  </si>
  <si>
    <t>7760</t>
  </si>
  <si>
    <t>White City High</t>
  </si>
  <si>
    <t>7778</t>
  </si>
  <si>
    <t>Dighton Elem</t>
  </si>
  <si>
    <t>7782</t>
  </si>
  <si>
    <t>Dighton High</t>
  </si>
  <si>
    <t>7798</t>
  </si>
  <si>
    <t>Kismet Elem</t>
  </si>
  <si>
    <t>7800</t>
  </si>
  <si>
    <t>Plains Elem</t>
  </si>
  <si>
    <t>7804</t>
  </si>
  <si>
    <t>Southwestern Heights Jr/Sr High</t>
  </si>
  <si>
    <t>7888</t>
  </si>
  <si>
    <t>Herington Elem</t>
  </si>
  <si>
    <t>7890</t>
  </si>
  <si>
    <t>Herington Middle Sch</t>
  </si>
  <si>
    <t>7892</t>
  </si>
  <si>
    <t>Herington High</t>
  </si>
  <si>
    <t>7946</t>
  </si>
  <si>
    <t>7950</t>
  </si>
  <si>
    <t>7954</t>
  </si>
  <si>
    <t>Hays High</t>
  </si>
  <si>
    <t>7956</t>
  </si>
  <si>
    <t>Kathryn O'Loughlin McCarthy Elem</t>
  </si>
  <si>
    <t>7959</t>
  </si>
  <si>
    <t>7990</t>
  </si>
  <si>
    <t>8000</t>
  </si>
  <si>
    <t>El Dorado Middle</t>
  </si>
  <si>
    <t>8002</t>
  </si>
  <si>
    <t>El Dorado High</t>
  </si>
  <si>
    <t>8009</t>
  </si>
  <si>
    <t>Skelly Elementary School</t>
  </si>
  <si>
    <t>8022</t>
  </si>
  <si>
    <t>Eudora Elementary School</t>
  </si>
  <si>
    <t>8023</t>
  </si>
  <si>
    <t>Eudora High  School</t>
  </si>
  <si>
    <t>8029</t>
  </si>
  <si>
    <t>Eudora Middle School</t>
  </si>
  <si>
    <t>8038</t>
  </si>
  <si>
    <t>Flinthills Primary School</t>
  </si>
  <si>
    <t>8046</t>
  </si>
  <si>
    <t>Flinthills Intermediate School</t>
  </si>
  <si>
    <t>8050</t>
  </si>
  <si>
    <t>Flinthills Middle School</t>
  </si>
  <si>
    <t>8051</t>
  </si>
  <si>
    <t>Flinthills High School</t>
  </si>
  <si>
    <t>8064</t>
  </si>
  <si>
    <t>Highland Elem</t>
  </si>
  <si>
    <t>8066</t>
  </si>
  <si>
    <t>8068</t>
  </si>
  <si>
    <t>8070</t>
  </si>
  <si>
    <t>Columbus High</t>
  </si>
  <si>
    <t>8110</t>
  </si>
  <si>
    <t>Syracuse Elem</t>
  </si>
  <si>
    <t>8114</t>
  </si>
  <si>
    <t>Syracuse High</t>
  </si>
  <si>
    <t>8133</t>
  </si>
  <si>
    <t>Fort Larned Elementary School</t>
  </si>
  <si>
    <t>8140</t>
  </si>
  <si>
    <t>Larned Middle School</t>
  </si>
  <si>
    <t>8142</t>
  </si>
  <si>
    <t>Larned Sr High</t>
  </si>
  <si>
    <t>8167</t>
  </si>
  <si>
    <t>Pawnee Heights</t>
  </si>
  <si>
    <t>8185</t>
  </si>
  <si>
    <t>Lawrence Virtual School</t>
  </si>
  <si>
    <t>8189</t>
  </si>
  <si>
    <t>8190</t>
  </si>
  <si>
    <t>Prairie Park Elem</t>
  </si>
  <si>
    <t>8191</t>
  </si>
  <si>
    <t>Broken Arrow Elem</t>
  </si>
  <si>
    <t>8194</t>
  </si>
  <si>
    <t>Cordley Elem</t>
  </si>
  <si>
    <t>8195</t>
  </si>
  <si>
    <t>8198</t>
  </si>
  <si>
    <t>Hillcrest Elem</t>
  </si>
  <si>
    <t>8200</t>
  </si>
  <si>
    <t>8202</t>
  </si>
  <si>
    <t>Quail Run Elementary</t>
  </si>
  <si>
    <t>8204</t>
  </si>
  <si>
    <t>New York Elem</t>
  </si>
  <si>
    <t>8206</t>
  </si>
  <si>
    <t>Pinckney Elem</t>
  </si>
  <si>
    <t>8208</t>
  </si>
  <si>
    <t>Schwegler Elem</t>
  </si>
  <si>
    <t>8210</t>
  </si>
  <si>
    <t>Sunset Hill Elem</t>
  </si>
  <si>
    <t>8212</t>
  </si>
  <si>
    <t>Woodlawn Elem</t>
  </si>
  <si>
    <t>8213</t>
  </si>
  <si>
    <t>Langston Hughes Elem</t>
  </si>
  <si>
    <t>8214</t>
  </si>
  <si>
    <t>Lawrence Liberty Memorial Central Mid School</t>
  </si>
  <si>
    <t>8215</t>
  </si>
  <si>
    <t>8216</t>
  </si>
  <si>
    <t>Lawrence West Middle School</t>
  </si>
  <si>
    <t>8217</t>
  </si>
  <si>
    <t>Lawrence Southwest Middle School</t>
  </si>
  <si>
    <t>8218</t>
  </si>
  <si>
    <t>Lawrence High</t>
  </si>
  <si>
    <t>8224</t>
  </si>
  <si>
    <t>Lawrence Free State High</t>
  </si>
  <si>
    <t>8238</t>
  </si>
  <si>
    <t>Valley Heights Elem</t>
  </si>
  <si>
    <t>8246</t>
  </si>
  <si>
    <t>8252</t>
  </si>
  <si>
    <t>Valley Heights Jr/Sr High</t>
  </si>
  <si>
    <t>8264</t>
  </si>
  <si>
    <t>Liberty Elem</t>
  </si>
  <si>
    <t>8268</t>
  </si>
  <si>
    <t>Spring Grove Primary Center</t>
  </si>
  <si>
    <t>8270</t>
  </si>
  <si>
    <t>Galena Middle School</t>
  </si>
  <si>
    <t>8274</t>
  </si>
  <si>
    <t>Galena High</t>
  </si>
  <si>
    <t>8279</t>
  </si>
  <si>
    <t>Banneker Elem</t>
  </si>
  <si>
    <t>8281</t>
  </si>
  <si>
    <t>McKinley Elementary School</t>
  </si>
  <si>
    <t>8282</t>
  </si>
  <si>
    <t>Silver City Elem</t>
  </si>
  <si>
    <t>8284</t>
  </si>
  <si>
    <t>Chelsea Elem</t>
  </si>
  <si>
    <t>8285</t>
  </si>
  <si>
    <t>Douglass Elem</t>
  </si>
  <si>
    <t>8287</t>
  </si>
  <si>
    <t>Thomas A Edison Elem</t>
  </si>
  <si>
    <t>8288</t>
  </si>
  <si>
    <t>Emerson Elem</t>
  </si>
  <si>
    <t>8290</t>
  </si>
  <si>
    <t>John Fiske Elem</t>
  </si>
  <si>
    <t>8292</t>
  </si>
  <si>
    <t>Grant Elem</t>
  </si>
  <si>
    <t>8293</t>
  </si>
  <si>
    <t>Bertram Caruthers Elem</t>
  </si>
  <si>
    <t>8298</t>
  </si>
  <si>
    <t>Mark Twain Elem</t>
  </si>
  <si>
    <t>8303</t>
  </si>
  <si>
    <t>Noble Prentis Elem</t>
  </si>
  <si>
    <t>8305</t>
  </si>
  <si>
    <t>Quindaro Elem</t>
  </si>
  <si>
    <t>8308</t>
  </si>
  <si>
    <t>Frank Rushton Elem</t>
  </si>
  <si>
    <t>8309</t>
  </si>
  <si>
    <t>New Stanley Elem</t>
  </si>
  <si>
    <t>8311</t>
  </si>
  <si>
    <t>8312</t>
  </si>
  <si>
    <t>Wm A White Elem</t>
  </si>
  <si>
    <t>8313</t>
  </si>
  <si>
    <t>8315</t>
  </si>
  <si>
    <t>8316</t>
  </si>
  <si>
    <t>Central Middle</t>
  </si>
  <si>
    <t>8317</t>
  </si>
  <si>
    <t>Northwest Middle</t>
  </si>
  <si>
    <t>8318</t>
  </si>
  <si>
    <t>Parker Elementary School</t>
  </si>
  <si>
    <t>8319</t>
  </si>
  <si>
    <t>West Middle</t>
  </si>
  <si>
    <t>8320</t>
  </si>
  <si>
    <t>Argentine Middle</t>
  </si>
  <si>
    <t>8321</t>
  </si>
  <si>
    <t>Rosedale Middle</t>
  </si>
  <si>
    <t>8322</t>
  </si>
  <si>
    <t>Sumner Academy of Arts &amp; Science</t>
  </si>
  <si>
    <t>8323</t>
  </si>
  <si>
    <t>Wyandotte High</t>
  </si>
  <si>
    <t>8324</t>
  </si>
  <si>
    <t>Arrowhead Middle</t>
  </si>
  <si>
    <t>8326</t>
  </si>
  <si>
    <t>Bethel Elem</t>
  </si>
  <si>
    <t>8327</t>
  </si>
  <si>
    <t>J C Harmon High</t>
  </si>
  <si>
    <t>8328</t>
  </si>
  <si>
    <t>Coronado Middle</t>
  </si>
  <si>
    <t>8329</t>
  </si>
  <si>
    <t>F L Schlagle High</t>
  </si>
  <si>
    <t>8330</t>
  </si>
  <si>
    <t>Claude A Huyck Elem</t>
  </si>
  <si>
    <t>8331</t>
  </si>
  <si>
    <t>D D Eisenhower Middle</t>
  </si>
  <si>
    <t>8332</t>
  </si>
  <si>
    <t>Hazel Grove Elem</t>
  </si>
  <si>
    <t>8340</t>
  </si>
  <si>
    <t>John F Kennedy Elem</t>
  </si>
  <si>
    <t>8342</t>
  </si>
  <si>
    <t>Lindbergh Elem</t>
  </si>
  <si>
    <t>8346</t>
  </si>
  <si>
    <t>Stony Point South</t>
  </si>
  <si>
    <t>8348</t>
  </si>
  <si>
    <t>Stony Point North</t>
  </si>
  <si>
    <t>8350</t>
  </si>
  <si>
    <t>Washington High</t>
  </si>
  <si>
    <t>8352</t>
  </si>
  <si>
    <t>Welborn Elem</t>
  </si>
  <si>
    <t>8354</t>
  </si>
  <si>
    <t>White Church Elem</t>
  </si>
  <si>
    <t>8358</t>
  </si>
  <si>
    <t>M E Pearson Elem</t>
  </si>
  <si>
    <t>8402</t>
  </si>
  <si>
    <t>Fairfax Learning Center</t>
  </si>
  <si>
    <t>8403</t>
  </si>
  <si>
    <t>500 Reach</t>
  </si>
  <si>
    <t>8405</t>
  </si>
  <si>
    <t>Gateway to College</t>
  </si>
  <si>
    <t>8406</t>
  </si>
  <si>
    <t>Bridges/Wyandot Academy</t>
  </si>
  <si>
    <t>8446</t>
  </si>
  <si>
    <t>Avondale West</t>
  </si>
  <si>
    <t>8452</t>
  </si>
  <si>
    <t>Chase Middle School</t>
  </si>
  <si>
    <t>8453</t>
  </si>
  <si>
    <t>Jardine Elementary</t>
  </si>
  <si>
    <t>8462</t>
  </si>
  <si>
    <t>Highland Park Central</t>
  </si>
  <si>
    <t>8465</t>
  </si>
  <si>
    <t>Ross Elementary</t>
  </si>
  <si>
    <t>8467</t>
  </si>
  <si>
    <t>Hope Street Charter Academy</t>
  </si>
  <si>
    <t>8472</t>
  </si>
  <si>
    <t>Lowman Hill Elem</t>
  </si>
  <si>
    <t>8480</t>
  </si>
  <si>
    <t>McCarter Elem</t>
  </si>
  <si>
    <t>8482</t>
  </si>
  <si>
    <t>McClure Elem</t>
  </si>
  <si>
    <t>8484</t>
  </si>
  <si>
    <t>McEachron Elem</t>
  </si>
  <si>
    <t>8486</t>
  </si>
  <si>
    <t>Meadows Elementary</t>
  </si>
  <si>
    <t>8494</t>
  </si>
  <si>
    <t>Quincy Elem</t>
  </si>
  <si>
    <t>8498</t>
  </si>
  <si>
    <t>Randolph Elem</t>
  </si>
  <si>
    <t>8499</t>
  </si>
  <si>
    <t>Scott Dual Language Magnet</t>
  </si>
  <si>
    <t>8501</t>
  </si>
  <si>
    <t>8504</t>
  </si>
  <si>
    <t>State Street Elem</t>
  </si>
  <si>
    <t>8506</t>
  </si>
  <si>
    <t>Stout Elem</t>
  </si>
  <si>
    <t>8512</t>
  </si>
  <si>
    <t>Whitson Elem</t>
  </si>
  <si>
    <t>8513</t>
  </si>
  <si>
    <t>Williams Science and Fine Arts Magnet School</t>
  </si>
  <si>
    <t>8524</t>
  </si>
  <si>
    <t>8530</t>
  </si>
  <si>
    <t>Jardine Middle School</t>
  </si>
  <si>
    <t>8532</t>
  </si>
  <si>
    <t>Landon Middle School</t>
  </si>
  <si>
    <t>8533</t>
  </si>
  <si>
    <t>Marjorie French Middle School</t>
  </si>
  <si>
    <t>8536</t>
  </si>
  <si>
    <t>Highland Park High</t>
  </si>
  <si>
    <t>8538</t>
  </si>
  <si>
    <t>Topeka High</t>
  </si>
  <si>
    <t>8540</t>
  </si>
  <si>
    <t>Topeka West High</t>
  </si>
  <si>
    <t>8552</t>
  </si>
  <si>
    <t>Capital City</t>
  </si>
  <si>
    <t>8580</t>
  </si>
  <si>
    <t>Lewis Elem</t>
  </si>
  <si>
    <t>8594</t>
  </si>
  <si>
    <t>Parsons Middle School</t>
  </si>
  <si>
    <t>8596</t>
  </si>
  <si>
    <t>Parsons Sr High</t>
  </si>
  <si>
    <t>8602</t>
  </si>
  <si>
    <t>Garfield School</t>
  </si>
  <si>
    <t>8603</t>
  </si>
  <si>
    <t>Guthridge School</t>
  </si>
  <si>
    <t>8604</t>
  </si>
  <si>
    <t>Lincoln School</t>
  </si>
  <si>
    <t>8622</t>
  </si>
  <si>
    <t>Oswego Neosho Hgts Elem</t>
  </si>
  <si>
    <t>8623</t>
  </si>
  <si>
    <t>Service Valley Charter Academy</t>
  </si>
  <si>
    <t>8624</t>
  </si>
  <si>
    <t>Oswego Junior-Senior High School</t>
  </si>
  <si>
    <t>8370</t>
  </si>
  <si>
    <t>St. Paul Elementary School</t>
  </si>
  <si>
    <t>8372</t>
  </si>
  <si>
    <t>St. Paul High School</t>
  </si>
  <si>
    <t>8373</t>
  </si>
  <si>
    <t>St. Paul Middle School</t>
  </si>
  <si>
    <t>8636</t>
  </si>
  <si>
    <t>Chetopa Elem</t>
  </si>
  <si>
    <t>8638</t>
  </si>
  <si>
    <t>Chetopa High</t>
  </si>
  <si>
    <t>8652</t>
  </si>
  <si>
    <t>Altamont Elem</t>
  </si>
  <si>
    <t>8654</t>
  </si>
  <si>
    <t>Labette County High School</t>
  </si>
  <si>
    <t>8658</t>
  </si>
  <si>
    <t>Bartlett Elem</t>
  </si>
  <si>
    <t>8666</t>
  </si>
  <si>
    <t>Edna Elem</t>
  </si>
  <si>
    <t>8680</t>
  </si>
  <si>
    <t>Meadowview Elem</t>
  </si>
  <si>
    <t>8684</t>
  </si>
  <si>
    <t>Mound Valley Elem</t>
  </si>
  <si>
    <t>8694</t>
  </si>
  <si>
    <t>Satanta Elem</t>
  </si>
  <si>
    <t>8696</t>
  </si>
  <si>
    <t>Satanta Jr-Sr High</t>
  </si>
  <si>
    <t>8702</t>
  </si>
  <si>
    <t>8704</t>
  </si>
  <si>
    <t>8710</t>
  </si>
  <si>
    <t>Baxter Springs High</t>
  </si>
  <si>
    <t>8742</t>
  </si>
  <si>
    <t>South Haven Elem</t>
  </si>
  <si>
    <t>8744</t>
  </si>
  <si>
    <t>South Haven High</t>
  </si>
  <si>
    <t>8762</t>
  </si>
  <si>
    <t>Puls Elem</t>
  </si>
  <si>
    <t>8764</t>
  </si>
  <si>
    <t>Attica High</t>
  </si>
  <si>
    <t>8774</t>
  </si>
  <si>
    <t>East Antioch Elem</t>
  </si>
  <si>
    <t>8776</t>
  </si>
  <si>
    <t>Apache Elem</t>
  </si>
  <si>
    <t>8782</t>
  </si>
  <si>
    <t>Belinder Elem</t>
  </si>
  <si>
    <t>8784</t>
  </si>
  <si>
    <t>Bluejacket-Flint</t>
  </si>
  <si>
    <t>8786</t>
  </si>
  <si>
    <t>8787</t>
  </si>
  <si>
    <t>8788</t>
  </si>
  <si>
    <t>Brookridge Elem</t>
  </si>
  <si>
    <t>8790</t>
  </si>
  <si>
    <t>Brookwood Elem</t>
  </si>
  <si>
    <t>8791</t>
  </si>
  <si>
    <t>Christa McAuliffe Elem</t>
  </si>
  <si>
    <t>8793</t>
  </si>
  <si>
    <t>Comanche Elem</t>
  </si>
  <si>
    <t>8794</t>
  </si>
  <si>
    <t>Corinth Elem</t>
  </si>
  <si>
    <t>8796</t>
  </si>
  <si>
    <t>Crestview Elem</t>
  </si>
  <si>
    <t>8806</t>
  </si>
  <si>
    <t>Highlands Elem</t>
  </si>
  <si>
    <t>8808</t>
  </si>
  <si>
    <t>John Diemer Elem</t>
  </si>
  <si>
    <t>8812</t>
  </si>
  <si>
    <t>Shawanoe Elem</t>
  </si>
  <si>
    <t>8815</t>
  </si>
  <si>
    <t>Merriam Park Elementary</t>
  </si>
  <si>
    <t>8816</t>
  </si>
  <si>
    <t>Ray Marsh Elem</t>
  </si>
  <si>
    <t>8819</t>
  </si>
  <si>
    <t>Mill Creek Elem</t>
  </si>
  <si>
    <t>8822</t>
  </si>
  <si>
    <t>Nieman Elem</t>
  </si>
  <si>
    <t>8824</t>
  </si>
  <si>
    <t>Oak Park-Carpenter Elementary</t>
  </si>
  <si>
    <t>8826</t>
  </si>
  <si>
    <t>Overland Park Elem</t>
  </si>
  <si>
    <t>8828</t>
  </si>
  <si>
    <t>Pawnee Elem</t>
  </si>
  <si>
    <t>8832</t>
  </si>
  <si>
    <t>Prairie Elem</t>
  </si>
  <si>
    <t>8834</t>
  </si>
  <si>
    <t>Rhein Benninghoven Elem</t>
  </si>
  <si>
    <t>8836</t>
  </si>
  <si>
    <t>Rising Star Elem</t>
  </si>
  <si>
    <t>8838</t>
  </si>
  <si>
    <t>Roesland Elem</t>
  </si>
  <si>
    <t>8842</t>
  </si>
  <si>
    <t>Rosehill Elem</t>
  </si>
  <si>
    <t>8844</t>
  </si>
  <si>
    <t>Rushton Elem</t>
  </si>
  <si>
    <t>8846</t>
  </si>
  <si>
    <t>Santa Fe Trail Elem</t>
  </si>
  <si>
    <t>8857</t>
  </si>
  <si>
    <t>8858</t>
  </si>
  <si>
    <t>8860</t>
  </si>
  <si>
    <t>Trailwood Elem</t>
  </si>
  <si>
    <t>8864</t>
  </si>
  <si>
    <t>Westwood View Elem</t>
  </si>
  <si>
    <t>8868</t>
  </si>
  <si>
    <t>Westridge Middle</t>
  </si>
  <si>
    <t>8870</t>
  </si>
  <si>
    <t>Hocker Grove Middle</t>
  </si>
  <si>
    <t>8874</t>
  </si>
  <si>
    <t>Indian Hills Middle</t>
  </si>
  <si>
    <t>8880</t>
  </si>
  <si>
    <t>Indian Woods Middle</t>
  </si>
  <si>
    <t>8884</t>
  </si>
  <si>
    <t>Trailridge Middle</t>
  </si>
  <si>
    <t>8886</t>
  </si>
  <si>
    <t>Shawnee Mission East High</t>
  </si>
  <si>
    <t>8888</t>
  </si>
  <si>
    <t>Shawnee Mission North High</t>
  </si>
  <si>
    <t>8890</t>
  </si>
  <si>
    <t>Shawnee Mission Northwest High</t>
  </si>
  <si>
    <t>8892</t>
  </si>
  <si>
    <t>Shawnee Mission South High</t>
  </si>
  <si>
    <t>8894</t>
  </si>
  <si>
    <t>Shawnee Mission West High</t>
  </si>
  <si>
    <t>Headcount</t>
  </si>
  <si>
    <t>Total Headcount</t>
  </si>
  <si>
    <t>&gt;=35% and &lt;50%</t>
  </si>
  <si>
    <t>&gt;= 50%</t>
  </si>
  <si>
    <t>High Density</t>
  </si>
  <si>
    <t>Free Lunch</t>
  </si>
  <si>
    <t>Total Free Lunch</t>
  </si>
  <si>
    <t>At Risk</t>
  </si>
  <si>
    <t>Update yellow shaded cells annually for Headcount and Free Lunch; all other should calculated automatically.</t>
  </si>
  <si>
    <t>5296</t>
  </si>
  <si>
    <t>Hamilton Elem</t>
  </si>
  <si>
    <t>5298</t>
  </si>
  <si>
    <t>Hamilton High</t>
  </si>
  <si>
    <t>7821</t>
  </si>
  <si>
    <t>Fredonia Early Learning Center</t>
  </si>
  <si>
    <t>7832</t>
  </si>
  <si>
    <t>7838</t>
  </si>
  <si>
    <t>Fredonia Jr./Sr. High School</t>
  </si>
  <si>
    <t>7952</t>
  </si>
  <si>
    <t>Hays Middle School</t>
  </si>
  <si>
    <t>Funded Headcount (excl virtual) (9/20 + 2/20)</t>
  </si>
  <si>
    <t>SCHEDULE INFO</t>
  </si>
  <si>
    <t>HEADCOUNT ENROLLMENT AT A GLANCE</t>
  </si>
  <si>
    <t>Kindergarten</t>
  </si>
  <si>
    <t>FTE Enrollment (excludes 4yr, Virt, KAMS; incl KDG)</t>
  </si>
  <si>
    <t>Kindergarten (excludes virtual)</t>
  </si>
  <si>
    <t>Total Headcount of Funded Students</t>
  </si>
  <si>
    <t>4yr Old At Risk</t>
  </si>
  <si>
    <t>Career and Tech Ed Hrs</t>
  </si>
  <si>
    <t>Bilingual Contact Hrs</t>
  </si>
  <si>
    <t>Bilingual Student Headcount</t>
  </si>
  <si>
    <t>Transported Students 2.5 miles or more</t>
  </si>
  <si>
    <t>Virtual Students/Credits</t>
  </si>
  <si>
    <t>FTE Students in New Facilities</t>
  </si>
  <si>
    <t>High Density At-Risk Weighting (USD)</t>
  </si>
  <si>
    <t>High Density At-Risk Weighting (School)</t>
  </si>
  <si>
    <t>Subtotal Weighted Enrollment (excl Sped)</t>
  </si>
  <si>
    <t>Full Day K</t>
  </si>
  <si>
    <t>2/20/17 FTE Enrollment (excl 4yr, Virt, KAMS)</t>
  </si>
  <si>
    <t>2/20/18 FTE Enrollment (excl 4yr, Virt, KAMS)</t>
  </si>
  <si>
    <t>9/20/17 Kindergarten FTE</t>
  </si>
  <si>
    <t>2/20/17 Kindergarten FTE</t>
  </si>
  <si>
    <t>HD-AR (USD Level)</t>
  </si>
  <si>
    <t>HD-AR (School Level)</t>
  </si>
  <si>
    <t>SubTotal WTD FTE</t>
  </si>
  <si>
    <t>District Global</t>
  </si>
  <si>
    <t>WTD FTE (excl SPED)</t>
  </si>
  <si>
    <t>WTD FTE (excl COLA; incl SPED)</t>
  </si>
  <si>
    <t>PY Bdgt Red</t>
  </si>
  <si>
    <r>
      <t xml:space="preserve">Declining Enrollment </t>
    </r>
    <r>
      <rPr>
        <b/>
        <sz val="10"/>
        <rFont val="Calibri"/>
        <family val="2"/>
        <scheme val="minor"/>
      </rPr>
      <t>WTD FTE</t>
    </r>
  </si>
  <si>
    <r>
      <t xml:space="preserve">Transportation </t>
    </r>
    <r>
      <rPr>
        <b/>
        <sz val="10"/>
        <rFont val="Calibri"/>
        <family val="2"/>
        <scheme val="minor"/>
      </rPr>
      <t>WTD FTE</t>
    </r>
  </si>
  <si>
    <r>
      <t xml:space="preserve">School Facilities </t>
    </r>
    <r>
      <rPr>
        <b/>
        <sz val="10"/>
        <rFont val="Calibri"/>
        <family val="2"/>
        <scheme val="minor"/>
      </rPr>
      <t>WTD FTE</t>
    </r>
  </si>
  <si>
    <r>
      <t xml:space="preserve">Bilingual (max Hrs or Hdct) </t>
    </r>
    <r>
      <rPr>
        <b/>
        <sz val="10"/>
        <rFont val="Calibri"/>
        <family val="2"/>
        <scheme val="minor"/>
      </rPr>
      <t>WTD FTE</t>
    </r>
  </si>
  <si>
    <r>
      <t xml:space="preserve">Low and High Enrollment </t>
    </r>
    <r>
      <rPr>
        <b/>
        <sz val="10"/>
        <rFont val="Calibri"/>
        <family val="2"/>
        <scheme val="minor"/>
      </rPr>
      <t>WTD FTE</t>
    </r>
  </si>
  <si>
    <r>
      <rPr>
        <b/>
        <sz val="10"/>
        <rFont val="Calibri"/>
        <family val="2"/>
        <scheme val="minor"/>
      </rPr>
      <t>Total Adjusted Enrollment</t>
    </r>
    <r>
      <rPr>
        <sz val="10"/>
        <rFont val="Calibri"/>
        <family val="2"/>
        <scheme val="minor"/>
      </rPr>
      <t xml:space="preserve"> (incl 4yr AR &amp; KDG)</t>
    </r>
  </si>
  <si>
    <r>
      <t xml:space="preserve">Cost of Living </t>
    </r>
    <r>
      <rPr>
        <b/>
        <sz val="10"/>
        <rFont val="Calibri"/>
        <family val="2"/>
        <scheme val="minor"/>
      </rPr>
      <t>WTD FTE</t>
    </r>
  </si>
  <si>
    <r>
      <t xml:space="preserve">Special Education    </t>
    </r>
    <r>
      <rPr>
        <b/>
        <sz val="10"/>
        <rFont val="Calibri"/>
        <family val="2"/>
        <scheme val="minor"/>
      </rPr>
      <t>WTD FTE</t>
    </r>
  </si>
  <si>
    <t>Date</t>
  </si>
  <si>
    <t>Virtual Amount</t>
  </si>
  <si>
    <t>Virtual Amt for Letter</t>
  </si>
  <si>
    <t>9/20 + 2/20 4yr AR</t>
  </si>
  <si>
    <t>Milt Provision</t>
  </si>
  <si>
    <t>2/20 Transp. Under 2.5</t>
  </si>
  <si>
    <t xml:space="preserve">2/20 Transp Out of District </t>
  </si>
  <si>
    <t>9/20 + 2/20  2016-17 Kdg</t>
  </si>
  <si>
    <t>PY Virtual Credits 19+</t>
  </si>
  <si>
    <t xml:space="preserve">HD-AR </t>
  </si>
  <si>
    <r>
      <rPr>
        <u/>
        <sz val="10"/>
        <color theme="1"/>
        <rFont val="Calibri"/>
        <family val="2"/>
        <scheme val="minor"/>
      </rPr>
      <t>INFO ONLY</t>
    </r>
    <r>
      <rPr>
        <sz val="10"/>
        <color theme="1"/>
        <rFont val="Calibri"/>
        <family val="2"/>
        <scheme val="minor"/>
      </rPr>
      <t xml:space="preserve"> Total Adj Enr</t>
    </r>
  </si>
  <si>
    <t>Except Virtual Credits</t>
  </si>
  <si>
    <t>CY Virtual FTE (19 &amp; Over)</t>
  </si>
  <si>
    <t>2016-17 Kdg (9/20/16)</t>
  </si>
  <si>
    <t>*****</t>
  </si>
  <si>
    <t>COPY FORMULA</t>
  </si>
  <si>
    <t>A</t>
  </si>
  <si>
    <t>Col 45</t>
  </si>
  <si>
    <t>PY Audit Virtual Credits</t>
  </si>
  <si>
    <t>CY Virtual Credits</t>
  </si>
  <si>
    <t>Adopted GF</t>
  </si>
  <si>
    <r>
      <t xml:space="preserve">Career /Tech Ed </t>
    </r>
    <r>
      <rPr>
        <b/>
        <sz val="10"/>
        <rFont val="Calibri"/>
        <family val="2"/>
        <scheme val="minor"/>
      </rPr>
      <t>WTD FTE</t>
    </r>
  </si>
  <si>
    <r>
      <t xml:space="preserve">High Density At-Risk </t>
    </r>
    <r>
      <rPr>
        <b/>
        <sz val="10"/>
        <rFont val="Calibri"/>
        <family val="2"/>
        <scheme val="minor"/>
      </rPr>
      <t>WTD FTE</t>
    </r>
  </si>
  <si>
    <r>
      <t xml:space="preserve">Ancillary </t>
    </r>
    <r>
      <rPr>
        <b/>
        <sz val="10"/>
        <rFont val="Calibri"/>
        <family val="2"/>
        <scheme val="minor"/>
      </rPr>
      <t>WTD FTE</t>
    </r>
  </si>
  <si>
    <r>
      <t xml:space="preserve">At-Risk (Free Lunch) </t>
    </r>
    <r>
      <rPr>
        <b/>
        <sz val="10"/>
        <rFont val="Calibri"/>
        <family val="2"/>
        <scheme val="minor"/>
      </rPr>
      <t>WTD FTE</t>
    </r>
  </si>
  <si>
    <t>Qualifies for 3-Year Average (if higher)</t>
  </si>
  <si>
    <t>Total WTD FTE         (inc. SPED)</t>
  </si>
  <si>
    <t>N/A</t>
  </si>
  <si>
    <t>Order ID</t>
  </si>
  <si>
    <t>Density Figure Range</t>
  </si>
  <si>
    <t>Per Capita Allowance</t>
  </si>
  <si>
    <t>Transportation</t>
  </si>
  <si>
    <t>Per Capita</t>
  </si>
  <si>
    <t>Factor D</t>
  </si>
  <si>
    <t>2018-19 Transportation Aid</t>
  </si>
  <si>
    <t>Base Change (Factor A)</t>
  </si>
  <si>
    <t xml:space="preserve"> Factor Per Capita Allowance (Factor B)</t>
  </si>
  <si>
    <t>Current BASE GF</t>
  </si>
  <si>
    <t>FY 2018-19 BSAPP</t>
  </si>
  <si>
    <t>Updated</t>
  </si>
  <si>
    <t>Rose Updated</t>
  </si>
  <si>
    <r>
      <t xml:space="preserve">FTE Enroll (incl K, excl 4yr old at-risk &amp;  virtual) </t>
    </r>
    <r>
      <rPr>
        <b/>
        <sz val="10"/>
        <rFont val="Calibri"/>
        <family val="2"/>
        <scheme val="minor"/>
      </rPr>
      <t>9/20/2015</t>
    </r>
  </si>
  <si>
    <r>
      <t xml:space="preserve">FTE Enroll (incl K, excl 4yr old at-risk &amp; virtual) </t>
    </r>
    <r>
      <rPr>
        <b/>
        <sz val="10"/>
        <rFont val="Calibri"/>
        <family val="2"/>
        <scheme val="minor"/>
      </rPr>
      <t>2/20/2016</t>
    </r>
  </si>
  <si>
    <r>
      <t xml:space="preserve">FTE Enroll (incl K, excl 4yr old at-risk  &amp; virtual) </t>
    </r>
    <r>
      <rPr>
        <b/>
        <sz val="10"/>
        <rFont val="Calibri"/>
        <family val="2"/>
        <scheme val="minor"/>
      </rPr>
      <t>9/20/2015 2/20/2016</t>
    </r>
  </si>
  <si>
    <r>
      <t xml:space="preserve">FTE Enroll (incl K, excl 4yr old at-risk  &amp; virtual) </t>
    </r>
    <r>
      <rPr>
        <b/>
        <sz val="10"/>
        <rFont val="Calibri"/>
        <family val="2"/>
        <scheme val="minor"/>
      </rPr>
      <t>2/20/2017</t>
    </r>
  </si>
  <si>
    <r>
      <t xml:space="preserve">FTE Enroll (Inc K, excl 4yr old at-risk &amp; virtual) </t>
    </r>
    <r>
      <rPr>
        <b/>
        <sz val="10"/>
        <rFont val="Calibri"/>
        <family val="2"/>
        <scheme val="minor"/>
      </rPr>
      <t>2/20/2018</t>
    </r>
  </si>
  <si>
    <r>
      <t xml:space="preserve">FTE Enroll (excl 4yr old at-risk &amp; virtual) </t>
    </r>
    <r>
      <rPr>
        <b/>
        <sz val="10"/>
        <rFont val="Calibri"/>
        <family val="2"/>
        <scheme val="minor"/>
      </rPr>
      <t>9/20/2018</t>
    </r>
  </si>
  <si>
    <r>
      <t>FTE Enroll (excl 4yr old at-risk &amp; virtual) 2</t>
    </r>
    <r>
      <rPr>
        <b/>
        <sz val="10"/>
        <rFont val="Calibri"/>
        <family val="2"/>
        <scheme val="minor"/>
      </rPr>
      <t>/20/2019</t>
    </r>
  </si>
  <si>
    <r>
      <t xml:space="preserve">FTE Enroll (excl 4yr old at-risk &amp; virtual) </t>
    </r>
    <r>
      <rPr>
        <b/>
        <sz val="10"/>
        <rFont val="Calibri"/>
        <family val="2"/>
        <scheme val="minor"/>
      </rPr>
      <t>9/20/2018 2/20/2019</t>
    </r>
  </si>
  <si>
    <r>
      <t xml:space="preserve">FTE Enroll (inc K, excl 4yr old at-risk &amp; virtual) </t>
    </r>
    <r>
      <rPr>
        <b/>
        <sz val="10"/>
        <rFont val="Calibri"/>
        <family val="2"/>
        <scheme val="minor"/>
      </rPr>
      <t>9/20/2017 2/20/2018</t>
    </r>
  </si>
  <si>
    <r>
      <t xml:space="preserve">FTE Enroll (incl K, Exc 4yr old at-risk  &amp; virtual) </t>
    </r>
    <r>
      <rPr>
        <b/>
        <sz val="10"/>
        <rFont val="Calibri"/>
        <family val="2"/>
        <scheme val="minor"/>
      </rPr>
      <t>9/20/2017</t>
    </r>
  </si>
  <si>
    <t xml:space="preserve">2/20/19  4yr At Risk FTE </t>
  </si>
  <si>
    <t xml:space="preserve">2/20/19  4yr AR Funded HC </t>
  </si>
  <si>
    <t>2/20/19 CTE Contact Hrs</t>
  </si>
  <si>
    <t>2/20/19 Bilingual Student HC</t>
  </si>
  <si>
    <t>2/20/19 Bilingual Contact Hrs</t>
  </si>
  <si>
    <t>2/20/19 Total Funded HC</t>
  </si>
  <si>
    <t>2/20/19 Free Meals</t>
  </si>
  <si>
    <t>2/20/19 New Facilities</t>
  </si>
  <si>
    <t>2/20/19 Transp over 2.5</t>
  </si>
  <si>
    <t>9/20/18 FTE Enr (excl 4yr,  KAMS)</t>
  </si>
  <si>
    <t>9/20/18 4yr At Risk FTE</t>
  </si>
  <si>
    <t>9/20/18 CTE Contact Hrs</t>
  </si>
  <si>
    <t>9/20/18 Bilingual Student Headcount</t>
  </si>
  <si>
    <t>9/20/18 Bilingual Student Contact Hrs</t>
  </si>
  <si>
    <t>9/20/18 Total Funded Headcount</t>
  </si>
  <si>
    <t>9/20/18 Free Meals</t>
  </si>
  <si>
    <t>9/20/18 New Facilities</t>
  </si>
  <si>
    <t>9/20/18 Transp Over  2.5</t>
  </si>
  <si>
    <t>9/20/18 Transp Under 2.5</t>
  </si>
  <si>
    <t>9/20/18 Transp. Out of District</t>
  </si>
  <si>
    <t>9/20/18 Virtual Full-Time</t>
  </si>
  <si>
    <t>9/20/18 Virtual Part-Time</t>
  </si>
  <si>
    <t>9/20/18 + 2/20/19 CTE Contact Hrs</t>
  </si>
  <si>
    <t>9/20/18 + 2/20/19 Bilingual Student HC</t>
  </si>
  <si>
    <t>9/20/18 + 2/20/19 Bilingual Student Contact Hrs</t>
  </si>
  <si>
    <t>9/20/18 + 2/20/19  Total Funded HC</t>
  </si>
  <si>
    <t>9/20/18 + 2/20/19 Free Meals</t>
  </si>
  <si>
    <t>9/20/18 + 2/20/19 New Facility FTE</t>
  </si>
  <si>
    <t>9/20/18 + 2/20/19 Transport &gt; = 2.5</t>
  </si>
  <si>
    <t>9/20/18 + 2/20/19 Transport &lt; = 2.5</t>
  </si>
  <si>
    <t>INFO ONLY 9/20/18 + 2/20/19 Transport  Out of District</t>
  </si>
  <si>
    <t>INFO ONLY  9/20/18 + 2/20/19 Transport  Under 2.5</t>
  </si>
  <si>
    <t>9/20/18 + 2/20/19 High Density AR</t>
  </si>
  <si>
    <t>2/20/19 FTE Enrollment (excl 4yr, Virt, KAMS)</t>
  </si>
  <si>
    <t>2/20/17 FTE Enrollment (excl Kdg, 4yr, Virt, KAMS)</t>
  </si>
  <si>
    <t>2017-18 Kindergarten (9/20 + 2/20)</t>
  </si>
  <si>
    <t>9/20/18 FTE Enrollment (excl 4yr, Virt, KAMS)</t>
  </si>
  <si>
    <t>9/20/18 Kindergarten FTE</t>
  </si>
  <si>
    <t>2/20/18 Kindergarten FTE</t>
  </si>
  <si>
    <t>9/20/18 Total Funded FTE</t>
  </si>
  <si>
    <t>2/20/19 Total Funded Headcount</t>
  </si>
  <si>
    <t>2/20/19  4yr At Risk FTE</t>
  </si>
  <si>
    <t>9/20/18 KAMS</t>
  </si>
  <si>
    <t>9/20/18 Transport &gt; = 2.5</t>
  </si>
  <si>
    <t>2/20/19 Transport &gt; = 2.5</t>
  </si>
  <si>
    <t>9/20/18 New Facility FTE</t>
  </si>
  <si>
    <t>2/20/19 New Facility FTE</t>
  </si>
  <si>
    <t>2/20/17 FTE Enrollment (excl 4yr, Virt, KDG KAMS)</t>
  </si>
  <si>
    <t>2/20/18 FTE Enrollment (excl 4yr, Virt, KAMS &amp; KDG)</t>
  </si>
  <si>
    <t>9/20/18 + 2/20/19 FTE Enrollment (excl 4yr, Virt, KAMS)</t>
  </si>
  <si>
    <t>9/20/18 + 2/20/19 4yr At Risk FTE</t>
  </si>
  <si>
    <t>9/20/18 + 2/20/19 Bilingual Student Headcount</t>
  </si>
  <si>
    <t>9/20/18 + 2/20/19  Total Funded Headcount</t>
  </si>
  <si>
    <t>2018-2019</t>
  </si>
  <si>
    <t>2018-19</t>
  </si>
  <si>
    <t>2017-18 Federal Impact Aid</t>
  </si>
  <si>
    <t>Enrollment Decline for 2017-18 to 2016-17</t>
  </si>
  <si>
    <t>RoseUpdated</t>
  </si>
  <si>
    <t>9/20/18 Free Meals Headcount</t>
  </si>
  <si>
    <t>2/20/19 Free Meals Headcount</t>
  </si>
  <si>
    <t>Students Eligible for Free Meals (Funding)</t>
  </si>
  <si>
    <t xml:space="preserve">Virtual Credits </t>
  </si>
  <si>
    <t>Cost of Living</t>
  </si>
  <si>
    <t>Cost of Living - none on S066</t>
  </si>
  <si>
    <t>Not Military</t>
  </si>
  <si>
    <t>Cost of Livning</t>
  </si>
  <si>
    <t>Comments</t>
  </si>
  <si>
    <t>2018-19 Kindergarten  9/20 + 2/20</t>
  </si>
  <si>
    <r>
      <rPr>
        <b/>
        <sz val="10"/>
        <rFont val="Calibri"/>
        <family val="2"/>
        <scheme val="minor"/>
      </rPr>
      <t xml:space="preserve">2018-19 </t>
    </r>
    <r>
      <rPr>
        <sz val="10"/>
        <rFont val="Calibri"/>
        <family val="2"/>
        <scheme val="minor"/>
      </rPr>
      <t xml:space="preserve">Percent of Free Lunch </t>
    </r>
    <r>
      <rPr>
        <b/>
        <sz val="10"/>
        <rFont val="Calibri"/>
        <family val="2"/>
        <scheme val="minor"/>
      </rPr>
      <t>(Current Year)</t>
    </r>
  </si>
  <si>
    <t>2018-19 Bilingual Contact Hours (9/20 + 2/20)</t>
  </si>
  <si>
    <t>2018-19 Bilingual Headcount (9/20 + 2/20)</t>
  </si>
  <si>
    <r>
      <rPr>
        <b/>
        <sz val="10"/>
        <rFont val="Calibri"/>
        <family val="2"/>
        <scheme val="minor"/>
      </rPr>
      <t>2018-19</t>
    </r>
    <r>
      <rPr>
        <sz val="10"/>
        <rFont val="Calibri"/>
        <family val="2"/>
        <scheme val="minor"/>
      </rPr>
      <t xml:space="preserve"> Adjusted Legal General Fund Budget</t>
    </r>
  </si>
  <si>
    <r>
      <rPr>
        <b/>
        <sz val="10"/>
        <rFont val="Calibri"/>
        <family val="2"/>
        <scheme val="minor"/>
      </rPr>
      <t>2018-19</t>
    </r>
    <r>
      <rPr>
        <sz val="10"/>
        <rFont val="Calibri"/>
        <family val="2"/>
        <scheme val="minor"/>
      </rPr>
      <t xml:space="preserve"> LOB Base General Fund </t>
    </r>
  </si>
  <si>
    <r>
      <rPr>
        <b/>
        <sz val="10"/>
        <rFont val="Calibri"/>
        <family val="2"/>
        <scheme val="minor"/>
      </rPr>
      <t>2018-19</t>
    </r>
    <r>
      <rPr>
        <sz val="10"/>
        <rFont val="Calibri"/>
        <family val="2"/>
        <scheme val="minor"/>
      </rPr>
      <t xml:space="preserve"> LOB Authorized Percent</t>
    </r>
  </si>
  <si>
    <t>Diff (S066 (Col H) minus LM Wtd Enr) Info only</t>
  </si>
  <si>
    <t>INFO ONLY</t>
  </si>
  <si>
    <t>Piper West Elementary School</t>
  </si>
  <si>
    <t>0951</t>
  </si>
  <si>
    <t>Timber Sage Elementary School</t>
  </si>
  <si>
    <t>0950</t>
  </si>
  <si>
    <t>Summit Trail Middle School</t>
  </si>
  <si>
    <t>NLC Elementary School</t>
  </si>
  <si>
    <t>1669</t>
  </si>
  <si>
    <t>Bryant Opportunity Academy</t>
  </si>
  <si>
    <t>Clearwater Intermediate - Middle School</t>
  </si>
  <si>
    <t>Central State Academy</t>
  </si>
  <si>
    <t>Kinsley-Offerle Elementary Pre-K-5</t>
  </si>
  <si>
    <t>7435</t>
  </si>
  <si>
    <t>Lansing Intermediate School</t>
  </si>
  <si>
    <t>8011</t>
  </si>
  <si>
    <t>Blackmore Elementary</t>
  </si>
  <si>
    <t>Billy Mills Middle School</t>
  </si>
  <si>
    <t>8805</t>
  </si>
  <si>
    <t>Lenexa Hills Elementary</t>
  </si>
  <si>
    <r>
      <t xml:space="preserve">FTE Enroll (incl K, exc. 4yr old at-risk  &amp; virtual ) </t>
    </r>
    <r>
      <rPr>
        <b/>
        <sz val="10"/>
        <rFont val="Calibri"/>
        <family val="2"/>
        <scheme val="minor"/>
      </rPr>
      <t>9/20/2016  2/20/2017</t>
    </r>
  </si>
  <si>
    <t xml:space="preserve"> 9/20/18CTE Contact Hrs</t>
  </si>
  <si>
    <t>2/20/19CTE Contact Hrs</t>
  </si>
  <si>
    <t xml:space="preserve"> 9/20/18  Bilingual Student Contact Hrs</t>
  </si>
  <si>
    <t xml:space="preserve"> 2/20/19 Bilingual Student Contact Hrs</t>
  </si>
  <si>
    <t xml:space="preserve"> 9/20/18 Bilingual Student Headcount</t>
  </si>
  <si>
    <t>SF Legal Max WTD FTE (excl SPED)</t>
  </si>
  <si>
    <t>transportation</t>
  </si>
  <si>
    <t>S066 USD HD AR rounding difference</t>
  </si>
  <si>
    <t>S066 USD HD AR rounding difference .1 and Bilingual Headcount Weighting rounding difference .1</t>
  </si>
  <si>
    <t xml:space="preserve">Cost of Living </t>
  </si>
  <si>
    <t>HD AR School rounding</t>
  </si>
  <si>
    <t>HD AR USD and School rounding</t>
  </si>
  <si>
    <r>
      <t xml:space="preserve">SF Legal Max WTD FTE (excl SPED) </t>
    </r>
    <r>
      <rPr>
        <sz val="10"/>
        <color rgb="FFFF0000"/>
        <rFont val="Calibri"/>
        <family val="2"/>
        <scheme val="minor"/>
      </rPr>
      <t>(after changing transp formula)</t>
    </r>
  </si>
  <si>
    <t xml:space="preserve"> 2/20/19 Bilingual Student Headcount</t>
  </si>
  <si>
    <t>2018-19               Career /Tech Ed Contact Hours (9/20 + 2/20)</t>
  </si>
  <si>
    <t>Free Meals %</t>
  </si>
  <si>
    <t>High Density At Risk &gt;=50%</t>
  </si>
  <si>
    <t>High Density at Risk &gt;=35% and &lt;50%</t>
  </si>
  <si>
    <t>2/20/18 FTE Enrollment (excl Kdg,  4yr, Virt, KAMS)</t>
  </si>
  <si>
    <t>Transp Adj</t>
  </si>
  <si>
    <t>PY Transp</t>
  </si>
  <si>
    <t>Transp Costs</t>
  </si>
  <si>
    <t>Transp Aid</t>
  </si>
  <si>
    <t>Audited</t>
  </si>
  <si>
    <t>Bilingual LOB Transfer</t>
  </si>
  <si>
    <t>At-Risk           LOB Transfer</t>
  </si>
  <si>
    <t>Audit PY Transp</t>
  </si>
  <si>
    <t>Prior Year  Transp Costs</t>
  </si>
  <si>
    <t>LOB Transfers</t>
  </si>
  <si>
    <t>INFO ONLY 9/20/18 FTE Enr (excl 4 yr old AR, KAMS, Virtual)</t>
  </si>
  <si>
    <r>
      <rPr>
        <u/>
        <sz val="10"/>
        <color theme="1"/>
        <rFont val="Calibri"/>
        <family val="2"/>
        <scheme val="minor"/>
      </rPr>
      <t>INFO ONLY</t>
    </r>
    <r>
      <rPr>
        <sz val="10"/>
        <color theme="1"/>
        <rFont val="Calibri"/>
        <family val="2"/>
        <scheme val="minor"/>
      </rPr>
      <t xml:space="preserve"> CY 9/20 &amp; 2/20 Total Enr (Ex 4 yr AR, KAMS, Virtual )</t>
    </r>
  </si>
  <si>
    <t>D0109 - Republic County -  Bldg HD AR</t>
  </si>
  <si>
    <t>D0113 - Prairie Hills - Bldg HD AR</t>
  </si>
  <si>
    <t>D0115 - Nemaha Central - Bldg HD AR</t>
  </si>
  <si>
    <t>D0357 - Belle Plaine - Bldg HD AR</t>
  </si>
  <si>
    <t>D0217- Rolla - Bldg HD AR</t>
  </si>
  <si>
    <t>D0255 - South Barber Co - Bldg HD AR</t>
  </si>
  <si>
    <t>D0271 - Stockton - Bldg HD AR</t>
  </si>
  <si>
    <t>Cost</t>
  </si>
  <si>
    <t>D0281 - Graham County - Bldg HD AR</t>
  </si>
  <si>
    <t>D0303 - Ness City - Bldg HD AR</t>
  </si>
  <si>
    <t>D0315 - Colby - Bldg HD AR</t>
  </si>
  <si>
    <t>D0343 - Perry - Bldg HD AR</t>
  </si>
  <si>
    <t>D0356 - Conways Springs - Bldg HD AR</t>
  </si>
  <si>
    <t>D0359 - Argonia - Bldg HD AR</t>
  </si>
  <si>
    <t>D0360 - Caldwell - Bldg HD AR</t>
  </si>
  <si>
    <t>D0399 - Paradise - Bldg HD AR</t>
  </si>
  <si>
    <t>D0417 - Morris Co - Bldg HD AR</t>
  </si>
  <si>
    <t>D0108 - Washington Co - Bldg HD AR</t>
  </si>
  <si>
    <t>D0259 - Wichita - Bldg HD AR</t>
  </si>
  <si>
    <t>D0338 - Valley Falls - Bldg HD AR</t>
  </si>
  <si>
    <t>D0364 - Marysville - Bldg HD AR</t>
  </si>
  <si>
    <t>D0380 - Vermillion - Bldg HD AR</t>
  </si>
  <si>
    <t>D0426 - Pike Valley - Bldg HD AR</t>
  </si>
  <si>
    <t>D0430 - South Brown - Bldg HD AR</t>
  </si>
  <si>
    <t>D0476 - Copeland - Bldg HD AR</t>
  </si>
  <si>
    <t>D0477 - Ingalls - Bldg HD AR</t>
  </si>
  <si>
    <t>D0483 - Kismet-Plains - Bldg HD AR</t>
  </si>
  <si>
    <t>D0495 - Ft. Larned - Bldg HD AR</t>
  </si>
  <si>
    <t>D0509 - South Haven - Bldg HD AR</t>
  </si>
  <si>
    <t>D0224 - Clifton-Clyde - Bldg HD AR</t>
  </si>
  <si>
    <t>D0298 - Lincoln - Bldg HD AR</t>
  </si>
  <si>
    <t>D0309 - Nickerson - Bldg HD AR</t>
  </si>
  <si>
    <t>D0342 - McLouth - Bldg HD AR</t>
  </si>
  <si>
    <t>D0382 - Pratt - Bldg HD AR</t>
  </si>
  <si>
    <t>D0415 - Hiawatha - Bldg HDAR</t>
  </si>
  <si>
    <t>D0501 - Topeka - Bldg HD AR</t>
  </si>
  <si>
    <t>AT-RISK</t>
  </si>
  <si>
    <t xml:space="preserve">Bilingual  </t>
  </si>
  <si>
    <t>% of At-Risk to Total Adj(Wtd) Enr</t>
  </si>
  <si>
    <t>Amount Required to Transfer from LOB to At-Risk</t>
  </si>
  <si>
    <t>% of Bilingual Wtg to Total Adj (Wtd) Enr</t>
  </si>
  <si>
    <t>Amount Required to Transfer from LOB to Bilingual</t>
  </si>
  <si>
    <t>D0216 - Deerfield - Bldg HD AR</t>
  </si>
  <si>
    <t>D0226 - Meade - Bldg HD AR</t>
  </si>
  <si>
    <t>D0229 - Blue Valley - Bldg HD AR</t>
  </si>
  <si>
    <t>Lakewood Middle</t>
  </si>
  <si>
    <t>D0249 - Frontenac - Bldg HD AR</t>
  </si>
  <si>
    <t>D0256 - Marmaton Valley - Bldg HD AR</t>
  </si>
  <si>
    <t>D0311 - Pretty Prairie - Bldg HD AR</t>
  </si>
  <si>
    <t>D0352 - Goodland - Bldg HD AR</t>
  </si>
  <si>
    <t>D0372 - Silver Lake - Bldg HD AR</t>
  </si>
  <si>
    <t>D0375 - Circle - Bldg HD AR</t>
  </si>
  <si>
    <t>D0419 - Canton-Galva - Bldg HD AR</t>
  </si>
  <si>
    <t>D0496 - Pawnee Heights - Bldg HD AR</t>
  </si>
  <si>
    <r>
      <t xml:space="preserve">FTE Enroll (incl K,  exc 4yr old at-risk &amp; virtual) </t>
    </r>
    <r>
      <rPr>
        <b/>
        <sz val="10"/>
        <rFont val="Calibri"/>
        <family val="2"/>
        <scheme val="minor"/>
      </rPr>
      <t>9/20/2016</t>
    </r>
  </si>
  <si>
    <t>D0285 - Cedar Vale - Bldg HD AR</t>
  </si>
  <si>
    <t>D0493 - Columbus - Bldg HD AR</t>
  </si>
  <si>
    <t>D0503 - Parsons - Bldg HD AR</t>
  </si>
  <si>
    <t>D0283 - Elk Valley - Bldg HD AR</t>
  </si>
  <si>
    <t>D0404 - Riverton - Bldg HD AR</t>
  </si>
  <si>
    <t>D0490 - Eldorado - Bldg HD AR</t>
  </si>
  <si>
    <t>D0253 - Emporia - Bldg HD AR</t>
  </si>
  <si>
    <t>D0263  - Mulvane - Bldg HD AR</t>
  </si>
  <si>
    <t>D0333 - Concordia - Bldg HD AR</t>
  </si>
  <si>
    <t>D0506 - Labette Co - Bldg HD AR</t>
  </si>
  <si>
    <t>Transp Constant</t>
  </si>
  <si>
    <t>Factor per Capita times Constant (Factor C)</t>
  </si>
  <si>
    <t>Factor per Capita Allowance times the Variable (Factor D)</t>
  </si>
  <si>
    <t>D0330 - Mission Valley - Bldg HD AR</t>
  </si>
  <si>
    <t>Mission Valley Elementary</t>
  </si>
  <si>
    <t>D0337 - Royal Valley - Bldg HDAR</t>
  </si>
  <si>
    <t>D0378 - Riley County - Bldg HD AR</t>
  </si>
  <si>
    <t>D0282 - West Elk - Bldg HD AR</t>
  </si>
  <si>
    <t>D0498 - Valley Heights - Bldg HD AR</t>
  </si>
  <si>
    <r>
      <t xml:space="preserve">At-Risk           (Free Lunch)       </t>
    </r>
    <r>
      <rPr>
        <b/>
        <sz val="10"/>
        <rFont val="Calibri"/>
        <family val="2"/>
        <scheme val="minor"/>
      </rPr>
      <t>WTD FTE</t>
    </r>
  </si>
  <si>
    <t>Total WTD FTE  (excl 4yr AR &amp; KAMS, inc  SPED)</t>
  </si>
  <si>
    <t>D0235 - Uniontown - Bldg HD AR</t>
  </si>
  <si>
    <t>D0379 - Clay Center - Bldg HD AR</t>
  </si>
  <si>
    <t>D0437 - Auburn Washburn - Bldg HD AR</t>
  </si>
  <si>
    <t>D0461 - Neodesha - Bldg HD AR</t>
  </si>
  <si>
    <t>D0204 - Bonner Springs - Bldg HDAR</t>
  </si>
  <si>
    <t>D0206 - Remington - Whitewater - Bldg HD AR</t>
  </si>
  <si>
    <t>D0219 - Minneola - Bldg HD AR</t>
  </si>
  <si>
    <t>D0225 - Fowler - Bldg HDAR</t>
  </si>
  <si>
    <t>D0232 - DeSoto - Bldg HD AR</t>
  </si>
  <si>
    <t>De Soto High School</t>
  </si>
  <si>
    <t>D0246 - Northeast - Bldg HD AR</t>
  </si>
  <si>
    <t>D0247 - Cherokee - Bldg HDAR</t>
  </si>
  <si>
    <t>D0248 - Girard - Bldg HDAR</t>
  </si>
  <si>
    <t>D0252 - Southern Lyon - Bldg HDAR</t>
  </si>
  <si>
    <t>D0254 - Barber County - Bldg HD AR</t>
  </si>
  <si>
    <t>D0268 - Cheney - Bldg HD AR</t>
  </si>
  <si>
    <t>Cheney Middle School 6-8</t>
  </si>
  <si>
    <t>D0288 - Central Heights - Bldg HD AR</t>
  </si>
  <si>
    <t>D0321 - Kaw Valley - Bldg HD AR</t>
  </si>
  <si>
    <t>D0332 - Cunningham - Bldg HDAR</t>
  </si>
  <si>
    <t>D0336 - Holton - Bldg HD AR</t>
  </si>
  <si>
    <t>D0341 - Oskaloosa - Bldg HDAR</t>
  </si>
  <si>
    <t>D0345 - Seaman - Bldg HD AR</t>
  </si>
  <si>
    <t>D0358 - Oxford - Bldg HD AR</t>
  </si>
  <si>
    <t>D0362 - Prairie View - Bldg HD AR</t>
  </si>
  <si>
    <t>D0365 - Garnett - Bldg HD AR</t>
  </si>
  <si>
    <t>D0387 - Altoona-Midway - Bldg HD AR</t>
  </si>
  <si>
    <t>D0416 - Louisburg - Bldg HD AR</t>
  </si>
  <si>
    <t>D0422 - Kiowa County - Bldg HD AR</t>
  </si>
  <si>
    <t>D0447 - Cherryvale - Bldg HD AR</t>
  </si>
  <si>
    <t>D0450 - Shawnee Heights - Bldg HD AR</t>
  </si>
  <si>
    <t>D0459 - Bucklin - Bldg HD AR</t>
  </si>
  <si>
    <t>D0465 - Winfield - Bldg HD AR</t>
  </si>
  <si>
    <t>D0102 - Cimmarron-Ensign - Bldg HD AR</t>
  </si>
  <si>
    <t>D0284 - Chase County - Bldg HD AR</t>
  </si>
  <si>
    <t>D0286 - Chautauqua County - Bldg HD AR</t>
  </si>
  <si>
    <t>D0456 - Marais Des Cygnes Valley - Bldg HD AR</t>
  </si>
  <si>
    <t>D0500 - Kansas City - Bldg HD AR</t>
  </si>
  <si>
    <t>D0507 - Satanta - Bldg HD AR</t>
  </si>
  <si>
    <t>D0112 - Central Plains - Bldg HD AR</t>
  </si>
  <si>
    <t>D0258 - Humboldt - Bldg HD AR</t>
  </si>
  <si>
    <t>D0272 - Waconda - Bldg HD AR</t>
  </si>
  <si>
    <t>D0320 - Wamego - Bldg HD AR</t>
  </si>
  <si>
    <t>D0367 - Osawatomie - Bldg HD AR</t>
  </si>
  <si>
    <t>D0388 - Ellis - Bldg HD AR</t>
  </si>
  <si>
    <t>D0389 - Eureka - Bldg HD AR</t>
  </si>
  <si>
    <t>D0428 - Great Bend - Bldg HD AR</t>
  </si>
  <si>
    <t>D0491 - Eudora - Bldg HD AR</t>
  </si>
  <si>
    <t>Eudora High School</t>
  </si>
  <si>
    <t>D0512 - Shawnee Mission - Bldg HD AR</t>
  </si>
  <si>
    <t>D0200 - Greeley - Bldg HD AR</t>
  </si>
  <si>
    <t>D0202 - Turner - Bldg HD AR</t>
  </si>
  <si>
    <t>D0205 - Bluestem - Bldg HD AR</t>
  </si>
  <si>
    <t>D0209 - Moscow - Bldg HD AR</t>
  </si>
  <si>
    <t>D0215 - Lakin - Bldg HD AR</t>
  </si>
  <si>
    <t>D0244 - Burlington - Bldg HD AR</t>
  </si>
  <si>
    <t>D0250 - Pittsburg - Bldg HD AR</t>
  </si>
  <si>
    <t>D0287 - West Franklin - Bldg HD AR</t>
  </si>
  <si>
    <t>D0340 - Jefferson West - Bldg HD AR</t>
  </si>
  <si>
    <t>D0347 - Kinsley-Offerle - Bldg HD AR</t>
  </si>
  <si>
    <t>D0355 - Ellinwood - Bldg HD AR</t>
  </si>
  <si>
    <t>Ellinwood Middle School</t>
  </si>
  <si>
    <t>D0363 - Holcomb - Bldg HD AR</t>
  </si>
  <si>
    <t>D0373 - Newton - Bldg HD AR</t>
  </si>
  <si>
    <t>D0386 - Madison-Virgil - Bldg HD AR</t>
  </si>
  <si>
    <t>D0390 - Hamilton - Bldg HD AR</t>
  </si>
  <si>
    <t>D0392 - Osborne County - Bldg HD AR</t>
  </si>
  <si>
    <t>D0393 - Solomon - Bldg HD AR</t>
  </si>
  <si>
    <t>D0409 - Atchison - Bldg HD AR</t>
  </si>
  <si>
    <t>Atchison High School</t>
  </si>
  <si>
    <t>D0413 - Chanute - Bldg HD AR</t>
  </si>
  <si>
    <t>D0429 - Troy - Bldg HD AR</t>
  </si>
  <si>
    <t>D0431 - Hoisington - Bldg HD AR</t>
  </si>
  <si>
    <t>D0434 - Sante Fe Trail - Bldg HD AR</t>
  </si>
  <si>
    <t>D0444 - Little River - Bldg HD AR</t>
  </si>
  <si>
    <t>D0454 - Burlingame - Bldg HD AR</t>
  </si>
  <si>
    <t>D0464 - Tonganoxie - Bldg HD AR</t>
  </si>
  <si>
    <t>D0466 - Scott County - Bldg HD AR</t>
  </si>
  <si>
    <t>D0467 - Leoti - Bldg HD AR</t>
  </si>
  <si>
    <t>D0504 - Oswego - Bldg HD AR</t>
  </si>
  <si>
    <t>D0103 - Cheylin - Bldg HD AR</t>
  </si>
  <si>
    <t>D0231 - Gardner Edgerton - Bldg HD AR</t>
  </si>
  <si>
    <t>D0241 - Wallace County - Bldg HD AR</t>
  </si>
  <si>
    <t>D0242 - Weskan - Bldg HD AR</t>
  </si>
  <si>
    <t>D0243 - Lebo-Waverly - Bldg HD AR</t>
  </si>
  <si>
    <t>D0245 - LeRoy-Gridley - Bldg HD AR</t>
  </si>
  <si>
    <t>D0291 - Grinnell - Bldg HD AR</t>
  </si>
  <si>
    <t>D0292 - Wheatland - Bldg HD AR</t>
  </si>
  <si>
    <t>D0293 - Quinter - Bldg HD AR</t>
  </si>
  <si>
    <t>D0294 - Oberlin - Bldg HD AR</t>
  </si>
  <si>
    <t>D0384 - Blue Valley - Bldg HD AR</t>
  </si>
  <si>
    <t>D0432 - Victoria - Bldg HD AR</t>
  </si>
  <si>
    <t>D0439 - Sedgwick - Bldg HD AR</t>
  </si>
  <si>
    <t>R L Wright Elem</t>
  </si>
  <si>
    <t xml:space="preserve">D0484 - Fredonia - Bldg HD AR </t>
  </si>
  <si>
    <t>D0105 - Rawlins County - Bldg HD AR</t>
  </si>
  <si>
    <t>D0107 - Rock Hills - Bldg HD AR</t>
  </si>
  <si>
    <t>D0110 - Thunder Ridge - Bldg HD AR</t>
  </si>
  <si>
    <t>D0111 - Doniphan West - Bldg HD AR</t>
  </si>
  <si>
    <t>D0203 - Piper - Bldg HD AR</t>
  </si>
  <si>
    <t>D0210 - Hugoton - Bldg HD AR</t>
  </si>
  <si>
    <t>D0211 - Norton - Bldg HD AR</t>
  </si>
  <si>
    <t>D0212 - Northern Valley - Bldg HD AR</t>
  </si>
  <si>
    <t>D0220 - Ashland - Bldg HD AR</t>
  </si>
  <si>
    <t>D0223 - Barnes - Bldg HD AR</t>
  </si>
  <si>
    <t>D0237 - Smith Center - Bldg HD AR</t>
  </si>
  <si>
    <t>D0239 - North Ottawa - Bldg HD AR</t>
  </si>
  <si>
    <t>D0270 - Plainville - Bldg HD AR</t>
  </si>
  <si>
    <t>D0273 - Beloit - Bldg HD AR</t>
  </si>
  <si>
    <t>D0274 - Oakley - Bldg HD AR</t>
  </si>
  <si>
    <t>D0289 - Wellsville - Bldg HD AR</t>
  </si>
  <si>
    <t>D0297 - St. Francis - Bldg HD AR</t>
  </si>
  <si>
    <t>D0299 - Sylvan Grove - Bldg HD AR</t>
  </si>
  <si>
    <t>D0300 - Comanche Co - Bldg HD AR</t>
  </si>
  <si>
    <t>D0306 - Southeast of Saline - Bldg HD AR</t>
  </si>
  <si>
    <t>D0312 - Haven - Bldg HD AR</t>
  </si>
  <si>
    <t>D0323 - Rock Creek - Bldg HD AR</t>
  </si>
  <si>
    <t>D0325 - Phillipsburg - Bldg HD AR</t>
  </si>
  <si>
    <t>D0326 - Logan - Bldg HD AR</t>
  </si>
  <si>
    <t>D0329 - Wabaunsee  - Bldg HD AR</t>
  </si>
  <si>
    <t>D0334 - Southern Cloud - Bldg HD AR</t>
  </si>
  <si>
    <t>D0335 - Jackson Heights - Bldg HD AR</t>
  </si>
  <si>
    <t>D0339 - Jefferson County North - Bldg HD AR</t>
  </si>
  <si>
    <t>D0344 - Pleasanton - Bldg HD AR</t>
  </si>
  <si>
    <t>D0346 - Jayhawk - Bldg HD AR</t>
  </si>
  <si>
    <t>D0348 - Baldwin City - Bldg HD AR</t>
  </si>
  <si>
    <t>D0349 - Stafford - Bldg HD AR</t>
  </si>
  <si>
    <t>D0353 - Wellington - Bldg HD AR</t>
  </si>
  <si>
    <t>D0376 - Sterling - Bldg HD AR</t>
  </si>
  <si>
    <t>D0377 - Atchison County - Bldg HD AR</t>
  </si>
  <si>
    <t>D0381 - Spearville - Bldg HD AR</t>
  </si>
  <si>
    <t>D0394 - Rose Hill  - Bldg HD AR</t>
  </si>
  <si>
    <t>D0395 - LaCrosse - Bldg HD AR</t>
  </si>
  <si>
    <t>D0396 - Douglass - Bldg HD AR</t>
  </si>
  <si>
    <t>D0403 - Otis-Bison - Bldg HD AR</t>
  </si>
  <si>
    <t>D0407 - Russell County - Bldg HD AR</t>
  </si>
  <si>
    <t>D0411 - Goessel - Bldg HD AR</t>
  </si>
  <si>
    <t>D0412 - Hoxie - Bldg HD AR</t>
  </si>
  <si>
    <t>D0420 - Osage City - Bldg HD AR</t>
  </si>
  <si>
    <t>D0435 - Abilene - Bldg HD AR</t>
  </si>
  <si>
    <t>D0436 - Caney Valley</t>
  </si>
  <si>
    <t>D0448 - Inman - Bldg HD AR</t>
  </si>
  <si>
    <t>D0457 - Garden City - Bldg HD AR</t>
  </si>
  <si>
    <t>D0458 - Basehor-Linwood - Bldg HD AR</t>
  </si>
  <si>
    <t>D0460 - Hesston - Bldg HD AR</t>
  </si>
  <si>
    <t>D0462 - Central - Bldg HD AR</t>
  </si>
  <si>
    <t>D0468 - Healy - Bldg HD AR</t>
  </si>
  <si>
    <t>D0471 - Dexter - Bldg HD AR</t>
  </si>
  <si>
    <t>D0474 - Haviland - Bldg HD AR</t>
  </si>
  <si>
    <t>D0511 - Attica - Bldg HD AR</t>
  </si>
  <si>
    <t>D0366 - Woodson - Bldg HD AR</t>
  </si>
  <si>
    <t>D0106 - Western Plains - Bldg HD AR</t>
  </si>
  <si>
    <t>D0240 - Twin Valley - Bldg HD AR</t>
  </si>
  <si>
    <t>D0251 - North Lyon - Bldg HD AR</t>
  </si>
  <si>
    <t>D0264 - Clearwater - Bldg HD AR</t>
  </si>
  <si>
    <t>D0265 - Goddard - Bldg HD AR</t>
  </si>
  <si>
    <t>D0313 - Buhler - Bldg HD AR</t>
  </si>
  <si>
    <t>D0316 - Golden Plains - Bldg HD AR</t>
  </si>
  <si>
    <t>D0331 - Kingman-Norwich - Bldg HD AR</t>
  </si>
  <si>
    <t>D0397 - Centre - Bldg HD AR</t>
  </si>
  <si>
    <t>D0398 - Peabody-Burns - Bldg HD AR</t>
  </si>
  <si>
    <t>D0410 - Hillsboro - Bldg HD AR</t>
  </si>
  <si>
    <t>D0423 - Moundridge - Bldg HD AR</t>
  </si>
  <si>
    <t>D0445 - Coffeyville - Bldg HD AR</t>
  </si>
  <si>
    <t>D0449 - Easton - Bldg HD AR</t>
  </si>
  <si>
    <t>D0469 - Lansing - Bldg HD AR</t>
  </si>
  <si>
    <t>D0480 - Liberal - Bldg HD AR</t>
  </si>
  <si>
    <t>D0481 - Rural Vista - Bldg HD AR</t>
  </si>
  <si>
    <t>D0489 - Hays - Bldg HD AR</t>
  </si>
  <si>
    <t>D0463 - Udall - Bldg HD AR</t>
  </si>
  <si>
    <t>D0101 - Erie - Bldg HD AR</t>
  </si>
  <si>
    <t>D0114 - Riverside - Bldg HD AR</t>
  </si>
  <si>
    <t>D0208 - Wakeeney - Bldg HD AR</t>
  </si>
  <si>
    <t>D0214 - Ulysses - Bldg HD AR</t>
  </si>
  <si>
    <t>D0218 - Elkhart - Bldg HD AR</t>
  </si>
  <si>
    <t>D0227 - Hodgeman County - Bldg HD AR</t>
  </si>
  <si>
    <t>D0230 - Spring Hill - Bldg HD AR</t>
  </si>
  <si>
    <t>D0234 - Ft. Scott - Bldg HD AR</t>
  </si>
  <si>
    <t>D0261 - Haysville - Bldg HD AR</t>
  </si>
  <si>
    <t>D0262 - Valley Center - Bldg HD AR</t>
  </si>
  <si>
    <t>D0266 - Maize - Bldg HD AR</t>
  </si>
  <si>
    <t>D0267 - Renwick - Bldg HD AR</t>
  </si>
  <si>
    <t>D0269 - Palco - Bldg HD AR</t>
  </si>
  <si>
    <t>D0275 - Triplains - Bldg HD AR</t>
  </si>
  <si>
    <t>D0305 - Salina - Bldg HD AR</t>
  </si>
  <si>
    <t>D0307 - Ell-Saline - Bldg HD AR</t>
  </si>
  <si>
    <t>D0308 - Hutchinson - Bldg HD AR</t>
  </si>
  <si>
    <t>D0310 - Fairfield - Bldg HD AR</t>
  </si>
  <si>
    <t>D0327 - Ellsworth - Bldg HD AR</t>
  </si>
  <si>
    <t>D0350 - St. John - Hudson - Bldg HD AR</t>
  </si>
  <si>
    <t>D0351 - Macksville - Bldg HD AR</t>
  </si>
  <si>
    <t>D0361 - Chaparral - Bldg HD AR</t>
  </si>
  <si>
    <t>D0368 - Paola - Bldg HD AR</t>
  </si>
  <si>
    <t>D0371 -  Montezuma - Bldg HD AR</t>
  </si>
  <si>
    <t>D0374 - Sublette - Bldg HD AR</t>
  </si>
  <si>
    <t>D0385 - Andover - Bldg HD AR</t>
  </si>
  <si>
    <t>D0400 - Smoky Valley - Bldg HD AR</t>
  </si>
  <si>
    <t>D0401 - Chase-Raymond - Bldg HD AR</t>
  </si>
  <si>
    <t>D0408 - Marion - Florence - Bldg HD AR</t>
  </si>
  <si>
    <t>D0418 - McPherson - Bldg HD AR</t>
  </si>
  <si>
    <t>D0440 - Halstead - Bldg HD AR</t>
  </si>
  <si>
    <t>D0453 - Leavenworth - Bldg HD AR</t>
  </si>
  <si>
    <t>D0470 - Arkansas City - Bldg HD AR</t>
  </si>
  <si>
    <t>D0479 - Crest - Bldg HD AR</t>
  </si>
  <si>
    <t>D0487 - Herington - Bldg HD AR</t>
  </si>
  <si>
    <t>D0492 - Flint Hills - Bldg HD AR</t>
  </si>
  <si>
    <t>D0494 - Syracuse - Bldg HD AR</t>
  </si>
  <si>
    <t>D0497 - Lawrence - Bldg HD AR</t>
  </si>
  <si>
    <t>D0499 - Galena - Bldg HD AR</t>
  </si>
  <si>
    <t>D0502 - Lewis - Bldg HD AR</t>
  </si>
  <si>
    <t>D0508 - Baxter Springs - Bldg HD AR</t>
  </si>
  <si>
    <t>D0207 - Ft. Leavenworth - Bldg HD AR</t>
  </si>
  <si>
    <t>D0383 - Manhattan - Bldg HD AR</t>
  </si>
  <si>
    <t>D0257 - Iola - Bldg HD AR</t>
  </si>
  <si>
    <t>D0290 - Ottawa - Bldg HD AR</t>
  </si>
  <si>
    <t>D0402 - Augusta - Bldg HD AR</t>
  </si>
  <si>
    <t>D0428 - Skyline - Bldg HD AR</t>
  </si>
  <si>
    <t>D0443 - Dodge City - Bldg HD AR</t>
  </si>
  <si>
    <t>D0482 - Dighton - Bldg HD AR</t>
  </si>
  <si>
    <t>D0260 - Derby - Bldg HD AR</t>
  </si>
  <si>
    <t>D0475 - Junction City - Bldg HD AR</t>
  </si>
  <si>
    <t>D0314 - Bldg HD AR</t>
  </si>
  <si>
    <t>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</si>
</sst>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.0000"/>
    <numFmt numFmtId="166" formatCode=".000"/>
    <numFmt numFmtId="167" formatCode=".000000"/>
    <numFmt numFmtId="168" formatCode="0.0"/>
    <numFmt numFmtId="169" formatCode="#,##0.0000"/>
    <numFmt numFmtId="170" formatCode="0.0%"/>
    <numFmt numFmtId="171" formatCode="#,##0;\-#,##0;;@"/>
    <numFmt numFmtId="172" formatCode="[$-10409]#,##0.0"/>
    <numFmt numFmtId="173" formatCode="0.000"/>
    <numFmt numFmtId="174" formatCode="#,##0.000"/>
    <numFmt numFmtId="175" formatCode="#,##0.0_);[Red]\(#,##0.0\)"/>
  </numFmts>
  <fonts count="65">
    <font>
      <sz val="10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Geneva"/>
    </font>
    <font>
      <sz val="8"/>
      <color indexed="8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name val="Calibri"/>
      <family val="2"/>
      <scheme val="minor"/>
    </font>
    <font>
      <sz val="11"/>
      <color theme="1"/>
      <name val="Times New Roman"/>
      <family val="2"/>
    </font>
    <font>
      <sz val="10"/>
      <name val="MS Sans Serif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8"/>
      <name val="Times New Roman"/>
      <family val="2"/>
    </font>
    <font>
      <u/>
      <sz val="10"/>
      <color indexed="12"/>
      <name val="Geneva"/>
    </font>
    <font>
      <u/>
      <sz val="10"/>
      <color indexed="12"/>
      <name val="Arial"/>
      <family val="2"/>
    </font>
    <font>
      <u/>
      <sz val="11"/>
      <color theme="10"/>
      <name val="Times New Roman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8"/>
      <color theme="3"/>
      <name val="Cambria"/>
      <family val="2"/>
      <scheme val="maj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gradientFill>
        <stop position="0">
          <color rgb="FF00B0F0"/>
        </stop>
        <stop position="1">
          <color theme="0"/>
        </stop>
      </gradientFill>
    </fill>
    <fill>
      <gradientFill>
        <stop position="0">
          <color theme="6" tint="0.40000610370189521"/>
        </stop>
        <stop position="1">
          <color theme="6" tint="0.80001220740379042"/>
        </stop>
      </gradientFill>
    </fill>
    <fill>
      <gradientFill>
        <stop position="0">
          <color rgb="FFFFC000"/>
        </stop>
        <stop position="1">
          <color rgb="FFFFFF00"/>
        </stop>
      </gradientFill>
    </fill>
    <fill>
      <patternFill patternType="solid">
        <fgColor theme="3" tint="0.79998168889431442"/>
        <bgColor indexed="64"/>
      </patternFill>
    </fill>
    <fill>
      <gradientFill degree="45">
        <stop position="0">
          <color rgb="FFFF0000"/>
        </stop>
        <stop position="1">
          <color theme="0"/>
        </stop>
      </gradient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8" tint="0.79998168889431442"/>
        <bgColor indexed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604">
    <xf numFmtId="0" fontId="0" fillId="0" borderId="0"/>
    <xf numFmtId="40" fontId="15" fillId="0" borderId="0" applyFont="0" applyFill="0" applyBorder="0" applyAlignment="0" applyProtection="0"/>
    <xf numFmtId="8" fontId="1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3" applyNumberFormat="0" applyFill="0" applyAlignment="0" applyProtection="0"/>
    <xf numFmtId="0" fontId="19" fillId="0" borderId="14" applyNumberFormat="0" applyFill="0" applyAlignment="0" applyProtection="0"/>
    <xf numFmtId="0" fontId="20" fillId="0" borderId="15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0" applyNumberFormat="0" applyBorder="0" applyAlignment="0" applyProtection="0"/>
    <xf numFmtId="0" fontId="24" fillId="7" borderId="16" applyNumberFormat="0" applyAlignment="0" applyProtection="0"/>
    <xf numFmtId="0" fontId="25" fillId="8" borderId="17" applyNumberFormat="0" applyAlignment="0" applyProtection="0"/>
    <xf numFmtId="0" fontId="26" fillId="8" borderId="16" applyNumberFormat="0" applyAlignment="0" applyProtection="0"/>
    <xf numFmtId="0" fontId="27" fillId="0" borderId="18" applyNumberFormat="0" applyFill="0" applyAlignment="0" applyProtection="0"/>
    <xf numFmtId="0" fontId="28" fillId="9" borderId="19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21" applyNumberFormat="0" applyFill="0" applyAlignment="0" applyProtection="0"/>
    <xf numFmtId="0" fontId="32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34" borderId="0" applyNumberFormat="0" applyBorder="0" applyAlignment="0" applyProtection="0"/>
    <xf numFmtId="0" fontId="14" fillId="0" borderId="0"/>
    <xf numFmtId="0" fontId="14" fillId="10" borderId="20" applyNumberFormat="0" applyFont="0" applyAlignment="0" applyProtection="0"/>
    <xf numFmtId="0" fontId="33" fillId="0" borderId="0"/>
    <xf numFmtId="0" fontId="13" fillId="0" borderId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5" fillId="0" borderId="0"/>
    <xf numFmtId="40" fontId="15" fillId="0" borderId="0" applyFont="0" applyFill="0" applyBorder="0" applyAlignment="0" applyProtection="0"/>
    <xf numFmtId="8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2" fillId="0" borderId="0"/>
    <xf numFmtId="0" fontId="41" fillId="0" borderId="0"/>
    <xf numFmtId="0" fontId="40" fillId="0" borderId="0"/>
    <xf numFmtId="0" fontId="13" fillId="0" borderId="0"/>
    <xf numFmtId="0" fontId="13" fillId="10" borderId="20" applyNumberFormat="0" applyFont="0" applyAlignment="0" applyProtection="0"/>
    <xf numFmtId="0" fontId="41" fillId="0" borderId="0"/>
    <xf numFmtId="43" fontId="40" fillId="0" borderId="0" applyFont="0" applyFill="0" applyBorder="0" applyAlignment="0" applyProtection="0"/>
    <xf numFmtId="0" fontId="33" fillId="0" borderId="0"/>
    <xf numFmtId="0" fontId="13" fillId="0" borderId="0"/>
    <xf numFmtId="0" fontId="33" fillId="0" borderId="0"/>
    <xf numFmtId="0" fontId="41" fillId="0" borderId="0"/>
    <xf numFmtId="0" fontId="12" fillId="0" borderId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0" borderId="0"/>
    <xf numFmtId="0" fontId="12" fillId="10" borderId="20" applyNumberFormat="0" applyFont="0" applyAlignment="0" applyProtection="0"/>
    <xf numFmtId="0" fontId="12" fillId="0" borderId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0" borderId="0"/>
    <xf numFmtId="0" fontId="12" fillId="10" borderId="20" applyNumberFormat="0" applyFont="0" applyAlignment="0" applyProtection="0"/>
    <xf numFmtId="0" fontId="12" fillId="0" borderId="0"/>
    <xf numFmtId="0" fontId="33" fillId="0" borderId="0"/>
    <xf numFmtId="8" fontId="15" fillId="0" borderId="0" applyFont="0" applyFill="0" applyBorder="0" applyAlignment="0" applyProtection="0"/>
    <xf numFmtId="0" fontId="15" fillId="0" borderId="0"/>
    <xf numFmtId="0" fontId="33" fillId="0" borderId="0" applyBorder="0"/>
    <xf numFmtId="0" fontId="12" fillId="0" borderId="0"/>
    <xf numFmtId="40" fontId="15" fillId="0" borderId="0" applyFont="0" applyFill="0" applyBorder="0" applyAlignment="0" applyProtection="0"/>
    <xf numFmtId="0" fontId="15" fillId="0" borderId="0"/>
    <xf numFmtId="40" fontId="15" fillId="0" borderId="0" applyFont="0" applyFill="0" applyBorder="0" applyAlignment="0" applyProtection="0"/>
    <xf numFmtId="8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40" fillId="0" borderId="0"/>
    <xf numFmtId="43" fontId="40" fillId="0" borderId="0" applyFont="0" applyFill="0" applyBorder="0" applyAlignment="0" applyProtection="0"/>
    <xf numFmtId="0" fontId="33" fillId="0" borderId="0"/>
    <xf numFmtId="0" fontId="12" fillId="0" borderId="0"/>
    <xf numFmtId="0" fontId="43" fillId="10" borderId="20" applyNumberFormat="0" applyFont="0" applyAlignment="0" applyProtection="0"/>
    <xf numFmtId="9" fontId="15" fillId="0" borderId="0" applyFont="0" applyFill="0" applyBorder="0" applyAlignment="0" applyProtection="0"/>
    <xf numFmtId="0" fontId="33" fillId="0" borderId="0"/>
    <xf numFmtId="43" fontId="12" fillId="0" borderId="0" applyFont="0" applyFill="0" applyBorder="0" applyAlignment="0" applyProtection="0"/>
    <xf numFmtId="1" fontId="15" fillId="0" borderId="0" applyFont="0" applyFill="0" applyBorder="0" applyAlignment="0" applyProtection="0"/>
    <xf numFmtId="1" fontId="15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33" fillId="0" borderId="0" applyBorder="0"/>
    <xf numFmtId="0" fontId="33" fillId="0" borderId="0" applyBorder="0"/>
    <xf numFmtId="0" fontId="43" fillId="10" borderId="20" applyNumberFormat="0" applyFont="0" applyAlignment="0" applyProtection="0"/>
    <xf numFmtId="0" fontId="33" fillId="0" borderId="0"/>
    <xf numFmtId="0" fontId="15" fillId="0" borderId="0"/>
    <xf numFmtId="43" fontId="44" fillId="0" borderId="0" applyFont="0" applyFill="0" applyBorder="0" applyAlignment="0" applyProtection="0"/>
    <xf numFmtId="0" fontId="33" fillId="0" borderId="0" applyBorder="0"/>
    <xf numFmtId="0" fontId="12" fillId="0" borderId="0"/>
    <xf numFmtId="40" fontId="15" fillId="0" borderId="0" applyFont="0" applyFill="0" applyBorder="0" applyAlignment="0" applyProtection="0"/>
    <xf numFmtId="0" fontId="33" fillId="0" borderId="0"/>
    <xf numFmtId="0" fontId="40" fillId="0" borderId="0"/>
    <xf numFmtId="0" fontId="43" fillId="10" borderId="20" applyNumberFormat="0" applyFont="0" applyAlignment="0" applyProtection="0"/>
    <xf numFmtId="0" fontId="12" fillId="10" borderId="20" applyNumberFormat="0" applyFont="0" applyAlignment="0" applyProtection="0"/>
    <xf numFmtId="0" fontId="33" fillId="0" borderId="0"/>
    <xf numFmtId="0" fontId="12" fillId="0" borderId="0"/>
    <xf numFmtId="0" fontId="12" fillId="0" borderId="0"/>
    <xf numFmtId="0" fontId="47" fillId="0" borderId="0" applyNumberFormat="0" applyFill="0" applyBorder="0" applyAlignment="0" applyProtection="0"/>
    <xf numFmtId="0" fontId="33" fillId="0" borderId="0"/>
    <xf numFmtId="0" fontId="43" fillId="10" borderId="20" applyNumberFormat="0" applyFont="0" applyAlignment="0" applyProtection="0"/>
    <xf numFmtId="0" fontId="43" fillId="10" borderId="20" applyNumberFormat="0" applyFont="0" applyAlignment="0" applyProtection="0"/>
    <xf numFmtId="43" fontId="40" fillId="0" borderId="0" applyFont="0" applyFill="0" applyBorder="0" applyAlignment="0" applyProtection="0"/>
    <xf numFmtId="0" fontId="33" fillId="0" borderId="0" applyBorder="0"/>
    <xf numFmtId="43" fontId="41" fillId="0" borderId="0" applyFont="0" applyFill="0" applyBorder="0" applyAlignment="0" applyProtection="0"/>
    <xf numFmtId="43" fontId="44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2" fillId="0" borderId="0"/>
    <xf numFmtId="0" fontId="12" fillId="0" borderId="0"/>
    <xf numFmtId="0" fontId="12" fillId="10" borderId="20" applyNumberFormat="0" applyFont="0" applyAlignment="0" applyProtection="0"/>
    <xf numFmtId="0" fontId="12" fillId="0" borderId="0"/>
    <xf numFmtId="0" fontId="12" fillId="0" borderId="0"/>
    <xf numFmtId="0" fontId="12" fillId="10" borderId="20" applyNumberFormat="0" applyFont="0" applyAlignment="0" applyProtection="0"/>
    <xf numFmtId="0" fontId="33" fillId="0" borderId="0"/>
    <xf numFmtId="43" fontId="44" fillId="0" borderId="0" applyFont="0" applyFill="0" applyBorder="0" applyAlignment="0" applyProtection="0"/>
    <xf numFmtId="0" fontId="12" fillId="0" borderId="0"/>
    <xf numFmtId="43" fontId="41" fillId="0" borderId="0" applyFont="0" applyFill="0" applyBorder="0" applyAlignment="0" applyProtection="0"/>
    <xf numFmtId="0" fontId="40" fillId="0" borderId="0"/>
    <xf numFmtId="0" fontId="41" fillId="0" borderId="0"/>
    <xf numFmtId="0" fontId="33" fillId="0" borderId="0"/>
    <xf numFmtId="0" fontId="12" fillId="0" borderId="0"/>
    <xf numFmtId="0" fontId="33" fillId="0" borderId="0"/>
    <xf numFmtId="0" fontId="41" fillId="0" borderId="0"/>
    <xf numFmtId="40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33" fillId="0" borderId="0" applyBorder="0"/>
    <xf numFmtId="0" fontId="43" fillId="10" borderId="20" applyNumberFormat="0" applyFont="0" applyAlignment="0" applyProtection="0"/>
    <xf numFmtId="0" fontId="43" fillId="10" borderId="20" applyNumberFormat="0" applyFont="0" applyAlignment="0" applyProtection="0"/>
    <xf numFmtId="0" fontId="15" fillId="0" borderId="0"/>
    <xf numFmtId="40" fontId="15" fillId="0" borderId="0" applyFont="0" applyFill="0" applyBorder="0" applyAlignment="0" applyProtection="0"/>
    <xf numFmtId="0" fontId="11" fillId="0" borderId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0" borderId="0"/>
    <xf numFmtId="0" fontId="11" fillId="10" borderId="20" applyNumberFormat="0" applyFont="0" applyAlignment="0" applyProtection="0"/>
    <xf numFmtId="0" fontId="11" fillId="0" borderId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0" borderId="0"/>
    <xf numFmtId="0" fontId="11" fillId="10" borderId="20" applyNumberFormat="0" applyFont="0" applyAlignment="0" applyProtection="0"/>
    <xf numFmtId="0" fontId="11" fillId="0" borderId="0"/>
    <xf numFmtId="0" fontId="11" fillId="0" borderId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0" borderId="0"/>
    <xf numFmtId="0" fontId="11" fillId="10" borderId="20" applyNumberFormat="0" applyFont="0" applyAlignment="0" applyProtection="0"/>
    <xf numFmtId="0" fontId="11" fillId="0" borderId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0" borderId="0"/>
    <xf numFmtId="0" fontId="11" fillId="10" borderId="20" applyNumberFormat="0" applyFont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10" borderId="2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" borderId="20" applyNumberFormat="0" applyFont="0" applyAlignment="0" applyProtection="0"/>
    <xf numFmtId="0" fontId="11" fillId="0" borderId="0"/>
    <xf numFmtId="0" fontId="11" fillId="0" borderId="0"/>
    <xf numFmtId="0" fontId="11" fillId="10" borderId="20" applyNumberFormat="0" applyFont="0" applyAlignment="0" applyProtection="0"/>
    <xf numFmtId="0" fontId="11" fillId="0" borderId="0"/>
    <xf numFmtId="0" fontId="11" fillId="0" borderId="0"/>
    <xf numFmtId="0" fontId="10" fillId="0" borderId="0"/>
    <xf numFmtId="0" fontId="10" fillId="10" borderId="20" applyNumberFormat="0" applyFont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9" fillId="0" borderId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9" fillId="10" borderId="20" applyNumberFormat="0" applyFont="0" applyAlignment="0" applyProtection="0"/>
    <xf numFmtId="0" fontId="8" fillId="0" borderId="0"/>
    <xf numFmtId="0" fontId="8" fillId="10" borderId="20" applyNumberFormat="0" applyFont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0" borderId="0"/>
    <xf numFmtId="0" fontId="8" fillId="10" borderId="20" applyNumberFormat="0" applyFont="0" applyAlignment="0" applyProtection="0"/>
    <xf numFmtId="0" fontId="8" fillId="0" borderId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0" borderId="0"/>
    <xf numFmtId="0" fontId="8" fillId="10" borderId="20" applyNumberFormat="0" applyFont="0" applyAlignment="0" applyProtection="0"/>
    <xf numFmtId="0" fontId="8" fillId="0" borderId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0" borderId="0"/>
    <xf numFmtId="0" fontId="8" fillId="10" borderId="20" applyNumberFormat="0" applyFont="0" applyAlignment="0" applyProtection="0"/>
    <xf numFmtId="0" fontId="8" fillId="0" borderId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0" borderId="0"/>
    <xf numFmtId="0" fontId="8" fillId="10" borderId="20" applyNumberFormat="0" applyFont="0" applyAlignment="0" applyProtection="0"/>
    <xf numFmtId="0" fontId="8" fillId="0" borderId="0"/>
    <xf numFmtId="43" fontId="8" fillId="0" borderId="0" applyFont="0" applyFill="0" applyBorder="0" applyAlignment="0" applyProtection="0"/>
    <xf numFmtId="0" fontId="33" fillId="0" borderId="0" applyBorder="0"/>
    <xf numFmtId="0" fontId="45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8" fillId="0" borderId="0"/>
    <xf numFmtId="0" fontId="8" fillId="0" borderId="0"/>
    <xf numFmtId="0" fontId="33" fillId="0" borderId="0"/>
    <xf numFmtId="0" fontId="8" fillId="0" borderId="0"/>
    <xf numFmtId="0" fontId="33" fillId="0" borderId="0" applyBorder="0"/>
    <xf numFmtId="0" fontId="8" fillId="0" borderId="0"/>
    <xf numFmtId="0" fontId="8" fillId="10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0" borderId="20" applyNumberFormat="0" applyFont="0" applyAlignment="0" applyProtection="0"/>
    <xf numFmtId="0" fontId="8" fillId="0" borderId="0"/>
    <xf numFmtId="0" fontId="8" fillId="0" borderId="0"/>
    <xf numFmtId="0" fontId="8" fillId="10" borderId="20" applyNumberFormat="0" applyFont="0" applyAlignment="0" applyProtection="0"/>
    <xf numFmtId="0" fontId="8" fillId="0" borderId="0"/>
    <xf numFmtId="0" fontId="15" fillId="0" borderId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0" borderId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0" borderId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0" borderId="0"/>
    <xf numFmtId="0" fontId="7" fillId="10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0" borderId="20" applyNumberFormat="0" applyFont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33" fillId="0" borderId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43" fontId="3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7" fillId="10" borderId="20" applyNumberFormat="0" applyFont="0" applyAlignment="0" applyProtection="0"/>
    <xf numFmtId="0" fontId="51" fillId="0" borderId="0"/>
    <xf numFmtId="0" fontId="6" fillId="10" borderId="20" applyNumberFormat="0" applyFont="0" applyAlignment="0" applyProtection="0"/>
    <xf numFmtId="43" fontId="33" fillId="0" borderId="0" applyFont="0" applyFill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9" fontId="15" fillId="0" borderId="0" applyFont="0" applyFill="0" applyBorder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41" fillId="0" borderId="0"/>
    <xf numFmtId="0" fontId="33" fillId="0" borderId="0"/>
    <xf numFmtId="0" fontId="6" fillId="0" borderId="0"/>
    <xf numFmtId="40" fontId="1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33" fillId="0" borderId="0" applyBorder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42" fillId="0" borderId="0"/>
    <xf numFmtId="0" fontId="6" fillId="0" borderId="0"/>
    <xf numFmtId="0" fontId="6" fillId="0" borderId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0" borderId="0"/>
    <xf numFmtId="0" fontId="6" fillId="10" borderId="20" applyNumberFormat="0" applyFont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8" fontId="15" fillId="0" borderId="0" applyFont="0" applyFill="0" applyBorder="0" applyAlignment="0" applyProtection="0"/>
    <xf numFmtId="0" fontId="6" fillId="0" borderId="0"/>
    <xf numFmtId="0" fontId="33" fillId="0" borderId="0" applyBorder="0"/>
    <xf numFmtId="0" fontId="6" fillId="0" borderId="0"/>
    <xf numFmtId="0" fontId="15" fillId="0" borderId="0"/>
    <xf numFmtId="0" fontId="33" fillId="0" borderId="0" applyBorder="0"/>
    <xf numFmtId="40" fontId="15" fillId="0" borderId="0" applyFont="0" applyFill="0" applyBorder="0" applyAlignment="0" applyProtection="0"/>
    <xf numFmtId="0" fontId="43" fillId="10" borderId="20" applyNumberFormat="0" applyFont="0" applyAlignment="0" applyProtection="0"/>
    <xf numFmtId="0" fontId="33" fillId="0" borderId="0"/>
    <xf numFmtId="0" fontId="33" fillId="0" borderId="0"/>
    <xf numFmtId="0" fontId="43" fillId="10" borderId="20" applyNumberFormat="0" applyFont="0" applyAlignment="0" applyProtection="0"/>
    <xf numFmtId="0" fontId="41" fillId="0" borderId="0"/>
    <xf numFmtId="0" fontId="15" fillId="0" borderId="0"/>
    <xf numFmtId="0" fontId="33" fillId="0" borderId="0"/>
    <xf numFmtId="0" fontId="6" fillId="10" borderId="20" applyNumberFormat="0" applyFont="0" applyAlignment="0" applyProtection="0"/>
    <xf numFmtId="0" fontId="43" fillId="10" borderId="20" applyNumberFormat="0" applyFont="0" applyAlignment="0" applyProtection="0"/>
    <xf numFmtId="40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6" fillId="10" borderId="20" applyNumberFormat="0" applyFont="0" applyAlignment="0" applyProtection="0"/>
    <xf numFmtId="43" fontId="41" fillId="0" borderId="0" applyFont="0" applyFill="0" applyBorder="0" applyAlignment="0" applyProtection="0"/>
    <xf numFmtId="0" fontId="15" fillId="0" borderId="0"/>
    <xf numFmtId="0" fontId="33" fillId="0" borderId="0"/>
    <xf numFmtId="0" fontId="6" fillId="10" borderId="20" applyNumberFormat="0" applyFont="0" applyAlignment="0" applyProtection="0"/>
    <xf numFmtId="0" fontId="33" fillId="0" borderId="0"/>
    <xf numFmtId="0" fontId="6" fillId="0" borderId="0"/>
    <xf numFmtId="43" fontId="44" fillId="0" borderId="0" applyFont="0" applyFill="0" applyBorder="0" applyAlignment="0" applyProtection="0"/>
    <xf numFmtId="0" fontId="33" fillId="0" borderId="0"/>
    <xf numFmtId="0" fontId="6" fillId="0" borderId="0"/>
    <xf numFmtId="0" fontId="6" fillId="0" borderId="0"/>
    <xf numFmtId="0" fontId="40" fillId="0" borderId="0"/>
    <xf numFmtId="40" fontId="15" fillId="0" borderId="0" applyFont="0" applyFill="0" applyBorder="0" applyAlignment="0" applyProtection="0"/>
    <xf numFmtId="0" fontId="6" fillId="10" borderId="20" applyNumberFormat="0" applyFont="0" applyAlignment="0" applyProtection="0"/>
    <xf numFmtId="0" fontId="33" fillId="0" borderId="0"/>
    <xf numFmtId="0" fontId="6" fillId="10" borderId="20" applyNumberFormat="0" applyFont="0" applyAlignment="0" applyProtection="0"/>
    <xf numFmtId="1" fontId="15" fillId="0" borderId="0" applyFont="0" applyFill="0" applyBorder="0" applyAlignment="0" applyProtection="0"/>
    <xf numFmtId="0" fontId="33" fillId="0" borderId="0" applyBorder="0"/>
    <xf numFmtId="0" fontId="41" fillId="0" borderId="0"/>
    <xf numFmtId="0" fontId="43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1" fontId="15" fillId="0" borderId="0" applyFont="0" applyFill="0" applyBorder="0" applyAlignment="0" applyProtection="0"/>
    <xf numFmtId="0" fontId="43" fillId="10" borderId="20" applyNumberFormat="0" applyFont="0" applyAlignment="0" applyProtection="0"/>
    <xf numFmtId="0" fontId="15" fillId="0" borderId="0"/>
    <xf numFmtId="0" fontId="33" fillId="0" borderId="0" applyBorder="0"/>
    <xf numFmtId="0" fontId="33" fillId="0" borderId="0"/>
    <xf numFmtId="0" fontId="15" fillId="0" borderId="0"/>
    <xf numFmtId="0" fontId="33" fillId="0" borderId="0"/>
    <xf numFmtId="0" fontId="6" fillId="10" borderId="20" applyNumberFormat="0" applyFont="0" applyAlignment="0" applyProtection="0"/>
    <xf numFmtId="0" fontId="43" fillId="10" borderId="20" applyNumberFormat="0" applyFont="0" applyAlignment="0" applyProtection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43" fontId="41" fillId="0" borderId="0" applyFont="0" applyFill="0" applyBorder="0" applyAlignment="0" applyProtection="0"/>
    <xf numFmtId="0" fontId="6" fillId="0" borderId="0"/>
    <xf numFmtId="0" fontId="15" fillId="0" borderId="0"/>
    <xf numFmtId="0" fontId="6" fillId="10" borderId="20" applyNumberFormat="0" applyFont="0" applyAlignment="0" applyProtection="0"/>
    <xf numFmtId="43" fontId="4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0" fillId="0" borderId="0"/>
    <xf numFmtId="0" fontId="6" fillId="12" borderId="0" applyNumberFormat="0" applyBorder="0" applyAlignment="0" applyProtection="0"/>
    <xf numFmtId="0" fontId="43" fillId="10" borderId="20" applyNumberFormat="0" applyFont="0" applyAlignment="0" applyProtection="0"/>
    <xf numFmtId="43" fontId="44" fillId="0" borderId="0" applyFont="0" applyFill="0" applyBorder="0" applyAlignment="0" applyProtection="0"/>
    <xf numFmtId="0" fontId="40" fillId="0" borderId="0"/>
    <xf numFmtId="0" fontId="6" fillId="0" borderId="0"/>
    <xf numFmtId="0" fontId="43" fillId="10" borderId="20" applyNumberFormat="0" applyFont="0" applyAlignment="0" applyProtection="0"/>
    <xf numFmtId="43" fontId="44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10" borderId="20" applyNumberFormat="0" applyFont="0" applyAlignment="0" applyProtection="0"/>
    <xf numFmtId="0" fontId="6" fillId="32" borderId="0" applyNumberFormat="0" applyBorder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40" fillId="0" borderId="0" applyFont="0" applyFill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8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6" borderId="0" applyNumberFormat="0" applyBorder="0" applyAlignment="0" applyProtection="0"/>
    <xf numFmtId="40" fontId="15" fillId="0" borderId="0" applyFont="0" applyFill="0" applyBorder="0" applyAlignment="0" applyProtection="0"/>
    <xf numFmtId="0" fontId="40" fillId="0" borderId="0"/>
    <xf numFmtId="0" fontId="6" fillId="0" borderId="0"/>
    <xf numFmtId="0" fontId="33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10" borderId="20" applyNumberFormat="0" applyFont="0" applyAlignment="0" applyProtection="0"/>
    <xf numFmtId="0" fontId="33" fillId="0" borderId="0"/>
    <xf numFmtId="43" fontId="41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33" fillId="0" borderId="0"/>
    <xf numFmtId="0" fontId="6" fillId="0" borderId="0"/>
    <xf numFmtId="0" fontId="6" fillId="0" borderId="0"/>
    <xf numFmtId="0" fontId="41" fillId="0" borderId="0"/>
    <xf numFmtId="0" fontId="6" fillId="0" borderId="0"/>
    <xf numFmtId="40" fontId="15" fillId="0" borderId="0" applyFont="0" applyFill="0" applyBorder="0" applyAlignment="0" applyProtection="0"/>
    <xf numFmtId="0" fontId="6" fillId="10" borderId="20" applyNumberFormat="0" applyFont="0" applyAlignment="0" applyProtection="0"/>
    <xf numFmtId="0" fontId="33" fillId="0" borderId="0"/>
    <xf numFmtId="0" fontId="54" fillId="0" borderId="0" applyNumberFormat="0" applyFill="0" applyBorder="0" applyAlignment="0" applyProtection="0"/>
    <xf numFmtId="0" fontId="33" fillId="0" borderId="0"/>
    <xf numFmtId="43" fontId="6" fillId="0" borderId="0" applyFont="0" applyFill="0" applyBorder="0" applyAlignment="0" applyProtection="0"/>
    <xf numFmtId="0" fontId="33" fillId="0" borderId="0"/>
    <xf numFmtId="0" fontId="6" fillId="0" borderId="0"/>
    <xf numFmtId="0" fontId="6" fillId="0" borderId="0"/>
    <xf numFmtId="43" fontId="41" fillId="0" borderId="0" applyFont="0" applyFill="0" applyBorder="0" applyAlignment="0" applyProtection="0"/>
    <xf numFmtId="0" fontId="41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0" borderId="20" applyNumberFormat="0" applyFont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6" fillId="10" borderId="20" applyNumberFormat="0" applyFont="0" applyAlignment="0" applyProtection="0"/>
    <xf numFmtId="0" fontId="33" fillId="0" borderId="0"/>
    <xf numFmtId="0" fontId="33" fillId="0" borderId="0"/>
    <xf numFmtId="0" fontId="15" fillId="0" borderId="0"/>
    <xf numFmtId="0" fontId="33" fillId="0" borderId="0"/>
    <xf numFmtId="0" fontId="5" fillId="0" borderId="0"/>
    <xf numFmtId="0" fontId="5" fillId="10" borderId="20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0" borderId="0"/>
    <xf numFmtId="0" fontId="5" fillId="10" borderId="20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2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0" borderId="20" applyNumberFormat="0" applyFont="0" applyAlignment="0" applyProtection="0"/>
    <xf numFmtId="0" fontId="5" fillId="0" borderId="0"/>
    <xf numFmtId="0" fontId="5" fillId="10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20" applyNumberFormat="0" applyFont="0" applyAlignment="0" applyProtection="0"/>
    <xf numFmtId="0" fontId="5" fillId="0" borderId="0"/>
    <xf numFmtId="0" fontId="5" fillId="0" borderId="0"/>
    <xf numFmtId="0" fontId="5" fillId="10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5" fillId="10" borderId="20" applyNumberFormat="0" applyFont="0" applyAlignment="0" applyProtection="0"/>
    <xf numFmtId="0" fontId="4" fillId="0" borderId="0"/>
    <xf numFmtId="0" fontId="4" fillId="10" borderId="20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15" fillId="0" borderId="0"/>
    <xf numFmtId="40" fontId="15" fillId="0" borderId="0" applyFont="0" applyFill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0" borderId="0"/>
    <xf numFmtId="43" fontId="33" fillId="0" borderId="0" applyFont="0" applyFill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4" fillId="10" borderId="20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0" borderId="0"/>
    <xf numFmtId="0" fontId="3" fillId="10" borderId="20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3" fillId="10" borderId="20" applyNumberFormat="0" applyFont="0" applyAlignment="0" applyProtection="0"/>
    <xf numFmtId="0" fontId="56" fillId="0" borderId="0"/>
    <xf numFmtId="0" fontId="2" fillId="0" borderId="0"/>
    <xf numFmtId="0" fontId="57" fillId="0" borderId="0"/>
    <xf numFmtId="0" fontId="59" fillId="0" borderId="0"/>
    <xf numFmtId="0" fontId="1" fillId="0" borderId="0"/>
  </cellStyleXfs>
  <cellXfs count="363">
    <xf numFmtId="0" fontId="0" fillId="0" borderId="0" xfId="0"/>
    <xf numFmtId="0" fontId="34" fillId="0" borderId="0" xfId="0" applyFont="1"/>
    <xf numFmtId="0" fontId="34" fillId="3" borderId="6" xfId="0" applyFont="1" applyFill="1" applyBorder="1"/>
    <xf numFmtId="0" fontId="34" fillId="3" borderId="5" xfId="0" applyFont="1" applyFill="1" applyBorder="1"/>
    <xf numFmtId="0" fontId="35" fillId="3" borderId="0" xfId="0" applyFont="1" applyFill="1" applyBorder="1" applyAlignment="1">
      <alignment horizontal="center"/>
    </xf>
    <xf numFmtId="0" fontId="35" fillId="3" borderId="6" xfId="0" applyFont="1" applyFill="1" applyBorder="1" applyAlignment="1">
      <alignment horizontal="center"/>
    </xf>
    <xf numFmtId="6" fontId="34" fillId="3" borderId="0" xfId="2" applyNumberFormat="1" applyFont="1" applyFill="1" applyBorder="1"/>
    <xf numFmtId="6" fontId="34" fillId="3" borderId="1" xfId="2" applyNumberFormat="1" applyFont="1" applyFill="1" applyBorder="1"/>
    <xf numFmtId="0" fontId="34" fillId="3" borderId="5" xfId="0" applyFont="1" applyFill="1" applyBorder="1" applyAlignment="1">
      <alignment horizontal="right"/>
    </xf>
    <xf numFmtId="6" fontId="34" fillId="3" borderId="0" xfId="0" applyNumberFormat="1" applyFont="1" applyFill="1" applyBorder="1"/>
    <xf numFmtId="6" fontId="36" fillId="3" borderId="0" xfId="2" applyNumberFormat="1" applyFont="1" applyFill="1" applyBorder="1"/>
    <xf numFmtId="6" fontId="34" fillId="3" borderId="1" xfId="0" applyNumberFormat="1" applyFont="1" applyFill="1" applyBorder="1"/>
    <xf numFmtId="6" fontId="36" fillId="3" borderId="1" xfId="2" applyNumberFormat="1" applyFont="1" applyFill="1" applyBorder="1"/>
    <xf numFmtId="0" fontId="34" fillId="3" borderId="7" xfId="0" applyFont="1" applyFill="1" applyBorder="1"/>
    <xf numFmtId="0" fontId="34" fillId="3" borderId="8" xfId="0" applyFont="1" applyFill="1" applyBorder="1"/>
    <xf numFmtId="0" fontId="34" fillId="3" borderId="9" xfId="0" applyFont="1" applyFill="1" applyBorder="1"/>
    <xf numFmtId="3" fontId="34" fillId="3" borderId="0" xfId="0" applyNumberFormat="1" applyFont="1" applyFill="1" applyBorder="1"/>
    <xf numFmtId="3" fontId="34" fillId="3" borderId="1" xfId="0" applyNumberFormat="1" applyFont="1" applyFill="1" applyBorder="1"/>
    <xf numFmtId="0" fontId="34" fillId="3" borderId="0" xfId="0" applyFont="1" applyFill="1" applyBorder="1" applyAlignment="1">
      <alignment horizontal="right"/>
    </xf>
    <xf numFmtId="3" fontId="36" fillId="3" borderId="0" xfId="0" applyNumberFormat="1" applyFont="1" applyFill="1" applyBorder="1"/>
    <xf numFmtId="3" fontId="36" fillId="3" borderId="1" xfId="0" applyNumberFormat="1" applyFont="1" applyFill="1" applyBorder="1"/>
    <xf numFmtId="0" fontId="34" fillId="0" borderId="5" xfId="0" applyFont="1" applyBorder="1"/>
    <xf numFmtId="0" fontId="34" fillId="0" borderId="6" xfId="0" applyFont="1" applyBorder="1"/>
    <xf numFmtId="0" fontId="35" fillId="0" borderId="0" xfId="0" applyFont="1" applyBorder="1" applyAlignment="1">
      <alignment horizontal="center"/>
    </xf>
    <xf numFmtId="3" fontId="34" fillId="0" borderId="0" xfId="0" applyNumberFormat="1" applyFont="1" applyBorder="1"/>
    <xf numFmtId="3" fontId="34" fillId="0" borderId="1" xfId="0" applyNumberFormat="1" applyFont="1" applyBorder="1"/>
    <xf numFmtId="0" fontId="34" fillId="0" borderId="5" xfId="0" applyFont="1" applyBorder="1" applyAlignment="1">
      <alignment horizontal="right"/>
    </xf>
    <xf numFmtId="0" fontId="34" fillId="0" borderId="0" xfId="0" applyFont="1" applyBorder="1" applyAlignment="1">
      <alignment horizontal="right"/>
    </xf>
    <xf numFmtId="3" fontId="36" fillId="0" borderId="0" xfId="0" applyNumberFormat="1" applyFont="1" applyBorder="1"/>
    <xf numFmtId="3" fontId="36" fillId="0" borderId="1" xfId="0" applyNumberFormat="1" applyFont="1" applyBorder="1"/>
    <xf numFmtId="0" fontId="34" fillId="0" borderId="7" xfId="0" applyFont="1" applyBorder="1" applyAlignment="1">
      <alignment horizontal="right"/>
    </xf>
    <xf numFmtId="3" fontId="34" fillId="0" borderId="8" xfId="0" applyNumberFormat="1" applyFont="1" applyBorder="1"/>
    <xf numFmtId="0" fontId="34" fillId="0" borderId="9" xfId="0" applyFont="1" applyBorder="1"/>
    <xf numFmtId="0" fontId="34" fillId="0" borderId="8" xfId="0" applyFont="1" applyBorder="1" applyAlignment="1">
      <alignment horizontal="right"/>
    </xf>
    <xf numFmtId="0" fontId="35" fillId="0" borderId="6" xfId="0" applyFont="1" applyBorder="1" applyAlignment="1">
      <alignment horizontal="center"/>
    </xf>
    <xf numFmtId="3" fontId="34" fillId="0" borderId="6" xfId="0" applyNumberFormat="1" applyFont="1" applyBorder="1"/>
    <xf numFmtId="3" fontId="36" fillId="0" borderId="6" xfId="0" applyNumberFormat="1" applyFont="1" applyBorder="1"/>
    <xf numFmtId="3" fontId="34" fillId="0" borderId="9" xfId="0" applyNumberFormat="1" applyFont="1" applyBorder="1"/>
    <xf numFmtId="3" fontId="34" fillId="0" borderId="0" xfId="0" applyNumberFormat="1" applyFont="1" applyFill="1"/>
    <xf numFmtId="0" fontId="34" fillId="0" borderId="8" xfId="0" applyFont="1" applyFill="1" applyBorder="1"/>
    <xf numFmtId="168" fontId="34" fillId="3" borderId="6" xfId="0" applyNumberFormat="1" applyFont="1" applyFill="1" applyBorder="1"/>
    <xf numFmtId="0" fontId="39" fillId="0" borderId="8" xfId="0" applyFont="1" applyFill="1" applyBorder="1"/>
    <xf numFmtId="0" fontId="34" fillId="0" borderId="0" xfId="0" applyFont="1" applyFill="1" applyBorder="1"/>
    <xf numFmtId="0" fontId="34" fillId="3" borderId="0" xfId="0" applyFont="1" applyFill="1" applyBorder="1" applyAlignment="1"/>
    <xf numFmtId="6" fontId="34" fillId="3" borderId="0" xfId="2" applyNumberFormat="1" applyFont="1" applyFill="1" applyBorder="1" applyAlignment="1"/>
    <xf numFmtId="6" fontId="34" fillId="3" borderId="1" xfId="2" applyNumberFormat="1" applyFont="1" applyFill="1" applyBorder="1" applyAlignment="1"/>
    <xf numFmtId="6" fontId="36" fillId="3" borderId="0" xfId="2" applyNumberFormat="1" applyFont="1" applyFill="1" applyBorder="1" applyAlignment="1"/>
    <xf numFmtId="6" fontId="36" fillId="3" borderId="1" xfId="2" applyNumberFormat="1" applyFont="1" applyFill="1" applyBorder="1" applyAlignment="1"/>
    <xf numFmtId="0" fontId="34" fillId="3" borderId="8" xfId="0" applyFont="1" applyFill="1" applyBorder="1" applyAlignment="1"/>
    <xf numFmtId="3" fontId="34" fillId="3" borderId="0" xfId="0" applyNumberFormat="1" applyFont="1" applyFill="1" applyBorder="1" applyAlignment="1"/>
    <xf numFmtId="3" fontId="34" fillId="3" borderId="1" xfId="0" applyNumberFormat="1" applyFont="1" applyFill="1" applyBorder="1" applyAlignment="1"/>
    <xf numFmtId="3" fontId="36" fillId="3" borderId="0" xfId="0" applyNumberFormat="1" applyFont="1" applyFill="1" applyBorder="1" applyAlignment="1"/>
    <xf numFmtId="3" fontId="36" fillId="3" borderId="1" xfId="0" applyNumberFormat="1" applyFont="1" applyFill="1" applyBorder="1" applyAlignment="1"/>
    <xf numFmtId="0" fontId="34" fillId="0" borderId="0" xfId="0" applyFont="1" applyBorder="1" applyAlignment="1"/>
    <xf numFmtId="3" fontId="34" fillId="0" borderId="0" xfId="0" applyNumberFormat="1" applyFont="1" applyBorder="1" applyAlignment="1"/>
    <xf numFmtId="3" fontId="34" fillId="0" borderId="1" xfId="0" applyNumberFormat="1" applyFont="1" applyBorder="1" applyAlignment="1"/>
    <xf numFmtId="3" fontId="36" fillId="0" borderId="0" xfId="0" applyNumberFormat="1" applyFont="1" applyBorder="1" applyAlignment="1"/>
    <xf numFmtId="3" fontId="36" fillId="0" borderId="1" xfId="0" applyNumberFormat="1" applyFont="1" applyBorder="1" applyAlignment="1"/>
    <xf numFmtId="3" fontId="34" fillId="0" borderId="8" xfId="0" applyNumberFormat="1" applyFont="1" applyBorder="1" applyAlignment="1"/>
    <xf numFmtId="0" fontId="34" fillId="0" borderId="0" xfId="0" applyFont="1" applyAlignment="1"/>
    <xf numFmtId="0" fontId="34" fillId="0" borderId="0" xfId="0" applyFont="1" applyFill="1" applyBorder="1" applyAlignment="1"/>
    <xf numFmtId="0" fontId="34" fillId="3" borderId="7" xfId="0" applyFont="1" applyFill="1" applyBorder="1" applyAlignment="1"/>
    <xf numFmtId="0" fontId="35" fillId="3" borderId="9" xfId="0" applyFont="1" applyFill="1" applyBorder="1" applyAlignment="1">
      <alignment horizontal="center"/>
    </xf>
    <xf numFmtId="0" fontId="34" fillId="0" borderId="26" xfId="0" applyFont="1" applyBorder="1"/>
    <xf numFmtId="0" fontId="34" fillId="0" borderId="0" xfId="0" applyFont="1" applyBorder="1"/>
    <xf numFmtId="0" fontId="34" fillId="0" borderId="27" xfId="0" applyFont="1" applyBorder="1"/>
    <xf numFmtId="0" fontId="34" fillId="0" borderId="28" xfId="0" applyFont="1" applyBorder="1"/>
    <xf numFmtId="0" fontId="34" fillId="0" borderId="10" xfId="0" applyFont="1" applyBorder="1"/>
    <xf numFmtId="0" fontId="34" fillId="0" borderId="12" xfId="0" applyFont="1" applyBorder="1"/>
    <xf numFmtId="3" fontId="34" fillId="0" borderId="10" xfId="0" applyNumberFormat="1" applyFont="1" applyBorder="1"/>
    <xf numFmtId="0" fontId="34" fillId="0" borderId="0" xfId="0" applyFont="1" applyFill="1"/>
    <xf numFmtId="3" fontId="34" fillId="3" borderId="6" xfId="0" applyNumberFormat="1" applyFont="1" applyFill="1" applyBorder="1"/>
    <xf numFmtId="3" fontId="36" fillId="3" borderId="6" xfId="0" applyNumberFormat="1" applyFont="1" applyFill="1" applyBorder="1"/>
    <xf numFmtId="3" fontId="34" fillId="3" borderId="9" xfId="0" applyNumberFormat="1" applyFont="1" applyFill="1" applyBorder="1"/>
    <xf numFmtId="0" fontId="34" fillId="0" borderId="32" xfId="0" applyFont="1" applyBorder="1"/>
    <xf numFmtId="0" fontId="34" fillId="0" borderId="1" xfId="0" applyFont="1" applyBorder="1"/>
    <xf numFmtId="0" fontId="34" fillId="0" borderId="33" xfId="0" applyFont="1" applyBorder="1"/>
    <xf numFmtId="14" fontId="34" fillId="0" borderId="0" xfId="0" applyNumberFormat="1" applyFont="1"/>
    <xf numFmtId="10" fontId="34" fillId="0" borderId="0" xfId="0" applyNumberFormat="1" applyFont="1" applyBorder="1" applyAlignment="1">
      <alignment horizontal="center"/>
    </xf>
    <xf numFmtId="164" fontId="50" fillId="0" borderId="0" xfId="103" applyNumberFormat="1" applyFont="1" applyFill="1"/>
    <xf numFmtId="0" fontId="34" fillId="3" borderId="7" xfId="0" applyFont="1" applyFill="1" applyBorder="1" applyAlignment="1">
      <alignment horizontal="right"/>
    </xf>
    <xf numFmtId="3" fontId="34" fillId="3" borderId="8" xfId="0" applyNumberFormat="1" applyFont="1" applyFill="1" applyBorder="1"/>
    <xf numFmtId="168" fontId="34" fillId="0" borderId="0" xfId="0" applyNumberFormat="1" applyFont="1" applyFill="1"/>
    <xf numFmtId="3" fontId="34" fillId="0" borderId="0" xfId="0" applyNumberFormat="1" applyFont="1"/>
    <xf numFmtId="37" fontId="34" fillId="0" borderId="0" xfId="0" applyNumberFormat="1" applyFont="1"/>
    <xf numFmtId="0" fontId="35" fillId="0" borderId="23" xfId="0" applyFont="1" applyFill="1" applyBorder="1" applyAlignment="1" applyProtection="1">
      <alignment horizontal="center"/>
    </xf>
    <xf numFmtId="0" fontId="35" fillId="39" borderId="0" xfId="0" applyFont="1" applyFill="1" applyBorder="1" applyAlignment="1" applyProtection="1">
      <alignment horizontal="left"/>
    </xf>
    <xf numFmtId="0" fontId="34" fillId="0" borderId="0" xfId="0" applyFont="1" applyFill="1" applyProtection="1"/>
    <xf numFmtId="0" fontId="34" fillId="0" borderId="0" xfId="0" applyFont="1" applyFill="1" applyAlignment="1" applyProtection="1">
      <alignment horizontal="center"/>
    </xf>
    <xf numFmtId="164" fontId="34" fillId="0" borderId="0" xfId="0" applyNumberFormat="1" applyFont="1"/>
    <xf numFmtId="0" fontId="34" fillId="0" borderId="0" xfId="0" applyFont="1" applyFill="1" applyBorder="1" applyProtection="1"/>
    <xf numFmtId="0" fontId="34" fillId="37" borderId="0" xfId="0" applyFont="1" applyFill="1" applyProtection="1"/>
    <xf numFmtId="0" fontId="35" fillId="39" borderId="34" xfId="0" applyFont="1" applyFill="1" applyBorder="1" applyAlignment="1" applyProtection="1">
      <alignment horizontal="center"/>
    </xf>
    <xf numFmtId="0" fontId="55" fillId="0" borderId="0" xfId="0" applyFont="1" applyFill="1" applyAlignment="1" applyProtection="1">
      <alignment horizontal="center"/>
    </xf>
    <xf numFmtId="164" fontId="34" fillId="0" borderId="23" xfId="0" applyNumberFormat="1" applyFont="1" applyFill="1" applyBorder="1" applyAlignment="1" applyProtection="1">
      <alignment horizontal="center" textRotation="90" wrapText="1"/>
    </xf>
    <xf numFmtId="164" fontId="34" fillId="0" borderId="0" xfId="0" applyNumberFormat="1" applyFont="1" applyFill="1" applyProtection="1"/>
    <xf numFmtId="1" fontId="34" fillId="0" borderId="0" xfId="0" applyNumberFormat="1" applyFont="1" applyFill="1" applyAlignment="1" applyProtection="1">
      <alignment horizontal="center"/>
    </xf>
    <xf numFmtId="38" fontId="34" fillId="0" borderId="0" xfId="1" applyNumberFormat="1" applyFont="1" applyFill="1" applyAlignment="1" applyProtection="1"/>
    <xf numFmtId="168" fontId="34" fillId="0" borderId="0" xfId="0" applyNumberFormat="1" applyFont="1" applyFill="1" applyProtection="1"/>
    <xf numFmtId="3" fontId="34" fillId="0" borderId="0" xfId="0" applyNumberFormat="1" applyFont="1" applyFill="1" applyProtection="1"/>
    <xf numFmtId="14" fontId="53" fillId="2" borderId="0" xfId="0" applyNumberFormat="1" applyFont="1" applyFill="1" applyAlignment="1" applyProtection="1">
      <alignment horizontal="center"/>
    </xf>
    <xf numFmtId="0" fontId="35" fillId="39" borderId="34" xfId="0" applyFont="1" applyFill="1" applyBorder="1" applyAlignment="1" applyProtection="1">
      <alignment horizontal="left"/>
    </xf>
    <xf numFmtId="14" fontId="34" fillId="0" borderId="0" xfId="0" applyNumberFormat="1" applyFont="1" applyAlignment="1">
      <alignment horizontal="center"/>
    </xf>
    <xf numFmtId="0" fontId="34" fillId="0" borderId="0" xfId="0" applyFont="1" applyFill="1" applyAlignment="1" applyProtection="1">
      <alignment horizontal="left"/>
    </xf>
    <xf numFmtId="38" fontId="34" fillId="36" borderId="0" xfId="1" applyNumberFormat="1" applyFont="1" applyFill="1" applyAlignment="1" applyProtection="1"/>
    <xf numFmtId="0" fontId="34" fillId="0" borderId="12" xfId="0" applyFont="1" applyBorder="1"/>
    <xf numFmtId="10" fontId="34" fillId="0" borderId="0" xfId="0" applyNumberFormat="1" applyFont="1" applyFill="1" applyProtection="1"/>
    <xf numFmtId="3" fontId="34" fillId="38" borderId="0" xfId="0" applyNumberFormat="1" applyFont="1" applyFill="1" applyProtection="1"/>
    <xf numFmtId="3" fontId="50" fillId="0" borderId="0" xfId="426" applyNumberFormat="1" applyFont="1"/>
    <xf numFmtId="170" fontId="34" fillId="0" borderId="0" xfId="0" applyNumberFormat="1" applyFont="1" applyFill="1" applyProtection="1"/>
    <xf numFmtId="0" fontId="35" fillId="0" borderId="0" xfId="0" applyFont="1" applyFill="1" applyProtection="1"/>
    <xf numFmtId="164" fontId="34" fillId="0" borderId="23" xfId="0" applyNumberFormat="1" applyFont="1" applyFill="1" applyBorder="1" applyAlignment="1" applyProtection="1">
      <alignment horizontal="center" wrapText="1"/>
    </xf>
    <xf numFmtId="171" fontId="34" fillId="0" borderId="0" xfId="0" applyNumberFormat="1" applyFont="1" applyFill="1" applyProtection="1"/>
    <xf numFmtId="0" fontId="34" fillId="40" borderId="0" xfId="0" applyFont="1" applyFill="1" applyProtection="1"/>
    <xf numFmtId="4" fontId="34" fillId="0" borderId="0" xfId="0" applyNumberFormat="1" applyFont="1" applyFill="1" applyProtection="1"/>
    <xf numFmtId="165" fontId="34" fillId="0" borderId="0" xfId="0" applyNumberFormat="1" applyFont="1" applyFill="1" applyProtection="1"/>
    <xf numFmtId="167" fontId="34" fillId="0" borderId="0" xfId="0" applyNumberFormat="1" applyFont="1" applyFill="1" applyProtection="1"/>
    <xf numFmtId="166" fontId="34" fillId="0" borderId="0" xfId="0" applyNumberFormat="1" applyFont="1" applyFill="1" applyProtection="1"/>
    <xf numFmtId="2" fontId="34" fillId="0" borderId="0" xfId="0" applyNumberFormat="1" applyFont="1" applyFill="1" applyProtection="1"/>
    <xf numFmtId="172" fontId="52" fillId="0" borderId="0" xfId="831" applyNumberFormat="1" applyFont="1" applyFill="1" applyBorder="1" applyAlignment="1">
      <alignment vertical="top" wrapText="1" readingOrder="1"/>
    </xf>
    <xf numFmtId="10" fontId="34" fillId="0" borderId="0" xfId="2427" applyNumberFormat="1" applyFont="1" applyFill="1" applyBorder="1" applyAlignment="1">
      <alignment horizontal="right"/>
    </xf>
    <xf numFmtId="3" fontId="52" fillId="0" borderId="0" xfId="831" applyNumberFormat="1" applyFont="1" applyFill="1" applyBorder="1" applyAlignment="1">
      <alignment vertical="top" wrapText="1" readingOrder="1"/>
    </xf>
    <xf numFmtId="10" fontId="34" fillId="0" borderId="0" xfId="2427" applyNumberFormat="1" applyFont="1" applyFill="1" applyBorder="1"/>
    <xf numFmtId="1" fontId="55" fillId="0" borderId="0" xfId="0" applyNumberFormat="1" applyFont="1" applyFill="1" applyAlignment="1" applyProtection="1">
      <alignment horizontal="center"/>
    </xf>
    <xf numFmtId="164" fontId="34" fillId="0" borderId="0" xfId="0" applyNumberFormat="1" applyFont="1" applyFill="1"/>
    <xf numFmtId="3" fontId="50" fillId="0" borderId="0" xfId="3202" applyNumberFormat="1" applyFont="1" applyFill="1"/>
    <xf numFmtId="0" fontId="34" fillId="0" borderId="0" xfId="0" applyFont="1"/>
    <xf numFmtId="3" fontId="34" fillId="0" borderId="0" xfId="0" applyNumberFormat="1" applyFont="1" applyFill="1"/>
    <xf numFmtId="0" fontId="34" fillId="0" borderId="0" xfId="0" applyFont="1" applyBorder="1"/>
    <xf numFmtId="0" fontId="34" fillId="0" borderId="0" xfId="0" applyFont="1" applyFill="1"/>
    <xf numFmtId="164" fontId="34" fillId="0" borderId="0" xfId="0" applyNumberFormat="1" applyFont="1" applyBorder="1"/>
    <xf numFmtId="164" fontId="52" fillId="0" borderId="0" xfId="831" applyNumberFormat="1" applyFont="1" applyFill="1" applyBorder="1" applyAlignment="1">
      <alignment vertical="top" wrapText="1" readingOrder="1"/>
    </xf>
    <xf numFmtId="168" fontId="34" fillId="0" borderId="0" xfId="0" applyNumberFormat="1" applyFont="1"/>
    <xf numFmtId="0" fontId="34" fillId="0" borderId="0" xfId="0" applyFont="1" applyFill="1" applyAlignment="1">
      <alignment wrapText="1"/>
    </xf>
    <xf numFmtId="2" fontId="34" fillId="0" borderId="0" xfId="0" applyNumberFormat="1" applyFont="1"/>
    <xf numFmtId="0" fontId="34" fillId="0" borderId="0" xfId="0" applyFont="1" applyAlignment="1">
      <alignment horizontal="right"/>
    </xf>
    <xf numFmtId="0" fontId="34" fillId="0" borderId="23" xfId="0" applyFont="1" applyBorder="1" applyAlignment="1">
      <alignment wrapText="1"/>
    </xf>
    <xf numFmtId="3" fontId="34" fillId="39" borderId="34" xfId="0" applyNumberFormat="1" applyFont="1" applyFill="1" applyBorder="1" applyAlignment="1">
      <alignment horizontal="left"/>
    </xf>
    <xf numFmtId="164" fontId="34" fillId="39" borderId="23" xfId="0" applyNumberFormat="1" applyFont="1" applyFill="1" applyBorder="1"/>
    <xf numFmtId="0" fontId="34" fillId="0" borderId="0" xfId="0" applyFont="1" applyFill="1" applyBorder="1" applyAlignment="1">
      <alignment horizontal="center" wrapText="1"/>
    </xf>
    <xf numFmtId="3" fontId="34" fillId="44" borderId="0" xfId="0" applyNumberFormat="1" applyFont="1" applyFill="1"/>
    <xf numFmtId="0" fontId="34" fillId="0" borderId="0" xfId="0" applyFont="1" applyAlignment="1">
      <alignment horizontal="center"/>
    </xf>
    <xf numFmtId="3" fontId="34" fillId="39" borderId="23" xfId="0" applyNumberFormat="1" applyFont="1" applyFill="1" applyBorder="1" applyAlignment="1">
      <alignment horizontal="left"/>
    </xf>
    <xf numFmtId="0" fontId="50" fillId="0" borderId="0" xfId="0" applyFont="1"/>
    <xf numFmtId="3" fontId="34" fillId="0" borderId="0" xfId="0" applyNumberFormat="1" applyFont="1" applyBorder="1" applyAlignment="1">
      <alignment horizontal="center"/>
    </xf>
    <xf numFmtId="164" fontId="34" fillId="0" borderId="0" xfId="0" applyNumberFormat="1" applyFont="1" applyBorder="1" applyAlignment="1">
      <alignment horizontal="right"/>
    </xf>
    <xf numFmtId="0" fontId="34" fillId="43" borderId="0" xfId="0" applyFont="1" applyFill="1" applyBorder="1" applyAlignment="1">
      <alignment horizontal="center" wrapText="1"/>
    </xf>
    <xf numFmtId="0" fontId="34" fillId="0" borderId="10" xfId="0" applyFont="1" applyBorder="1" applyAlignment="1">
      <alignment horizontal="right"/>
    </xf>
    <xf numFmtId="3" fontId="50" fillId="0" borderId="0" xfId="426" applyNumberFormat="1" applyFont="1" applyFill="1"/>
    <xf numFmtId="3" fontId="50" fillId="0" borderId="0" xfId="103" applyNumberFormat="1" applyFont="1" applyFill="1"/>
    <xf numFmtId="164" fontId="34" fillId="41" borderId="23" xfId="0" applyNumberFormat="1" applyFont="1" applyFill="1" applyBorder="1" applyAlignment="1" applyProtection="1">
      <alignment horizontal="center" wrapText="1"/>
    </xf>
    <xf numFmtId="10" fontId="50" fillId="0" borderId="0" xfId="0" applyNumberFormat="1" applyFont="1"/>
    <xf numFmtId="10" fontId="50" fillId="0" borderId="0" xfId="0" applyNumberFormat="1" applyFont="1" applyFill="1"/>
    <xf numFmtId="0" fontId="34" fillId="0" borderId="25" xfId="0" applyFont="1" applyBorder="1" applyAlignment="1">
      <alignment horizontal="center"/>
    </xf>
    <xf numFmtId="0" fontId="34" fillId="0" borderId="23" xfId="0" applyFont="1" applyBorder="1" applyAlignment="1">
      <alignment horizontal="center"/>
    </xf>
    <xf numFmtId="0" fontId="34" fillId="0" borderId="22" xfId="0" applyFont="1" applyBorder="1" applyAlignment="1"/>
    <xf numFmtId="0" fontId="34" fillId="0" borderId="0" xfId="0" applyFont="1" applyAlignment="1">
      <alignment horizontal="center"/>
    </xf>
    <xf numFmtId="164" fontId="34" fillId="42" borderId="23" xfId="0" applyNumberFormat="1" applyFont="1" applyFill="1" applyBorder="1" applyAlignment="1" applyProtection="1">
      <alignment horizontal="center" wrapText="1"/>
    </xf>
    <xf numFmtId="3" fontId="58" fillId="0" borderId="0" xfId="0" applyNumberFormat="1" applyFont="1" applyFill="1" applyBorder="1"/>
    <xf numFmtId="3" fontId="50" fillId="43" borderId="0" xfId="103" applyNumberFormat="1" applyFont="1" applyFill="1"/>
    <xf numFmtId="164" fontId="35" fillId="0" borderId="23" xfId="0" applyNumberFormat="1" applyFont="1" applyFill="1" applyBorder="1" applyAlignment="1" applyProtection="1">
      <alignment horizontal="center" wrapText="1"/>
    </xf>
    <xf numFmtId="164" fontId="35" fillId="0" borderId="22" xfId="0" applyNumberFormat="1" applyFont="1" applyFill="1" applyBorder="1" applyAlignment="1" applyProtection="1">
      <alignment horizontal="center" wrapText="1"/>
    </xf>
    <xf numFmtId="10" fontId="34" fillId="0" borderId="0" xfId="0" applyNumberFormat="1" applyFont="1" applyFill="1" applyAlignment="1" applyProtection="1">
      <alignment horizontal="center"/>
    </xf>
    <xf numFmtId="3" fontId="34" fillId="0" borderId="0" xfId="426" applyNumberFormat="1" applyFont="1" applyFill="1"/>
    <xf numFmtId="3" fontId="34" fillId="0" borderId="0" xfId="103" applyNumberFormat="1" applyFont="1" applyFill="1"/>
    <xf numFmtId="10" fontId="34" fillId="0" borderId="0" xfId="0" applyNumberFormat="1" applyFont="1" applyFill="1"/>
    <xf numFmtId="164" fontId="34" fillId="0" borderId="24" xfId="0" applyNumberFormat="1" applyFont="1" applyFill="1" applyBorder="1" applyAlignment="1" applyProtection="1">
      <alignment horizontal="center" wrapText="1"/>
    </xf>
    <xf numFmtId="10" fontId="34" fillId="0" borderId="11" xfId="0" applyNumberFormat="1" applyFont="1" applyFill="1" applyBorder="1" applyProtection="1"/>
    <xf numFmtId="37" fontId="35" fillId="0" borderId="0" xfId="0" applyNumberFormat="1" applyFont="1"/>
    <xf numFmtId="3" fontId="34" fillId="39" borderId="23" xfId="0" applyNumberFormat="1" applyFont="1" applyFill="1" applyBorder="1"/>
    <xf numFmtId="10" fontId="34" fillId="39" borderId="23" xfId="0" applyNumberFormat="1" applyFont="1" applyFill="1" applyBorder="1"/>
    <xf numFmtId="10" fontId="34" fillId="0" borderId="0" xfId="0" applyNumberFormat="1" applyFont="1"/>
    <xf numFmtId="14" fontId="60" fillId="46" borderId="40" xfId="3602" applyNumberFormat="1" applyFont="1" applyFill="1" applyBorder="1" applyAlignment="1">
      <alignment horizontal="center"/>
    </xf>
    <xf numFmtId="0" fontId="60" fillId="47" borderId="40" xfId="3602" applyFont="1" applyFill="1" applyBorder="1" applyAlignment="1">
      <alignment horizontal="center"/>
    </xf>
    <xf numFmtId="0" fontId="60" fillId="46" borderId="41" xfId="3602" applyFont="1" applyFill="1" applyBorder="1" applyAlignment="1">
      <alignment horizontal="center"/>
    </xf>
    <xf numFmtId="0" fontId="60" fillId="47" borderId="41" xfId="3602" applyFont="1" applyFill="1" applyBorder="1" applyAlignment="1">
      <alignment horizontal="center"/>
    </xf>
    <xf numFmtId="0" fontId="60" fillId="47" borderId="42" xfId="3602" applyFont="1" applyFill="1" applyBorder="1" applyAlignment="1">
      <alignment horizontal="center"/>
    </xf>
    <xf numFmtId="164" fontId="50" fillId="0" borderId="0" xfId="270" applyNumberFormat="1" applyFont="1" applyAlignment="1">
      <alignment horizontal="right"/>
    </xf>
    <xf numFmtId="164" fontId="34" fillId="42" borderId="25" xfId="0" applyNumberFormat="1" applyFont="1" applyFill="1" applyBorder="1" applyAlignment="1" applyProtection="1">
      <alignment horizontal="center" wrapText="1"/>
    </xf>
    <xf numFmtId="164" fontId="34" fillId="42" borderId="35" xfId="0" applyNumberFormat="1" applyFont="1" applyFill="1" applyBorder="1" applyAlignment="1" applyProtection="1">
      <alignment horizontal="center" wrapText="1"/>
    </xf>
    <xf numFmtId="164" fontId="34" fillId="42" borderId="36" xfId="0" applyNumberFormat="1" applyFont="1" applyFill="1" applyBorder="1" applyAlignment="1" applyProtection="1">
      <alignment horizontal="center" wrapText="1"/>
    </xf>
    <xf numFmtId="164" fontId="34" fillId="44" borderId="23" xfId="0" applyNumberFormat="1" applyFont="1" applyFill="1" applyBorder="1" applyAlignment="1" applyProtection="1">
      <alignment horizontal="center" wrapText="1"/>
    </xf>
    <xf numFmtId="164" fontId="34" fillId="41" borderId="37" xfId="0" applyNumberFormat="1" applyFont="1" applyFill="1" applyBorder="1" applyAlignment="1" applyProtection="1">
      <alignment horizontal="center" wrapText="1"/>
    </xf>
    <xf numFmtId="164" fontId="34" fillId="41" borderId="38" xfId="0" applyNumberFormat="1" applyFont="1" applyFill="1" applyBorder="1" applyAlignment="1" applyProtection="1">
      <alignment horizontal="center" wrapText="1"/>
    </xf>
    <xf numFmtId="164" fontId="34" fillId="41" borderId="22" xfId="0" applyNumberFormat="1" applyFont="1" applyFill="1" applyBorder="1" applyAlignment="1" applyProtection="1">
      <alignment horizontal="center" wrapText="1"/>
    </xf>
    <xf numFmtId="164" fontId="34" fillId="45" borderId="23" xfId="0" applyNumberFormat="1" applyFont="1" applyFill="1" applyBorder="1" applyAlignment="1" applyProtection="1">
      <alignment horizontal="center" wrapText="1"/>
    </xf>
    <xf numFmtId="164" fontId="34" fillId="45" borderId="22" xfId="0" applyNumberFormat="1" applyFont="1" applyFill="1" applyBorder="1" applyAlignment="1" applyProtection="1">
      <alignment horizontal="center" wrapText="1"/>
    </xf>
    <xf numFmtId="3" fontId="34" fillId="39" borderId="0" xfId="0" applyNumberFormat="1" applyFont="1" applyFill="1" applyBorder="1" applyAlignment="1" applyProtection="1">
      <alignment horizontal="left" wrapText="1"/>
    </xf>
    <xf numFmtId="164" fontId="34" fillId="39" borderId="0" xfId="0" applyNumberFormat="1" applyFont="1" applyFill="1" applyBorder="1" applyAlignment="1" applyProtection="1">
      <alignment horizontal="left" wrapText="1"/>
    </xf>
    <xf numFmtId="4" fontId="34" fillId="39" borderId="0" xfId="0" applyNumberFormat="1" applyFont="1" applyFill="1" applyBorder="1" applyAlignment="1" applyProtection="1">
      <alignment horizontal="left" wrapText="1"/>
    </xf>
    <xf numFmtId="169" fontId="34" fillId="39" borderId="0" xfId="0" applyNumberFormat="1" applyFont="1" applyFill="1" applyBorder="1" applyAlignment="1" applyProtection="1">
      <alignment horizontal="left" wrapText="1"/>
    </xf>
    <xf numFmtId="0" fontId="34" fillId="0" borderId="0" xfId="0" applyFont="1" applyAlignment="1">
      <alignment horizontal="center"/>
    </xf>
    <xf numFmtId="0" fontId="61" fillId="49" borderId="43" xfId="0" applyFont="1" applyFill="1" applyBorder="1" applyAlignment="1">
      <alignment horizontal="center"/>
    </xf>
    <xf numFmtId="0" fontId="61" fillId="41" borderId="43" xfId="0" applyFont="1" applyFill="1" applyBorder="1" applyAlignment="1">
      <alignment horizontal="center"/>
    </xf>
    <xf numFmtId="0" fontId="61" fillId="43" borderId="47" xfId="0" applyFont="1" applyFill="1" applyBorder="1" applyAlignment="1">
      <alignment horizontal="center" wrapText="1"/>
    </xf>
    <xf numFmtId="0" fontId="61" fillId="43" borderId="43" xfId="0" applyFont="1" applyFill="1" applyBorder="1" applyAlignment="1">
      <alignment horizontal="center" wrapText="1"/>
    </xf>
    <xf numFmtId="0" fontId="50" fillId="41" borderId="0" xfId="0" applyFont="1" applyFill="1" applyAlignment="1">
      <alignment horizontal="center" wrapText="1"/>
    </xf>
    <xf numFmtId="0" fontId="50" fillId="43" borderId="0" xfId="0" applyFont="1" applyFill="1" applyAlignment="1">
      <alignment horizontal="center" wrapText="1"/>
    </xf>
    <xf numFmtId="0" fontId="50" fillId="39" borderId="0" xfId="0" applyFont="1" applyFill="1" applyAlignment="1">
      <alignment horizontal="center" wrapText="1"/>
    </xf>
    <xf numFmtId="164" fontId="50" fillId="0" borderId="0" xfId="0" applyNumberFormat="1" applyFont="1"/>
    <xf numFmtId="0" fontId="61" fillId="42" borderId="45" xfId="0" applyFont="1" applyFill="1" applyBorder="1" applyAlignment="1">
      <alignment horizontal="center"/>
    </xf>
    <xf numFmtId="0" fontId="50" fillId="42" borderId="0" xfId="0" applyFont="1" applyFill="1" applyAlignment="1">
      <alignment horizontal="center" wrapText="1"/>
    </xf>
    <xf numFmtId="0" fontId="34" fillId="0" borderId="7" xfId="0" applyFont="1" applyBorder="1"/>
    <xf numFmtId="0" fontId="34" fillId="0" borderId="8" xfId="0" applyFont="1" applyBorder="1"/>
    <xf numFmtId="164" fontId="34" fillId="0" borderId="0" xfId="0" applyNumberFormat="1" applyFont="1" applyBorder="1" applyAlignment="1">
      <alignment horizontal="center"/>
    </xf>
    <xf numFmtId="164" fontId="52" fillId="50" borderId="0" xfId="831" applyNumberFormat="1" applyFont="1" applyFill="1" applyBorder="1" applyAlignment="1">
      <alignment vertical="top" wrapText="1" readingOrder="1"/>
    </xf>
    <xf numFmtId="10" fontId="34" fillId="0" borderId="0" xfId="0" applyNumberFormat="1" applyFont="1" applyFill="1" applyBorder="1" applyProtection="1"/>
    <xf numFmtId="10" fontId="34" fillId="39" borderId="0" xfId="0" applyNumberFormat="1" applyFont="1" applyFill="1" applyBorder="1" applyAlignment="1" applyProtection="1">
      <alignment horizontal="right" wrapText="1"/>
    </xf>
    <xf numFmtId="164" fontId="34" fillId="0" borderId="0" xfId="0" applyNumberFormat="1" applyFont="1" applyFill="1" applyBorder="1"/>
    <xf numFmtId="4" fontId="50" fillId="0" borderId="0" xfId="2157" applyNumberFormat="1" applyFont="1"/>
    <xf numFmtId="4" fontId="50" fillId="0" borderId="0" xfId="2157" applyNumberFormat="1" applyFont="1" applyFill="1"/>
    <xf numFmtId="164" fontId="50" fillId="0" borderId="0" xfId="2157" applyNumberFormat="1" applyFont="1"/>
    <xf numFmtId="164" fontId="50" fillId="0" borderId="0" xfId="2157" applyNumberFormat="1" applyFont="1" applyFill="1"/>
    <xf numFmtId="164" fontId="34" fillId="39" borderId="23" xfId="0" applyNumberFormat="1" applyFont="1" applyFill="1" applyBorder="1" applyAlignment="1">
      <alignment horizontal="right"/>
    </xf>
    <xf numFmtId="2" fontId="34" fillId="39" borderId="0" xfId="0" applyNumberFormat="1" applyFont="1" applyFill="1" applyBorder="1" applyAlignment="1" applyProtection="1">
      <alignment horizontal="left" wrapText="1"/>
    </xf>
    <xf numFmtId="0" fontId="50" fillId="0" borderId="0" xfId="0" applyFont="1" applyFill="1" applyAlignment="1">
      <alignment horizontal="center" wrapText="1"/>
    </xf>
    <xf numFmtId="0" fontId="34" fillId="0" borderId="0" xfId="0" applyFont="1" applyFill="1" applyAlignment="1">
      <alignment horizontal="right"/>
    </xf>
    <xf numFmtId="0" fontId="34" fillId="0" borderId="0" xfId="0" applyFont="1" applyAlignment="1">
      <alignment horizontal="center"/>
    </xf>
    <xf numFmtId="0" fontId="50" fillId="35" borderId="0" xfId="0" applyFont="1" applyFill="1" applyAlignment="1">
      <alignment horizontal="center" wrapText="1"/>
    </xf>
    <xf numFmtId="0" fontId="34" fillId="0" borderId="0" xfId="0" applyFont="1" applyFill="1" applyBorder="1" applyAlignment="1" applyProtection="1">
      <alignment horizontal="center"/>
    </xf>
    <xf numFmtId="0" fontId="34" fillId="0" borderId="0" xfId="0" applyFont="1" applyAlignment="1">
      <alignment wrapText="1"/>
    </xf>
    <xf numFmtId="0" fontId="50" fillId="51" borderId="0" xfId="0" applyFont="1" applyFill="1" applyAlignment="1">
      <alignment horizontal="center" wrapText="1"/>
    </xf>
    <xf numFmtId="0" fontId="34" fillId="51" borderId="0" xfId="0" applyFont="1" applyFill="1" applyAlignment="1">
      <alignment wrapText="1"/>
    </xf>
    <xf numFmtId="14" fontId="34" fillId="51" borderId="0" xfId="0" applyNumberFormat="1" applyFont="1" applyFill="1" applyAlignment="1">
      <alignment wrapText="1"/>
    </xf>
    <xf numFmtId="1" fontId="34" fillId="0" borderId="0" xfId="0" applyNumberFormat="1" applyFont="1"/>
    <xf numFmtId="2" fontId="34" fillId="39" borderId="23" xfId="0" applyNumberFormat="1" applyFont="1" applyFill="1" applyBorder="1"/>
    <xf numFmtId="0" fontId="55" fillId="0" borderId="0" xfId="0" applyFont="1"/>
    <xf numFmtId="0" fontId="55" fillId="0" borderId="0" xfId="0" applyFont="1" applyAlignment="1">
      <alignment horizontal="center"/>
    </xf>
    <xf numFmtId="3" fontId="55" fillId="0" borderId="0" xfId="0" applyNumberFormat="1" applyFont="1"/>
    <xf numFmtId="0" fontId="34" fillId="51" borderId="0" xfId="0" applyFont="1" applyFill="1" applyAlignment="1">
      <alignment horizontal="center" wrapText="1"/>
    </xf>
    <xf numFmtId="0" fontId="34" fillId="51" borderId="0" xfId="0" applyFont="1" applyFill="1" applyAlignment="1">
      <alignment horizontal="center"/>
    </xf>
    <xf numFmtId="164" fontId="34" fillId="39" borderId="23" xfId="0" applyNumberFormat="1" applyFont="1" applyFill="1" applyBorder="1" applyAlignment="1">
      <alignment horizontal="left"/>
    </xf>
    <xf numFmtId="0" fontId="34" fillId="42" borderId="0" xfId="0" applyFont="1" applyFill="1" applyAlignment="1">
      <alignment horizontal="right"/>
    </xf>
    <xf numFmtId="0" fontId="34" fillId="42" borderId="0" xfId="0" applyFont="1" applyFill="1"/>
    <xf numFmtId="0" fontId="34" fillId="35" borderId="0" xfId="0" applyFont="1" applyFill="1" applyAlignment="1">
      <alignment wrapText="1"/>
    </xf>
    <xf numFmtId="0" fontId="50" fillId="0" borderId="0" xfId="75" applyNumberFormat="1" applyFont="1" applyAlignment="1">
      <alignment horizontal="center"/>
    </xf>
    <xf numFmtId="0" fontId="50" fillId="0" borderId="0" xfId="75" applyNumberFormat="1" applyFont="1" applyFill="1" applyAlignment="1">
      <alignment horizontal="center"/>
    </xf>
    <xf numFmtId="14" fontId="34" fillId="0" borderId="0" xfId="0" applyNumberFormat="1" applyFont="1" applyFill="1"/>
    <xf numFmtId="168" fontId="34" fillId="0" borderId="0" xfId="0" applyNumberFormat="1" applyFont="1" applyFill="1" applyAlignment="1">
      <alignment horizontal="right"/>
    </xf>
    <xf numFmtId="0" fontId="34" fillId="0" borderId="0" xfId="0" applyFont="1" applyAlignment="1">
      <alignment horizontal="center"/>
    </xf>
    <xf numFmtId="164" fontId="34" fillId="39" borderId="0" xfId="0" applyNumberFormat="1" applyFont="1" applyFill="1" applyAlignment="1" applyProtection="1">
      <alignment horizontal="left"/>
    </xf>
    <xf numFmtId="0" fontId="34" fillId="0" borderId="25" xfId="0" applyFont="1" applyFill="1" applyBorder="1" applyAlignment="1" applyProtection="1">
      <alignment horizontal="center" wrapText="1"/>
    </xf>
    <xf numFmtId="173" fontId="34" fillId="0" borderId="0" xfId="0" applyNumberFormat="1" applyFont="1"/>
    <xf numFmtId="1" fontId="34" fillId="0" borderId="0" xfId="0" applyNumberFormat="1" applyFont="1" applyFill="1" applyProtection="1"/>
    <xf numFmtId="1" fontId="34" fillId="0" borderId="12" xfId="0" applyNumberFormat="1" applyFont="1" applyBorder="1"/>
    <xf numFmtId="38" fontId="34" fillId="0" borderId="0" xfId="1" applyNumberFormat="1" applyFont="1" applyFill="1" applyProtection="1"/>
    <xf numFmtId="10" fontId="34" fillId="35" borderId="0" xfId="0" applyNumberFormat="1" applyFont="1" applyFill="1" applyAlignment="1" applyProtection="1">
      <alignment horizontal="center"/>
    </xf>
    <xf numFmtId="0" fontId="34" fillId="35" borderId="0" xfId="0" applyFont="1" applyFill="1" applyAlignment="1">
      <alignment horizontal="center"/>
    </xf>
    <xf numFmtId="164" fontId="34" fillId="51" borderId="0" xfId="0" applyNumberFormat="1" applyFont="1" applyFill="1" applyProtection="1"/>
    <xf numFmtId="0" fontId="34" fillId="35" borderId="0" xfId="0" applyFont="1" applyFill="1" applyAlignment="1" applyProtection="1">
      <alignment horizontal="center"/>
    </xf>
    <xf numFmtId="174" fontId="34" fillId="0" borderId="0" xfId="0" applyNumberFormat="1" applyFont="1" applyFill="1" applyProtection="1"/>
    <xf numFmtId="0" fontId="34" fillId="0" borderId="23" xfId="0" applyFont="1" applyFill="1" applyBorder="1" applyAlignment="1" applyProtection="1">
      <alignment horizontal="center" wrapText="1"/>
    </xf>
    <xf numFmtId="38" fontId="34" fillId="0" borderId="0" xfId="1" applyNumberFormat="1" applyFont="1" applyBorder="1"/>
    <xf numFmtId="38" fontId="50" fillId="0" borderId="0" xfId="1" applyNumberFormat="1" applyFont="1"/>
    <xf numFmtId="3" fontId="52" fillId="52" borderId="0" xfId="831" applyNumberFormat="1" applyFont="1" applyFill="1" applyBorder="1" applyAlignment="1">
      <alignment vertical="top" wrapText="1" readingOrder="1"/>
    </xf>
    <xf numFmtId="164" fontId="52" fillId="52" borderId="0" xfId="831" applyNumberFormat="1" applyFont="1" applyFill="1" applyBorder="1" applyAlignment="1">
      <alignment vertical="top" wrapText="1" readingOrder="1"/>
    </xf>
    <xf numFmtId="164" fontId="34" fillId="52" borderId="0" xfId="0" applyNumberFormat="1" applyFont="1" applyFill="1"/>
    <xf numFmtId="168" fontId="34" fillId="52" borderId="0" xfId="0" applyNumberFormat="1" applyFont="1" applyFill="1"/>
    <xf numFmtId="0" fontId="34" fillId="52" borderId="0" xfId="0" applyFont="1" applyFill="1"/>
    <xf numFmtId="0" fontId="50" fillId="52" borderId="0" xfId="75" applyNumberFormat="1" applyFont="1" applyFill="1" applyAlignment="1">
      <alignment horizontal="center"/>
    </xf>
    <xf numFmtId="0" fontId="34" fillId="35" borderId="0" xfId="0" applyFont="1" applyFill="1" applyBorder="1"/>
    <xf numFmtId="0" fontId="34" fillId="0" borderId="0" xfId="0" applyFont="1" applyAlignment="1">
      <alignment horizontal="left"/>
    </xf>
    <xf numFmtId="10" fontId="34" fillId="39" borderId="0" xfId="0" applyNumberFormat="1" applyFont="1" applyFill="1" applyBorder="1" applyAlignment="1" applyProtection="1">
      <alignment horizontal="left" wrapText="1"/>
    </xf>
    <xf numFmtId="10" fontId="34" fillId="39" borderId="39" xfId="0" applyNumberFormat="1" applyFont="1" applyFill="1" applyBorder="1" applyAlignment="1" applyProtection="1">
      <alignment horizontal="left" wrapText="1"/>
    </xf>
    <xf numFmtId="3" fontId="34" fillId="0" borderId="0" xfId="0" applyNumberFormat="1" applyFont="1" applyFill="1" applyAlignment="1" applyProtection="1">
      <alignment horizontal="center"/>
    </xf>
    <xf numFmtId="0" fontId="34" fillId="0" borderId="11" xfId="0" applyFont="1" applyFill="1" applyBorder="1" applyProtection="1"/>
    <xf numFmtId="3" fontId="34" fillId="0" borderId="0" xfId="0" applyNumberFormat="1" applyFont="1" applyFill="1" applyBorder="1" applyAlignment="1">
      <alignment horizontal="center"/>
    </xf>
    <xf numFmtId="164" fontId="50" fillId="0" borderId="0" xfId="0" applyNumberFormat="1" applyFont="1" applyFill="1"/>
    <xf numFmtId="0" fontId="58" fillId="0" borderId="48" xfId="0" applyNumberFormat="1" applyFont="1" applyFill="1" applyBorder="1" applyAlignment="1">
      <alignment wrapText="1" readingOrder="1"/>
    </xf>
    <xf numFmtId="0" fontId="58" fillId="41" borderId="48" xfId="0" applyNumberFormat="1" applyFont="1" applyFill="1" applyBorder="1" applyAlignment="1">
      <alignment wrapText="1" readingOrder="1"/>
    </xf>
    <xf numFmtId="0" fontId="50" fillId="0" borderId="0" xfId="3603" applyFont="1"/>
    <xf numFmtId="0" fontId="50" fillId="0" borderId="0" xfId="3603" applyFont="1"/>
    <xf numFmtId="0" fontId="50" fillId="0" borderId="0" xfId="3603" applyFont="1"/>
    <xf numFmtId="0" fontId="50" fillId="0" borderId="0" xfId="3603" applyFont="1"/>
    <xf numFmtId="0" fontId="63" fillId="0" borderId="0" xfId="0" applyFont="1"/>
    <xf numFmtId="3" fontId="52" fillId="0" borderId="0" xfId="831" applyNumberFormat="1" applyFont="1" applyFill="1" applyBorder="1" applyAlignment="1">
      <alignment horizontal="center" vertical="top" wrapText="1" readingOrder="1"/>
    </xf>
    <xf numFmtId="175" fontId="34" fillId="0" borderId="0" xfId="1" applyNumberFormat="1" applyFont="1"/>
    <xf numFmtId="0" fontId="34" fillId="0" borderId="0" xfId="0" applyFont="1" applyAlignment="1">
      <alignment horizontal="center"/>
    </xf>
    <xf numFmtId="14" fontId="60" fillId="53" borderId="40" xfId="3602" applyNumberFormat="1" applyFont="1" applyFill="1" applyBorder="1" applyAlignment="1">
      <alignment horizontal="center"/>
    </xf>
    <xf numFmtId="0" fontId="60" fillId="53" borderId="41" xfId="3602" applyFont="1" applyFill="1" applyBorder="1" applyAlignment="1">
      <alignment horizontal="center"/>
    </xf>
    <xf numFmtId="0" fontId="60" fillId="53" borderId="41" xfId="3602" applyFont="1" applyFill="1" applyBorder="1" applyAlignment="1">
      <alignment horizontal="center" wrapText="1"/>
    </xf>
    <xf numFmtId="0" fontId="63" fillId="0" borderId="0" xfId="0" applyFont="1" applyFill="1"/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23" xfId="0" applyFont="1" applyBorder="1" applyAlignment="1">
      <alignment horizontal="center" wrapText="1"/>
    </xf>
    <xf numFmtId="3" fontId="34" fillId="39" borderId="0" xfId="0" applyNumberFormat="1" applyFont="1" applyFill="1"/>
    <xf numFmtId="9" fontId="35" fillId="0" borderId="23" xfId="0" applyNumberFormat="1" applyFont="1" applyBorder="1" applyAlignment="1">
      <alignment horizontal="center" wrapText="1"/>
    </xf>
    <xf numFmtId="0" fontId="35" fillId="0" borderId="0" xfId="0" applyFont="1"/>
    <xf numFmtId="0" fontId="35" fillId="0" borderId="23" xfId="0" applyFont="1" applyBorder="1" applyAlignment="1">
      <alignment horizontal="center"/>
    </xf>
    <xf numFmtId="9" fontId="35" fillId="0" borderId="0" xfId="0" applyNumberFormat="1" applyFont="1" applyAlignment="1">
      <alignment horizontal="center"/>
    </xf>
    <xf numFmtId="3" fontId="34" fillId="0" borderId="0" xfId="0" applyNumberFormat="1" applyFont="1" applyFill="1" applyBorder="1"/>
    <xf numFmtId="0" fontId="34" fillId="39" borderId="0" xfId="0" applyFont="1" applyFill="1" applyBorder="1" applyAlignment="1">
      <alignment horizontal="center" wrapText="1"/>
    </xf>
    <xf numFmtId="0" fontId="34" fillId="54" borderId="25" xfId="0" applyFont="1" applyFill="1" applyBorder="1" applyAlignment="1" applyProtection="1">
      <alignment horizontal="center" wrapText="1"/>
    </xf>
    <xf numFmtId="0" fontId="34" fillId="54" borderId="22" xfId="0" applyFont="1" applyFill="1" applyBorder="1" applyAlignment="1" applyProtection="1">
      <alignment horizontal="center" wrapText="1"/>
    </xf>
    <xf numFmtId="0" fontId="0" fillId="0" borderId="0" xfId="0" applyFont="1" applyFill="1"/>
    <xf numFmtId="0" fontId="60" fillId="47" borderId="41" xfId="3602" applyFont="1" applyFill="1" applyBorder="1" applyAlignment="1">
      <alignment horizontal="center" wrapText="1"/>
    </xf>
    <xf numFmtId="0" fontId="35" fillId="0" borderId="23" xfId="0" applyFont="1" applyBorder="1" applyAlignment="1">
      <alignment horizontal="right"/>
    </xf>
    <xf numFmtId="0" fontId="0" fillId="39" borderId="0" xfId="0" applyFill="1"/>
    <xf numFmtId="0" fontId="34" fillId="0" borderId="0" xfId="0" applyFont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23" xfId="0" applyFont="1" applyBorder="1" applyAlignment="1">
      <alignment horizontal="center" wrapText="1"/>
    </xf>
    <xf numFmtId="4" fontId="34" fillId="0" borderId="0" xfId="0" applyNumberFormat="1" applyFont="1"/>
    <xf numFmtId="0" fontId="63" fillId="0" borderId="0" xfId="0" applyFont="1" applyAlignment="1">
      <alignment horizontal="center" vertical="center"/>
    </xf>
    <xf numFmtId="164" fontId="34" fillId="0" borderId="49" xfId="0" applyNumberFormat="1" applyFont="1" applyFill="1" applyBorder="1" applyAlignment="1" applyProtection="1">
      <alignment horizontal="center" wrapText="1"/>
    </xf>
    <xf numFmtId="2" fontId="34" fillId="0" borderId="12" xfId="0" applyNumberFormat="1" applyFont="1" applyBorder="1"/>
    <xf numFmtId="2" fontId="34" fillId="0" borderId="0" xfId="0" applyNumberFormat="1" applyFont="1" applyBorder="1"/>
    <xf numFmtId="2" fontId="34" fillId="55" borderId="0" xfId="0" applyNumberFormat="1" applyFont="1" applyFill="1" applyAlignment="1">
      <alignment horizontal="right"/>
    </xf>
    <xf numFmtId="4" fontId="34" fillId="55" borderId="0" xfId="0" applyNumberFormat="1" applyFont="1" applyFill="1" applyAlignment="1">
      <alignment horizontal="right"/>
    </xf>
    <xf numFmtId="3" fontId="34" fillId="39" borderId="0" xfId="0" applyNumberFormat="1" applyFont="1" applyFill="1" applyAlignment="1">
      <alignment horizontal="right"/>
    </xf>
    <xf numFmtId="3" fontId="34" fillId="39" borderId="0" xfId="0" applyNumberFormat="1" applyFont="1" applyFill="1" applyAlignment="1" applyProtection="1">
      <alignment horizontal="right"/>
    </xf>
    <xf numFmtId="164" fontId="34" fillId="39" borderId="0" xfId="0" applyNumberFormat="1" applyFont="1" applyFill="1" applyAlignment="1">
      <alignment horizontal="right"/>
    </xf>
    <xf numFmtId="0" fontId="34" fillId="39" borderId="0" xfId="0" applyFont="1" applyFill="1" applyAlignment="1">
      <alignment horizontal="right"/>
    </xf>
    <xf numFmtId="0" fontId="34" fillId="51" borderId="0" xfId="0" applyFont="1" applyFill="1"/>
    <xf numFmtId="0" fontId="35" fillId="0" borderId="0" xfId="0" applyFont="1" applyFill="1" applyAlignment="1" applyProtection="1">
      <alignment horizontal="center"/>
    </xf>
    <xf numFmtId="2" fontId="34" fillId="0" borderId="0" xfId="0" applyNumberFormat="1" applyFont="1" applyFill="1" applyAlignment="1" applyProtection="1">
      <alignment horizontal="center"/>
    </xf>
    <xf numFmtId="0" fontId="35" fillId="54" borderId="10" xfId="0" applyFont="1" applyFill="1" applyBorder="1" applyAlignment="1" applyProtection="1">
      <alignment horizontal="center"/>
    </xf>
    <xf numFmtId="0" fontId="35" fillId="54" borderId="12" xfId="0" applyFont="1" applyFill="1" applyBorder="1" applyAlignment="1" applyProtection="1">
      <alignment horizontal="center"/>
    </xf>
    <xf numFmtId="1" fontId="35" fillId="42" borderId="10" xfId="0" applyNumberFormat="1" applyFont="1" applyFill="1" applyBorder="1" applyAlignment="1" applyProtection="1">
      <alignment horizontal="center"/>
    </xf>
    <xf numFmtId="1" fontId="35" fillId="42" borderId="0" xfId="0" applyNumberFormat="1" applyFont="1" applyFill="1" applyBorder="1" applyAlignment="1" applyProtection="1">
      <alignment horizontal="center"/>
    </xf>
    <xf numFmtId="1" fontId="35" fillId="42" borderId="12" xfId="0" applyNumberFormat="1" applyFont="1" applyFill="1" applyBorder="1" applyAlignment="1" applyProtection="1">
      <alignment horizontal="center"/>
    </xf>
    <xf numFmtId="0" fontId="35" fillId="41" borderId="10" xfId="0" applyFont="1" applyFill="1" applyBorder="1" applyAlignment="1" applyProtection="1">
      <alignment horizontal="center"/>
    </xf>
    <xf numFmtId="0" fontId="34" fillId="41" borderId="0" xfId="0" applyFont="1" applyFill="1" applyAlignment="1" applyProtection="1">
      <alignment horizontal="center"/>
    </xf>
    <xf numFmtId="0" fontId="34" fillId="41" borderId="12" xfId="0" applyFont="1" applyFill="1" applyBorder="1" applyAlignment="1" applyProtection="1">
      <alignment horizontal="center"/>
    </xf>
    <xf numFmtId="0" fontId="35" fillId="45" borderId="10" xfId="0" applyFont="1" applyFill="1" applyBorder="1" applyAlignment="1" applyProtection="1">
      <alignment horizontal="center"/>
    </xf>
    <xf numFmtId="0" fontId="35" fillId="45" borderId="0" xfId="0" applyFont="1" applyFill="1" applyBorder="1" applyAlignment="1" applyProtection="1">
      <alignment horizontal="center"/>
    </xf>
    <xf numFmtId="0" fontId="35" fillId="45" borderId="12" xfId="0" applyFont="1" applyFill="1" applyBorder="1" applyAlignment="1" applyProtection="1">
      <alignment horizontal="center"/>
    </xf>
    <xf numFmtId="0" fontId="35" fillId="44" borderId="10" xfId="0" applyFont="1" applyFill="1" applyBorder="1" applyAlignment="1" applyProtection="1">
      <alignment horizontal="center"/>
    </xf>
    <xf numFmtId="0" fontId="35" fillId="44" borderId="0" xfId="0" applyFont="1" applyFill="1" applyBorder="1" applyAlignment="1" applyProtection="1">
      <alignment horizontal="center"/>
    </xf>
    <xf numFmtId="0" fontId="35" fillId="44" borderId="12" xfId="0" applyFont="1" applyFill="1" applyBorder="1" applyAlignment="1" applyProtection="1">
      <alignment horizontal="center"/>
    </xf>
    <xf numFmtId="0" fontId="64" fillId="0" borderId="43" xfId="0" applyFont="1" applyBorder="1" applyAlignment="1">
      <alignment horizontal="center"/>
    </xf>
    <xf numFmtId="0" fontId="34" fillId="43" borderId="0" xfId="0" applyFont="1" applyFill="1" applyBorder="1" applyAlignment="1">
      <alignment horizontal="left"/>
    </xf>
    <xf numFmtId="0" fontId="34" fillId="3" borderId="5" xfId="0" applyFont="1" applyFill="1" applyBorder="1" applyAlignment="1">
      <alignment wrapText="1"/>
    </xf>
    <xf numFmtId="0" fontId="0" fillId="3" borderId="0" xfId="0" applyFill="1" applyBorder="1" applyAlignment="1">
      <alignment wrapText="1"/>
    </xf>
    <xf numFmtId="0" fontId="0" fillId="3" borderId="6" xfId="0" applyFill="1" applyBorder="1" applyAlignment="1">
      <alignment wrapText="1"/>
    </xf>
    <xf numFmtId="0" fontId="34" fillId="3" borderId="0" xfId="0" applyFont="1" applyFill="1" applyBorder="1" applyAlignment="1">
      <alignment wrapText="1"/>
    </xf>
    <xf numFmtId="0" fontId="0" fillId="3" borderId="0" xfId="0" applyFill="1" applyAlignment="1">
      <alignment wrapText="1"/>
    </xf>
    <xf numFmtId="0" fontId="34" fillId="0" borderId="0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34" fillId="3" borderId="5" xfId="0" applyFont="1" applyFill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34" fillId="3" borderId="0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34" fillId="3" borderId="2" xfId="0" applyFont="1" applyFill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0" xfId="0" applyBorder="1" applyAlignment="1">
      <alignment wrapText="1"/>
    </xf>
    <xf numFmtId="0" fontId="34" fillId="0" borderId="0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6" xfId="0" applyFill="1" applyBorder="1" applyAlignment="1">
      <alignment wrapText="1"/>
    </xf>
    <xf numFmtId="0" fontId="34" fillId="0" borderId="0" xfId="0" applyFont="1" applyAlignment="1">
      <alignment horizontal="center"/>
    </xf>
    <xf numFmtId="0" fontId="34" fillId="0" borderId="29" xfId="0" applyFont="1" applyBorder="1" applyAlignment="1">
      <alignment horizontal="center"/>
    </xf>
    <xf numFmtId="0" fontId="34" fillId="0" borderId="30" xfId="0" applyFont="1" applyBorder="1" applyAlignment="1">
      <alignment horizontal="center"/>
    </xf>
    <xf numFmtId="0" fontId="34" fillId="0" borderId="31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61" fillId="41" borderId="44" xfId="0" applyFont="1" applyFill="1" applyBorder="1" applyAlignment="1">
      <alignment horizontal="center"/>
    </xf>
    <xf numFmtId="0" fontId="61" fillId="41" borderId="45" xfId="0" applyFont="1" applyFill="1" applyBorder="1" applyAlignment="1">
      <alignment horizontal="center"/>
    </xf>
    <xf numFmtId="0" fontId="61" fillId="41" borderId="46" xfId="0" applyFont="1" applyFill="1" applyBorder="1" applyAlignment="1">
      <alignment horizontal="center"/>
    </xf>
    <xf numFmtId="0" fontId="61" fillId="41" borderId="44" xfId="0" applyFont="1" applyFill="1" applyBorder="1" applyAlignment="1">
      <alignment horizontal="center" wrapText="1"/>
    </xf>
    <xf numFmtId="0" fontId="61" fillId="41" borderId="45" xfId="0" applyFont="1" applyFill="1" applyBorder="1" applyAlignment="1">
      <alignment horizontal="center" wrapText="1"/>
    </xf>
    <xf numFmtId="0" fontId="61" fillId="41" borderId="46" xfId="0" applyFont="1" applyFill="1" applyBorder="1" applyAlignment="1">
      <alignment horizontal="center" wrapText="1"/>
    </xf>
    <xf numFmtId="0" fontId="34" fillId="48" borderId="0" xfId="0" applyFont="1" applyFill="1" applyAlignment="1">
      <alignment horizontal="left"/>
    </xf>
  </cellXfs>
  <cellStyles count="3604">
    <cellStyle name="20% - Accent1" xfId="20" builtinId="30" customBuiltin="1"/>
    <cellStyle name="20% - Accent1 10" xfId="1724"/>
    <cellStyle name="20% - Accent1 11" xfId="1919"/>
    <cellStyle name="20% - Accent1 12" xfId="2159"/>
    <cellStyle name="20% - Accent1 13" xfId="2881"/>
    <cellStyle name="20% - Accent1 2" xfId="47"/>
    <cellStyle name="20% - Accent1 2 10" xfId="1931"/>
    <cellStyle name="20% - Accent1 2 11" xfId="2176"/>
    <cellStyle name="20% - Accent1 2 12" xfId="2896"/>
    <cellStyle name="20% - Accent1 2 2" xfId="91"/>
    <cellStyle name="20% - Accent1 2 2 2" xfId="226"/>
    <cellStyle name="20% - Accent1 2 2 2 2" xfId="274"/>
    <cellStyle name="20% - Accent1 2 2 2 2 2" xfId="679"/>
    <cellStyle name="20% - Accent1 2 2 2 2 2 2" xfId="1410"/>
    <cellStyle name="20% - Accent1 2 2 2 2 2 3" xfId="2730"/>
    <cellStyle name="20% - Accent1 2 2 2 2 2 4" xfId="3448"/>
    <cellStyle name="20% - Accent1 2 2 2 2 3" xfId="1013"/>
    <cellStyle name="20% - Accent1 2 2 2 2 4" xfId="2331"/>
    <cellStyle name="20% - Accent1 2 2 2 2 5" xfId="3051"/>
    <cellStyle name="20% - Accent1 2 2 2 3" xfId="631"/>
    <cellStyle name="20% - Accent1 2 2 2 3 2" xfId="1363"/>
    <cellStyle name="20% - Accent1 2 2 2 3 3" xfId="2683"/>
    <cellStyle name="20% - Accent1 2 2 2 3 4" xfId="3401"/>
    <cellStyle name="20% - Accent1 2 2 2 4" xfId="966"/>
    <cellStyle name="20% - Accent1 2 2 2 5" xfId="2090"/>
    <cellStyle name="20% - Accent1 2 2 2 6" xfId="2284"/>
    <cellStyle name="20% - Accent1 2 2 2 7" xfId="3004"/>
    <cellStyle name="20% - Accent1 2 2 3" xfId="273"/>
    <cellStyle name="20% - Accent1 2 2 3 2" xfId="678"/>
    <cellStyle name="20% - Accent1 2 2 3 2 2" xfId="1409"/>
    <cellStyle name="20% - Accent1 2 2 3 2 3" xfId="2729"/>
    <cellStyle name="20% - Accent1 2 2 3 2 4" xfId="3447"/>
    <cellStyle name="20% - Accent1 2 2 3 3" xfId="1012"/>
    <cellStyle name="20% - Accent1 2 2 3 4" xfId="2047"/>
    <cellStyle name="20% - Accent1 2 2 3 5" xfId="2330"/>
    <cellStyle name="20% - Accent1 2 2 3 6" xfId="3050"/>
    <cellStyle name="20% - Accent1 2 2 4" xfId="473"/>
    <cellStyle name="20% - Accent1 2 2 4 2" xfId="1211"/>
    <cellStyle name="20% - Accent1 2 2 4 3" xfId="1847"/>
    <cellStyle name="20% - Accent1 2 2 4 4" xfId="2531"/>
    <cellStyle name="20% - Accent1 2 2 4 5" xfId="3249"/>
    <cellStyle name="20% - Accent1 2 2 5" xfId="554"/>
    <cellStyle name="20% - Accent1 2 2 5 2" xfId="1286"/>
    <cellStyle name="20% - Accent1 2 2 5 3" xfId="2606"/>
    <cellStyle name="20% - Accent1 2 2 5 4" xfId="3324"/>
    <cellStyle name="20% - Accent1 2 2 6" xfId="882"/>
    <cellStyle name="20% - Accent1 2 2 7" xfId="1970"/>
    <cellStyle name="20% - Accent1 2 2 8" xfId="2207"/>
    <cellStyle name="20% - Accent1 2 2 9" xfId="2927"/>
    <cellStyle name="20% - Accent1 2 3" xfId="195"/>
    <cellStyle name="20% - Accent1 2 3 2" xfId="275"/>
    <cellStyle name="20% - Accent1 2 3 2 2" xfId="680"/>
    <cellStyle name="20% - Accent1 2 3 2 2 2" xfId="1411"/>
    <cellStyle name="20% - Accent1 2 3 2 2 3" xfId="2731"/>
    <cellStyle name="20% - Accent1 2 3 2 2 4" xfId="3449"/>
    <cellStyle name="20% - Accent1 2 3 2 3" xfId="1014"/>
    <cellStyle name="20% - Accent1 2 3 2 4" xfId="2332"/>
    <cellStyle name="20% - Accent1 2 3 2 5" xfId="3052"/>
    <cellStyle name="20% - Accent1 2 3 3" xfId="600"/>
    <cellStyle name="20% - Accent1 2 3 3 2" xfId="1332"/>
    <cellStyle name="20% - Accent1 2 3 3 3" xfId="2652"/>
    <cellStyle name="20% - Accent1 2 3 3 4" xfId="3370"/>
    <cellStyle name="20% - Accent1 2 3 4" xfId="935"/>
    <cellStyle name="20% - Accent1 2 3 5" xfId="2008"/>
    <cellStyle name="20% - Accent1 2 3 6" xfId="2253"/>
    <cellStyle name="20% - Accent1 2 3 7" xfId="2973"/>
    <cellStyle name="20% - Accent1 2 4" xfId="272"/>
    <cellStyle name="20% - Accent1 2 4 2" xfId="677"/>
    <cellStyle name="20% - Accent1 2 4 2 2" xfId="1408"/>
    <cellStyle name="20% - Accent1 2 4 2 3" xfId="2728"/>
    <cellStyle name="20% - Accent1 2 4 2 4" xfId="3446"/>
    <cellStyle name="20% - Accent1 2 4 3" xfId="1011"/>
    <cellStyle name="20% - Accent1 2 4 4" xfId="2132"/>
    <cellStyle name="20% - Accent1 2 4 5" xfId="2329"/>
    <cellStyle name="20% - Accent1 2 4 6" xfId="3049"/>
    <cellStyle name="20% - Accent1 2 5" xfId="443"/>
    <cellStyle name="20% - Accent1 2 5 2" xfId="1181"/>
    <cellStyle name="20% - Accent1 2 5 3" xfId="1778"/>
    <cellStyle name="20% - Accent1 2 5 4" xfId="2501"/>
    <cellStyle name="20% - Accent1 2 5 5" xfId="3219"/>
    <cellStyle name="20% - Accent1 2 6" xfId="523"/>
    <cellStyle name="20% - Accent1 2 6 2" xfId="1255"/>
    <cellStyle name="20% - Accent1 2 6 3" xfId="1817"/>
    <cellStyle name="20% - Accent1 2 6 4" xfId="2575"/>
    <cellStyle name="20% - Accent1 2 6 5" xfId="3293"/>
    <cellStyle name="20% - Accent1 2 7" xfId="850"/>
    <cellStyle name="20% - Accent1 2 7 2" xfId="1699"/>
    <cellStyle name="20% - Accent1 2 7 3" xfId="1888"/>
    <cellStyle name="20% - Accent1 2 8" xfId="1624"/>
    <cellStyle name="20% - Accent1 2 9" xfId="1737"/>
    <cellStyle name="20% - Accent1 3" xfId="76"/>
    <cellStyle name="20% - Accent1 3 2" xfId="211"/>
    <cellStyle name="20% - Accent1 3 2 2" xfId="277"/>
    <cellStyle name="20% - Accent1 3 2 2 2" xfId="682"/>
    <cellStyle name="20% - Accent1 3 2 2 2 2" xfId="1413"/>
    <cellStyle name="20% - Accent1 3 2 2 2 3" xfId="2733"/>
    <cellStyle name="20% - Accent1 3 2 2 2 4" xfId="3451"/>
    <cellStyle name="20% - Accent1 3 2 2 3" xfId="1016"/>
    <cellStyle name="20% - Accent1 3 2 2 4" xfId="2334"/>
    <cellStyle name="20% - Accent1 3 2 2 5" xfId="3054"/>
    <cellStyle name="20% - Accent1 3 2 3" xfId="616"/>
    <cellStyle name="20% - Accent1 3 2 3 2" xfId="1348"/>
    <cellStyle name="20% - Accent1 3 2 3 3" xfId="2668"/>
    <cellStyle name="20% - Accent1 3 2 3 4" xfId="3386"/>
    <cellStyle name="20% - Accent1 3 2 4" xfId="951"/>
    <cellStyle name="20% - Accent1 3 2 5" xfId="2076"/>
    <cellStyle name="20% - Accent1 3 2 6" xfId="2269"/>
    <cellStyle name="20% - Accent1 3 2 7" xfId="2989"/>
    <cellStyle name="20% - Accent1 3 3" xfId="276"/>
    <cellStyle name="20% - Accent1 3 3 2" xfId="681"/>
    <cellStyle name="20% - Accent1 3 3 2 2" xfId="1412"/>
    <cellStyle name="20% - Accent1 3 3 2 3" xfId="2732"/>
    <cellStyle name="20% - Accent1 3 3 2 4" xfId="3450"/>
    <cellStyle name="20% - Accent1 3 3 3" xfId="1015"/>
    <cellStyle name="20% - Accent1 3 3 4" xfId="2034"/>
    <cellStyle name="20% - Accent1 3 3 5" xfId="2333"/>
    <cellStyle name="20% - Accent1 3 3 6" xfId="3053"/>
    <cellStyle name="20% - Accent1 3 4" xfId="458"/>
    <cellStyle name="20% - Accent1 3 4 2" xfId="1196"/>
    <cellStyle name="20% - Accent1 3 4 3" xfId="1832"/>
    <cellStyle name="20% - Accent1 3 4 4" xfId="2516"/>
    <cellStyle name="20% - Accent1 3 4 5" xfId="3234"/>
    <cellStyle name="20% - Accent1 3 5" xfId="539"/>
    <cellStyle name="20% - Accent1 3 5 2" xfId="1271"/>
    <cellStyle name="20% - Accent1 3 5 3" xfId="2591"/>
    <cellStyle name="20% - Accent1 3 5 4" xfId="3309"/>
    <cellStyle name="20% - Accent1 3 6" xfId="867"/>
    <cellStyle name="20% - Accent1 3 7" xfId="1958"/>
    <cellStyle name="20% - Accent1 3 8" xfId="2192"/>
    <cellStyle name="20% - Accent1 3 9" xfId="2912"/>
    <cellStyle name="20% - Accent1 4" xfId="180"/>
    <cellStyle name="20% - Accent1 4 2" xfId="278"/>
    <cellStyle name="20% - Accent1 4 2 2" xfId="683"/>
    <cellStyle name="20% - Accent1 4 2 2 2" xfId="1414"/>
    <cellStyle name="20% - Accent1 4 2 2 3" xfId="2734"/>
    <cellStyle name="20% - Accent1 4 2 2 4" xfId="3452"/>
    <cellStyle name="20% - Accent1 4 2 3" xfId="1017"/>
    <cellStyle name="20% - Accent1 4 2 4" xfId="2335"/>
    <cellStyle name="20% - Accent1 4 2 5" xfId="3055"/>
    <cellStyle name="20% - Accent1 4 3" xfId="585"/>
    <cellStyle name="20% - Accent1 4 3 2" xfId="1317"/>
    <cellStyle name="20% - Accent1 4 3 3" xfId="2637"/>
    <cellStyle name="20% - Accent1 4 3 4" xfId="3355"/>
    <cellStyle name="20% - Accent1 4 4" xfId="920"/>
    <cellStyle name="20% - Accent1 4 5" xfId="1996"/>
    <cellStyle name="20% - Accent1 4 6" xfId="2238"/>
    <cellStyle name="20% - Accent1 4 7" xfId="2958"/>
    <cellStyle name="20% - Accent1 5" xfId="258"/>
    <cellStyle name="20% - Accent1 5 2" xfId="663"/>
    <cellStyle name="20% - Accent1 5 2 2" xfId="1395"/>
    <cellStyle name="20% - Accent1 5 2 3" xfId="2715"/>
    <cellStyle name="20% - Accent1 5 2 4" xfId="3433"/>
    <cellStyle name="20% - Accent1 5 3" xfId="998"/>
    <cellStyle name="20% - Accent1 5 4" xfId="2120"/>
    <cellStyle name="20% - Accent1 5 5" xfId="2316"/>
    <cellStyle name="20% - Accent1 5 6" xfId="3036"/>
    <cellStyle name="20% - Accent1 6" xfId="271"/>
    <cellStyle name="20% - Accent1 6 2" xfId="676"/>
    <cellStyle name="20% - Accent1 6 2 2" xfId="1407"/>
    <cellStyle name="20% - Accent1 6 2 3" xfId="2727"/>
    <cellStyle name="20% - Accent1 6 2 4" xfId="3445"/>
    <cellStyle name="20% - Accent1 6 3" xfId="1010"/>
    <cellStyle name="20% - Accent1 6 4" xfId="2328"/>
    <cellStyle name="20% - Accent1 6 5" xfId="3048"/>
    <cellStyle name="20% - Accent1 7" xfId="428"/>
    <cellStyle name="20% - Accent1 7 2" xfId="1166"/>
    <cellStyle name="20% - Accent1 7 3" xfId="1803"/>
    <cellStyle name="20% - Accent1 7 4" xfId="2486"/>
    <cellStyle name="20% - Accent1 7 5" xfId="3204"/>
    <cellStyle name="20% - Accent1 8" xfId="508"/>
    <cellStyle name="20% - Accent1 8 2" xfId="1240"/>
    <cellStyle name="20% - Accent1 8 3" xfId="1876"/>
    <cellStyle name="20% - Accent1 8 4" xfId="2560"/>
    <cellStyle name="20% - Accent1 8 5" xfId="3278"/>
    <cellStyle name="20% - Accent1 9" xfId="834"/>
    <cellStyle name="20% - Accent2" xfId="24" builtinId="34" customBuiltin="1"/>
    <cellStyle name="20% - Accent2 10" xfId="1726"/>
    <cellStyle name="20% - Accent2 11" xfId="1921"/>
    <cellStyle name="20% - Accent2 12" xfId="2161"/>
    <cellStyle name="20% - Accent2 13" xfId="2883"/>
    <cellStyle name="20% - Accent2 2" xfId="49"/>
    <cellStyle name="20% - Accent2 2 10" xfId="1932"/>
    <cellStyle name="20% - Accent2 2 11" xfId="2178"/>
    <cellStyle name="20% - Accent2 2 12" xfId="2898"/>
    <cellStyle name="20% - Accent2 2 2" xfId="93"/>
    <cellStyle name="20% - Accent2 2 2 2" xfId="228"/>
    <cellStyle name="20% - Accent2 2 2 2 2" xfId="282"/>
    <cellStyle name="20% - Accent2 2 2 2 2 2" xfId="687"/>
    <cellStyle name="20% - Accent2 2 2 2 2 2 2" xfId="1418"/>
    <cellStyle name="20% - Accent2 2 2 2 2 2 3" xfId="2738"/>
    <cellStyle name="20% - Accent2 2 2 2 2 2 4" xfId="3456"/>
    <cellStyle name="20% - Accent2 2 2 2 2 3" xfId="1021"/>
    <cellStyle name="20% - Accent2 2 2 2 2 4" xfId="2339"/>
    <cellStyle name="20% - Accent2 2 2 2 2 5" xfId="3059"/>
    <cellStyle name="20% - Accent2 2 2 2 3" xfId="633"/>
    <cellStyle name="20% - Accent2 2 2 2 3 2" xfId="1365"/>
    <cellStyle name="20% - Accent2 2 2 2 3 3" xfId="2685"/>
    <cellStyle name="20% - Accent2 2 2 2 3 4" xfId="3403"/>
    <cellStyle name="20% - Accent2 2 2 2 4" xfId="968"/>
    <cellStyle name="20% - Accent2 2 2 2 5" xfId="2092"/>
    <cellStyle name="20% - Accent2 2 2 2 6" xfId="2286"/>
    <cellStyle name="20% - Accent2 2 2 2 7" xfId="3006"/>
    <cellStyle name="20% - Accent2 2 2 3" xfId="281"/>
    <cellStyle name="20% - Accent2 2 2 3 2" xfId="686"/>
    <cellStyle name="20% - Accent2 2 2 3 2 2" xfId="1417"/>
    <cellStyle name="20% - Accent2 2 2 3 2 3" xfId="2737"/>
    <cellStyle name="20% - Accent2 2 2 3 2 4" xfId="3455"/>
    <cellStyle name="20% - Accent2 2 2 3 3" xfId="1020"/>
    <cellStyle name="20% - Accent2 2 2 3 4" xfId="2049"/>
    <cellStyle name="20% - Accent2 2 2 3 5" xfId="2338"/>
    <cellStyle name="20% - Accent2 2 2 3 6" xfId="3058"/>
    <cellStyle name="20% - Accent2 2 2 4" xfId="475"/>
    <cellStyle name="20% - Accent2 2 2 4 2" xfId="1213"/>
    <cellStyle name="20% - Accent2 2 2 4 3" xfId="1849"/>
    <cellStyle name="20% - Accent2 2 2 4 4" xfId="2533"/>
    <cellStyle name="20% - Accent2 2 2 4 5" xfId="3251"/>
    <cellStyle name="20% - Accent2 2 2 5" xfId="556"/>
    <cellStyle name="20% - Accent2 2 2 5 2" xfId="1288"/>
    <cellStyle name="20% - Accent2 2 2 5 3" xfId="2608"/>
    <cellStyle name="20% - Accent2 2 2 5 4" xfId="3326"/>
    <cellStyle name="20% - Accent2 2 2 6" xfId="884"/>
    <cellStyle name="20% - Accent2 2 2 7" xfId="1971"/>
    <cellStyle name="20% - Accent2 2 2 8" xfId="2209"/>
    <cellStyle name="20% - Accent2 2 2 9" xfId="2929"/>
    <cellStyle name="20% - Accent2 2 3" xfId="197"/>
    <cellStyle name="20% - Accent2 2 3 2" xfId="283"/>
    <cellStyle name="20% - Accent2 2 3 2 2" xfId="688"/>
    <cellStyle name="20% - Accent2 2 3 2 2 2" xfId="1419"/>
    <cellStyle name="20% - Accent2 2 3 2 2 3" xfId="2739"/>
    <cellStyle name="20% - Accent2 2 3 2 2 4" xfId="3457"/>
    <cellStyle name="20% - Accent2 2 3 2 3" xfId="1022"/>
    <cellStyle name="20% - Accent2 2 3 2 4" xfId="2340"/>
    <cellStyle name="20% - Accent2 2 3 2 5" xfId="3060"/>
    <cellStyle name="20% - Accent2 2 3 3" xfId="602"/>
    <cellStyle name="20% - Accent2 2 3 3 2" xfId="1334"/>
    <cellStyle name="20% - Accent2 2 3 3 3" xfId="2654"/>
    <cellStyle name="20% - Accent2 2 3 3 4" xfId="3372"/>
    <cellStyle name="20% - Accent2 2 3 4" xfId="937"/>
    <cellStyle name="20% - Accent2 2 3 5" xfId="2009"/>
    <cellStyle name="20% - Accent2 2 3 6" xfId="2255"/>
    <cellStyle name="20% - Accent2 2 3 7" xfId="2975"/>
    <cellStyle name="20% - Accent2 2 4" xfId="280"/>
    <cellStyle name="20% - Accent2 2 4 2" xfId="685"/>
    <cellStyle name="20% - Accent2 2 4 2 2" xfId="1416"/>
    <cellStyle name="20% - Accent2 2 4 2 3" xfId="2736"/>
    <cellStyle name="20% - Accent2 2 4 2 4" xfId="3454"/>
    <cellStyle name="20% - Accent2 2 4 3" xfId="1019"/>
    <cellStyle name="20% - Accent2 2 4 4" xfId="2133"/>
    <cellStyle name="20% - Accent2 2 4 5" xfId="2337"/>
    <cellStyle name="20% - Accent2 2 4 6" xfId="3057"/>
    <cellStyle name="20% - Accent2 2 5" xfId="445"/>
    <cellStyle name="20% - Accent2 2 5 2" xfId="1183"/>
    <cellStyle name="20% - Accent2 2 5 3" xfId="1779"/>
    <cellStyle name="20% - Accent2 2 5 4" xfId="2503"/>
    <cellStyle name="20% - Accent2 2 5 5" xfId="3221"/>
    <cellStyle name="20% - Accent2 2 6" xfId="525"/>
    <cellStyle name="20% - Accent2 2 6 2" xfId="1257"/>
    <cellStyle name="20% - Accent2 2 6 3" xfId="1819"/>
    <cellStyle name="20% - Accent2 2 6 4" xfId="2577"/>
    <cellStyle name="20% - Accent2 2 6 5" xfId="3295"/>
    <cellStyle name="20% - Accent2 2 7" xfId="852"/>
    <cellStyle name="20% - Accent2 2 7 2" xfId="1700"/>
    <cellStyle name="20% - Accent2 2 7 3" xfId="1889"/>
    <cellStyle name="20% - Accent2 2 8" xfId="1658"/>
    <cellStyle name="20% - Accent2 2 9" xfId="1738"/>
    <cellStyle name="20% - Accent2 3" xfId="78"/>
    <cellStyle name="20% - Accent2 3 2" xfId="213"/>
    <cellStyle name="20% - Accent2 3 2 2" xfId="285"/>
    <cellStyle name="20% - Accent2 3 2 2 2" xfId="690"/>
    <cellStyle name="20% - Accent2 3 2 2 2 2" xfId="1421"/>
    <cellStyle name="20% - Accent2 3 2 2 2 3" xfId="2741"/>
    <cellStyle name="20% - Accent2 3 2 2 2 4" xfId="3459"/>
    <cellStyle name="20% - Accent2 3 2 2 3" xfId="1024"/>
    <cellStyle name="20% - Accent2 3 2 2 4" xfId="2342"/>
    <cellStyle name="20% - Accent2 3 2 2 5" xfId="3062"/>
    <cellStyle name="20% - Accent2 3 2 3" xfId="618"/>
    <cellStyle name="20% - Accent2 3 2 3 2" xfId="1350"/>
    <cellStyle name="20% - Accent2 3 2 3 3" xfId="2670"/>
    <cellStyle name="20% - Accent2 3 2 3 4" xfId="3388"/>
    <cellStyle name="20% - Accent2 3 2 4" xfId="953"/>
    <cellStyle name="20% - Accent2 3 2 5" xfId="2078"/>
    <cellStyle name="20% - Accent2 3 2 6" xfId="2271"/>
    <cellStyle name="20% - Accent2 3 2 7" xfId="2991"/>
    <cellStyle name="20% - Accent2 3 3" xfId="284"/>
    <cellStyle name="20% - Accent2 3 3 2" xfId="689"/>
    <cellStyle name="20% - Accent2 3 3 2 2" xfId="1420"/>
    <cellStyle name="20% - Accent2 3 3 2 3" xfId="2740"/>
    <cellStyle name="20% - Accent2 3 3 2 4" xfId="3458"/>
    <cellStyle name="20% - Accent2 3 3 3" xfId="1023"/>
    <cellStyle name="20% - Accent2 3 3 4" xfId="2036"/>
    <cellStyle name="20% - Accent2 3 3 5" xfId="2341"/>
    <cellStyle name="20% - Accent2 3 3 6" xfId="3061"/>
    <cellStyle name="20% - Accent2 3 4" xfId="460"/>
    <cellStyle name="20% - Accent2 3 4 2" xfId="1198"/>
    <cellStyle name="20% - Accent2 3 4 3" xfId="1834"/>
    <cellStyle name="20% - Accent2 3 4 4" xfId="2518"/>
    <cellStyle name="20% - Accent2 3 4 5" xfId="3236"/>
    <cellStyle name="20% - Accent2 3 5" xfId="541"/>
    <cellStyle name="20% - Accent2 3 5 2" xfId="1273"/>
    <cellStyle name="20% - Accent2 3 5 3" xfId="2593"/>
    <cellStyle name="20% - Accent2 3 5 4" xfId="3311"/>
    <cellStyle name="20% - Accent2 3 6" xfId="869"/>
    <cellStyle name="20% - Accent2 3 7" xfId="1960"/>
    <cellStyle name="20% - Accent2 3 8" xfId="2194"/>
    <cellStyle name="20% - Accent2 3 9" xfId="2914"/>
    <cellStyle name="20% - Accent2 4" xfId="182"/>
    <cellStyle name="20% - Accent2 4 2" xfId="286"/>
    <cellStyle name="20% - Accent2 4 2 2" xfId="691"/>
    <cellStyle name="20% - Accent2 4 2 2 2" xfId="1422"/>
    <cellStyle name="20% - Accent2 4 2 2 3" xfId="2742"/>
    <cellStyle name="20% - Accent2 4 2 2 4" xfId="3460"/>
    <cellStyle name="20% - Accent2 4 2 3" xfId="1025"/>
    <cellStyle name="20% - Accent2 4 2 4" xfId="2343"/>
    <cellStyle name="20% - Accent2 4 2 5" xfId="3063"/>
    <cellStyle name="20% - Accent2 4 3" xfId="587"/>
    <cellStyle name="20% - Accent2 4 3 2" xfId="1319"/>
    <cellStyle name="20% - Accent2 4 3 3" xfId="2639"/>
    <cellStyle name="20% - Accent2 4 3 4" xfId="3357"/>
    <cellStyle name="20% - Accent2 4 4" xfId="922"/>
    <cellStyle name="20% - Accent2 4 5" xfId="1998"/>
    <cellStyle name="20% - Accent2 4 6" xfId="2240"/>
    <cellStyle name="20% - Accent2 4 7" xfId="2960"/>
    <cellStyle name="20% - Accent2 5" xfId="260"/>
    <cellStyle name="20% - Accent2 5 2" xfId="665"/>
    <cellStyle name="20% - Accent2 5 2 2" xfId="1397"/>
    <cellStyle name="20% - Accent2 5 2 3" xfId="2717"/>
    <cellStyle name="20% - Accent2 5 2 4" xfId="3435"/>
    <cellStyle name="20% - Accent2 5 3" xfId="1000"/>
    <cellStyle name="20% - Accent2 5 4" xfId="2122"/>
    <cellStyle name="20% - Accent2 5 5" xfId="2318"/>
    <cellStyle name="20% - Accent2 5 6" xfId="3038"/>
    <cellStyle name="20% - Accent2 6" xfId="279"/>
    <cellStyle name="20% - Accent2 6 2" xfId="684"/>
    <cellStyle name="20% - Accent2 6 2 2" xfId="1415"/>
    <cellStyle name="20% - Accent2 6 2 3" xfId="2735"/>
    <cellStyle name="20% - Accent2 6 2 4" xfId="3453"/>
    <cellStyle name="20% - Accent2 6 3" xfId="1018"/>
    <cellStyle name="20% - Accent2 6 4" xfId="2336"/>
    <cellStyle name="20% - Accent2 6 5" xfId="3056"/>
    <cellStyle name="20% - Accent2 7" xfId="430"/>
    <cellStyle name="20% - Accent2 7 2" xfId="1168"/>
    <cellStyle name="20% - Accent2 7 3" xfId="1805"/>
    <cellStyle name="20% - Accent2 7 4" xfId="2488"/>
    <cellStyle name="20% - Accent2 7 5" xfId="3206"/>
    <cellStyle name="20% - Accent2 8" xfId="510"/>
    <cellStyle name="20% - Accent2 8 2" xfId="1242"/>
    <cellStyle name="20% - Accent2 8 3" xfId="1878"/>
    <cellStyle name="20% - Accent2 8 4" xfId="2562"/>
    <cellStyle name="20% - Accent2 8 5" xfId="3280"/>
    <cellStyle name="20% - Accent2 9" xfId="836"/>
    <cellStyle name="20% - Accent3" xfId="28" builtinId="38" customBuiltin="1"/>
    <cellStyle name="20% - Accent3 10" xfId="1728"/>
    <cellStyle name="20% - Accent3 11" xfId="1923"/>
    <cellStyle name="20% - Accent3 12" xfId="2163"/>
    <cellStyle name="20% - Accent3 13" xfId="2885"/>
    <cellStyle name="20% - Accent3 2" xfId="51"/>
    <cellStyle name="20% - Accent3 2 10" xfId="1933"/>
    <cellStyle name="20% - Accent3 2 11" xfId="2180"/>
    <cellStyle name="20% - Accent3 2 12" xfId="2900"/>
    <cellStyle name="20% - Accent3 2 2" xfId="95"/>
    <cellStyle name="20% - Accent3 2 2 2" xfId="230"/>
    <cellStyle name="20% - Accent3 2 2 2 2" xfId="290"/>
    <cellStyle name="20% - Accent3 2 2 2 2 2" xfId="695"/>
    <cellStyle name="20% - Accent3 2 2 2 2 2 2" xfId="1426"/>
    <cellStyle name="20% - Accent3 2 2 2 2 2 3" xfId="2746"/>
    <cellStyle name="20% - Accent3 2 2 2 2 2 4" xfId="3464"/>
    <cellStyle name="20% - Accent3 2 2 2 2 3" xfId="1029"/>
    <cellStyle name="20% - Accent3 2 2 2 2 4" xfId="2347"/>
    <cellStyle name="20% - Accent3 2 2 2 2 5" xfId="3067"/>
    <cellStyle name="20% - Accent3 2 2 2 3" xfId="635"/>
    <cellStyle name="20% - Accent3 2 2 2 3 2" xfId="1367"/>
    <cellStyle name="20% - Accent3 2 2 2 3 3" xfId="2687"/>
    <cellStyle name="20% - Accent3 2 2 2 3 4" xfId="3405"/>
    <cellStyle name="20% - Accent3 2 2 2 4" xfId="970"/>
    <cellStyle name="20% - Accent3 2 2 2 5" xfId="2094"/>
    <cellStyle name="20% - Accent3 2 2 2 6" xfId="2288"/>
    <cellStyle name="20% - Accent3 2 2 2 7" xfId="3008"/>
    <cellStyle name="20% - Accent3 2 2 3" xfId="289"/>
    <cellStyle name="20% - Accent3 2 2 3 2" xfId="694"/>
    <cellStyle name="20% - Accent3 2 2 3 2 2" xfId="1425"/>
    <cellStyle name="20% - Accent3 2 2 3 2 3" xfId="2745"/>
    <cellStyle name="20% - Accent3 2 2 3 2 4" xfId="3463"/>
    <cellStyle name="20% - Accent3 2 2 3 3" xfId="1028"/>
    <cellStyle name="20% - Accent3 2 2 3 4" xfId="2051"/>
    <cellStyle name="20% - Accent3 2 2 3 5" xfId="2346"/>
    <cellStyle name="20% - Accent3 2 2 3 6" xfId="3066"/>
    <cellStyle name="20% - Accent3 2 2 4" xfId="477"/>
    <cellStyle name="20% - Accent3 2 2 4 2" xfId="1215"/>
    <cellStyle name="20% - Accent3 2 2 4 3" xfId="1851"/>
    <cellStyle name="20% - Accent3 2 2 4 4" xfId="2535"/>
    <cellStyle name="20% - Accent3 2 2 4 5" xfId="3253"/>
    <cellStyle name="20% - Accent3 2 2 5" xfId="558"/>
    <cellStyle name="20% - Accent3 2 2 5 2" xfId="1290"/>
    <cellStyle name="20% - Accent3 2 2 5 3" xfId="2610"/>
    <cellStyle name="20% - Accent3 2 2 5 4" xfId="3328"/>
    <cellStyle name="20% - Accent3 2 2 6" xfId="886"/>
    <cellStyle name="20% - Accent3 2 2 7" xfId="1972"/>
    <cellStyle name="20% - Accent3 2 2 8" xfId="2211"/>
    <cellStyle name="20% - Accent3 2 2 9" xfId="2931"/>
    <cellStyle name="20% - Accent3 2 3" xfId="199"/>
    <cellStyle name="20% - Accent3 2 3 2" xfId="291"/>
    <cellStyle name="20% - Accent3 2 3 2 2" xfId="696"/>
    <cellStyle name="20% - Accent3 2 3 2 2 2" xfId="1427"/>
    <cellStyle name="20% - Accent3 2 3 2 2 3" xfId="2747"/>
    <cellStyle name="20% - Accent3 2 3 2 2 4" xfId="3465"/>
    <cellStyle name="20% - Accent3 2 3 2 3" xfId="1030"/>
    <cellStyle name="20% - Accent3 2 3 2 4" xfId="2348"/>
    <cellStyle name="20% - Accent3 2 3 2 5" xfId="3068"/>
    <cellStyle name="20% - Accent3 2 3 3" xfId="604"/>
    <cellStyle name="20% - Accent3 2 3 3 2" xfId="1336"/>
    <cellStyle name="20% - Accent3 2 3 3 3" xfId="2656"/>
    <cellStyle name="20% - Accent3 2 3 3 4" xfId="3374"/>
    <cellStyle name="20% - Accent3 2 3 4" xfId="939"/>
    <cellStyle name="20% - Accent3 2 3 5" xfId="2010"/>
    <cellStyle name="20% - Accent3 2 3 6" xfId="2257"/>
    <cellStyle name="20% - Accent3 2 3 7" xfId="2977"/>
    <cellStyle name="20% - Accent3 2 4" xfId="288"/>
    <cellStyle name="20% - Accent3 2 4 2" xfId="693"/>
    <cellStyle name="20% - Accent3 2 4 2 2" xfId="1424"/>
    <cellStyle name="20% - Accent3 2 4 2 3" xfId="2744"/>
    <cellStyle name="20% - Accent3 2 4 2 4" xfId="3462"/>
    <cellStyle name="20% - Accent3 2 4 3" xfId="1027"/>
    <cellStyle name="20% - Accent3 2 4 4" xfId="2134"/>
    <cellStyle name="20% - Accent3 2 4 5" xfId="2345"/>
    <cellStyle name="20% - Accent3 2 4 6" xfId="3065"/>
    <cellStyle name="20% - Accent3 2 5" xfId="447"/>
    <cellStyle name="20% - Accent3 2 5 2" xfId="1185"/>
    <cellStyle name="20% - Accent3 2 5 3" xfId="1780"/>
    <cellStyle name="20% - Accent3 2 5 4" xfId="2505"/>
    <cellStyle name="20% - Accent3 2 5 5" xfId="3223"/>
    <cellStyle name="20% - Accent3 2 6" xfId="527"/>
    <cellStyle name="20% - Accent3 2 6 2" xfId="1259"/>
    <cellStyle name="20% - Accent3 2 6 3" xfId="1821"/>
    <cellStyle name="20% - Accent3 2 6 4" xfId="2579"/>
    <cellStyle name="20% - Accent3 2 6 5" xfId="3297"/>
    <cellStyle name="20% - Accent3 2 7" xfId="854"/>
    <cellStyle name="20% - Accent3 2 7 2" xfId="1701"/>
    <cellStyle name="20% - Accent3 2 7 3" xfId="1890"/>
    <cellStyle name="20% - Accent3 2 8" xfId="1648"/>
    <cellStyle name="20% - Accent3 2 9" xfId="1739"/>
    <cellStyle name="20% - Accent3 3" xfId="80"/>
    <cellStyle name="20% - Accent3 3 2" xfId="215"/>
    <cellStyle name="20% - Accent3 3 2 2" xfId="293"/>
    <cellStyle name="20% - Accent3 3 2 2 2" xfId="698"/>
    <cellStyle name="20% - Accent3 3 2 2 2 2" xfId="1429"/>
    <cellStyle name="20% - Accent3 3 2 2 2 3" xfId="2749"/>
    <cellStyle name="20% - Accent3 3 2 2 2 4" xfId="3467"/>
    <cellStyle name="20% - Accent3 3 2 2 3" xfId="1032"/>
    <cellStyle name="20% - Accent3 3 2 2 4" xfId="2350"/>
    <cellStyle name="20% - Accent3 3 2 2 5" xfId="3070"/>
    <cellStyle name="20% - Accent3 3 2 3" xfId="620"/>
    <cellStyle name="20% - Accent3 3 2 3 2" xfId="1352"/>
    <cellStyle name="20% - Accent3 3 2 3 3" xfId="2672"/>
    <cellStyle name="20% - Accent3 3 2 3 4" xfId="3390"/>
    <cellStyle name="20% - Accent3 3 2 4" xfId="955"/>
    <cellStyle name="20% - Accent3 3 2 5" xfId="2080"/>
    <cellStyle name="20% - Accent3 3 2 6" xfId="2273"/>
    <cellStyle name="20% - Accent3 3 2 7" xfId="2993"/>
    <cellStyle name="20% - Accent3 3 3" xfId="292"/>
    <cellStyle name="20% - Accent3 3 3 2" xfId="697"/>
    <cellStyle name="20% - Accent3 3 3 2 2" xfId="1428"/>
    <cellStyle name="20% - Accent3 3 3 2 3" xfId="2748"/>
    <cellStyle name="20% - Accent3 3 3 2 4" xfId="3466"/>
    <cellStyle name="20% - Accent3 3 3 3" xfId="1031"/>
    <cellStyle name="20% - Accent3 3 3 4" xfId="2038"/>
    <cellStyle name="20% - Accent3 3 3 5" xfId="2349"/>
    <cellStyle name="20% - Accent3 3 3 6" xfId="3069"/>
    <cellStyle name="20% - Accent3 3 4" xfId="462"/>
    <cellStyle name="20% - Accent3 3 4 2" xfId="1200"/>
    <cellStyle name="20% - Accent3 3 4 3" xfId="1836"/>
    <cellStyle name="20% - Accent3 3 4 4" xfId="2520"/>
    <cellStyle name="20% - Accent3 3 4 5" xfId="3238"/>
    <cellStyle name="20% - Accent3 3 5" xfId="543"/>
    <cellStyle name="20% - Accent3 3 5 2" xfId="1275"/>
    <cellStyle name="20% - Accent3 3 5 3" xfId="2595"/>
    <cellStyle name="20% - Accent3 3 5 4" xfId="3313"/>
    <cellStyle name="20% - Accent3 3 6" xfId="871"/>
    <cellStyle name="20% - Accent3 3 7" xfId="1962"/>
    <cellStyle name="20% - Accent3 3 8" xfId="2196"/>
    <cellStyle name="20% - Accent3 3 9" xfId="2916"/>
    <cellStyle name="20% - Accent3 4" xfId="184"/>
    <cellStyle name="20% - Accent3 4 2" xfId="294"/>
    <cellStyle name="20% - Accent3 4 2 2" xfId="699"/>
    <cellStyle name="20% - Accent3 4 2 2 2" xfId="1430"/>
    <cellStyle name="20% - Accent3 4 2 2 3" xfId="2750"/>
    <cellStyle name="20% - Accent3 4 2 2 4" xfId="3468"/>
    <cellStyle name="20% - Accent3 4 2 3" xfId="1033"/>
    <cellStyle name="20% - Accent3 4 2 4" xfId="2351"/>
    <cellStyle name="20% - Accent3 4 2 5" xfId="3071"/>
    <cellStyle name="20% - Accent3 4 3" xfId="589"/>
    <cellStyle name="20% - Accent3 4 3 2" xfId="1321"/>
    <cellStyle name="20% - Accent3 4 3 3" xfId="2641"/>
    <cellStyle name="20% - Accent3 4 3 4" xfId="3359"/>
    <cellStyle name="20% - Accent3 4 4" xfId="924"/>
    <cellStyle name="20% - Accent3 4 5" xfId="2000"/>
    <cellStyle name="20% - Accent3 4 6" xfId="2242"/>
    <cellStyle name="20% - Accent3 4 7" xfId="2962"/>
    <cellStyle name="20% - Accent3 5" xfId="262"/>
    <cellStyle name="20% - Accent3 5 2" xfId="667"/>
    <cellStyle name="20% - Accent3 5 2 2" xfId="1399"/>
    <cellStyle name="20% - Accent3 5 2 3" xfId="2719"/>
    <cellStyle name="20% - Accent3 5 2 4" xfId="3437"/>
    <cellStyle name="20% - Accent3 5 3" xfId="1002"/>
    <cellStyle name="20% - Accent3 5 4" xfId="2124"/>
    <cellStyle name="20% - Accent3 5 5" xfId="2320"/>
    <cellStyle name="20% - Accent3 5 6" xfId="3040"/>
    <cellStyle name="20% - Accent3 6" xfId="287"/>
    <cellStyle name="20% - Accent3 6 2" xfId="692"/>
    <cellStyle name="20% - Accent3 6 2 2" xfId="1423"/>
    <cellStyle name="20% - Accent3 6 2 3" xfId="2743"/>
    <cellStyle name="20% - Accent3 6 2 4" xfId="3461"/>
    <cellStyle name="20% - Accent3 6 3" xfId="1026"/>
    <cellStyle name="20% - Accent3 6 4" xfId="2344"/>
    <cellStyle name="20% - Accent3 6 5" xfId="3064"/>
    <cellStyle name="20% - Accent3 7" xfId="432"/>
    <cellStyle name="20% - Accent3 7 2" xfId="1170"/>
    <cellStyle name="20% - Accent3 7 3" xfId="1807"/>
    <cellStyle name="20% - Accent3 7 4" xfId="2490"/>
    <cellStyle name="20% - Accent3 7 5" xfId="3208"/>
    <cellStyle name="20% - Accent3 8" xfId="512"/>
    <cellStyle name="20% - Accent3 8 2" xfId="1244"/>
    <cellStyle name="20% - Accent3 8 3" xfId="1880"/>
    <cellStyle name="20% - Accent3 8 4" xfId="2564"/>
    <cellStyle name="20% - Accent3 8 5" xfId="3282"/>
    <cellStyle name="20% - Accent3 9" xfId="838"/>
    <cellStyle name="20% - Accent4" xfId="32" builtinId="42" customBuiltin="1"/>
    <cellStyle name="20% - Accent4 10" xfId="1730"/>
    <cellStyle name="20% - Accent4 11" xfId="1925"/>
    <cellStyle name="20% - Accent4 12" xfId="2165"/>
    <cellStyle name="20% - Accent4 13" xfId="2887"/>
    <cellStyle name="20% - Accent4 2" xfId="53"/>
    <cellStyle name="20% - Accent4 2 10" xfId="1934"/>
    <cellStyle name="20% - Accent4 2 11" xfId="2182"/>
    <cellStyle name="20% - Accent4 2 12" xfId="2902"/>
    <cellStyle name="20% - Accent4 2 2" xfId="97"/>
    <cellStyle name="20% - Accent4 2 2 2" xfId="232"/>
    <cellStyle name="20% - Accent4 2 2 2 2" xfId="298"/>
    <cellStyle name="20% - Accent4 2 2 2 2 2" xfId="703"/>
    <cellStyle name="20% - Accent4 2 2 2 2 2 2" xfId="1434"/>
    <cellStyle name="20% - Accent4 2 2 2 2 2 3" xfId="2754"/>
    <cellStyle name="20% - Accent4 2 2 2 2 2 4" xfId="3472"/>
    <cellStyle name="20% - Accent4 2 2 2 2 3" xfId="1037"/>
    <cellStyle name="20% - Accent4 2 2 2 2 4" xfId="2355"/>
    <cellStyle name="20% - Accent4 2 2 2 2 5" xfId="3075"/>
    <cellStyle name="20% - Accent4 2 2 2 3" xfId="637"/>
    <cellStyle name="20% - Accent4 2 2 2 3 2" xfId="1369"/>
    <cellStyle name="20% - Accent4 2 2 2 3 3" xfId="2689"/>
    <cellStyle name="20% - Accent4 2 2 2 3 4" xfId="3407"/>
    <cellStyle name="20% - Accent4 2 2 2 4" xfId="972"/>
    <cellStyle name="20% - Accent4 2 2 2 5" xfId="2096"/>
    <cellStyle name="20% - Accent4 2 2 2 6" xfId="2290"/>
    <cellStyle name="20% - Accent4 2 2 2 7" xfId="3010"/>
    <cellStyle name="20% - Accent4 2 2 3" xfId="297"/>
    <cellStyle name="20% - Accent4 2 2 3 2" xfId="702"/>
    <cellStyle name="20% - Accent4 2 2 3 2 2" xfId="1433"/>
    <cellStyle name="20% - Accent4 2 2 3 2 3" xfId="2753"/>
    <cellStyle name="20% - Accent4 2 2 3 2 4" xfId="3471"/>
    <cellStyle name="20% - Accent4 2 2 3 3" xfId="1036"/>
    <cellStyle name="20% - Accent4 2 2 3 4" xfId="2053"/>
    <cellStyle name="20% - Accent4 2 2 3 5" xfId="2354"/>
    <cellStyle name="20% - Accent4 2 2 3 6" xfId="3074"/>
    <cellStyle name="20% - Accent4 2 2 4" xfId="479"/>
    <cellStyle name="20% - Accent4 2 2 4 2" xfId="1217"/>
    <cellStyle name="20% - Accent4 2 2 4 3" xfId="1853"/>
    <cellStyle name="20% - Accent4 2 2 4 4" xfId="2537"/>
    <cellStyle name="20% - Accent4 2 2 4 5" xfId="3255"/>
    <cellStyle name="20% - Accent4 2 2 5" xfId="560"/>
    <cellStyle name="20% - Accent4 2 2 5 2" xfId="1292"/>
    <cellStyle name="20% - Accent4 2 2 5 3" xfId="2612"/>
    <cellStyle name="20% - Accent4 2 2 5 4" xfId="3330"/>
    <cellStyle name="20% - Accent4 2 2 6" xfId="888"/>
    <cellStyle name="20% - Accent4 2 2 7" xfId="1973"/>
    <cellStyle name="20% - Accent4 2 2 8" xfId="2213"/>
    <cellStyle name="20% - Accent4 2 2 9" xfId="2933"/>
    <cellStyle name="20% - Accent4 2 3" xfId="201"/>
    <cellStyle name="20% - Accent4 2 3 2" xfId="299"/>
    <cellStyle name="20% - Accent4 2 3 2 2" xfId="704"/>
    <cellStyle name="20% - Accent4 2 3 2 2 2" xfId="1435"/>
    <cellStyle name="20% - Accent4 2 3 2 2 3" xfId="2755"/>
    <cellStyle name="20% - Accent4 2 3 2 2 4" xfId="3473"/>
    <cellStyle name="20% - Accent4 2 3 2 3" xfId="1038"/>
    <cellStyle name="20% - Accent4 2 3 2 4" xfId="2356"/>
    <cellStyle name="20% - Accent4 2 3 2 5" xfId="3076"/>
    <cellStyle name="20% - Accent4 2 3 3" xfId="606"/>
    <cellStyle name="20% - Accent4 2 3 3 2" xfId="1338"/>
    <cellStyle name="20% - Accent4 2 3 3 3" xfId="2658"/>
    <cellStyle name="20% - Accent4 2 3 3 4" xfId="3376"/>
    <cellStyle name="20% - Accent4 2 3 4" xfId="941"/>
    <cellStyle name="20% - Accent4 2 3 5" xfId="2011"/>
    <cellStyle name="20% - Accent4 2 3 6" xfId="2259"/>
    <cellStyle name="20% - Accent4 2 3 7" xfId="2979"/>
    <cellStyle name="20% - Accent4 2 4" xfId="296"/>
    <cellStyle name="20% - Accent4 2 4 2" xfId="701"/>
    <cellStyle name="20% - Accent4 2 4 2 2" xfId="1432"/>
    <cellStyle name="20% - Accent4 2 4 2 3" xfId="2752"/>
    <cellStyle name="20% - Accent4 2 4 2 4" xfId="3470"/>
    <cellStyle name="20% - Accent4 2 4 3" xfId="1035"/>
    <cellStyle name="20% - Accent4 2 4 4" xfId="2135"/>
    <cellStyle name="20% - Accent4 2 4 5" xfId="2353"/>
    <cellStyle name="20% - Accent4 2 4 6" xfId="3073"/>
    <cellStyle name="20% - Accent4 2 5" xfId="449"/>
    <cellStyle name="20% - Accent4 2 5 2" xfId="1187"/>
    <cellStyle name="20% - Accent4 2 5 3" xfId="1781"/>
    <cellStyle name="20% - Accent4 2 5 4" xfId="2507"/>
    <cellStyle name="20% - Accent4 2 5 5" xfId="3225"/>
    <cellStyle name="20% - Accent4 2 6" xfId="529"/>
    <cellStyle name="20% - Accent4 2 6 2" xfId="1261"/>
    <cellStyle name="20% - Accent4 2 6 3" xfId="1823"/>
    <cellStyle name="20% - Accent4 2 6 4" xfId="2581"/>
    <cellStyle name="20% - Accent4 2 6 5" xfId="3299"/>
    <cellStyle name="20% - Accent4 2 7" xfId="856"/>
    <cellStyle name="20% - Accent4 2 7 2" xfId="1702"/>
    <cellStyle name="20% - Accent4 2 7 3" xfId="1891"/>
    <cellStyle name="20% - Accent4 2 8" xfId="1639"/>
    <cellStyle name="20% - Accent4 2 9" xfId="1740"/>
    <cellStyle name="20% - Accent4 3" xfId="82"/>
    <cellStyle name="20% - Accent4 3 2" xfId="217"/>
    <cellStyle name="20% - Accent4 3 2 2" xfId="301"/>
    <cellStyle name="20% - Accent4 3 2 2 2" xfId="706"/>
    <cellStyle name="20% - Accent4 3 2 2 2 2" xfId="1437"/>
    <cellStyle name="20% - Accent4 3 2 2 2 3" xfId="2757"/>
    <cellStyle name="20% - Accent4 3 2 2 2 4" xfId="3475"/>
    <cellStyle name="20% - Accent4 3 2 2 3" xfId="1040"/>
    <cellStyle name="20% - Accent4 3 2 2 4" xfId="2358"/>
    <cellStyle name="20% - Accent4 3 2 2 5" xfId="3078"/>
    <cellStyle name="20% - Accent4 3 2 3" xfId="622"/>
    <cellStyle name="20% - Accent4 3 2 3 2" xfId="1354"/>
    <cellStyle name="20% - Accent4 3 2 3 3" xfId="2674"/>
    <cellStyle name="20% - Accent4 3 2 3 4" xfId="3392"/>
    <cellStyle name="20% - Accent4 3 2 4" xfId="957"/>
    <cellStyle name="20% - Accent4 3 2 5" xfId="2082"/>
    <cellStyle name="20% - Accent4 3 2 6" xfId="2275"/>
    <cellStyle name="20% - Accent4 3 2 7" xfId="2995"/>
    <cellStyle name="20% - Accent4 3 3" xfId="300"/>
    <cellStyle name="20% - Accent4 3 3 2" xfId="705"/>
    <cellStyle name="20% - Accent4 3 3 2 2" xfId="1436"/>
    <cellStyle name="20% - Accent4 3 3 2 3" xfId="2756"/>
    <cellStyle name="20% - Accent4 3 3 2 4" xfId="3474"/>
    <cellStyle name="20% - Accent4 3 3 3" xfId="1039"/>
    <cellStyle name="20% - Accent4 3 3 4" xfId="2040"/>
    <cellStyle name="20% - Accent4 3 3 5" xfId="2357"/>
    <cellStyle name="20% - Accent4 3 3 6" xfId="3077"/>
    <cellStyle name="20% - Accent4 3 4" xfId="464"/>
    <cellStyle name="20% - Accent4 3 4 2" xfId="1202"/>
    <cellStyle name="20% - Accent4 3 4 3" xfId="1838"/>
    <cellStyle name="20% - Accent4 3 4 4" xfId="2522"/>
    <cellStyle name="20% - Accent4 3 4 5" xfId="3240"/>
    <cellStyle name="20% - Accent4 3 5" xfId="545"/>
    <cellStyle name="20% - Accent4 3 5 2" xfId="1277"/>
    <cellStyle name="20% - Accent4 3 5 3" xfId="2597"/>
    <cellStyle name="20% - Accent4 3 5 4" xfId="3315"/>
    <cellStyle name="20% - Accent4 3 6" xfId="873"/>
    <cellStyle name="20% - Accent4 3 7" xfId="1964"/>
    <cellStyle name="20% - Accent4 3 8" xfId="2198"/>
    <cellStyle name="20% - Accent4 3 9" xfId="2918"/>
    <cellStyle name="20% - Accent4 4" xfId="186"/>
    <cellStyle name="20% - Accent4 4 2" xfId="302"/>
    <cellStyle name="20% - Accent4 4 2 2" xfId="707"/>
    <cellStyle name="20% - Accent4 4 2 2 2" xfId="1438"/>
    <cellStyle name="20% - Accent4 4 2 2 3" xfId="2758"/>
    <cellStyle name="20% - Accent4 4 2 2 4" xfId="3476"/>
    <cellStyle name="20% - Accent4 4 2 3" xfId="1041"/>
    <cellStyle name="20% - Accent4 4 2 4" xfId="2359"/>
    <cellStyle name="20% - Accent4 4 2 5" xfId="3079"/>
    <cellStyle name="20% - Accent4 4 3" xfId="591"/>
    <cellStyle name="20% - Accent4 4 3 2" xfId="1323"/>
    <cellStyle name="20% - Accent4 4 3 3" xfId="2643"/>
    <cellStyle name="20% - Accent4 4 3 4" xfId="3361"/>
    <cellStyle name="20% - Accent4 4 4" xfId="926"/>
    <cellStyle name="20% - Accent4 4 5" xfId="2002"/>
    <cellStyle name="20% - Accent4 4 6" xfId="2244"/>
    <cellStyle name="20% - Accent4 4 7" xfId="2964"/>
    <cellStyle name="20% - Accent4 5" xfId="264"/>
    <cellStyle name="20% - Accent4 5 2" xfId="669"/>
    <cellStyle name="20% - Accent4 5 2 2" xfId="1401"/>
    <cellStyle name="20% - Accent4 5 2 3" xfId="2721"/>
    <cellStyle name="20% - Accent4 5 2 4" xfId="3439"/>
    <cellStyle name="20% - Accent4 5 3" xfId="1004"/>
    <cellStyle name="20% - Accent4 5 4" xfId="2126"/>
    <cellStyle name="20% - Accent4 5 5" xfId="2322"/>
    <cellStyle name="20% - Accent4 5 6" xfId="3042"/>
    <cellStyle name="20% - Accent4 6" xfId="295"/>
    <cellStyle name="20% - Accent4 6 2" xfId="700"/>
    <cellStyle name="20% - Accent4 6 2 2" xfId="1431"/>
    <cellStyle name="20% - Accent4 6 2 3" xfId="2751"/>
    <cellStyle name="20% - Accent4 6 2 4" xfId="3469"/>
    <cellStyle name="20% - Accent4 6 3" xfId="1034"/>
    <cellStyle name="20% - Accent4 6 4" xfId="2352"/>
    <cellStyle name="20% - Accent4 6 5" xfId="3072"/>
    <cellStyle name="20% - Accent4 7" xfId="434"/>
    <cellStyle name="20% - Accent4 7 2" xfId="1172"/>
    <cellStyle name="20% - Accent4 7 3" xfId="1809"/>
    <cellStyle name="20% - Accent4 7 4" xfId="2492"/>
    <cellStyle name="20% - Accent4 7 5" xfId="3210"/>
    <cellStyle name="20% - Accent4 8" xfId="514"/>
    <cellStyle name="20% - Accent4 8 2" xfId="1246"/>
    <cellStyle name="20% - Accent4 8 3" xfId="1882"/>
    <cellStyle name="20% - Accent4 8 4" xfId="2566"/>
    <cellStyle name="20% - Accent4 8 5" xfId="3284"/>
    <cellStyle name="20% - Accent4 9" xfId="840"/>
    <cellStyle name="20% - Accent5" xfId="36" builtinId="46" customBuiltin="1"/>
    <cellStyle name="20% - Accent5 10" xfId="1732"/>
    <cellStyle name="20% - Accent5 11" xfId="1927"/>
    <cellStyle name="20% - Accent5 12" xfId="2167"/>
    <cellStyle name="20% - Accent5 13" xfId="2889"/>
    <cellStyle name="20% - Accent5 2" xfId="55"/>
    <cellStyle name="20% - Accent5 2 10" xfId="1935"/>
    <cellStyle name="20% - Accent5 2 11" xfId="2184"/>
    <cellStyle name="20% - Accent5 2 12" xfId="2904"/>
    <cellStyle name="20% - Accent5 2 2" xfId="99"/>
    <cellStyle name="20% - Accent5 2 2 2" xfId="234"/>
    <cellStyle name="20% - Accent5 2 2 2 2" xfId="306"/>
    <cellStyle name="20% - Accent5 2 2 2 2 2" xfId="711"/>
    <cellStyle name="20% - Accent5 2 2 2 2 2 2" xfId="1442"/>
    <cellStyle name="20% - Accent5 2 2 2 2 2 3" xfId="2762"/>
    <cellStyle name="20% - Accent5 2 2 2 2 2 4" xfId="3480"/>
    <cellStyle name="20% - Accent5 2 2 2 2 3" xfId="1045"/>
    <cellStyle name="20% - Accent5 2 2 2 2 4" xfId="2363"/>
    <cellStyle name="20% - Accent5 2 2 2 2 5" xfId="3083"/>
    <cellStyle name="20% - Accent5 2 2 2 3" xfId="639"/>
    <cellStyle name="20% - Accent5 2 2 2 3 2" xfId="1371"/>
    <cellStyle name="20% - Accent5 2 2 2 3 3" xfId="2691"/>
    <cellStyle name="20% - Accent5 2 2 2 3 4" xfId="3409"/>
    <cellStyle name="20% - Accent5 2 2 2 4" xfId="974"/>
    <cellStyle name="20% - Accent5 2 2 2 5" xfId="2098"/>
    <cellStyle name="20% - Accent5 2 2 2 6" xfId="2292"/>
    <cellStyle name="20% - Accent5 2 2 2 7" xfId="3012"/>
    <cellStyle name="20% - Accent5 2 2 3" xfId="305"/>
    <cellStyle name="20% - Accent5 2 2 3 2" xfId="710"/>
    <cellStyle name="20% - Accent5 2 2 3 2 2" xfId="1441"/>
    <cellStyle name="20% - Accent5 2 2 3 2 3" xfId="2761"/>
    <cellStyle name="20% - Accent5 2 2 3 2 4" xfId="3479"/>
    <cellStyle name="20% - Accent5 2 2 3 3" xfId="1044"/>
    <cellStyle name="20% - Accent5 2 2 3 4" xfId="2055"/>
    <cellStyle name="20% - Accent5 2 2 3 5" xfId="2362"/>
    <cellStyle name="20% - Accent5 2 2 3 6" xfId="3082"/>
    <cellStyle name="20% - Accent5 2 2 4" xfId="481"/>
    <cellStyle name="20% - Accent5 2 2 4 2" xfId="1219"/>
    <cellStyle name="20% - Accent5 2 2 4 3" xfId="1855"/>
    <cellStyle name="20% - Accent5 2 2 4 4" xfId="2539"/>
    <cellStyle name="20% - Accent5 2 2 4 5" xfId="3257"/>
    <cellStyle name="20% - Accent5 2 2 5" xfId="562"/>
    <cellStyle name="20% - Accent5 2 2 5 2" xfId="1294"/>
    <cellStyle name="20% - Accent5 2 2 5 3" xfId="2614"/>
    <cellStyle name="20% - Accent5 2 2 5 4" xfId="3332"/>
    <cellStyle name="20% - Accent5 2 2 6" xfId="890"/>
    <cellStyle name="20% - Accent5 2 2 7" xfId="1974"/>
    <cellStyle name="20% - Accent5 2 2 8" xfId="2215"/>
    <cellStyle name="20% - Accent5 2 2 9" xfId="2935"/>
    <cellStyle name="20% - Accent5 2 3" xfId="203"/>
    <cellStyle name="20% - Accent5 2 3 2" xfId="307"/>
    <cellStyle name="20% - Accent5 2 3 2 2" xfId="712"/>
    <cellStyle name="20% - Accent5 2 3 2 2 2" xfId="1443"/>
    <cellStyle name="20% - Accent5 2 3 2 2 3" xfId="2763"/>
    <cellStyle name="20% - Accent5 2 3 2 2 4" xfId="3481"/>
    <cellStyle name="20% - Accent5 2 3 2 3" xfId="1046"/>
    <cellStyle name="20% - Accent5 2 3 2 4" xfId="2364"/>
    <cellStyle name="20% - Accent5 2 3 2 5" xfId="3084"/>
    <cellStyle name="20% - Accent5 2 3 3" xfId="608"/>
    <cellStyle name="20% - Accent5 2 3 3 2" xfId="1340"/>
    <cellStyle name="20% - Accent5 2 3 3 3" xfId="2660"/>
    <cellStyle name="20% - Accent5 2 3 3 4" xfId="3378"/>
    <cellStyle name="20% - Accent5 2 3 4" xfId="943"/>
    <cellStyle name="20% - Accent5 2 3 5" xfId="2012"/>
    <cellStyle name="20% - Accent5 2 3 6" xfId="2261"/>
    <cellStyle name="20% - Accent5 2 3 7" xfId="2981"/>
    <cellStyle name="20% - Accent5 2 4" xfId="304"/>
    <cellStyle name="20% - Accent5 2 4 2" xfId="709"/>
    <cellStyle name="20% - Accent5 2 4 2 2" xfId="1440"/>
    <cellStyle name="20% - Accent5 2 4 2 3" xfId="2760"/>
    <cellStyle name="20% - Accent5 2 4 2 4" xfId="3478"/>
    <cellStyle name="20% - Accent5 2 4 3" xfId="1043"/>
    <cellStyle name="20% - Accent5 2 4 4" xfId="2136"/>
    <cellStyle name="20% - Accent5 2 4 5" xfId="2361"/>
    <cellStyle name="20% - Accent5 2 4 6" xfId="3081"/>
    <cellStyle name="20% - Accent5 2 5" xfId="451"/>
    <cellStyle name="20% - Accent5 2 5 2" xfId="1189"/>
    <cellStyle name="20% - Accent5 2 5 3" xfId="1782"/>
    <cellStyle name="20% - Accent5 2 5 4" xfId="2509"/>
    <cellStyle name="20% - Accent5 2 5 5" xfId="3227"/>
    <cellStyle name="20% - Accent5 2 6" xfId="531"/>
    <cellStyle name="20% - Accent5 2 6 2" xfId="1263"/>
    <cellStyle name="20% - Accent5 2 6 3" xfId="1825"/>
    <cellStyle name="20% - Accent5 2 6 4" xfId="2583"/>
    <cellStyle name="20% - Accent5 2 6 5" xfId="3301"/>
    <cellStyle name="20% - Accent5 2 7" xfId="858"/>
    <cellStyle name="20% - Accent5 2 7 2" xfId="1703"/>
    <cellStyle name="20% - Accent5 2 7 3" xfId="1892"/>
    <cellStyle name="20% - Accent5 2 8" xfId="1650"/>
    <cellStyle name="20% - Accent5 2 9" xfId="1741"/>
    <cellStyle name="20% - Accent5 3" xfId="84"/>
    <cellStyle name="20% - Accent5 3 2" xfId="219"/>
    <cellStyle name="20% - Accent5 3 2 2" xfId="309"/>
    <cellStyle name="20% - Accent5 3 2 2 2" xfId="714"/>
    <cellStyle name="20% - Accent5 3 2 2 2 2" xfId="1445"/>
    <cellStyle name="20% - Accent5 3 2 2 2 3" xfId="2765"/>
    <cellStyle name="20% - Accent5 3 2 2 2 4" xfId="3483"/>
    <cellStyle name="20% - Accent5 3 2 2 3" xfId="1048"/>
    <cellStyle name="20% - Accent5 3 2 2 4" xfId="2366"/>
    <cellStyle name="20% - Accent5 3 2 2 5" xfId="3086"/>
    <cellStyle name="20% - Accent5 3 2 3" xfId="624"/>
    <cellStyle name="20% - Accent5 3 2 3 2" xfId="1356"/>
    <cellStyle name="20% - Accent5 3 2 3 3" xfId="2676"/>
    <cellStyle name="20% - Accent5 3 2 3 4" xfId="3394"/>
    <cellStyle name="20% - Accent5 3 2 4" xfId="959"/>
    <cellStyle name="20% - Accent5 3 2 5" xfId="2084"/>
    <cellStyle name="20% - Accent5 3 2 6" xfId="2277"/>
    <cellStyle name="20% - Accent5 3 2 7" xfId="2997"/>
    <cellStyle name="20% - Accent5 3 3" xfId="308"/>
    <cellStyle name="20% - Accent5 3 3 2" xfId="713"/>
    <cellStyle name="20% - Accent5 3 3 2 2" xfId="1444"/>
    <cellStyle name="20% - Accent5 3 3 2 3" xfId="2764"/>
    <cellStyle name="20% - Accent5 3 3 2 4" xfId="3482"/>
    <cellStyle name="20% - Accent5 3 3 3" xfId="1047"/>
    <cellStyle name="20% - Accent5 3 3 4" xfId="2042"/>
    <cellStyle name="20% - Accent5 3 3 5" xfId="2365"/>
    <cellStyle name="20% - Accent5 3 3 6" xfId="3085"/>
    <cellStyle name="20% - Accent5 3 4" xfId="466"/>
    <cellStyle name="20% - Accent5 3 4 2" xfId="1204"/>
    <cellStyle name="20% - Accent5 3 4 3" xfId="1840"/>
    <cellStyle name="20% - Accent5 3 4 4" xfId="2524"/>
    <cellStyle name="20% - Accent5 3 4 5" xfId="3242"/>
    <cellStyle name="20% - Accent5 3 5" xfId="547"/>
    <cellStyle name="20% - Accent5 3 5 2" xfId="1279"/>
    <cellStyle name="20% - Accent5 3 5 3" xfId="2599"/>
    <cellStyle name="20% - Accent5 3 5 4" xfId="3317"/>
    <cellStyle name="20% - Accent5 3 6" xfId="875"/>
    <cellStyle name="20% - Accent5 3 7" xfId="1966"/>
    <cellStyle name="20% - Accent5 3 8" xfId="2200"/>
    <cellStyle name="20% - Accent5 3 9" xfId="2920"/>
    <cellStyle name="20% - Accent5 4" xfId="188"/>
    <cellStyle name="20% - Accent5 4 2" xfId="310"/>
    <cellStyle name="20% - Accent5 4 2 2" xfId="715"/>
    <cellStyle name="20% - Accent5 4 2 2 2" xfId="1446"/>
    <cellStyle name="20% - Accent5 4 2 2 3" xfId="2766"/>
    <cellStyle name="20% - Accent5 4 2 2 4" xfId="3484"/>
    <cellStyle name="20% - Accent5 4 2 3" xfId="1049"/>
    <cellStyle name="20% - Accent5 4 2 4" xfId="2367"/>
    <cellStyle name="20% - Accent5 4 2 5" xfId="3087"/>
    <cellStyle name="20% - Accent5 4 3" xfId="593"/>
    <cellStyle name="20% - Accent5 4 3 2" xfId="1325"/>
    <cellStyle name="20% - Accent5 4 3 3" xfId="2645"/>
    <cellStyle name="20% - Accent5 4 3 4" xfId="3363"/>
    <cellStyle name="20% - Accent5 4 4" xfId="928"/>
    <cellStyle name="20% - Accent5 4 5" xfId="2004"/>
    <cellStyle name="20% - Accent5 4 6" xfId="2246"/>
    <cellStyle name="20% - Accent5 4 7" xfId="2966"/>
    <cellStyle name="20% - Accent5 5" xfId="266"/>
    <cellStyle name="20% - Accent5 5 2" xfId="671"/>
    <cellStyle name="20% - Accent5 5 2 2" xfId="1403"/>
    <cellStyle name="20% - Accent5 5 2 3" xfId="2723"/>
    <cellStyle name="20% - Accent5 5 2 4" xfId="3441"/>
    <cellStyle name="20% - Accent5 5 3" xfId="1006"/>
    <cellStyle name="20% - Accent5 5 4" xfId="2128"/>
    <cellStyle name="20% - Accent5 5 5" xfId="2324"/>
    <cellStyle name="20% - Accent5 5 6" xfId="3044"/>
    <cellStyle name="20% - Accent5 6" xfId="303"/>
    <cellStyle name="20% - Accent5 6 2" xfId="708"/>
    <cellStyle name="20% - Accent5 6 2 2" xfId="1439"/>
    <cellStyle name="20% - Accent5 6 2 3" xfId="2759"/>
    <cellStyle name="20% - Accent5 6 2 4" xfId="3477"/>
    <cellStyle name="20% - Accent5 6 3" xfId="1042"/>
    <cellStyle name="20% - Accent5 6 4" xfId="2360"/>
    <cellStyle name="20% - Accent5 6 5" xfId="3080"/>
    <cellStyle name="20% - Accent5 7" xfId="436"/>
    <cellStyle name="20% - Accent5 7 2" xfId="1174"/>
    <cellStyle name="20% - Accent5 7 3" xfId="1811"/>
    <cellStyle name="20% - Accent5 7 4" xfId="2494"/>
    <cellStyle name="20% - Accent5 7 5" xfId="3212"/>
    <cellStyle name="20% - Accent5 8" xfId="516"/>
    <cellStyle name="20% - Accent5 8 2" xfId="1248"/>
    <cellStyle name="20% - Accent5 8 3" xfId="1884"/>
    <cellStyle name="20% - Accent5 8 4" xfId="2568"/>
    <cellStyle name="20% - Accent5 8 5" xfId="3286"/>
    <cellStyle name="20% - Accent5 9" xfId="842"/>
    <cellStyle name="20% - Accent6" xfId="40" builtinId="50" customBuiltin="1"/>
    <cellStyle name="20% - Accent6 10" xfId="1734"/>
    <cellStyle name="20% - Accent6 11" xfId="1929"/>
    <cellStyle name="20% - Accent6 12" xfId="2169"/>
    <cellStyle name="20% - Accent6 13" xfId="2891"/>
    <cellStyle name="20% - Accent6 2" xfId="57"/>
    <cellStyle name="20% - Accent6 2 10" xfId="1936"/>
    <cellStyle name="20% - Accent6 2 11" xfId="2186"/>
    <cellStyle name="20% - Accent6 2 12" xfId="2906"/>
    <cellStyle name="20% - Accent6 2 2" xfId="101"/>
    <cellStyle name="20% - Accent6 2 2 2" xfId="236"/>
    <cellStyle name="20% - Accent6 2 2 2 2" xfId="314"/>
    <cellStyle name="20% - Accent6 2 2 2 2 2" xfId="719"/>
    <cellStyle name="20% - Accent6 2 2 2 2 2 2" xfId="1450"/>
    <cellStyle name="20% - Accent6 2 2 2 2 2 3" xfId="2770"/>
    <cellStyle name="20% - Accent6 2 2 2 2 2 4" xfId="3488"/>
    <cellStyle name="20% - Accent6 2 2 2 2 3" xfId="1053"/>
    <cellStyle name="20% - Accent6 2 2 2 2 4" xfId="2371"/>
    <cellStyle name="20% - Accent6 2 2 2 2 5" xfId="3091"/>
    <cellStyle name="20% - Accent6 2 2 2 3" xfId="641"/>
    <cellStyle name="20% - Accent6 2 2 2 3 2" xfId="1373"/>
    <cellStyle name="20% - Accent6 2 2 2 3 3" xfId="2693"/>
    <cellStyle name="20% - Accent6 2 2 2 3 4" xfId="3411"/>
    <cellStyle name="20% - Accent6 2 2 2 4" xfId="976"/>
    <cellStyle name="20% - Accent6 2 2 2 5" xfId="2100"/>
    <cellStyle name="20% - Accent6 2 2 2 6" xfId="2294"/>
    <cellStyle name="20% - Accent6 2 2 2 7" xfId="3014"/>
    <cellStyle name="20% - Accent6 2 2 3" xfId="313"/>
    <cellStyle name="20% - Accent6 2 2 3 2" xfId="718"/>
    <cellStyle name="20% - Accent6 2 2 3 2 2" xfId="1449"/>
    <cellStyle name="20% - Accent6 2 2 3 2 3" xfId="2769"/>
    <cellStyle name="20% - Accent6 2 2 3 2 4" xfId="3487"/>
    <cellStyle name="20% - Accent6 2 2 3 3" xfId="1052"/>
    <cellStyle name="20% - Accent6 2 2 3 4" xfId="2057"/>
    <cellStyle name="20% - Accent6 2 2 3 5" xfId="2370"/>
    <cellStyle name="20% - Accent6 2 2 3 6" xfId="3090"/>
    <cellStyle name="20% - Accent6 2 2 4" xfId="483"/>
    <cellStyle name="20% - Accent6 2 2 4 2" xfId="1221"/>
    <cellStyle name="20% - Accent6 2 2 4 3" xfId="1857"/>
    <cellStyle name="20% - Accent6 2 2 4 4" xfId="2541"/>
    <cellStyle name="20% - Accent6 2 2 4 5" xfId="3259"/>
    <cellStyle name="20% - Accent6 2 2 5" xfId="564"/>
    <cellStyle name="20% - Accent6 2 2 5 2" xfId="1296"/>
    <cellStyle name="20% - Accent6 2 2 5 3" xfId="2616"/>
    <cellStyle name="20% - Accent6 2 2 5 4" xfId="3334"/>
    <cellStyle name="20% - Accent6 2 2 6" xfId="892"/>
    <cellStyle name="20% - Accent6 2 2 7" xfId="1975"/>
    <cellStyle name="20% - Accent6 2 2 8" xfId="2217"/>
    <cellStyle name="20% - Accent6 2 2 9" xfId="2937"/>
    <cellStyle name="20% - Accent6 2 3" xfId="205"/>
    <cellStyle name="20% - Accent6 2 3 2" xfId="315"/>
    <cellStyle name="20% - Accent6 2 3 2 2" xfId="720"/>
    <cellStyle name="20% - Accent6 2 3 2 2 2" xfId="1451"/>
    <cellStyle name="20% - Accent6 2 3 2 2 3" xfId="2771"/>
    <cellStyle name="20% - Accent6 2 3 2 2 4" xfId="3489"/>
    <cellStyle name="20% - Accent6 2 3 2 3" xfId="1054"/>
    <cellStyle name="20% - Accent6 2 3 2 4" xfId="2372"/>
    <cellStyle name="20% - Accent6 2 3 2 5" xfId="3092"/>
    <cellStyle name="20% - Accent6 2 3 3" xfId="610"/>
    <cellStyle name="20% - Accent6 2 3 3 2" xfId="1342"/>
    <cellStyle name="20% - Accent6 2 3 3 3" xfId="2662"/>
    <cellStyle name="20% - Accent6 2 3 3 4" xfId="3380"/>
    <cellStyle name="20% - Accent6 2 3 4" xfId="945"/>
    <cellStyle name="20% - Accent6 2 3 5" xfId="2013"/>
    <cellStyle name="20% - Accent6 2 3 6" xfId="2263"/>
    <cellStyle name="20% - Accent6 2 3 7" xfId="2983"/>
    <cellStyle name="20% - Accent6 2 4" xfId="312"/>
    <cellStyle name="20% - Accent6 2 4 2" xfId="717"/>
    <cellStyle name="20% - Accent6 2 4 2 2" xfId="1448"/>
    <cellStyle name="20% - Accent6 2 4 2 3" xfId="2768"/>
    <cellStyle name="20% - Accent6 2 4 2 4" xfId="3486"/>
    <cellStyle name="20% - Accent6 2 4 3" xfId="1051"/>
    <cellStyle name="20% - Accent6 2 4 4" xfId="2137"/>
    <cellStyle name="20% - Accent6 2 4 5" xfId="2369"/>
    <cellStyle name="20% - Accent6 2 4 6" xfId="3089"/>
    <cellStyle name="20% - Accent6 2 5" xfId="453"/>
    <cellStyle name="20% - Accent6 2 5 2" xfId="1191"/>
    <cellStyle name="20% - Accent6 2 5 3" xfId="1783"/>
    <cellStyle name="20% - Accent6 2 5 4" xfId="2511"/>
    <cellStyle name="20% - Accent6 2 5 5" xfId="3229"/>
    <cellStyle name="20% - Accent6 2 6" xfId="533"/>
    <cellStyle name="20% - Accent6 2 6 2" xfId="1265"/>
    <cellStyle name="20% - Accent6 2 6 3" xfId="1827"/>
    <cellStyle name="20% - Accent6 2 6 4" xfId="2585"/>
    <cellStyle name="20% - Accent6 2 6 5" xfId="3303"/>
    <cellStyle name="20% - Accent6 2 7" xfId="860"/>
    <cellStyle name="20% - Accent6 2 7 2" xfId="1704"/>
    <cellStyle name="20% - Accent6 2 7 3" xfId="1893"/>
    <cellStyle name="20% - Accent6 2 8" xfId="1633"/>
    <cellStyle name="20% - Accent6 2 9" xfId="1742"/>
    <cellStyle name="20% - Accent6 3" xfId="86"/>
    <cellStyle name="20% - Accent6 3 2" xfId="221"/>
    <cellStyle name="20% - Accent6 3 2 2" xfId="317"/>
    <cellStyle name="20% - Accent6 3 2 2 2" xfId="722"/>
    <cellStyle name="20% - Accent6 3 2 2 2 2" xfId="1453"/>
    <cellStyle name="20% - Accent6 3 2 2 2 3" xfId="2773"/>
    <cellStyle name="20% - Accent6 3 2 2 2 4" xfId="3491"/>
    <cellStyle name="20% - Accent6 3 2 2 3" xfId="1056"/>
    <cellStyle name="20% - Accent6 3 2 2 4" xfId="2374"/>
    <cellStyle name="20% - Accent6 3 2 2 5" xfId="3094"/>
    <cellStyle name="20% - Accent6 3 2 3" xfId="626"/>
    <cellStyle name="20% - Accent6 3 2 3 2" xfId="1358"/>
    <cellStyle name="20% - Accent6 3 2 3 3" xfId="2678"/>
    <cellStyle name="20% - Accent6 3 2 3 4" xfId="3396"/>
    <cellStyle name="20% - Accent6 3 2 4" xfId="961"/>
    <cellStyle name="20% - Accent6 3 2 5" xfId="2086"/>
    <cellStyle name="20% - Accent6 3 2 6" xfId="2279"/>
    <cellStyle name="20% - Accent6 3 2 7" xfId="2999"/>
    <cellStyle name="20% - Accent6 3 3" xfId="316"/>
    <cellStyle name="20% - Accent6 3 3 2" xfId="721"/>
    <cellStyle name="20% - Accent6 3 3 2 2" xfId="1452"/>
    <cellStyle name="20% - Accent6 3 3 2 3" xfId="2772"/>
    <cellStyle name="20% - Accent6 3 3 2 4" xfId="3490"/>
    <cellStyle name="20% - Accent6 3 3 3" xfId="1055"/>
    <cellStyle name="20% - Accent6 3 3 4" xfId="2044"/>
    <cellStyle name="20% - Accent6 3 3 5" xfId="2373"/>
    <cellStyle name="20% - Accent6 3 3 6" xfId="3093"/>
    <cellStyle name="20% - Accent6 3 4" xfId="468"/>
    <cellStyle name="20% - Accent6 3 4 2" xfId="1206"/>
    <cellStyle name="20% - Accent6 3 4 3" xfId="1842"/>
    <cellStyle name="20% - Accent6 3 4 4" xfId="2526"/>
    <cellStyle name="20% - Accent6 3 4 5" xfId="3244"/>
    <cellStyle name="20% - Accent6 3 5" xfId="549"/>
    <cellStyle name="20% - Accent6 3 5 2" xfId="1281"/>
    <cellStyle name="20% - Accent6 3 5 3" xfId="2601"/>
    <cellStyle name="20% - Accent6 3 5 4" xfId="3319"/>
    <cellStyle name="20% - Accent6 3 6" xfId="877"/>
    <cellStyle name="20% - Accent6 3 7" xfId="1968"/>
    <cellStyle name="20% - Accent6 3 8" xfId="2202"/>
    <cellStyle name="20% - Accent6 3 9" xfId="2922"/>
    <cellStyle name="20% - Accent6 4" xfId="190"/>
    <cellStyle name="20% - Accent6 4 2" xfId="318"/>
    <cellStyle name="20% - Accent6 4 2 2" xfId="723"/>
    <cellStyle name="20% - Accent6 4 2 2 2" xfId="1454"/>
    <cellStyle name="20% - Accent6 4 2 2 3" xfId="2774"/>
    <cellStyle name="20% - Accent6 4 2 2 4" xfId="3492"/>
    <cellStyle name="20% - Accent6 4 2 3" xfId="1057"/>
    <cellStyle name="20% - Accent6 4 2 4" xfId="2375"/>
    <cellStyle name="20% - Accent6 4 2 5" xfId="3095"/>
    <cellStyle name="20% - Accent6 4 3" xfId="595"/>
    <cellStyle name="20% - Accent6 4 3 2" xfId="1327"/>
    <cellStyle name="20% - Accent6 4 3 3" xfId="2647"/>
    <cellStyle name="20% - Accent6 4 3 4" xfId="3365"/>
    <cellStyle name="20% - Accent6 4 4" xfId="930"/>
    <cellStyle name="20% - Accent6 4 5" xfId="2006"/>
    <cellStyle name="20% - Accent6 4 6" xfId="2248"/>
    <cellStyle name="20% - Accent6 4 7" xfId="2968"/>
    <cellStyle name="20% - Accent6 5" xfId="268"/>
    <cellStyle name="20% - Accent6 5 2" xfId="673"/>
    <cellStyle name="20% - Accent6 5 2 2" xfId="1405"/>
    <cellStyle name="20% - Accent6 5 2 3" xfId="2725"/>
    <cellStyle name="20% - Accent6 5 2 4" xfId="3443"/>
    <cellStyle name="20% - Accent6 5 3" xfId="1008"/>
    <cellStyle name="20% - Accent6 5 4" xfId="2130"/>
    <cellStyle name="20% - Accent6 5 5" xfId="2326"/>
    <cellStyle name="20% - Accent6 5 6" xfId="3046"/>
    <cellStyle name="20% - Accent6 6" xfId="311"/>
    <cellStyle name="20% - Accent6 6 2" xfId="716"/>
    <cellStyle name="20% - Accent6 6 2 2" xfId="1447"/>
    <cellStyle name="20% - Accent6 6 2 3" xfId="2767"/>
    <cellStyle name="20% - Accent6 6 2 4" xfId="3485"/>
    <cellStyle name="20% - Accent6 6 3" xfId="1050"/>
    <cellStyle name="20% - Accent6 6 4" xfId="2368"/>
    <cellStyle name="20% - Accent6 6 5" xfId="3088"/>
    <cellStyle name="20% - Accent6 7" xfId="438"/>
    <cellStyle name="20% - Accent6 7 2" xfId="1176"/>
    <cellStyle name="20% - Accent6 7 3" xfId="1813"/>
    <cellStyle name="20% - Accent6 7 4" xfId="2496"/>
    <cellStyle name="20% - Accent6 7 5" xfId="3214"/>
    <cellStyle name="20% - Accent6 8" xfId="518"/>
    <cellStyle name="20% - Accent6 8 2" xfId="1250"/>
    <cellStyle name="20% - Accent6 8 3" xfId="1886"/>
    <cellStyle name="20% - Accent6 8 4" xfId="2570"/>
    <cellStyle name="20% - Accent6 8 5" xfId="3288"/>
    <cellStyle name="20% - Accent6 9" xfId="845"/>
    <cellStyle name="40% - Accent1" xfId="21" builtinId="31" customBuiltin="1"/>
    <cellStyle name="40% - Accent1 10" xfId="1725"/>
    <cellStyle name="40% - Accent1 11" xfId="1920"/>
    <cellStyle name="40% - Accent1 12" xfId="2160"/>
    <cellStyle name="40% - Accent1 13" xfId="2882"/>
    <cellStyle name="40% - Accent1 2" xfId="48"/>
    <cellStyle name="40% - Accent1 2 10" xfId="1937"/>
    <cellStyle name="40% - Accent1 2 11" xfId="2177"/>
    <cellStyle name="40% - Accent1 2 12" xfId="2897"/>
    <cellStyle name="40% - Accent1 2 2" xfId="92"/>
    <cellStyle name="40% - Accent1 2 2 2" xfId="227"/>
    <cellStyle name="40% - Accent1 2 2 2 2" xfId="322"/>
    <cellStyle name="40% - Accent1 2 2 2 2 2" xfId="727"/>
    <cellStyle name="40% - Accent1 2 2 2 2 2 2" xfId="1458"/>
    <cellStyle name="40% - Accent1 2 2 2 2 2 3" xfId="2778"/>
    <cellStyle name="40% - Accent1 2 2 2 2 2 4" xfId="3496"/>
    <cellStyle name="40% - Accent1 2 2 2 2 3" xfId="1061"/>
    <cellStyle name="40% - Accent1 2 2 2 2 4" xfId="2379"/>
    <cellStyle name="40% - Accent1 2 2 2 2 5" xfId="3099"/>
    <cellStyle name="40% - Accent1 2 2 2 3" xfId="632"/>
    <cellStyle name="40% - Accent1 2 2 2 3 2" xfId="1364"/>
    <cellStyle name="40% - Accent1 2 2 2 3 3" xfId="2684"/>
    <cellStyle name="40% - Accent1 2 2 2 3 4" xfId="3402"/>
    <cellStyle name="40% - Accent1 2 2 2 4" xfId="967"/>
    <cellStyle name="40% - Accent1 2 2 2 5" xfId="2091"/>
    <cellStyle name="40% - Accent1 2 2 2 6" xfId="2285"/>
    <cellStyle name="40% - Accent1 2 2 2 7" xfId="3005"/>
    <cellStyle name="40% - Accent1 2 2 3" xfId="321"/>
    <cellStyle name="40% - Accent1 2 2 3 2" xfId="726"/>
    <cellStyle name="40% - Accent1 2 2 3 2 2" xfId="1457"/>
    <cellStyle name="40% - Accent1 2 2 3 2 3" xfId="2777"/>
    <cellStyle name="40% - Accent1 2 2 3 2 4" xfId="3495"/>
    <cellStyle name="40% - Accent1 2 2 3 3" xfId="1060"/>
    <cellStyle name="40% - Accent1 2 2 3 4" xfId="2048"/>
    <cellStyle name="40% - Accent1 2 2 3 5" xfId="2378"/>
    <cellStyle name="40% - Accent1 2 2 3 6" xfId="3098"/>
    <cellStyle name="40% - Accent1 2 2 4" xfId="474"/>
    <cellStyle name="40% - Accent1 2 2 4 2" xfId="1212"/>
    <cellStyle name="40% - Accent1 2 2 4 3" xfId="1848"/>
    <cellStyle name="40% - Accent1 2 2 4 4" xfId="2532"/>
    <cellStyle name="40% - Accent1 2 2 4 5" xfId="3250"/>
    <cellStyle name="40% - Accent1 2 2 5" xfId="555"/>
    <cellStyle name="40% - Accent1 2 2 5 2" xfId="1287"/>
    <cellStyle name="40% - Accent1 2 2 5 3" xfId="2607"/>
    <cellStyle name="40% - Accent1 2 2 5 4" xfId="3325"/>
    <cellStyle name="40% - Accent1 2 2 6" xfId="883"/>
    <cellStyle name="40% - Accent1 2 2 7" xfId="1976"/>
    <cellStyle name="40% - Accent1 2 2 8" xfId="2208"/>
    <cellStyle name="40% - Accent1 2 2 9" xfId="2928"/>
    <cellStyle name="40% - Accent1 2 3" xfId="196"/>
    <cellStyle name="40% - Accent1 2 3 2" xfId="323"/>
    <cellStyle name="40% - Accent1 2 3 2 2" xfId="728"/>
    <cellStyle name="40% - Accent1 2 3 2 2 2" xfId="1459"/>
    <cellStyle name="40% - Accent1 2 3 2 2 3" xfId="2779"/>
    <cellStyle name="40% - Accent1 2 3 2 2 4" xfId="3497"/>
    <cellStyle name="40% - Accent1 2 3 2 3" xfId="1062"/>
    <cellStyle name="40% - Accent1 2 3 2 4" xfId="2380"/>
    <cellStyle name="40% - Accent1 2 3 2 5" xfId="3100"/>
    <cellStyle name="40% - Accent1 2 3 3" xfId="601"/>
    <cellStyle name="40% - Accent1 2 3 3 2" xfId="1333"/>
    <cellStyle name="40% - Accent1 2 3 3 3" xfId="2653"/>
    <cellStyle name="40% - Accent1 2 3 3 4" xfId="3371"/>
    <cellStyle name="40% - Accent1 2 3 4" xfId="936"/>
    <cellStyle name="40% - Accent1 2 3 5" xfId="2014"/>
    <cellStyle name="40% - Accent1 2 3 6" xfId="2254"/>
    <cellStyle name="40% - Accent1 2 3 7" xfId="2974"/>
    <cellStyle name="40% - Accent1 2 4" xfId="320"/>
    <cellStyle name="40% - Accent1 2 4 2" xfId="725"/>
    <cellStyle name="40% - Accent1 2 4 2 2" xfId="1456"/>
    <cellStyle name="40% - Accent1 2 4 2 3" xfId="2776"/>
    <cellStyle name="40% - Accent1 2 4 2 4" xfId="3494"/>
    <cellStyle name="40% - Accent1 2 4 3" xfId="1059"/>
    <cellStyle name="40% - Accent1 2 4 4" xfId="2138"/>
    <cellStyle name="40% - Accent1 2 4 5" xfId="2377"/>
    <cellStyle name="40% - Accent1 2 4 6" xfId="3097"/>
    <cellStyle name="40% - Accent1 2 5" xfId="444"/>
    <cellStyle name="40% - Accent1 2 5 2" xfId="1182"/>
    <cellStyle name="40% - Accent1 2 5 3" xfId="1784"/>
    <cellStyle name="40% - Accent1 2 5 4" xfId="2502"/>
    <cellStyle name="40% - Accent1 2 5 5" xfId="3220"/>
    <cellStyle name="40% - Accent1 2 6" xfId="524"/>
    <cellStyle name="40% - Accent1 2 6 2" xfId="1256"/>
    <cellStyle name="40% - Accent1 2 6 3" xfId="1818"/>
    <cellStyle name="40% - Accent1 2 6 4" xfId="2576"/>
    <cellStyle name="40% - Accent1 2 6 5" xfId="3294"/>
    <cellStyle name="40% - Accent1 2 7" xfId="851"/>
    <cellStyle name="40% - Accent1 2 7 2" xfId="1705"/>
    <cellStyle name="40% - Accent1 2 7 3" xfId="1894"/>
    <cellStyle name="40% - Accent1 2 8" xfId="1654"/>
    <cellStyle name="40% - Accent1 2 9" xfId="1743"/>
    <cellStyle name="40% - Accent1 3" xfId="77"/>
    <cellStyle name="40% - Accent1 3 2" xfId="212"/>
    <cellStyle name="40% - Accent1 3 2 2" xfId="325"/>
    <cellStyle name="40% - Accent1 3 2 2 2" xfId="730"/>
    <cellStyle name="40% - Accent1 3 2 2 2 2" xfId="1461"/>
    <cellStyle name="40% - Accent1 3 2 2 2 3" xfId="2781"/>
    <cellStyle name="40% - Accent1 3 2 2 2 4" xfId="3499"/>
    <cellStyle name="40% - Accent1 3 2 2 3" xfId="1064"/>
    <cellStyle name="40% - Accent1 3 2 2 4" xfId="2382"/>
    <cellStyle name="40% - Accent1 3 2 2 5" xfId="3102"/>
    <cellStyle name="40% - Accent1 3 2 3" xfId="617"/>
    <cellStyle name="40% - Accent1 3 2 3 2" xfId="1349"/>
    <cellStyle name="40% - Accent1 3 2 3 3" xfId="2669"/>
    <cellStyle name="40% - Accent1 3 2 3 4" xfId="3387"/>
    <cellStyle name="40% - Accent1 3 2 4" xfId="952"/>
    <cellStyle name="40% - Accent1 3 2 5" xfId="2077"/>
    <cellStyle name="40% - Accent1 3 2 6" xfId="2270"/>
    <cellStyle name="40% - Accent1 3 2 7" xfId="2990"/>
    <cellStyle name="40% - Accent1 3 3" xfId="324"/>
    <cellStyle name="40% - Accent1 3 3 2" xfId="729"/>
    <cellStyle name="40% - Accent1 3 3 2 2" xfId="1460"/>
    <cellStyle name="40% - Accent1 3 3 2 3" xfId="2780"/>
    <cellStyle name="40% - Accent1 3 3 2 4" xfId="3498"/>
    <cellStyle name="40% - Accent1 3 3 3" xfId="1063"/>
    <cellStyle name="40% - Accent1 3 3 4" xfId="2035"/>
    <cellStyle name="40% - Accent1 3 3 5" xfId="2381"/>
    <cellStyle name="40% - Accent1 3 3 6" xfId="3101"/>
    <cellStyle name="40% - Accent1 3 4" xfId="459"/>
    <cellStyle name="40% - Accent1 3 4 2" xfId="1197"/>
    <cellStyle name="40% - Accent1 3 4 3" xfId="1833"/>
    <cellStyle name="40% - Accent1 3 4 4" xfId="2517"/>
    <cellStyle name="40% - Accent1 3 4 5" xfId="3235"/>
    <cellStyle name="40% - Accent1 3 5" xfId="540"/>
    <cellStyle name="40% - Accent1 3 5 2" xfId="1272"/>
    <cellStyle name="40% - Accent1 3 5 3" xfId="2592"/>
    <cellStyle name="40% - Accent1 3 5 4" xfId="3310"/>
    <cellStyle name="40% - Accent1 3 6" xfId="868"/>
    <cellStyle name="40% - Accent1 3 7" xfId="1959"/>
    <cellStyle name="40% - Accent1 3 8" xfId="2193"/>
    <cellStyle name="40% - Accent1 3 9" xfId="2913"/>
    <cellStyle name="40% - Accent1 4" xfId="181"/>
    <cellStyle name="40% - Accent1 4 2" xfId="326"/>
    <cellStyle name="40% - Accent1 4 2 2" xfId="731"/>
    <cellStyle name="40% - Accent1 4 2 2 2" xfId="1462"/>
    <cellStyle name="40% - Accent1 4 2 2 3" xfId="2782"/>
    <cellStyle name="40% - Accent1 4 2 2 4" xfId="3500"/>
    <cellStyle name="40% - Accent1 4 2 3" xfId="1065"/>
    <cellStyle name="40% - Accent1 4 2 4" xfId="2383"/>
    <cellStyle name="40% - Accent1 4 2 5" xfId="3103"/>
    <cellStyle name="40% - Accent1 4 3" xfId="586"/>
    <cellStyle name="40% - Accent1 4 3 2" xfId="1318"/>
    <cellStyle name="40% - Accent1 4 3 3" xfId="2638"/>
    <cellStyle name="40% - Accent1 4 3 4" xfId="3356"/>
    <cellStyle name="40% - Accent1 4 4" xfId="921"/>
    <cellStyle name="40% - Accent1 4 5" xfId="1997"/>
    <cellStyle name="40% - Accent1 4 6" xfId="2239"/>
    <cellStyle name="40% - Accent1 4 7" xfId="2959"/>
    <cellStyle name="40% - Accent1 5" xfId="259"/>
    <cellStyle name="40% - Accent1 5 2" xfId="664"/>
    <cellStyle name="40% - Accent1 5 2 2" xfId="1396"/>
    <cellStyle name="40% - Accent1 5 2 3" xfId="2716"/>
    <cellStyle name="40% - Accent1 5 2 4" xfId="3434"/>
    <cellStyle name="40% - Accent1 5 3" xfId="999"/>
    <cellStyle name="40% - Accent1 5 4" xfId="2121"/>
    <cellStyle name="40% - Accent1 5 5" xfId="2317"/>
    <cellStyle name="40% - Accent1 5 6" xfId="3037"/>
    <cellStyle name="40% - Accent1 6" xfId="319"/>
    <cellStyle name="40% - Accent1 6 2" xfId="724"/>
    <cellStyle name="40% - Accent1 6 2 2" xfId="1455"/>
    <cellStyle name="40% - Accent1 6 2 3" xfId="2775"/>
    <cellStyle name="40% - Accent1 6 2 4" xfId="3493"/>
    <cellStyle name="40% - Accent1 6 3" xfId="1058"/>
    <cellStyle name="40% - Accent1 6 4" xfId="2376"/>
    <cellStyle name="40% - Accent1 6 5" xfId="3096"/>
    <cellStyle name="40% - Accent1 7" xfId="429"/>
    <cellStyle name="40% - Accent1 7 2" xfId="1167"/>
    <cellStyle name="40% - Accent1 7 3" xfId="1804"/>
    <cellStyle name="40% - Accent1 7 4" xfId="2487"/>
    <cellStyle name="40% - Accent1 7 5" xfId="3205"/>
    <cellStyle name="40% - Accent1 8" xfId="509"/>
    <cellStyle name="40% - Accent1 8 2" xfId="1241"/>
    <cellStyle name="40% - Accent1 8 3" xfId="1877"/>
    <cellStyle name="40% - Accent1 8 4" xfId="2561"/>
    <cellStyle name="40% - Accent1 8 5" xfId="3279"/>
    <cellStyle name="40% - Accent1 9" xfId="835"/>
    <cellStyle name="40% - Accent2" xfId="25" builtinId="35" customBuiltin="1"/>
    <cellStyle name="40% - Accent2 10" xfId="1727"/>
    <cellStyle name="40% - Accent2 11" xfId="1922"/>
    <cellStyle name="40% - Accent2 12" xfId="2162"/>
    <cellStyle name="40% - Accent2 13" xfId="2884"/>
    <cellStyle name="40% - Accent2 2" xfId="50"/>
    <cellStyle name="40% - Accent2 2 10" xfId="1938"/>
    <cellStyle name="40% - Accent2 2 11" xfId="2179"/>
    <cellStyle name="40% - Accent2 2 12" xfId="2899"/>
    <cellStyle name="40% - Accent2 2 2" xfId="94"/>
    <cellStyle name="40% - Accent2 2 2 2" xfId="229"/>
    <cellStyle name="40% - Accent2 2 2 2 2" xfId="330"/>
    <cellStyle name="40% - Accent2 2 2 2 2 2" xfId="735"/>
    <cellStyle name="40% - Accent2 2 2 2 2 2 2" xfId="1466"/>
    <cellStyle name="40% - Accent2 2 2 2 2 2 3" xfId="2786"/>
    <cellStyle name="40% - Accent2 2 2 2 2 2 4" xfId="3504"/>
    <cellStyle name="40% - Accent2 2 2 2 2 3" xfId="1069"/>
    <cellStyle name="40% - Accent2 2 2 2 2 4" xfId="2387"/>
    <cellStyle name="40% - Accent2 2 2 2 2 5" xfId="3107"/>
    <cellStyle name="40% - Accent2 2 2 2 3" xfId="634"/>
    <cellStyle name="40% - Accent2 2 2 2 3 2" xfId="1366"/>
    <cellStyle name="40% - Accent2 2 2 2 3 3" xfId="2686"/>
    <cellStyle name="40% - Accent2 2 2 2 3 4" xfId="3404"/>
    <cellStyle name="40% - Accent2 2 2 2 4" xfId="969"/>
    <cellStyle name="40% - Accent2 2 2 2 5" xfId="2093"/>
    <cellStyle name="40% - Accent2 2 2 2 6" xfId="2287"/>
    <cellStyle name="40% - Accent2 2 2 2 7" xfId="3007"/>
    <cellStyle name="40% - Accent2 2 2 3" xfId="329"/>
    <cellStyle name="40% - Accent2 2 2 3 2" xfId="734"/>
    <cellStyle name="40% - Accent2 2 2 3 2 2" xfId="1465"/>
    <cellStyle name="40% - Accent2 2 2 3 2 3" xfId="2785"/>
    <cellStyle name="40% - Accent2 2 2 3 2 4" xfId="3503"/>
    <cellStyle name="40% - Accent2 2 2 3 3" xfId="1068"/>
    <cellStyle name="40% - Accent2 2 2 3 4" xfId="2050"/>
    <cellStyle name="40% - Accent2 2 2 3 5" xfId="2386"/>
    <cellStyle name="40% - Accent2 2 2 3 6" xfId="3106"/>
    <cellStyle name="40% - Accent2 2 2 4" xfId="476"/>
    <cellStyle name="40% - Accent2 2 2 4 2" xfId="1214"/>
    <cellStyle name="40% - Accent2 2 2 4 3" xfId="1850"/>
    <cellStyle name="40% - Accent2 2 2 4 4" xfId="2534"/>
    <cellStyle name="40% - Accent2 2 2 4 5" xfId="3252"/>
    <cellStyle name="40% - Accent2 2 2 5" xfId="557"/>
    <cellStyle name="40% - Accent2 2 2 5 2" xfId="1289"/>
    <cellStyle name="40% - Accent2 2 2 5 3" xfId="2609"/>
    <cellStyle name="40% - Accent2 2 2 5 4" xfId="3327"/>
    <cellStyle name="40% - Accent2 2 2 6" xfId="885"/>
    <cellStyle name="40% - Accent2 2 2 7" xfId="1977"/>
    <cellStyle name="40% - Accent2 2 2 8" xfId="2210"/>
    <cellStyle name="40% - Accent2 2 2 9" xfId="2930"/>
    <cellStyle name="40% - Accent2 2 3" xfId="198"/>
    <cellStyle name="40% - Accent2 2 3 2" xfId="331"/>
    <cellStyle name="40% - Accent2 2 3 2 2" xfId="736"/>
    <cellStyle name="40% - Accent2 2 3 2 2 2" xfId="1467"/>
    <cellStyle name="40% - Accent2 2 3 2 2 3" xfId="2787"/>
    <cellStyle name="40% - Accent2 2 3 2 2 4" xfId="3505"/>
    <cellStyle name="40% - Accent2 2 3 2 3" xfId="1070"/>
    <cellStyle name="40% - Accent2 2 3 2 4" xfId="2388"/>
    <cellStyle name="40% - Accent2 2 3 2 5" xfId="3108"/>
    <cellStyle name="40% - Accent2 2 3 3" xfId="603"/>
    <cellStyle name="40% - Accent2 2 3 3 2" xfId="1335"/>
    <cellStyle name="40% - Accent2 2 3 3 3" xfId="2655"/>
    <cellStyle name="40% - Accent2 2 3 3 4" xfId="3373"/>
    <cellStyle name="40% - Accent2 2 3 4" xfId="938"/>
    <cellStyle name="40% - Accent2 2 3 5" xfId="2015"/>
    <cellStyle name="40% - Accent2 2 3 6" xfId="2256"/>
    <cellStyle name="40% - Accent2 2 3 7" xfId="2976"/>
    <cellStyle name="40% - Accent2 2 4" xfId="328"/>
    <cellStyle name="40% - Accent2 2 4 2" xfId="733"/>
    <cellStyle name="40% - Accent2 2 4 2 2" xfId="1464"/>
    <cellStyle name="40% - Accent2 2 4 2 3" xfId="2784"/>
    <cellStyle name="40% - Accent2 2 4 2 4" xfId="3502"/>
    <cellStyle name="40% - Accent2 2 4 3" xfId="1067"/>
    <cellStyle name="40% - Accent2 2 4 4" xfId="2139"/>
    <cellStyle name="40% - Accent2 2 4 5" xfId="2385"/>
    <cellStyle name="40% - Accent2 2 4 6" xfId="3105"/>
    <cellStyle name="40% - Accent2 2 5" xfId="446"/>
    <cellStyle name="40% - Accent2 2 5 2" xfId="1184"/>
    <cellStyle name="40% - Accent2 2 5 3" xfId="1785"/>
    <cellStyle name="40% - Accent2 2 5 4" xfId="2504"/>
    <cellStyle name="40% - Accent2 2 5 5" xfId="3222"/>
    <cellStyle name="40% - Accent2 2 6" xfId="526"/>
    <cellStyle name="40% - Accent2 2 6 2" xfId="1258"/>
    <cellStyle name="40% - Accent2 2 6 3" xfId="1820"/>
    <cellStyle name="40% - Accent2 2 6 4" xfId="2578"/>
    <cellStyle name="40% - Accent2 2 6 5" xfId="3296"/>
    <cellStyle name="40% - Accent2 2 7" xfId="853"/>
    <cellStyle name="40% - Accent2 2 7 2" xfId="1706"/>
    <cellStyle name="40% - Accent2 2 7 3" xfId="1895"/>
    <cellStyle name="40% - Accent2 2 8" xfId="1652"/>
    <cellStyle name="40% - Accent2 2 9" xfId="1744"/>
    <cellStyle name="40% - Accent2 3" xfId="79"/>
    <cellStyle name="40% - Accent2 3 2" xfId="214"/>
    <cellStyle name="40% - Accent2 3 2 2" xfId="333"/>
    <cellStyle name="40% - Accent2 3 2 2 2" xfId="738"/>
    <cellStyle name="40% - Accent2 3 2 2 2 2" xfId="1469"/>
    <cellStyle name="40% - Accent2 3 2 2 2 3" xfId="2789"/>
    <cellStyle name="40% - Accent2 3 2 2 2 4" xfId="3507"/>
    <cellStyle name="40% - Accent2 3 2 2 3" xfId="1072"/>
    <cellStyle name="40% - Accent2 3 2 2 4" xfId="2390"/>
    <cellStyle name="40% - Accent2 3 2 2 5" xfId="3110"/>
    <cellStyle name="40% - Accent2 3 2 3" xfId="619"/>
    <cellStyle name="40% - Accent2 3 2 3 2" xfId="1351"/>
    <cellStyle name="40% - Accent2 3 2 3 3" xfId="2671"/>
    <cellStyle name="40% - Accent2 3 2 3 4" xfId="3389"/>
    <cellStyle name="40% - Accent2 3 2 4" xfId="954"/>
    <cellStyle name="40% - Accent2 3 2 5" xfId="2079"/>
    <cellStyle name="40% - Accent2 3 2 6" xfId="2272"/>
    <cellStyle name="40% - Accent2 3 2 7" xfId="2992"/>
    <cellStyle name="40% - Accent2 3 3" xfId="332"/>
    <cellStyle name="40% - Accent2 3 3 2" xfId="737"/>
    <cellStyle name="40% - Accent2 3 3 2 2" xfId="1468"/>
    <cellStyle name="40% - Accent2 3 3 2 3" xfId="2788"/>
    <cellStyle name="40% - Accent2 3 3 2 4" xfId="3506"/>
    <cellStyle name="40% - Accent2 3 3 3" xfId="1071"/>
    <cellStyle name="40% - Accent2 3 3 4" xfId="2037"/>
    <cellStyle name="40% - Accent2 3 3 5" xfId="2389"/>
    <cellStyle name="40% - Accent2 3 3 6" xfId="3109"/>
    <cellStyle name="40% - Accent2 3 4" xfId="461"/>
    <cellStyle name="40% - Accent2 3 4 2" xfId="1199"/>
    <cellStyle name="40% - Accent2 3 4 3" xfId="1835"/>
    <cellStyle name="40% - Accent2 3 4 4" xfId="2519"/>
    <cellStyle name="40% - Accent2 3 4 5" xfId="3237"/>
    <cellStyle name="40% - Accent2 3 5" xfId="542"/>
    <cellStyle name="40% - Accent2 3 5 2" xfId="1274"/>
    <cellStyle name="40% - Accent2 3 5 3" xfId="2594"/>
    <cellStyle name="40% - Accent2 3 5 4" xfId="3312"/>
    <cellStyle name="40% - Accent2 3 6" xfId="870"/>
    <cellStyle name="40% - Accent2 3 7" xfId="1961"/>
    <cellStyle name="40% - Accent2 3 8" xfId="2195"/>
    <cellStyle name="40% - Accent2 3 9" xfId="2915"/>
    <cellStyle name="40% - Accent2 4" xfId="183"/>
    <cellStyle name="40% - Accent2 4 2" xfId="334"/>
    <cellStyle name="40% - Accent2 4 2 2" xfId="739"/>
    <cellStyle name="40% - Accent2 4 2 2 2" xfId="1470"/>
    <cellStyle name="40% - Accent2 4 2 2 3" xfId="2790"/>
    <cellStyle name="40% - Accent2 4 2 2 4" xfId="3508"/>
    <cellStyle name="40% - Accent2 4 2 3" xfId="1073"/>
    <cellStyle name="40% - Accent2 4 2 4" xfId="2391"/>
    <cellStyle name="40% - Accent2 4 2 5" xfId="3111"/>
    <cellStyle name="40% - Accent2 4 3" xfId="588"/>
    <cellStyle name="40% - Accent2 4 3 2" xfId="1320"/>
    <cellStyle name="40% - Accent2 4 3 3" xfId="2640"/>
    <cellStyle name="40% - Accent2 4 3 4" xfId="3358"/>
    <cellStyle name="40% - Accent2 4 4" xfId="923"/>
    <cellStyle name="40% - Accent2 4 5" xfId="1999"/>
    <cellStyle name="40% - Accent2 4 6" xfId="2241"/>
    <cellStyle name="40% - Accent2 4 7" xfId="2961"/>
    <cellStyle name="40% - Accent2 5" xfId="261"/>
    <cellStyle name="40% - Accent2 5 2" xfId="666"/>
    <cellStyle name="40% - Accent2 5 2 2" xfId="1398"/>
    <cellStyle name="40% - Accent2 5 2 3" xfId="2718"/>
    <cellStyle name="40% - Accent2 5 2 4" xfId="3436"/>
    <cellStyle name="40% - Accent2 5 3" xfId="1001"/>
    <cellStyle name="40% - Accent2 5 4" xfId="2123"/>
    <cellStyle name="40% - Accent2 5 5" xfId="2319"/>
    <cellStyle name="40% - Accent2 5 6" xfId="3039"/>
    <cellStyle name="40% - Accent2 6" xfId="327"/>
    <cellStyle name="40% - Accent2 6 2" xfId="732"/>
    <cellStyle name="40% - Accent2 6 2 2" xfId="1463"/>
    <cellStyle name="40% - Accent2 6 2 3" xfId="2783"/>
    <cellStyle name="40% - Accent2 6 2 4" xfId="3501"/>
    <cellStyle name="40% - Accent2 6 3" xfId="1066"/>
    <cellStyle name="40% - Accent2 6 4" xfId="2384"/>
    <cellStyle name="40% - Accent2 6 5" xfId="3104"/>
    <cellStyle name="40% - Accent2 7" xfId="431"/>
    <cellStyle name="40% - Accent2 7 2" xfId="1169"/>
    <cellStyle name="40% - Accent2 7 3" xfId="1806"/>
    <cellStyle name="40% - Accent2 7 4" xfId="2489"/>
    <cellStyle name="40% - Accent2 7 5" xfId="3207"/>
    <cellStyle name="40% - Accent2 8" xfId="511"/>
    <cellStyle name="40% - Accent2 8 2" xfId="1243"/>
    <cellStyle name="40% - Accent2 8 3" xfId="1879"/>
    <cellStyle name="40% - Accent2 8 4" xfId="2563"/>
    <cellStyle name="40% - Accent2 8 5" xfId="3281"/>
    <cellStyle name="40% - Accent2 9" xfId="837"/>
    <cellStyle name="40% - Accent3" xfId="29" builtinId="39" customBuiltin="1"/>
    <cellStyle name="40% - Accent3 10" xfId="1729"/>
    <cellStyle name="40% - Accent3 11" xfId="1924"/>
    <cellStyle name="40% - Accent3 12" xfId="2164"/>
    <cellStyle name="40% - Accent3 13" xfId="2886"/>
    <cellStyle name="40% - Accent3 2" xfId="52"/>
    <cellStyle name="40% - Accent3 2 10" xfId="1939"/>
    <cellStyle name="40% - Accent3 2 11" xfId="2181"/>
    <cellStyle name="40% - Accent3 2 12" xfId="2901"/>
    <cellStyle name="40% - Accent3 2 2" xfId="96"/>
    <cellStyle name="40% - Accent3 2 2 2" xfId="231"/>
    <cellStyle name="40% - Accent3 2 2 2 2" xfId="338"/>
    <cellStyle name="40% - Accent3 2 2 2 2 2" xfId="743"/>
    <cellStyle name="40% - Accent3 2 2 2 2 2 2" xfId="1474"/>
    <cellStyle name="40% - Accent3 2 2 2 2 2 3" xfId="2794"/>
    <cellStyle name="40% - Accent3 2 2 2 2 2 4" xfId="3512"/>
    <cellStyle name="40% - Accent3 2 2 2 2 3" xfId="1077"/>
    <cellStyle name="40% - Accent3 2 2 2 2 4" xfId="2395"/>
    <cellStyle name="40% - Accent3 2 2 2 2 5" xfId="3115"/>
    <cellStyle name="40% - Accent3 2 2 2 3" xfId="636"/>
    <cellStyle name="40% - Accent3 2 2 2 3 2" xfId="1368"/>
    <cellStyle name="40% - Accent3 2 2 2 3 3" xfId="2688"/>
    <cellStyle name="40% - Accent3 2 2 2 3 4" xfId="3406"/>
    <cellStyle name="40% - Accent3 2 2 2 4" xfId="971"/>
    <cellStyle name="40% - Accent3 2 2 2 5" xfId="2095"/>
    <cellStyle name="40% - Accent3 2 2 2 6" xfId="2289"/>
    <cellStyle name="40% - Accent3 2 2 2 7" xfId="3009"/>
    <cellStyle name="40% - Accent3 2 2 3" xfId="337"/>
    <cellStyle name="40% - Accent3 2 2 3 2" xfId="742"/>
    <cellStyle name="40% - Accent3 2 2 3 2 2" xfId="1473"/>
    <cellStyle name="40% - Accent3 2 2 3 2 3" xfId="2793"/>
    <cellStyle name="40% - Accent3 2 2 3 2 4" xfId="3511"/>
    <cellStyle name="40% - Accent3 2 2 3 3" xfId="1076"/>
    <cellStyle name="40% - Accent3 2 2 3 4" xfId="2052"/>
    <cellStyle name="40% - Accent3 2 2 3 5" xfId="2394"/>
    <cellStyle name="40% - Accent3 2 2 3 6" xfId="3114"/>
    <cellStyle name="40% - Accent3 2 2 4" xfId="478"/>
    <cellStyle name="40% - Accent3 2 2 4 2" xfId="1216"/>
    <cellStyle name="40% - Accent3 2 2 4 3" xfId="1852"/>
    <cellStyle name="40% - Accent3 2 2 4 4" xfId="2536"/>
    <cellStyle name="40% - Accent3 2 2 4 5" xfId="3254"/>
    <cellStyle name="40% - Accent3 2 2 5" xfId="559"/>
    <cellStyle name="40% - Accent3 2 2 5 2" xfId="1291"/>
    <cellStyle name="40% - Accent3 2 2 5 3" xfId="2611"/>
    <cellStyle name="40% - Accent3 2 2 5 4" xfId="3329"/>
    <cellStyle name="40% - Accent3 2 2 6" xfId="887"/>
    <cellStyle name="40% - Accent3 2 2 7" xfId="1978"/>
    <cellStyle name="40% - Accent3 2 2 8" xfId="2212"/>
    <cellStyle name="40% - Accent3 2 2 9" xfId="2932"/>
    <cellStyle name="40% - Accent3 2 3" xfId="200"/>
    <cellStyle name="40% - Accent3 2 3 2" xfId="339"/>
    <cellStyle name="40% - Accent3 2 3 2 2" xfId="744"/>
    <cellStyle name="40% - Accent3 2 3 2 2 2" xfId="1475"/>
    <cellStyle name="40% - Accent3 2 3 2 2 3" xfId="2795"/>
    <cellStyle name="40% - Accent3 2 3 2 2 4" xfId="3513"/>
    <cellStyle name="40% - Accent3 2 3 2 3" xfId="1078"/>
    <cellStyle name="40% - Accent3 2 3 2 4" xfId="2396"/>
    <cellStyle name="40% - Accent3 2 3 2 5" xfId="3116"/>
    <cellStyle name="40% - Accent3 2 3 3" xfId="605"/>
    <cellStyle name="40% - Accent3 2 3 3 2" xfId="1337"/>
    <cellStyle name="40% - Accent3 2 3 3 3" xfId="2657"/>
    <cellStyle name="40% - Accent3 2 3 3 4" xfId="3375"/>
    <cellStyle name="40% - Accent3 2 3 4" xfId="940"/>
    <cellStyle name="40% - Accent3 2 3 5" xfId="2016"/>
    <cellStyle name="40% - Accent3 2 3 6" xfId="2258"/>
    <cellStyle name="40% - Accent3 2 3 7" xfId="2978"/>
    <cellStyle name="40% - Accent3 2 4" xfId="336"/>
    <cellStyle name="40% - Accent3 2 4 2" xfId="741"/>
    <cellStyle name="40% - Accent3 2 4 2 2" xfId="1472"/>
    <cellStyle name="40% - Accent3 2 4 2 3" xfId="2792"/>
    <cellStyle name="40% - Accent3 2 4 2 4" xfId="3510"/>
    <cellStyle name="40% - Accent3 2 4 3" xfId="1075"/>
    <cellStyle name="40% - Accent3 2 4 4" xfId="2140"/>
    <cellStyle name="40% - Accent3 2 4 5" xfId="2393"/>
    <cellStyle name="40% - Accent3 2 4 6" xfId="3113"/>
    <cellStyle name="40% - Accent3 2 5" xfId="448"/>
    <cellStyle name="40% - Accent3 2 5 2" xfId="1186"/>
    <cellStyle name="40% - Accent3 2 5 3" xfId="1786"/>
    <cellStyle name="40% - Accent3 2 5 4" xfId="2506"/>
    <cellStyle name="40% - Accent3 2 5 5" xfId="3224"/>
    <cellStyle name="40% - Accent3 2 6" xfId="528"/>
    <cellStyle name="40% - Accent3 2 6 2" xfId="1260"/>
    <cellStyle name="40% - Accent3 2 6 3" xfId="1822"/>
    <cellStyle name="40% - Accent3 2 6 4" xfId="2580"/>
    <cellStyle name="40% - Accent3 2 6 5" xfId="3298"/>
    <cellStyle name="40% - Accent3 2 7" xfId="855"/>
    <cellStyle name="40% - Accent3 2 7 2" xfId="1707"/>
    <cellStyle name="40% - Accent3 2 7 3" xfId="1896"/>
    <cellStyle name="40% - Accent3 2 8" xfId="1631"/>
    <cellStyle name="40% - Accent3 2 9" xfId="1745"/>
    <cellStyle name="40% - Accent3 3" xfId="81"/>
    <cellStyle name="40% - Accent3 3 2" xfId="216"/>
    <cellStyle name="40% - Accent3 3 2 2" xfId="341"/>
    <cellStyle name="40% - Accent3 3 2 2 2" xfId="746"/>
    <cellStyle name="40% - Accent3 3 2 2 2 2" xfId="1477"/>
    <cellStyle name="40% - Accent3 3 2 2 2 3" xfId="2797"/>
    <cellStyle name="40% - Accent3 3 2 2 2 4" xfId="3515"/>
    <cellStyle name="40% - Accent3 3 2 2 3" xfId="1080"/>
    <cellStyle name="40% - Accent3 3 2 2 4" xfId="2398"/>
    <cellStyle name="40% - Accent3 3 2 2 5" xfId="3118"/>
    <cellStyle name="40% - Accent3 3 2 3" xfId="621"/>
    <cellStyle name="40% - Accent3 3 2 3 2" xfId="1353"/>
    <cellStyle name="40% - Accent3 3 2 3 3" xfId="2673"/>
    <cellStyle name="40% - Accent3 3 2 3 4" xfId="3391"/>
    <cellStyle name="40% - Accent3 3 2 4" xfId="956"/>
    <cellStyle name="40% - Accent3 3 2 5" xfId="2081"/>
    <cellStyle name="40% - Accent3 3 2 6" xfId="2274"/>
    <cellStyle name="40% - Accent3 3 2 7" xfId="2994"/>
    <cellStyle name="40% - Accent3 3 3" xfId="340"/>
    <cellStyle name="40% - Accent3 3 3 2" xfId="745"/>
    <cellStyle name="40% - Accent3 3 3 2 2" xfId="1476"/>
    <cellStyle name="40% - Accent3 3 3 2 3" xfId="2796"/>
    <cellStyle name="40% - Accent3 3 3 2 4" xfId="3514"/>
    <cellStyle name="40% - Accent3 3 3 3" xfId="1079"/>
    <cellStyle name="40% - Accent3 3 3 4" xfId="2039"/>
    <cellStyle name="40% - Accent3 3 3 5" xfId="2397"/>
    <cellStyle name="40% - Accent3 3 3 6" xfId="3117"/>
    <cellStyle name="40% - Accent3 3 4" xfId="463"/>
    <cellStyle name="40% - Accent3 3 4 2" xfId="1201"/>
    <cellStyle name="40% - Accent3 3 4 3" xfId="1837"/>
    <cellStyle name="40% - Accent3 3 4 4" xfId="2521"/>
    <cellStyle name="40% - Accent3 3 4 5" xfId="3239"/>
    <cellStyle name="40% - Accent3 3 5" xfId="544"/>
    <cellStyle name="40% - Accent3 3 5 2" xfId="1276"/>
    <cellStyle name="40% - Accent3 3 5 3" xfId="2596"/>
    <cellStyle name="40% - Accent3 3 5 4" xfId="3314"/>
    <cellStyle name="40% - Accent3 3 6" xfId="872"/>
    <cellStyle name="40% - Accent3 3 7" xfId="1963"/>
    <cellStyle name="40% - Accent3 3 8" xfId="2197"/>
    <cellStyle name="40% - Accent3 3 9" xfId="2917"/>
    <cellStyle name="40% - Accent3 4" xfId="185"/>
    <cellStyle name="40% - Accent3 4 2" xfId="342"/>
    <cellStyle name="40% - Accent3 4 2 2" xfId="747"/>
    <cellStyle name="40% - Accent3 4 2 2 2" xfId="1478"/>
    <cellStyle name="40% - Accent3 4 2 2 3" xfId="2798"/>
    <cellStyle name="40% - Accent3 4 2 2 4" xfId="3516"/>
    <cellStyle name="40% - Accent3 4 2 3" xfId="1081"/>
    <cellStyle name="40% - Accent3 4 2 4" xfId="2399"/>
    <cellStyle name="40% - Accent3 4 2 5" xfId="3119"/>
    <cellStyle name="40% - Accent3 4 3" xfId="590"/>
    <cellStyle name="40% - Accent3 4 3 2" xfId="1322"/>
    <cellStyle name="40% - Accent3 4 3 3" xfId="2642"/>
    <cellStyle name="40% - Accent3 4 3 4" xfId="3360"/>
    <cellStyle name="40% - Accent3 4 4" xfId="925"/>
    <cellStyle name="40% - Accent3 4 5" xfId="2001"/>
    <cellStyle name="40% - Accent3 4 6" xfId="2243"/>
    <cellStyle name="40% - Accent3 4 7" xfId="2963"/>
    <cellStyle name="40% - Accent3 5" xfId="263"/>
    <cellStyle name="40% - Accent3 5 2" xfId="668"/>
    <cellStyle name="40% - Accent3 5 2 2" xfId="1400"/>
    <cellStyle name="40% - Accent3 5 2 3" xfId="2720"/>
    <cellStyle name="40% - Accent3 5 2 4" xfId="3438"/>
    <cellStyle name="40% - Accent3 5 3" xfId="1003"/>
    <cellStyle name="40% - Accent3 5 4" xfId="2125"/>
    <cellStyle name="40% - Accent3 5 5" xfId="2321"/>
    <cellStyle name="40% - Accent3 5 6" xfId="3041"/>
    <cellStyle name="40% - Accent3 6" xfId="335"/>
    <cellStyle name="40% - Accent3 6 2" xfId="740"/>
    <cellStyle name="40% - Accent3 6 2 2" xfId="1471"/>
    <cellStyle name="40% - Accent3 6 2 3" xfId="2791"/>
    <cellStyle name="40% - Accent3 6 2 4" xfId="3509"/>
    <cellStyle name="40% - Accent3 6 3" xfId="1074"/>
    <cellStyle name="40% - Accent3 6 4" xfId="2392"/>
    <cellStyle name="40% - Accent3 6 5" xfId="3112"/>
    <cellStyle name="40% - Accent3 7" xfId="433"/>
    <cellStyle name="40% - Accent3 7 2" xfId="1171"/>
    <cellStyle name="40% - Accent3 7 3" xfId="1808"/>
    <cellStyle name="40% - Accent3 7 4" xfId="2491"/>
    <cellStyle name="40% - Accent3 7 5" xfId="3209"/>
    <cellStyle name="40% - Accent3 8" xfId="513"/>
    <cellStyle name="40% - Accent3 8 2" xfId="1245"/>
    <cellStyle name="40% - Accent3 8 3" xfId="1881"/>
    <cellStyle name="40% - Accent3 8 4" xfId="2565"/>
    <cellStyle name="40% - Accent3 8 5" xfId="3283"/>
    <cellStyle name="40% - Accent3 9" xfId="839"/>
    <cellStyle name="40% - Accent4" xfId="33" builtinId="43" customBuiltin="1"/>
    <cellStyle name="40% - Accent4 10" xfId="1731"/>
    <cellStyle name="40% - Accent4 11" xfId="1926"/>
    <cellStyle name="40% - Accent4 12" xfId="2166"/>
    <cellStyle name="40% - Accent4 13" xfId="2888"/>
    <cellStyle name="40% - Accent4 2" xfId="54"/>
    <cellStyle name="40% - Accent4 2 10" xfId="1940"/>
    <cellStyle name="40% - Accent4 2 11" xfId="2183"/>
    <cellStyle name="40% - Accent4 2 12" xfId="2903"/>
    <cellStyle name="40% - Accent4 2 2" xfId="98"/>
    <cellStyle name="40% - Accent4 2 2 2" xfId="233"/>
    <cellStyle name="40% - Accent4 2 2 2 2" xfId="346"/>
    <cellStyle name="40% - Accent4 2 2 2 2 2" xfId="751"/>
    <cellStyle name="40% - Accent4 2 2 2 2 2 2" xfId="1482"/>
    <cellStyle name="40% - Accent4 2 2 2 2 2 3" xfId="2802"/>
    <cellStyle name="40% - Accent4 2 2 2 2 2 4" xfId="3520"/>
    <cellStyle name="40% - Accent4 2 2 2 2 3" xfId="1085"/>
    <cellStyle name="40% - Accent4 2 2 2 2 4" xfId="2403"/>
    <cellStyle name="40% - Accent4 2 2 2 2 5" xfId="3123"/>
    <cellStyle name="40% - Accent4 2 2 2 3" xfId="638"/>
    <cellStyle name="40% - Accent4 2 2 2 3 2" xfId="1370"/>
    <cellStyle name="40% - Accent4 2 2 2 3 3" xfId="2690"/>
    <cellStyle name="40% - Accent4 2 2 2 3 4" xfId="3408"/>
    <cellStyle name="40% - Accent4 2 2 2 4" xfId="973"/>
    <cellStyle name="40% - Accent4 2 2 2 5" xfId="2097"/>
    <cellStyle name="40% - Accent4 2 2 2 6" xfId="2291"/>
    <cellStyle name="40% - Accent4 2 2 2 7" xfId="3011"/>
    <cellStyle name="40% - Accent4 2 2 3" xfId="345"/>
    <cellStyle name="40% - Accent4 2 2 3 2" xfId="750"/>
    <cellStyle name="40% - Accent4 2 2 3 2 2" xfId="1481"/>
    <cellStyle name="40% - Accent4 2 2 3 2 3" xfId="2801"/>
    <cellStyle name="40% - Accent4 2 2 3 2 4" xfId="3519"/>
    <cellStyle name="40% - Accent4 2 2 3 3" xfId="1084"/>
    <cellStyle name="40% - Accent4 2 2 3 4" xfId="2054"/>
    <cellStyle name="40% - Accent4 2 2 3 5" xfId="2402"/>
    <cellStyle name="40% - Accent4 2 2 3 6" xfId="3122"/>
    <cellStyle name="40% - Accent4 2 2 4" xfId="480"/>
    <cellStyle name="40% - Accent4 2 2 4 2" xfId="1218"/>
    <cellStyle name="40% - Accent4 2 2 4 3" xfId="1854"/>
    <cellStyle name="40% - Accent4 2 2 4 4" xfId="2538"/>
    <cellStyle name="40% - Accent4 2 2 4 5" xfId="3256"/>
    <cellStyle name="40% - Accent4 2 2 5" xfId="561"/>
    <cellStyle name="40% - Accent4 2 2 5 2" xfId="1293"/>
    <cellStyle name="40% - Accent4 2 2 5 3" xfId="2613"/>
    <cellStyle name="40% - Accent4 2 2 5 4" xfId="3331"/>
    <cellStyle name="40% - Accent4 2 2 6" xfId="889"/>
    <cellStyle name="40% - Accent4 2 2 7" xfId="1979"/>
    <cellStyle name="40% - Accent4 2 2 8" xfId="2214"/>
    <cellStyle name="40% - Accent4 2 2 9" xfId="2934"/>
    <cellStyle name="40% - Accent4 2 3" xfId="202"/>
    <cellStyle name="40% - Accent4 2 3 2" xfId="347"/>
    <cellStyle name="40% - Accent4 2 3 2 2" xfId="752"/>
    <cellStyle name="40% - Accent4 2 3 2 2 2" xfId="1483"/>
    <cellStyle name="40% - Accent4 2 3 2 2 3" xfId="2803"/>
    <cellStyle name="40% - Accent4 2 3 2 2 4" xfId="3521"/>
    <cellStyle name="40% - Accent4 2 3 2 3" xfId="1086"/>
    <cellStyle name="40% - Accent4 2 3 2 4" xfId="2404"/>
    <cellStyle name="40% - Accent4 2 3 2 5" xfId="3124"/>
    <cellStyle name="40% - Accent4 2 3 3" xfId="607"/>
    <cellStyle name="40% - Accent4 2 3 3 2" xfId="1339"/>
    <cellStyle name="40% - Accent4 2 3 3 3" xfId="2659"/>
    <cellStyle name="40% - Accent4 2 3 3 4" xfId="3377"/>
    <cellStyle name="40% - Accent4 2 3 4" xfId="942"/>
    <cellStyle name="40% - Accent4 2 3 5" xfId="2017"/>
    <cellStyle name="40% - Accent4 2 3 6" xfId="2260"/>
    <cellStyle name="40% - Accent4 2 3 7" xfId="2980"/>
    <cellStyle name="40% - Accent4 2 4" xfId="344"/>
    <cellStyle name="40% - Accent4 2 4 2" xfId="749"/>
    <cellStyle name="40% - Accent4 2 4 2 2" xfId="1480"/>
    <cellStyle name="40% - Accent4 2 4 2 3" xfId="2800"/>
    <cellStyle name="40% - Accent4 2 4 2 4" xfId="3518"/>
    <cellStyle name="40% - Accent4 2 4 3" xfId="1083"/>
    <cellStyle name="40% - Accent4 2 4 4" xfId="2141"/>
    <cellStyle name="40% - Accent4 2 4 5" xfId="2401"/>
    <cellStyle name="40% - Accent4 2 4 6" xfId="3121"/>
    <cellStyle name="40% - Accent4 2 5" xfId="450"/>
    <cellStyle name="40% - Accent4 2 5 2" xfId="1188"/>
    <cellStyle name="40% - Accent4 2 5 3" xfId="1787"/>
    <cellStyle name="40% - Accent4 2 5 4" xfId="2508"/>
    <cellStyle name="40% - Accent4 2 5 5" xfId="3226"/>
    <cellStyle name="40% - Accent4 2 6" xfId="530"/>
    <cellStyle name="40% - Accent4 2 6 2" xfId="1262"/>
    <cellStyle name="40% - Accent4 2 6 3" xfId="1824"/>
    <cellStyle name="40% - Accent4 2 6 4" xfId="2582"/>
    <cellStyle name="40% - Accent4 2 6 5" xfId="3300"/>
    <cellStyle name="40% - Accent4 2 7" xfId="857"/>
    <cellStyle name="40% - Accent4 2 7 2" xfId="1708"/>
    <cellStyle name="40% - Accent4 2 7 3" xfId="1897"/>
    <cellStyle name="40% - Accent4 2 8" xfId="1642"/>
    <cellStyle name="40% - Accent4 2 9" xfId="1746"/>
    <cellStyle name="40% - Accent4 3" xfId="83"/>
    <cellStyle name="40% - Accent4 3 2" xfId="218"/>
    <cellStyle name="40% - Accent4 3 2 2" xfId="349"/>
    <cellStyle name="40% - Accent4 3 2 2 2" xfId="754"/>
    <cellStyle name="40% - Accent4 3 2 2 2 2" xfId="1485"/>
    <cellStyle name="40% - Accent4 3 2 2 2 3" xfId="2805"/>
    <cellStyle name="40% - Accent4 3 2 2 2 4" xfId="3523"/>
    <cellStyle name="40% - Accent4 3 2 2 3" xfId="1088"/>
    <cellStyle name="40% - Accent4 3 2 2 4" xfId="2406"/>
    <cellStyle name="40% - Accent4 3 2 2 5" xfId="3126"/>
    <cellStyle name="40% - Accent4 3 2 3" xfId="623"/>
    <cellStyle name="40% - Accent4 3 2 3 2" xfId="1355"/>
    <cellStyle name="40% - Accent4 3 2 3 3" xfId="2675"/>
    <cellStyle name="40% - Accent4 3 2 3 4" xfId="3393"/>
    <cellStyle name="40% - Accent4 3 2 4" xfId="958"/>
    <cellStyle name="40% - Accent4 3 2 5" xfId="2083"/>
    <cellStyle name="40% - Accent4 3 2 6" xfId="2276"/>
    <cellStyle name="40% - Accent4 3 2 7" xfId="2996"/>
    <cellStyle name="40% - Accent4 3 3" xfId="348"/>
    <cellStyle name="40% - Accent4 3 3 2" xfId="753"/>
    <cellStyle name="40% - Accent4 3 3 2 2" xfId="1484"/>
    <cellStyle name="40% - Accent4 3 3 2 3" xfId="2804"/>
    <cellStyle name="40% - Accent4 3 3 2 4" xfId="3522"/>
    <cellStyle name="40% - Accent4 3 3 3" xfId="1087"/>
    <cellStyle name="40% - Accent4 3 3 4" xfId="2041"/>
    <cellStyle name="40% - Accent4 3 3 5" xfId="2405"/>
    <cellStyle name="40% - Accent4 3 3 6" xfId="3125"/>
    <cellStyle name="40% - Accent4 3 4" xfId="465"/>
    <cellStyle name="40% - Accent4 3 4 2" xfId="1203"/>
    <cellStyle name="40% - Accent4 3 4 3" xfId="1839"/>
    <cellStyle name="40% - Accent4 3 4 4" xfId="2523"/>
    <cellStyle name="40% - Accent4 3 4 5" xfId="3241"/>
    <cellStyle name="40% - Accent4 3 5" xfId="546"/>
    <cellStyle name="40% - Accent4 3 5 2" xfId="1278"/>
    <cellStyle name="40% - Accent4 3 5 3" xfId="2598"/>
    <cellStyle name="40% - Accent4 3 5 4" xfId="3316"/>
    <cellStyle name="40% - Accent4 3 6" xfId="874"/>
    <cellStyle name="40% - Accent4 3 7" xfId="1965"/>
    <cellStyle name="40% - Accent4 3 8" xfId="2199"/>
    <cellStyle name="40% - Accent4 3 9" xfId="2919"/>
    <cellStyle name="40% - Accent4 4" xfId="187"/>
    <cellStyle name="40% - Accent4 4 2" xfId="350"/>
    <cellStyle name="40% - Accent4 4 2 2" xfId="755"/>
    <cellStyle name="40% - Accent4 4 2 2 2" xfId="1486"/>
    <cellStyle name="40% - Accent4 4 2 2 3" xfId="2806"/>
    <cellStyle name="40% - Accent4 4 2 2 4" xfId="3524"/>
    <cellStyle name="40% - Accent4 4 2 3" xfId="1089"/>
    <cellStyle name="40% - Accent4 4 2 4" xfId="2407"/>
    <cellStyle name="40% - Accent4 4 2 5" xfId="3127"/>
    <cellStyle name="40% - Accent4 4 3" xfId="592"/>
    <cellStyle name="40% - Accent4 4 3 2" xfId="1324"/>
    <cellStyle name="40% - Accent4 4 3 3" xfId="2644"/>
    <cellStyle name="40% - Accent4 4 3 4" xfId="3362"/>
    <cellStyle name="40% - Accent4 4 4" xfId="927"/>
    <cellStyle name="40% - Accent4 4 5" xfId="2003"/>
    <cellStyle name="40% - Accent4 4 6" xfId="2245"/>
    <cellStyle name="40% - Accent4 4 7" xfId="2965"/>
    <cellStyle name="40% - Accent4 5" xfId="265"/>
    <cellStyle name="40% - Accent4 5 2" xfId="670"/>
    <cellStyle name="40% - Accent4 5 2 2" xfId="1402"/>
    <cellStyle name="40% - Accent4 5 2 3" xfId="2722"/>
    <cellStyle name="40% - Accent4 5 2 4" xfId="3440"/>
    <cellStyle name="40% - Accent4 5 3" xfId="1005"/>
    <cellStyle name="40% - Accent4 5 4" xfId="2127"/>
    <cellStyle name="40% - Accent4 5 5" xfId="2323"/>
    <cellStyle name="40% - Accent4 5 6" xfId="3043"/>
    <cellStyle name="40% - Accent4 6" xfId="343"/>
    <cellStyle name="40% - Accent4 6 2" xfId="748"/>
    <cellStyle name="40% - Accent4 6 2 2" xfId="1479"/>
    <cellStyle name="40% - Accent4 6 2 3" xfId="2799"/>
    <cellStyle name="40% - Accent4 6 2 4" xfId="3517"/>
    <cellStyle name="40% - Accent4 6 3" xfId="1082"/>
    <cellStyle name="40% - Accent4 6 4" xfId="2400"/>
    <cellStyle name="40% - Accent4 6 5" xfId="3120"/>
    <cellStyle name="40% - Accent4 7" xfId="435"/>
    <cellStyle name="40% - Accent4 7 2" xfId="1173"/>
    <cellStyle name="40% - Accent4 7 3" xfId="1810"/>
    <cellStyle name="40% - Accent4 7 4" xfId="2493"/>
    <cellStyle name="40% - Accent4 7 5" xfId="3211"/>
    <cellStyle name="40% - Accent4 8" xfId="515"/>
    <cellStyle name="40% - Accent4 8 2" xfId="1247"/>
    <cellStyle name="40% - Accent4 8 3" xfId="1883"/>
    <cellStyle name="40% - Accent4 8 4" xfId="2567"/>
    <cellStyle name="40% - Accent4 8 5" xfId="3285"/>
    <cellStyle name="40% - Accent4 9" xfId="841"/>
    <cellStyle name="40% - Accent5" xfId="37" builtinId="47" customBuiltin="1"/>
    <cellStyle name="40% - Accent5 10" xfId="1733"/>
    <cellStyle name="40% - Accent5 11" xfId="1928"/>
    <cellStyle name="40% - Accent5 12" xfId="2168"/>
    <cellStyle name="40% - Accent5 13" xfId="2890"/>
    <cellStyle name="40% - Accent5 2" xfId="56"/>
    <cellStyle name="40% - Accent5 2 10" xfId="1941"/>
    <cellStyle name="40% - Accent5 2 11" xfId="2185"/>
    <cellStyle name="40% - Accent5 2 12" xfId="2905"/>
    <cellStyle name="40% - Accent5 2 2" xfId="100"/>
    <cellStyle name="40% - Accent5 2 2 2" xfId="235"/>
    <cellStyle name="40% - Accent5 2 2 2 2" xfId="354"/>
    <cellStyle name="40% - Accent5 2 2 2 2 2" xfId="759"/>
    <cellStyle name="40% - Accent5 2 2 2 2 2 2" xfId="1490"/>
    <cellStyle name="40% - Accent5 2 2 2 2 2 3" xfId="2810"/>
    <cellStyle name="40% - Accent5 2 2 2 2 2 4" xfId="3528"/>
    <cellStyle name="40% - Accent5 2 2 2 2 3" xfId="1093"/>
    <cellStyle name="40% - Accent5 2 2 2 2 4" xfId="2411"/>
    <cellStyle name="40% - Accent5 2 2 2 2 5" xfId="3131"/>
    <cellStyle name="40% - Accent5 2 2 2 3" xfId="640"/>
    <cellStyle name="40% - Accent5 2 2 2 3 2" xfId="1372"/>
    <cellStyle name="40% - Accent5 2 2 2 3 3" xfId="2692"/>
    <cellStyle name="40% - Accent5 2 2 2 3 4" xfId="3410"/>
    <cellStyle name="40% - Accent5 2 2 2 4" xfId="975"/>
    <cellStyle name="40% - Accent5 2 2 2 5" xfId="2099"/>
    <cellStyle name="40% - Accent5 2 2 2 6" xfId="2293"/>
    <cellStyle name="40% - Accent5 2 2 2 7" xfId="3013"/>
    <cellStyle name="40% - Accent5 2 2 3" xfId="353"/>
    <cellStyle name="40% - Accent5 2 2 3 2" xfId="758"/>
    <cellStyle name="40% - Accent5 2 2 3 2 2" xfId="1489"/>
    <cellStyle name="40% - Accent5 2 2 3 2 3" xfId="2809"/>
    <cellStyle name="40% - Accent5 2 2 3 2 4" xfId="3527"/>
    <cellStyle name="40% - Accent5 2 2 3 3" xfId="1092"/>
    <cellStyle name="40% - Accent5 2 2 3 4" xfId="2056"/>
    <cellStyle name="40% - Accent5 2 2 3 5" xfId="2410"/>
    <cellStyle name="40% - Accent5 2 2 3 6" xfId="3130"/>
    <cellStyle name="40% - Accent5 2 2 4" xfId="482"/>
    <cellStyle name="40% - Accent5 2 2 4 2" xfId="1220"/>
    <cellStyle name="40% - Accent5 2 2 4 3" xfId="1856"/>
    <cellStyle name="40% - Accent5 2 2 4 4" xfId="2540"/>
    <cellStyle name="40% - Accent5 2 2 4 5" xfId="3258"/>
    <cellStyle name="40% - Accent5 2 2 5" xfId="563"/>
    <cellStyle name="40% - Accent5 2 2 5 2" xfId="1295"/>
    <cellStyle name="40% - Accent5 2 2 5 3" xfId="2615"/>
    <cellStyle name="40% - Accent5 2 2 5 4" xfId="3333"/>
    <cellStyle name="40% - Accent5 2 2 6" xfId="891"/>
    <cellStyle name="40% - Accent5 2 2 7" xfId="1980"/>
    <cellStyle name="40% - Accent5 2 2 8" xfId="2216"/>
    <cellStyle name="40% - Accent5 2 2 9" xfId="2936"/>
    <cellStyle name="40% - Accent5 2 3" xfId="204"/>
    <cellStyle name="40% - Accent5 2 3 2" xfId="355"/>
    <cellStyle name="40% - Accent5 2 3 2 2" xfId="760"/>
    <cellStyle name="40% - Accent5 2 3 2 2 2" xfId="1491"/>
    <cellStyle name="40% - Accent5 2 3 2 2 3" xfId="2811"/>
    <cellStyle name="40% - Accent5 2 3 2 2 4" xfId="3529"/>
    <cellStyle name="40% - Accent5 2 3 2 3" xfId="1094"/>
    <cellStyle name="40% - Accent5 2 3 2 4" xfId="2412"/>
    <cellStyle name="40% - Accent5 2 3 2 5" xfId="3132"/>
    <cellStyle name="40% - Accent5 2 3 3" xfId="609"/>
    <cellStyle name="40% - Accent5 2 3 3 2" xfId="1341"/>
    <cellStyle name="40% - Accent5 2 3 3 3" xfId="2661"/>
    <cellStyle name="40% - Accent5 2 3 3 4" xfId="3379"/>
    <cellStyle name="40% - Accent5 2 3 4" xfId="944"/>
    <cellStyle name="40% - Accent5 2 3 5" xfId="2018"/>
    <cellStyle name="40% - Accent5 2 3 6" xfId="2262"/>
    <cellStyle name="40% - Accent5 2 3 7" xfId="2982"/>
    <cellStyle name="40% - Accent5 2 4" xfId="352"/>
    <cellStyle name="40% - Accent5 2 4 2" xfId="757"/>
    <cellStyle name="40% - Accent5 2 4 2 2" xfId="1488"/>
    <cellStyle name="40% - Accent5 2 4 2 3" xfId="2808"/>
    <cellStyle name="40% - Accent5 2 4 2 4" xfId="3526"/>
    <cellStyle name="40% - Accent5 2 4 3" xfId="1091"/>
    <cellStyle name="40% - Accent5 2 4 4" xfId="2142"/>
    <cellStyle name="40% - Accent5 2 4 5" xfId="2409"/>
    <cellStyle name="40% - Accent5 2 4 6" xfId="3129"/>
    <cellStyle name="40% - Accent5 2 5" xfId="452"/>
    <cellStyle name="40% - Accent5 2 5 2" xfId="1190"/>
    <cellStyle name="40% - Accent5 2 5 3" xfId="1788"/>
    <cellStyle name="40% - Accent5 2 5 4" xfId="2510"/>
    <cellStyle name="40% - Accent5 2 5 5" xfId="3228"/>
    <cellStyle name="40% - Accent5 2 6" xfId="532"/>
    <cellStyle name="40% - Accent5 2 6 2" xfId="1264"/>
    <cellStyle name="40% - Accent5 2 6 3" xfId="1826"/>
    <cellStyle name="40% - Accent5 2 6 4" xfId="2584"/>
    <cellStyle name="40% - Accent5 2 6 5" xfId="3302"/>
    <cellStyle name="40% - Accent5 2 7" xfId="859"/>
    <cellStyle name="40% - Accent5 2 7 2" xfId="1709"/>
    <cellStyle name="40% - Accent5 2 7 3" xfId="1898"/>
    <cellStyle name="40% - Accent5 2 8" xfId="1649"/>
    <cellStyle name="40% - Accent5 2 9" xfId="1747"/>
    <cellStyle name="40% - Accent5 3" xfId="85"/>
    <cellStyle name="40% - Accent5 3 2" xfId="220"/>
    <cellStyle name="40% - Accent5 3 2 2" xfId="357"/>
    <cellStyle name="40% - Accent5 3 2 2 2" xfId="762"/>
    <cellStyle name="40% - Accent5 3 2 2 2 2" xfId="1493"/>
    <cellStyle name="40% - Accent5 3 2 2 2 3" xfId="2813"/>
    <cellStyle name="40% - Accent5 3 2 2 2 4" xfId="3531"/>
    <cellStyle name="40% - Accent5 3 2 2 3" xfId="1096"/>
    <cellStyle name="40% - Accent5 3 2 2 4" xfId="2414"/>
    <cellStyle name="40% - Accent5 3 2 2 5" xfId="3134"/>
    <cellStyle name="40% - Accent5 3 2 3" xfId="625"/>
    <cellStyle name="40% - Accent5 3 2 3 2" xfId="1357"/>
    <cellStyle name="40% - Accent5 3 2 3 3" xfId="2677"/>
    <cellStyle name="40% - Accent5 3 2 3 4" xfId="3395"/>
    <cellStyle name="40% - Accent5 3 2 4" xfId="960"/>
    <cellStyle name="40% - Accent5 3 2 5" xfId="2085"/>
    <cellStyle name="40% - Accent5 3 2 6" xfId="2278"/>
    <cellStyle name="40% - Accent5 3 2 7" xfId="2998"/>
    <cellStyle name="40% - Accent5 3 3" xfId="356"/>
    <cellStyle name="40% - Accent5 3 3 2" xfId="761"/>
    <cellStyle name="40% - Accent5 3 3 2 2" xfId="1492"/>
    <cellStyle name="40% - Accent5 3 3 2 3" xfId="2812"/>
    <cellStyle name="40% - Accent5 3 3 2 4" xfId="3530"/>
    <cellStyle name="40% - Accent5 3 3 3" xfId="1095"/>
    <cellStyle name="40% - Accent5 3 3 4" xfId="2043"/>
    <cellStyle name="40% - Accent5 3 3 5" xfId="2413"/>
    <cellStyle name="40% - Accent5 3 3 6" xfId="3133"/>
    <cellStyle name="40% - Accent5 3 4" xfId="467"/>
    <cellStyle name="40% - Accent5 3 4 2" xfId="1205"/>
    <cellStyle name="40% - Accent5 3 4 3" xfId="1841"/>
    <cellStyle name="40% - Accent5 3 4 4" xfId="2525"/>
    <cellStyle name="40% - Accent5 3 4 5" xfId="3243"/>
    <cellStyle name="40% - Accent5 3 5" xfId="548"/>
    <cellStyle name="40% - Accent5 3 5 2" xfId="1280"/>
    <cellStyle name="40% - Accent5 3 5 3" xfId="2600"/>
    <cellStyle name="40% - Accent5 3 5 4" xfId="3318"/>
    <cellStyle name="40% - Accent5 3 6" xfId="876"/>
    <cellStyle name="40% - Accent5 3 7" xfId="1967"/>
    <cellStyle name="40% - Accent5 3 8" xfId="2201"/>
    <cellStyle name="40% - Accent5 3 9" xfId="2921"/>
    <cellStyle name="40% - Accent5 4" xfId="189"/>
    <cellStyle name="40% - Accent5 4 2" xfId="358"/>
    <cellStyle name="40% - Accent5 4 2 2" xfId="763"/>
    <cellStyle name="40% - Accent5 4 2 2 2" xfId="1494"/>
    <cellStyle name="40% - Accent5 4 2 2 3" xfId="2814"/>
    <cellStyle name="40% - Accent5 4 2 2 4" xfId="3532"/>
    <cellStyle name="40% - Accent5 4 2 3" xfId="1097"/>
    <cellStyle name="40% - Accent5 4 2 4" xfId="2415"/>
    <cellStyle name="40% - Accent5 4 2 5" xfId="3135"/>
    <cellStyle name="40% - Accent5 4 3" xfId="594"/>
    <cellStyle name="40% - Accent5 4 3 2" xfId="1326"/>
    <cellStyle name="40% - Accent5 4 3 3" xfId="2646"/>
    <cellStyle name="40% - Accent5 4 3 4" xfId="3364"/>
    <cellStyle name="40% - Accent5 4 4" xfId="929"/>
    <cellStyle name="40% - Accent5 4 5" xfId="2005"/>
    <cellStyle name="40% - Accent5 4 6" xfId="2247"/>
    <cellStyle name="40% - Accent5 4 7" xfId="2967"/>
    <cellStyle name="40% - Accent5 5" xfId="267"/>
    <cellStyle name="40% - Accent5 5 2" xfId="672"/>
    <cellStyle name="40% - Accent5 5 2 2" xfId="1404"/>
    <cellStyle name="40% - Accent5 5 2 3" xfId="2724"/>
    <cellStyle name="40% - Accent5 5 2 4" xfId="3442"/>
    <cellStyle name="40% - Accent5 5 3" xfId="1007"/>
    <cellStyle name="40% - Accent5 5 4" xfId="2129"/>
    <cellStyle name="40% - Accent5 5 5" xfId="2325"/>
    <cellStyle name="40% - Accent5 5 6" xfId="3045"/>
    <cellStyle name="40% - Accent5 6" xfId="351"/>
    <cellStyle name="40% - Accent5 6 2" xfId="756"/>
    <cellStyle name="40% - Accent5 6 2 2" xfId="1487"/>
    <cellStyle name="40% - Accent5 6 2 3" xfId="2807"/>
    <cellStyle name="40% - Accent5 6 2 4" xfId="3525"/>
    <cellStyle name="40% - Accent5 6 3" xfId="1090"/>
    <cellStyle name="40% - Accent5 6 4" xfId="2408"/>
    <cellStyle name="40% - Accent5 6 5" xfId="3128"/>
    <cellStyle name="40% - Accent5 7" xfId="437"/>
    <cellStyle name="40% - Accent5 7 2" xfId="1175"/>
    <cellStyle name="40% - Accent5 7 3" xfId="1812"/>
    <cellStyle name="40% - Accent5 7 4" xfId="2495"/>
    <cellStyle name="40% - Accent5 7 5" xfId="3213"/>
    <cellStyle name="40% - Accent5 8" xfId="517"/>
    <cellStyle name="40% - Accent5 8 2" xfId="1249"/>
    <cellStyle name="40% - Accent5 8 3" xfId="1885"/>
    <cellStyle name="40% - Accent5 8 4" xfId="2569"/>
    <cellStyle name="40% - Accent5 8 5" xfId="3287"/>
    <cellStyle name="40% - Accent5 9" xfId="843"/>
    <cellStyle name="40% - Accent6" xfId="41" builtinId="51" customBuiltin="1"/>
    <cellStyle name="40% - Accent6 10" xfId="1735"/>
    <cellStyle name="40% - Accent6 11" xfId="1930"/>
    <cellStyle name="40% - Accent6 12" xfId="2170"/>
    <cellStyle name="40% - Accent6 13" xfId="2892"/>
    <cellStyle name="40% - Accent6 2" xfId="58"/>
    <cellStyle name="40% - Accent6 2 10" xfId="1942"/>
    <cellStyle name="40% - Accent6 2 11" xfId="2187"/>
    <cellStyle name="40% - Accent6 2 12" xfId="2907"/>
    <cellStyle name="40% - Accent6 2 2" xfId="102"/>
    <cellStyle name="40% - Accent6 2 2 2" xfId="237"/>
    <cellStyle name="40% - Accent6 2 2 2 2" xfId="362"/>
    <cellStyle name="40% - Accent6 2 2 2 2 2" xfId="767"/>
    <cellStyle name="40% - Accent6 2 2 2 2 2 2" xfId="1498"/>
    <cellStyle name="40% - Accent6 2 2 2 2 2 3" xfId="2818"/>
    <cellStyle name="40% - Accent6 2 2 2 2 2 4" xfId="3536"/>
    <cellStyle name="40% - Accent6 2 2 2 2 3" xfId="1101"/>
    <cellStyle name="40% - Accent6 2 2 2 2 4" xfId="2419"/>
    <cellStyle name="40% - Accent6 2 2 2 2 5" xfId="3139"/>
    <cellStyle name="40% - Accent6 2 2 2 3" xfId="642"/>
    <cellStyle name="40% - Accent6 2 2 2 3 2" xfId="1374"/>
    <cellStyle name="40% - Accent6 2 2 2 3 3" xfId="2694"/>
    <cellStyle name="40% - Accent6 2 2 2 3 4" xfId="3412"/>
    <cellStyle name="40% - Accent6 2 2 2 4" xfId="977"/>
    <cellStyle name="40% - Accent6 2 2 2 5" xfId="2101"/>
    <cellStyle name="40% - Accent6 2 2 2 6" xfId="2295"/>
    <cellStyle name="40% - Accent6 2 2 2 7" xfId="3015"/>
    <cellStyle name="40% - Accent6 2 2 3" xfId="361"/>
    <cellStyle name="40% - Accent6 2 2 3 2" xfId="766"/>
    <cellStyle name="40% - Accent6 2 2 3 2 2" xfId="1497"/>
    <cellStyle name="40% - Accent6 2 2 3 2 3" xfId="2817"/>
    <cellStyle name="40% - Accent6 2 2 3 2 4" xfId="3535"/>
    <cellStyle name="40% - Accent6 2 2 3 3" xfId="1100"/>
    <cellStyle name="40% - Accent6 2 2 3 4" xfId="2058"/>
    <cellStyle name="40% - Accent6 2 2 3 5" xfId="2418"/>
    <cellStyle name="40% - Accent6 2 2 3 6" xfId="3138"/>
    <cellStyle name="40% - Accent6 2 2 4" xfId="484"/>
    <cellStyle name="40% - Accent6 2 2 4 2" xfId="1222"/>
    <cellStyle name="40% - Accent6 2 2 4 3" xfId="1858"/>
    <cellStyle name="40% - Accent6 2 2 4 4" xfId="2542"/>
    <cellStyle name="40% - Accent6 2 2 4 5" xfId="3260"/>
    <cellStyle name="40% - Accent6 2 2 5" xfId="565"/>
    <cellStyle name="40% - Accent6 2 2 5 2" xfId="1297"/>
    <cellStyle name="40% - Accent6 2 2 5 3" xfId="2617"/>
    <cellStyle name="40% - Accent6 2 2 5 4" xfId="3335"/>
    <cellStyle name="40% - Accent6 2 2 6" xfId="893"/>
    <cellStyle name="40% - Accent6 2 2 7" xfId="1981"/>
    <cellStyle name="40% - Accent6 2 2 8" xfId="2218"/>
    <cellStyle name="40% - Accent6 2 2 9" xfId="2938"/>
    <cellStyle name="40% - Accent6 2 3" xfId="206"/>
    <cellStyle name="40% - Accent6 2 3 2" xfId="363"/>
    <cellStyle name="40% - Accent6 2 3 2 2" xfId="768"/>
    <cellStyle name="40% - Accent6 2 3 2 2 2" xfId="1499"/>
    <cellStyle name="40% - Accent6 2 3 2 2 3" xfId="2819"/>
    <cellStyle name="40% - Accent6 2 3 2 2 4" xfId="3537"/>
    <cellStyle name="40% - Accent6 2 3 2 3" xfId="1102"/>
    <cellStyle name="40% - Accent6 2 3 2 4" xfId="2420"/>
    <cellStyle name="40% - Accent6 2 3 2 5" xfId="3140"/>
    <cellStyle name="40% - Accent6 2 3 3" xfId="611"/>
    <cellStyle name="40% - Accent6 2 3 3 2" xfId="1343"/>
    <cellStyle name="40% - Accent6 2 3 3 3" xfId="2663"/>
    <cellStyle name="40% - Accent6 2 3 3 4" xfId="3381"/>
    <cellStyle name="40% - Accent6 2 3 4" xfId="946"/>
    <cellStyle name="40% - Accent6 2 3 5" xfId="2019"/>
    <cellStyle name="40% - Accent6 2 3 6" xfId="2264"/>
    <cellStyle name="40% - Accent6 2 3 7" xfId="2984"/>
    <cellStyle name="40% - Accent6 2 4" xfId="360"/>
    <cellStyle name="40% - Accent6 2 4 2" xfId="765"/>
    <cellStyle name="40% - Accent6 2 4 2 2" xfId="1496"/>
    <cellStyle name="40% - Accent6 2 4 2 3" xfId="2816"/>
    <cellStyle name="40% - Accent6 2 4 2 4" xfId="3534"/>
    <cellStyle name="40% - Accent6 2 4 3" xfId="1099"/>
    <cellStyle name="40% - Accent6 2 4 4" xfId="2143"/>
    <cellStyle name="40% - Accent6 2 4 5" xfId="2417"/>
    <cellStyle name="40% - Accent6 2 4 6" xfId="3137"/>
    <cellStyle name="40% - Accent6 2 5" xfId="454"/>
    <cellStyle name="40% - Accent6 2 5 2" xfId="1192"/>
    <cellStyle name="40% - Accent6 2 5 3" xfId="1789"/>
    <cellStyle name="40% - Accent6 2 5 4" xfId="2512"/>
    <cellStyle name="40% - Accent6 2 5 5" xfId="3230"/>
    <cellStyle name="40% - Accent6 2 6" xfId="534"/>
    <cellStyle name="40% - Accent6 2 6 2" xfId="1266"/>
    <cellStyle name="40% - Accent6 2 6 3" xfId="1828"/>
    <cellStyle name="40% - Accent6 2 6 4" xfId="2586"/>
    <cellStyle name="40% - Accent6 2 6 5" xfId="3304"/>
    <cellStyle name="40% - Accent6 2 7" xfId="861"/>
    <cellStyle name="40% - Accent6 2 7 2" xfId="1710"/>
    <cellStyle name="40% - Accent6 2 7 3" xfId="1899"/>
    <cellStyle name="40% - Accent6 2 8" xfId="1641"/>
    <cellStyle name="40% - Accent6 2 9" xfId="1748"/>
    <cellStyle name="40% - Accent6 3" xfId="87"/>
    <cellStyle name="40% - Accent6 3 2" xfId="222"/>
    <cellStyle name="40% - Accent6 3 2 2" xfId="365"/>
    <cellStyle name="40% - Accent6 3 2 2 2" xfId="770"/>
    <cellStyle name="40% - Accent6 3 2 2 2 2" xfId="1501"/>
    <cellStyle name="40% - Accent6 3 2 2 2 3" xfId="2821"/>
    <cellStyle name="40% - Accent6 3 2 2 2 4" xfId="3539"/>
    <cellStyle name="40% - Accent6 3 2 2 3" xfId="1104"/>
    <cellStyle name="40% - Accent6 3 2 2 4" xfId="2422"/>
    <cellStyle name="40% - Accent6 3 2 2 5" xfId="3142"/>
    <cellStyle name="40% - Accent6 3 2 3" xfId="627"/>
    <cellStyle name="40% - Accent6 3 2 3 2" xfId="1359"/>
    <cellStyle name="40% - Accent6 3 2 3 3" xfId="2679"/>
    <cellStyle name="40% - Accent6 3 2 3 4" xfId="3397"/>
    <cellStyle name="40% - Accent6 3 2 4" xfId="962"/>
    <cellStyle name="40% - Accent6 3 2 5" xfId="2087"/>
    <cellStyle name="40% - Accent6 3 2 6" xfId="2280"/>
    <cellStyle name="40% - Accent6 3 2 7" xfId="3000"/>
    <cellStyle name="40% - Accent6 3 3" xfId="364"/>
    <cellStyle name="40% - Accent6 3 3 2" xfId="769"/>
    <cellStyle name="40% - Accent6 3 3 2 2" xfId="1500"/>
    <cellStyle name="40% - Accent6 3 3 2 3" xfId="2820"/>
    <cellStyle name="40% - Accent6 3 3 2 4" xfId="3538"/>
    <cellStyle name="40% - Accent6 3 3 3" xfId="1103"/>
    <cellStyle name="40% - Accent6 3 3 4" xfId="2045"/>
    <cellStyle name="40% - Accent6 3 3 5" xfId="2421"/>
    <cellStyle name="40% - Accent6 3 3 6" xfId="3141"/>
    <cellStyle name="40% - Accent6 3 4" xfId="469"/>
    <cellStyle name="40% - Accent6 3 4 2" xfId="1207"/>
    <cellStyle name="40% - Accent6 3 4 3" xfId="1843"/>
    <cellStyle name="40% - Accent6 3 4 4" xfId="2527"/>
    <cellStyle name="40% - Accent6 3 4 5" xfId="3245"/>
    <cellStyle name="40% - Accent6 3 5" xfId="550"/>
    <cellStyle name="40% - Accent6 3 5 2" xfId="1282"/>
    <cellStyle name="40% - Accent6 3 5 3" xfId="2602"/>
    <cellStyle name="40% - Accent6 3 5 4" xfId="3320"/>
    <cellStyle name="40% - Accent6 3 6" xfId="878"/>
    <cellStyle name="40% - Accent6 3 7" xfId="1969"/>
    <cellStyle name="40% - Accent6 3 8" xfId="2203"/>
    <cellStyle name="40% - Accent6 3 9" xfId="2923"/>
    <cellStyle name="40% - Accent6 4" xfId="191"/>
    <cellStyle name="40% - Accent6 4 2" xfId="366"/>
    <cellStyle name="40% - Accent6 4 2 2" xfId="771"/>
    <cellStyle name="40% - Accent6 4 2 2 2" xfId="1502"/>
    <cellStyle name="40% - Accent6 4 2 2 3" xfId="2822"/>
    <cellStyle name="40% - Accent6 4 2 2 4" xfId="3540"/>
    <cellStyle name="40% - Accent6 4 2 3" xfId="1105"/>
    <cellStyle name="40% - Accent6 4 2 4" xfId="2423"/>
    <cellStyle name="40% - Accent6 4 2 5" xfId="3143"/>
    <cellStyle name="40% - Accent6 4 3" xfId="596"/>
    <cellStyle name="40% - Accent6 4 3 2" xfId="1328"/>
    <cellStyle name="40% - Accent6 4 3 3" xfId="2648"/>
    <cellStyle name="40% - Accent6 4 3 4" xfId="3366"/>
    <cellStyle name="40% - Accent6 4 4" xfId="931"/>
    <cellStyle name="40% - Accent6 4 5" xfId="2007"/>
    <cellStyle name="40% - Accent6 4 6" xfId="2249"/>
    <cellStyle name="40% - Accent6 4 7" xfId="2969"/>
    <cellStyle name="40% - Accent6 5" xfId="269"/>
    <cellStyle name="40% - Accent6 5 2" xfId="674"/>
    <cellStyle name="40% - Accent6 5 2 2" xfId="1406"/>
    <cellStyle name="40% - Accent6 5 2 3" xfId="2726"/>
    <cellStyle name="40% - Accent6 5 2 4" xfId="3444"/>
    <cellStyle name="40% - Accent6 5 3" xfId="1009"/>
    <cellStyle name="40% - Accent6 5 4" xfId="2131"/>
    <cellStyle name="40% - Accent6 5 5" xfId="2327"/>
    <cellStyle name="40% - Accent6 5 6" xfId="3047"/>
    <cellStyle name="40% - Accent6 6" xfId="359"/>
    <cellStyle name="40% - Accent6 6 2" xfId="764"/>
    <cellStyle name="40% - Accent6 6 2 2" xfId="1495"/>
    <cellStyle name="40% - Accent6 6 2 3" xfId="2815"/>
    <cellStyle name="40% - Accent6 6 2 4" xfId="3533"/>
    <cellStyle name="40% - Accent6 6 3" xfId="1098"/>
    <cellStyle name="40% - Accent6 6 4" xfId="2416"/>
    <cellStyle name="40% - Accent6 6 5" xfId="3136"/>
    <cellStyle name="40% - Accent6 7" xfId="439"/>
    <cellStyle name="40% - Accent6 7 2" xfId="1177"/>
    <cellStyle name="40% - Accent6 7 3" xfId="1814"/>
    <cellStyle name="40% - Accent6 7 4" xfId="2497"/>
    <cellStyle name="40% - Accent6 7 5" xfId="3215"/>
    <cellStyle name="40% - Accent6 8" xfId="519"/>
    <cellStyle name="40% - Accent6 8 2" xfId="1251"/>
    <cellStyle name="40% - Accent6 8 3" xfId="1887"/>
    <cellStyle name="40% - Accent6 8 4" xfId="2571"/>
    <cellStyle name="40% - Accent6 8 5" xfId="3289"/>
    <cellStyle name="40% - Accent6 9" xfId="846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60"/>
    <cellStyle name="Comma 2 2" xfId="63"/>
    <cellStyle name="Comma 2 2 2" xfId="172"/>
    <cellStyle name="Comma 2 2 2 2" xfId="1679"/>
    <cellStyle name="Comma 2 2 2 3" xfId="1688"/>
    <cellStyle name="Comma 2 2 3" xfId="164"/>
    <cellStyle name="Comma 2 2 4" xfId="138"/>
    <cellStyle name="Comma 2 2 5" xfId="1617"/>
    <cellStyle name="Comma 2 2 6" xfId="900"/>
    <cellStyle name="Comma 2 3" xfId="126"/>
    <cellStyle name="Comma 2 3 2" xfId="162"/>
    <cellStyle name="Comma 2 3 3" xfId="1595"/>
    <cellStyle name="Comma 2 4" xfId="153"/>
    <cellStyle name="Comma 2 5" xfId="1630"/>
    <cellStyle name="Comma 3" xfId="70"/>
    <cellStyle name="Comma 3 2" xfId="150"/>
    <cellStyle name="Comma 3 3" xfId="171"/>
    <cellStyle name="Comma 3 4" xfId="154"/>
    <cellStyle name="Comma 3 5" xfId="1578"/>
    <cellStyle name="Comma 4" xfId="113"/>
    <cellStyle name="Comma 4 2" xfId="125"/>
    <cellStyle name="Comma 4 2 2" xfId="178"/>
    <cellStyle name="Comma 4 2 3" xfId="1605"/>
    <cellStyle name="Comma 4 2 4" xfId="1669"/>
    <cellStyle name="Comma 4 2 5" xfId="1580"/>
    <cellStyle name="Comma 4 3" xfId="152"/>
    <cellStyle name="Comma 4 4" xfId="1567"/>
    <cellStyle name="Comma 4 5" xfId="1621"/>
    <cellStyle name="Comma 5" xfId="124"/>
    <cellStyle name="Comma 5 2" xfId="135"/>
    <cellStyle name="Comma 5 3" xfId="243"/>
    <cellStyle name="Comma 5 3 2" xfId="369"/>
    <cellStyle name="Comma 5 3 2 2" xfId="774"/>
    <cellStyle name="Comma 5 3 2 2 2" xfId="1504"/>
    <cellStyle name="Comma 5 3 2 2 3" xfId="2824"/>
    <cellStyle name="Comma 5 3 2 2 4" xfId="3542"/>
    <cellStyle name="Comma 5 3 2 3" xfId="1107"/>
    <cellStyle name="Comma 5 3 2 4" xfId="2425"/>
    <cellStyle name="Comma 5 3 2 5" xfId="3145"/>
    <cellStyle name="Comma 5 3 3" xfId="648"/>
    <cellStyle name="Comma 5 3 3 2" xfId="1380"/>
    <cellStyle name="Comma 5 3 3 3" xfId="2700"/>
    <cellStyle name="Comma 5 3 3 4" xfId="3418"/>
    <cellStyle name="Comma 5 3 4" xfId="983"/>
    <cellStyle name="Comma 5 3 5" xfId="2107"/>
    <cellStyle name="Comma 5 3 6" xfId="2301"/>
    <cellStyle name="Comma 5 3 7" xfId="3021"/>
    <cellStyle name="Comma 5 4" xfId="368"/>
    <cellStyle name="Comma 5 4 2" xfId="773"/>
    <cellStyle name="Comma 5 4 2 2" xfId="1503"/>
    <cellStyle name="Comma 5 4 2 3" xfId="2823"/>
    <cellStyle name="Comma 5 4 2 4" xfId="3541"/>
    <cellStyle name="Comma 5 4 3" xfId="1106"/>
    <cellStyle name="Comma 5 4 4" xfId="2063"/>
    <cellStyle name="Comma 5 4 5" xfId="2424"/>
    <cellStyle name="Comma 5 4 6" xfId="3144"/>
    <cellStyle name="Comma 5 5" xfId="571"/>
    <cellStyle name="Comma 5 5 2" xfId="1303"/>
    <cellStyle name="Comma 5 5 3" xfId="1586"/>
    <cellStyle name="Comma 5 5 3 2" xfId="1864"/>
    <cellStyle name="Comma 5 5 4" xfId="2623"/>
    <cellStyle name="Comma 5 5 5" xfId="3341"/>
    <cellStyle name="Comma 5 6" xfId="902"/>
    <cellStyle name="Comma 5 6 2" xfId="833"/>
    <cellStyle name="Comma 5 7" xfId="1622"/>
    <cellStyle name="Comma 5 7 2" xfId="1626"/>
    <cellStyle name="Comma 5 8" xfId="2224"/>
    <cellStyle name="Comma 5 9" xfId="2944"/>
    <cellStyle name="Comma 6" xfId="111"/>
    <cellStyle name="Comma 6 2" xfId="118"/>
    <cellStyle name="Comma 6 3" xfId="1577"/>
    <cellStyle name="Comma 7" xfId="367"/>
    <cellStyle name="Comma 7 2" xfId="772"/>
    <cellStyle name="Comma 7 3" xfId="1671"/>
    <cellStyle name="Comma 7 3 2" xfId="2483"/>
    <cellStyle name="Comma 7 4" xfId="1659"/>
    <cellStyle name="Comma 7 5" xfId="1647"/>
    <cellStyle name="Comma 8" xfId="488"/>
    <cellStyle name="Comma 8 2" xfId="1226"/>
    <cellStyle name="Comma 8 3" xfId="2172"/>
    <cellStyle name="Comma 8 4" xfId="2546"/>
    <cellStyle name="Comma 8 5" xfId="3264"/>
    <cellStyle name="Comma 9" xfId="1591"/>
    <cellStyle name="Comma 9 2" xfId="1684"/>
    <cellStyle name="Currency" xfId="2" builtinId="4"/>
    <cellStyle name="Currency 2" xfId="61"/>
    <cellStyle name="Currency 3" xfId="114"/>
    <cellStyle name="Currency 3 2" xfId="1670"/>
    <cellStyle name="Currency 4" xfId="107"/>
    <cellStyle name="Currency 5" xfId="1561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 2" xfId="127"/>
    <cellStyle name="Hyperlink 3" xfId="128"/>
    <cellStyle name="Hyperlink 4" xfId="146"/>
    <cellStyle name="Hyperlink 4 2" xfId="173"/>
    <cellStyle name="Hyperlink 4 3" xfId="1615"/>
    <cellStyle name="Hyperlink 5" xfId="490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10" xfId="137"/>
    <cellStyle name="Normal 10 2" xfId="244"/>
    <cellStyle name="Normal 10 2 2" xfId="371"/>
    <cellStyle name="Normal 10 2 2 2" xfId="776"/>
    <cellStyle name="Normal 10 2 2 2 2" xfId="1506"/>
    <cellStyle name="Normal 10 2 2 2 3" xfId="2826"/>
    <cellStyle name="Normal 10 2 2 2 4" xfId="3544"/>
    <cellStyle name="Normal 10 2 2 3" xfId="1109"/>
    <cellStyle name="Normal 10 2 2 4" xfId="2427"/>
    <cellStyle name="Normal 10 2 2 5" xfId="3147"/>
    <cellStyle name="Normal 10 2 3" xfId="649"/>
    <cellStyle name="Normal 10 2 3 2" xfId="1381"/>
    <cellStyle name="Normal 10 2 3 3" xfId="2701"/>
    <cellStyle name="Normal 10 2 3 4" xfId="3419"/>
    <cellStyle name="Normal 10 2 4" xfId="984"/>
    <cellStyle name="Normal 10 2 5" xfId="2108"/>
    <cellStyle name="Normal 10 2 6" xfId="2302"/>
    <cellStyle name="Normal 10 2 7" xfId="3022"/>
    <cellStyle name="Normal 10 3" xfId="370"/>
    <cellStyle name="Normal 10 3 2" xfId="775"/>
    <cellStyle name="Normal 10 3 2 2" xfId="1505"/>
    <cellStyle name="Normal 10 3 2 3" xfId="2825"/>
    <cellStyle name="Normal 10 3 2 4" xfId="3543"/>
    <cellStyle name="Normal 10 3 3" xfId="1108"/>
    <cellStyle name="Normal 10 3 4" xfId="2064"/>
    <cellStyle name="Normal 10 3 5" xfId="2426"/>
    <cellStyle name="Normal 10 3 6" xfId="3146"/>
    <cellStyle name="Normal 10 4" xfId="499"/>
    <cellStyle name="Normal 10 4 2" xfId="1232"/>
    <cellStyle name="Normal 10 4 3" xfId="1865"/>
    <cellStyle name="Normal 10 4 4" xfId="2552"/>
    <cellStyle name="Normal 10 4 5" xfId="3270"/>
    <cellStyle name="Normal 10 5" xfId="572"/>
    <cellStyle name="Normal 10 5 2" xfId="1304"/>
    <cellStyle name="Normal 10 5 3" xfId="2624"/>
    <cellStyle name="Normal 10 5 4" xfId="3342"/>
    <cellStyle name="Normal 10 6" xfId="904"/>
    <cellStyle name="Normal 10 7" xfId="1957"/>
    <cellStyle name="Normal 10 8" xfId="2225"/>
    <cellStyle name="Normal 10 9" xfId="2945"/>
    <cellStyle name="Normal 11" xfId="131"/>
    <cellStyle name="Normal 11 2" xfId="1596"/>
    <cellStyle name="Normal 11 3" xfId="1601"/>
    <cellStyle name="Normal 11 4" xfId="1768"/>
    <cellStyle name="Normal 11 5" xfId="1995"/>
    <cellStyle name="Normal 12" xfId="179"/>
    <cellStyle name="Normal 12 2" xfId="372"/>
    <cellStyle name="Normal 12 2 2" xfId="777"/>
    <cellStyle name="Normal 12 2 2 2" xfId="1507"/>
    <cellStyle name="Normal 12 2 2 3" xfId="2827"/>
    <cellStyle name="Normal 12 2 2 4" xfId="3545"/>
    <cellStyle name="Normal 12 2 3" xfId="1110"/>
    <cellStyle name="Normal 12 2 4" xfId="2428"/>
    <cellStyle name="Normal 12 2 5" xfId="3148"/>
    <cellStyle name="Normal 12 3" xfId="489"/>
    <cellStyle name="Normal 12 3 2" xfId="1643"/>
    <cellStyle name="Normal 12 4" xfId="584"/>
    <cellStyle name="Normal 12 4 2" xfId="1316"/>
    <cellStyle name="Normal 12 4 3" xfId="2636"/>
    <cellStyle name="Normal 12 4 4" xfId="3354"/>
    <cellStyle name="Normal 12 5" xfId="919"/>
    <cellStyle name="Normal 12 6" xfId="2072"/>
    <cellStyle name="Normal 12 7" xfId="2237"/>
    <cellStyle name="Normal 12 8" xfId="2957"/>
    <cellStyle name="Normal 13" xfId="256"/>
    <cellStyle name="Normal 13 2" xfId="373"/>
    <cellStyle name="Normal 13 2 2" xfId="507"/>
    <cellStyle name="Normal 13 2 2 2" xfId="1665"/>
    <cellStyle name="Normal 13 2 3" xfId="778"/>
    <cellStyle name="Normal 13 2 3 2" xfId="1508"/>
    <cellStyle name="Normal 13 2 3 2 2" xfId="1915"/>
    <cellStyle name="Normal 13 2 3 3" xfId="2828"/>
    <cellStyle name="Normal 13 2 3 4" xfId="3546"/>
    <cellStyle name="Normal 13 2 4" xfId="1111"/>
    <cellStyle name="Normal 13 2 5" xfId="2429"/>
    <cellStyle name="Normal 13 2 6" xfId="3149"/>
    <cellStyle name="Normal 13 3" xfId="506"/>
    <cellStyle name="Normal 13 3 2" xfId="1239"/>
    <cellStyle name="Normal 13 3 3" xfId="2559"/>
    <cellStyle name="Normal 13 3 4" xfId="3277"/>
    <cellStyle name="Normal 13 4" xfId="661"/>
    <cellStyle name="Normal 13 4 2" xfId="1393"/>
    <cellStyle name="Normal 13 4 3" xfId="2713"/>
    <cellStyle name="Normal 13 4 4" xfId="3431"/>
    <cellStyle name="Normal 13 5" xfId="996"/>
    <cellStyle name="Normal 13 5 2" xfId="2482"/>
    <cellStyle name="Normal 13 6" xfId="2119"/>
    <cellStyle name="Normal 13 7" xfId="2314"/>
    <cellStyle name="Normal 13 8" xfId="3034"/>
    <cellStyle name="Normal 14" xfId="270"/>
    <cellStyle name="Normal 14 2" xfId="675"/>
    <cellStyle name="Normal 14 2 2" xfId="1914"/>
    <cellStyle name="Normal 14 2 3" xfId="1694"/>
    <cellStyle name="Normal 14 3" xfId="1686"/>
    <cellStyle name="Normal 15" xfId="426"/>
    <cellStyle name="Normal 15 2" xfId="1164"/>
    <cellStyle name="Normal 15 3" xfId="1875"/>
    <cellStyle name="Normal 15 4" xfId="2171"/>
    <cellStyle name="Normal 15 5" xfId="2484"/>
    <cellStyle name="Normal 15 6" xfId="3202"/>
    <cellStyle name="Normal 16" xfId="831"/>
    <cellStyle name="Normal 16 2" xfId="1660"/>
    <cellStyle name="Normal 17" xfId="1610"/>
    <cellStyle name="Normal 18" xfId="1917"/>
    <cellStyle name="Normal 19" xfId="2157"/>
    <cellStyle name="Normal 2" xfId="43"/>
    <cellStyle name="Normal 2 10" xfId="520"/>
    <cellStyle name="Normal 2 10 2" xfId="1252"/>
    <cellStyle name="Normal 2 10 3" xfId="1815"/>
    <cellStyle name="Normal 2 10 4" xfId="2572"/>
    <cellStyle name="Normal 2 10 5" xfId="3290"/>
    <cellStyle name="Normal 2 11" xfId="847"/>
    <cellStyle name="Normal 2 11 2" xfId="1711"/>
    <cellStyle name="Normal 2 11 3" xfId="1900"/>
    <cellStyle name="Normal 2 12" xfId="1657"/>
    <cellStyle name="Normal 2 13" xfId="1749"/>
    <cellStyle name="Normal 2 14" xfId="1943"/>
    <cellStyle name="Normal 2 15" xfId="2173"/>
    <cellStyle name="Normal 2 16" xfId="2893"/>
    <cellStyle name="Normal 2 2" xfId="65"/>
    <cellStyle name="Normal 2 2 2" xfId="74"/>
    <cellStyle name="Normal 2 2 2 10" xfId="1944"/>
    <cellStyle name="Normal 2 2 2 2" xfId="145"/>
    <cellStyle name="Normal 2 2 2 2 10" xfId="2948"/>
    <cellStyle name="Normal 2 2 2 2 2" xfId="158"/>
    <cellStyle name="Normal 2 2 2 2 2 10" xfId="1952"/>
    <cellStyle name="Normal 2 2 2 2 2 11" xfId="2232"/>
    <cellStyle name="Normal 2 2 2 2 2 12" xfId="2952"/>
    <cellStyle name="Normal 2 2 2 2 2 2" xfId="251"/>
    <cellStyle name="Normal 2 2 2 2 2 2 2" xfId="377"/>
    <cellStyle name="Normal 2 2 2 2 2 2 2 2" xfId="782"/>
    <cellStyle name="Normal 2 2 2 2 2 2 2 2 2" xfId="1512"/>
    <cellStyle name="Normal 2 2 2 2 2 2 2 2 3" xfId="2832"/>
    <cellStyle name="Normal 2 2 2 2 2 2 2 2 4" xfId="3550"/>
    <cellStyle name="Normal 2 2 2 2 2 2 2 3" xfId="1115"/>
    <cellStyle name="Normal 2 2 2 2 2 2 2 4" xfId="2113"/>
    <cellStyle name="Normal 2 2 2 2 2 2 2 5" xfId="2433"/>
    <cellStyle name="Normal 2 2 2 2 2 2 2 6" xfId="3153"/>
    <cellStyle name="Normal 2 2 2 2 2 2 3" xfId="656"/>
    <cellStyle name="Normal 2 2 2 2 2 2 3 2" xfId="1388"/>
    <cellStyle name="Normal 2 2 2 2 2 2 3 3" xfId="1874"/>
    <cellStyle name="Normal 2 2 2 2 2 2 3 4" xfId="2708"/>
    <cellStyle name="Normal 2 2 2 2 2 2 3 5" xfId="3426"/>
    <cellStyle name="Normal 2 2 2 2 2 2 4" xfId="991"/>
    <cellStyle name="Normal 2 2 2 2 2 2 5" xfId="1766"/>
    <cellStyle name="Normal 2 2 2 2 2 2 6" xfId="1991"/>
    <cellStyle name="Normal 2 2 2 2 2 2 7" xfId="2309"/>
    <cellStyle name="Normal 2 2 2 2 2 2 8" xfId="3029"/>
    <cellStyle name="Normal 2 2 2 2 2 3" xfId="376"/>
    <cellStyle name="Normal 2 2 2 2 2 3 2" xfId="781"/>
    <cellStyle name="Normal 2 2 2 2 2 3 2 2" xfId="1511"/>
    <cellStyle name="Normal 2 2 2 2 2 3 2 3" xfId="2831"/>
    <cellStyle name="Normal 2 2 2 2 2 3 2 4" xfId="3549"/>
    <cellStyle name="Normal 2 2 2 2 2 3 3" xfId="1114"/>
    <cellStyle name="Normal 2 2 2 2 2 3 4" xfId="2029"/>
    <cellStyle name="Normal 2 2 2 2 2 3 5" xfId="2432"/>
    <cellStyle name="Normal 2 2 2 2 2 3 6" xfId="3152"/>
    <cellStyle name="Normal 2 2 2 2 2 4" xfId="503"/>
    <cellStyle name="Normal 2 2 2 2 2 4 2" xfId="1236"/>
    <cellStyle name="Normal 2 2 2 2 2 4 3" xfId="1776"/>
    <cellStyle name="Normal 2 2 2 2 2 4 4" xfId="2153"/>
    <cellStyle name="Normal 2 2 2 2 2 4 5" xfId="2556"/>
    <cellStyle name="Normal 2 2 2 2 2 4 6" xfId="3274"/>
    <cellStyle name="Normal 2 2 2 2 2 5" xfId="579"/>
    <cellStyle name="Normal 2 2 2 2 2 5 2" xfId="1311"/>
    <cellStyle name="Normal 2 2 2 2 2 5 3" xfId="1799"/>
    <cellStyle name="Normal 2 2 2 2 2 5 4" xfId="2631"/>
    <cellStyle name="Normal 2 2 2 2 2 5 5" xfId="3349"/>
    <cellStyle name="Normal 2 2 2 2 2 6" xfId="912"/>
    <cellStyle name="Normal 2 2 2 2 2 6 2" xfId="1698"/>
    <cellStyle name="Normal 2 2 2 2 2 6 3" xfId="1869"/>
    <cellStyle name="Normal 2 2 2 2 2 7" xfId="1646"/>
    <cellStyle name="Normal 2 2 2 2 2 7 2" xfId="1720"/>
    <cellStyle name="Normal 2 2 2 2 2 7 3" xfId="1909"/>
    <cellStyle name="Normal 2 2 2 2 2 8" xfId="1640"/>
    <cellStyle name="Normal 2 2 2 2 2 9" xfId="1758"/>
    <cellStyle name="Normal 2 2 2 2 3" xfId="170"/>
    <cellStyle name="Normal 2 2 2 2 4" xfId="247"/>
    <cellStyle name="Normal 2 2 2 2 4 2" xfId="378"/>
    <cellStyle name="Normal 2 2 2 2 4 2 2" xfId="783"/>
    <cellStyle name="Normal 2 2 2 2 4 2 2 2" xfId="1513"/>
    <cellStyle name="Normal 2 2 2 2 4 2 2 3" xfId="2833"/>
    <cellStyle name="Normal 2 2 2 2 4 2 2 4" xfId="3551"/>
    <cellStyle name="Normal 2 2 2 2 4 2 3" xfId="1116"/>
    <cellStyle name="Normal 2 2 2 2 4 2 4" xfId="2434"/>
    <cellStyle name="Normal 2 2 2 2 4 2 5" xfId="3154"/>
    <cellStyle name="Normal 2 2 2 2 4 3" xfId="652"/>
    <cellStyle name="Normal 2 2 2 2 4 3 2" xfId="1384"/>
    <cellStyle name="Normal 2 2 2 2 4 3 3" xfId="2704"/>
    <cellStyle name="Normal 2 2 2 2 4 3 4" xfId="3422"/>
    <cellStyle name="Normal 2 2 2 2 4 4" xfId="987"/>
    <cellStyle name="Normal 2 2 2 2 4 5" xfId="2109"/>
    <cellStyle name="Normal 2 2 2 2 4 6" xfId="2305"/>
    <cellStyle name="Normal 2 2 2 2 4 7" xfId="3025"/>
    <cellStyle name="Normal 2 2 2 2 5" xfId="375"/>
    <cellStyle name="Normal 2 2 2 2 5 2" xfId="780"/>
    <cellStyle name="Normal 2 2 2 2 5 2 2" xfId="1510"/>
    <cellStyle name="Normal 2 2 2 2 5 2 3" xfId="2830"/>
    <cellStyle name="Normal 2 2 2 2 5 2 4" xfId="3548"/>
    <cellStyle name="Normal 2 2 2 2 5 3" xfId="1113"/>
    <cellStyle name="Normal 2 2 2 2 5 4" xfId="2431"/>
    <cellStyle name="Normal 2 2 2 2 5 5" xfId="3151"/>
    <cellStyle name="Normal 2 2 2 2 6" xfId="495"/>
    <cellStyle name="Normal 2 2 2 2 6 2" xfId="1229"/>
    <cellStyle name="Normal 2 2 2 2 6 3" xfId="2549"/>
    <cellStyle name="Normal 2 2 2 2 6 4" xfId="3267"/>
    <cellStyle name="Normal 2 2 2 2 7" xfId="575"/>
    <cellStyle name="Normal 2 2 2 2 7 2" xfId="1307"/>
    <cellStyle name="Normal 2 2 2 2 7 3" xfId="2627"/>
    <cellStyle name="Normal 2 2 2 2 7 4" xfId="3345"/>
    <cellStyle name="Normal 2 2 2 2 8" xfId="907"/>
    <cellStyle name="Normal 2 2 2 2 9" xfId="2228"/>
    <cellStyle name="Normal 2 2 2 3" xfId="1585"/>
    <cellStyle name="Normal 2 2 2 3 2" xfId="1651"/>
    <cellStyle name="Normal 2 2 2 3 3" xfId="1762"/>
    <cellStyle name="Normal 2 2 2 3 4" xfId="1983"/>
    <cellStyle name="Normal 2 2 2 4" xfId="1618"/>
    <cellStyle name="Normal 2 2 2 4 2" xfId="1653"/>
    <cellStyle name="Normal 2 2 2 4 3" xfId="1769"/>
    <cellStyle name="Normal 2 2 2 4 4" xfId="2021"/>
    <cellStyle name="Normal 2 2 2 5" xfId="1614"/>
    <cellStyle name="Normal 2 2 2 5 2" xfId="1692"/>
    <cellStyle name="Normal 2 2 2 5 3" xfId="1774"/>
    <cellStyle name="Normal 2 2 2 5 4" xfId="2145"/>
    <cellStyle name="Normal 2 2 2 6" xfId="1588"/>
    <cellStyle name="Normal 2 2 2 6 2" xfId="1695"/>
    <cellStyle name="Normal 2 2 2 6 3" xfId="1791"/>
    <cellStyle name="Normal 2 2 2 7" xfId="1638"/>
    <cellStyle name="Normal 2 2 2 7 2" xfId="1712"/>
    <cellStyle name="Normal 2 2 2 7 3" xfId="1901"/>
    <cellStyle name="Normal 2 2 2 8" xfId="1644"/>
    <cellStyle name="Normal 2 2 2 9" xfId="1750"/>
    <cellStyle name="Normal 2 2 3" xfId="71"/>
    <cellStyle name="Normal 2 2 3 2" xfId="167"/>
    <cellStyle name="Normal 2 2 3 3" xfId="155"/>
    <cellStyle name="Normal 2 2 3 3 2" xfId="248"/>
    <cellStyle name="Normal 2 2 3 3 2 2" xfId="380"/>
    <cellStyle name="Normal 2 2 3 3 2 2 2" xfId="785"/>
    <cellStyle name="Normal 2 2 3 3 2 2 2 2" xfId="1515"/>
    <cellStyle name="Normal 2 2 3 3 2 2 2 3" xfId="2835"/>
    <cellStyle name="Normal 2 2 3 3 2 2 2 4" xfId="3553"/>
    <cellStyle name="Normal 2 2 3 3 2 2 3" xfId="1118"/>
    <cellStyle name="Normal 2 2 3 3 2 2 4" xfId="2436"/>
    <cellStyle name="Normal 2 2 3 3 2 2 5" xfId="3156"/>
    <cellStyle name="Normal 2 2 3 3 2 3" xfId="653"/>
    <cellStyle name="Normal 2 2 3 3 2 3 2" xfId="1385"/>
    <cellStyle name="Normal 2 2 3 3 2 3 3" xfId="2705"/>
    <cellStyle name="Normal 2 2 3 3 2 3 4" xfId="3423"/>
    <cellStyle name="Normal 2 2 3 3 2 4" xfId="988"/>
    <cellStyle name="Normal 2 2 3 3 2 5" xfId="2110"/>
    <cellStyle name="Normal 2 2 3 3 2 6" xfId="2306"/>
    <cellStyle name="Normal 2 2 3 3 2 7" xfId="3026"/>
    <cellStyle name="Normal 2 2 3 3 3" xfId="379"/>
    <cellStyle name="Normal 2 2 3 3 3 2" xfId="784"/>
    <cellStyle name="Normal 2 2 3 3 3 2 2" xfId="1514"/>
    <cellStyle name="Normal 2 2 3 3 3 2 3" xfId="2834"/>
    <cellStyle name="Normal 2 2 3 3 3 2 4" xfId="3552"/>
    <cellStyle name="Normal 2 2 3 3 3 3" xfId="1117"/>
    <cellStyle name="Normal 2 2 3 3 3 4" xfId="2435"/>
    <cellStyle name="Normal 2 2 3 3 3 5" xfId="3155"/>
    <cellStyle name="Normal 2 2 3 3 4" xfId="500"/>
    <cellStyle name="Normal 2 2 3 3 4 2" xfId="1233"/>
    <cellStyle name="Normal 2 2 3 3 4 3" xfId="2553"/>
    <cellStyle name="Normal 2 2 3 3 4 4" xfId="3271"/>
    <cellStyle name="Normal 2 2 3 3 5" xfId="576"/>
    <cellStyle name="Normal 2 2 3 3 5 2" xfId="1308"/>
    <cellStyle name="Normal 2 2 3 3 5 3" xfId="2628"/>
    <cellStyle name="Normal 2 2 3 3 5 4" xfId="3346"/>
    <cellStyle name="Normal 2 2 3 3 6" xfId="909"/>
    <cellStyle name="Normal 2 2 3 3 7" xfId="2065"/>
    <cellStyle name="Normal 2 2 3 3 8" xfId="2229"/>
    <cellStyle name="Normal 2 2 3 3 9" xfId="2949"/>
    <cellStyle name="Normal 2 2 4" xfId="120"/>
    <cellStyle name="Normal 2 2 4 10" xfId="2943"/>
    <cellStyle name="Normal 2 2 4 2" xfId="242"/>
    <cellStyle name="Normal 2 2 4 2 2" xfId="382"/>
    <cellStyle name="Normal 2 2 4 2 2 2" xfId="787"/>
    <cellStyle name="Normal 2 2 4 2 2 2 2" xfId="1517"/>
    <cellStyle name="Normal 2 2 4 2 2 2 3" xfId="2837"/>
    <cellStyle name="Normal 2 2 4 2 2 2 4" xfId="3555"/>
    <cellStyle name="Normal 2 2 4 2 2 3" xfId="1120"/>
    <cellStyle name="Normal 2 2 4 2 2 4" xfId="2438"/>
    <cellStyle name="Normal 2 2 4 2 2 5" xfId="3158"/>
    <cellStyle name="Normal 2 2 4 2 3" xfId="647"/>
    <cellStyle name="Normal 2 2 4 2 3 2" xfId="1379"/>
    <cellStyle name="Normal 2 2 4 2 3 3" xfId="2699"/>
    <cellStyle name="Normal 2 2 4 2 3 4" xfId="3417"/>
    <cellStyle name="Normal 2 2 4 2 4" xfId="982"/>
    <cellStyle name="Normal 2 2 4 2 5" xfId="2106"/>
    <cellStyle name="Normal 2 2 4 2 6" xfId="2300"/>
    <cellStyle name="Normal 2 2 4 2 7" xfId="3020"/>
    <cellStyle name="Normal 2 2 4 3" xfId="381"/>
    <cellStyle name="Normal 2 2 4 3 2" xfId="786"/>
    <cellStyle name="Normal 2 2 4 3 2 2" xfId="1516"/>
    <cellStyle name="Normal 2 2 4 3 2 3" xfId="2836"/>
    <cellStyle name="Normal 2 2 4 3 2 4" xfId="3554"/>
    <cellStyle name="Normal 2 2 4 3 3" xfId="1119"/>
    <cellStyle name="Normal 2 2 4 3 3 2" xfId="1677"/>
    <cellStyle name="Normal 2 2 4 3 4" xfId="897"/>
    <cellStyle name="Normal 2 2 4 3 5" xfId="2437"/>
    <cellStyle name="Normal 2 2 4 3 6" xfId="3157"/>
    <cellStyle name="Normal 2 2 4 4" xfId="493"/>
    <cellStyle name="Normal 2 2 4 4 2" xfId="1228"/>
    <cellStyle name="Normal 2 2 4 4 3" xfId="1863"/>
    <cellStyle name="Normal 2 2 4 4 4" xfId="2548"/>
    <cellStyle name="Normal 2 2 4 4 5" xfId="3266"/>
    <cellStyle name="Normal 2 2 4 5" xfId="570"/>
    <cellStyle name="Normal 2 2 4 5 2" xfId="1302"/>
    <cellStyle name="Normal 2 2 4 5 3" xfId="2622"/>
    <cellStyle name="Normal 2 2 4 5 4" xfId="3340"/>
    <cellStyle name="Normal 2 2 4 6" xfId="901"/>
    <cellStyle name="Normal 2 2 4 6 2" xfId="1773"/>
    <cellStyle name="Normal 2 2 4 6 3" xfId="1689"/>
    <cellStyle name="Normal 2 2 4 7" xfId="1572"/>
    <cellStyle name="Normal 2 2 4 8" xfId="2062"/>
    <cellStyle name="Normal 2 2 4 9" xfId="2223"/>
    <cellStyle name="Normal 2 2 5" xfId="1600"/>
    <cellStyle name="Normal 2 2 6" xfId="1687"/>
    <cellStyle name="Normal 2 2 7" xfId="1664"/>
    <cellStyle name="Normal 2 3" xfId="64"/>
    <cellStyle name="Normal 2 3 2" xfId="916"/>
    <cellStyle name="Normal 2 3 3" xfId="898"/>
    <cellStyle name="Normal 2 4" xfId="69"/>
    <cellStyle name="Normal 2 4 2" xfId="139"/>
    <cellStyle name="Normal 2 4 2 2" xfId="166"/>
    <cellStyle name="Normal 2 4 2 3" xfId="1570"/>
    <cellStyle name="Normal 2 4 3" xfId="119"/>
    <cellStyle name="Normal 2 4 4" xfId="1597"/>
    <cellStyle name="Normal 2 4 5" xfId="1574"/>
    <cellStyle name="Normal 2 5" xfId="67"/>
    <cellStyle name="Normal 2 5 10" xfId="1950"/>
    <cellStyle name="Normal 2 5 11" xfId="2188"/>
    <cellStyle name="Normal 2 5 12" xfId="2908"/>
    <cellStyle name="Normal 2 5 2" xfId="103"/>
    <cellStyle name="Normal 2 5 2 2" xfId="238"/>
    <cellStyle name="Normal 2 5 2 2 2" xfId="385"/>
    <cellStyle name="Normal 2 5 2 2 2 2" xfId="790"/>
    <cellStyle name="Normal 2 5 2 2 2 2 2" xfId="1520"/>
    <cellStyle name="Normal 2 5 2 2 2 2 3" xfId="2840"/>
    <cellStyle name="Normal 2 5 2 2 2 2 4" xfId="3558"/>
    <cellStyle name="Normal 2 5 2 2 2 3" xfId="1123"/>
    <cellStyle name="Normal 2 5 2 2 2 4" xfId="2441"/>
    <cellStyle name="Normal 2 5 2 2 2 5" xfId="3161"/>
    <cellStyle name="Normal 2 5 2 2 3" xfId="643"/>
    <cellStyle name="Normal 2 5 2 2 3 2" xfId="1375"/>
    <cellStyle name="Normal 2 5 2 2 3 3" xfId="2695"/>
    <cellStyle name="Normal 2 5 2 2 3 4" xfId="3413"/>
    <cellStyle name="Normal 2 5 2 2 4" xfId="978"/>
    <cellStyle name="Normal 2 5 2 2 5" xfId="2102"/>
    <cellStyle name="Normal 2 5 2 2 6" xfId="2296"/>
    <cellStyle name="Normal 2 5 2 2 7" xfId="3016"/>
    <cellStyle name="Normal 2 5 2 3" xfId="384"/>
    <cellStyle name="Normal 2 5 2 3 2" xfId="789"/>
    <cellStyle name="Normal 2 5 2 3 2 2" xfId="1519"/>
    <cellStyle name="Normal 2 5 2 3 2 3" xfId="2839"/>
    <cellStyle name="Normal 2 5 2 3 2 4" xfId="3557"/>
    <cellStyle name="Normal 2 5 2 3 3" xfId="1122"/>
    <cellStyle name="Normal 2 5 2 3 4" xfId="2059"/>
    <cellStyle name="Normal 2 5 2 3 5" xfId="2440"/>
    <cellStyle name="Normal 2 5 2 3 6" xfId="3160"/>
    <cellStyle name="Normal 2 5 2 4" xfId="485"/>
    <cellStyle name="Normal 2 5 2 4 2" xfId="1223"/>
    <cellStyle name="Normal 2 5 2 4 3" xfId="1859"/>
    <cellStyle name="Normal 2 5 2 4 4" xfId="2543"/>
    <cellStyle name="Normal 2 5 2 4 5" xfId="3261"/>
    <cellStyle name="Normal 2 5 2 5" xfId="566"/>
    <cellStyle name="Normal 2 5 2 5 2" xfId="1298"/>
    <cellStyle name="Normal 2 5 2 5 3" xfId="2618"/>
    <cellStyle name="Normal 2 5 2 5 4" xfId="3336"/>
    <cellStyle name="Normal 2 5 2 6" xfId="894"/>
    <cellStyle name="Normal 2 5 2 7" xfId="1989"/>
    <cellStyle name="Normal 2 5 2 8" xfId="2219"/>
    <cellStyle name="Normal 2 5 2 9" xfId="2939"/>
    <cellStyle name="Normal 2 5 3" xfId="207"/>
    <cellStyle name="Normal 2 5 3 2" xfId="386"/>
    <cellStyle name="Normal 2 5 3 2 2" xfId="791"/>
    <cellStyle name="Normal 2 5 3 2 2 2" xfId="1521"/>
    <cellStyle name="Normal 2 5 3 2 2 3" xfId="2841"/>
    <cellStyle name="Normal 2 5 3 2 2 4" xfId="3559"/>
    <cellStyle name="Normal 2 5 3 2 3" xfId="1124"/>
    <cellStyle name="Normal 2 5 3 2 4" xfId="2442"/>
    <cellStyle name="Normal 2 5 3 2 5" xfId="3162"/>
    <cellStyle name="Normal 2 5 3 3" xfId="612"/>
    <cellStyle name="Normal 2 5 3 3 2" xfId="1344"/>
    <cellStyle name="Normal 2 5 3 3 2 2" xfId="1666"/>
    <cellStyle name="Normal 2 5 3 3 3" xfId="2664"/>
    <cellStyle name="Normal 2 5 3 3 4" xfId="3382"/>
    <cellStyle name="Normal 2 5 3 4" xfId="947"/>
    <cellStyle name="Normal 2 5 3 5" xfId="2027"/>
    <cellStyle name="Normal 2 5 3 6" xfId="2265"/>
    <cellStyle name="Normal 2 5 3 7" xfId="2985"/>
    <cellStyle name="Normal 2 5 4" xfId="383"/>
    <cellStyle name="Normal 2 5 4 2" xfId="788"/>
    <cellStyle name="Normal 2 5 4 2 2" xfId="1518"/>
    <cellStyle name="Normal 2 5 4 2 3" xfId="2838"/>
    <cellStyle name="Normal 2 5 4 2 4" xfId="3556"/>
    <cellStyle name="Normal 2 5 4 3" xfId="1121"/>
    <cellStyle name="Normal 2 5 4 4" xfId="2151"/>
    <cellStyle name="Normal 2 5 4 5" xfId="2439"/>
    <cellStyle name="Normal 2 5 4 6" xfId="3159"/>
    <cellStyle name="Normal 2 5 5" xfId="455"/>
    <cellStyle name="Normal 2 5 5 2" xfId="1193"/>
    <cellStyle name="Normal 2 5 5 3" xfId="1797"/>
    <cellStyle name="Normal 2 5 5 4" xfId="2513"/>
    <cellStyle name="Normal 2 5 5 5" xfId="3231"/>
    <cellStyle name="Normal 2 5 6" xfId="535"/>
    <cellStyle name="Normal 2 5 6 2" xfId="1267"/>
    <cellStyle name="Normal 2 5 6 3" xfId="1829"/>
    <cellStyle name="Normal 2 5 6 4" xfId="2587"/>
    <cellStyle name="Normal 2 5 6 5" xfId="3305"/>
    <cellStyle name="Normal 2 5 7" xfId="862"/>
    <cellStyle name="Normal 2 5 7 2" xfId="1718"/>
    <cellStyle name="Normal 2 5 7 3" xfId="1907"/>
    <cellStyle name="Normal 2 5 8" xfId="1656"/>
    <cellStyle name="Normal 2 5 9" xfId="1756"/>
    <cellStyle name="Normal 2 6" xfId="88"/>
    <cellStyle name="Normal 2 6 10" xfId="2924"/>
    <cellStyle name="Normal 2 6 2" xfId="223"/>
    <cellStyle name="Normal 2 6 2 2" xfId="388"/>
    <cellStyle name="Normal 2 6 2 2 2" xfId="793"/>
    <cellStyle name="Normal 2 6 2 2 2 2" xfId="1523"/>
    <cellStyle name="Normal 2 6 2 2 2 3" xfId="2843"/>
    <cellStyle name="Normal 2 6 2 2 2 4" xfId="3561"/>
    <cellStyle name="Normal 2 6 2 2 3" xfId="1126"/>
    <cellStyle name="Normal 2 6 2 2 4" xfId="2444"/>
    <cellStyle name="Normal 2 6 2 2 5" xfId="3164"/>
    <cellStyle name="Normal 2 6 2 3" xfId="628"/>
    <cellStyle name="Normal 2 6 2 3 2" xfId="1360"/>
    <cellStyle name="Normal 2 6 2 3 3" xfId="2680"/>
    <cellStyle name="Normal 2 6 2 3 4" xfId="3398"/>
    <cellStyle name="Normal 2 6 2 4" xfId="963"/>
    <cellStyle name="Normal 2 6 2 5" xfId="2088"/>
    <cellStyle name="Normal 2 6 2 6" xfId="2281"/>
    <cellStyle name="Normal 2 6 2 7" xfId="3001"/>
    <cellStyle name="Normal 2 6 3" xfId="387"/>
    <cellStyle name="Normal 2 6 3 2" xfId="792"/>
    <cellStyle name="Normal 2 6 3 2 2" xfId="1522"/>
    <cellStyle name="Normal 2 6 3 2 3" xfId="2842"/>
    <cellStyle name="Normal 2 6 3 2 4" xfId="3560"/>
    <cellStyle name="Normal 2 6 3 3" xfId="1125"/>
    <cellStyle name="Normal 2 6 3 4" xfId="2046"/>
    <cellStyle name="Normal 2 6 3 5" xfId="2443"/>
    <cellStyle name="Normal 2 6 3 6" xfId="3163"/>
    <cellStyle name="Normal 2 6 4" xfId="470"/>
    <cellStyle name="Normal 2 6 4 2" xfId="1208"/>
    <cellStyle name="Normal 2 6 4 3" xfId="1844"/>
    <cellStyle name="Normal 2 6 4 4" xfId="2528"/>
    <cellStyle name="Normal 2 6 4 5" xfId="3246"/>
    <cellStyle name="Normal 2 6 5" xfId="551"/>
    <cellStyle name="Normal 2 6 5 2" xfId="1283"/>
    <cellStyle name="Normal 2 6 5 3" xfId="2603"/>
    <cellStyle name="Normal 2 6 5 4" xfId="3321"/>
    <cellStyle name="Normal 2 6 6" xfId="879"/>
    <cellStyle name="Normal 2 6 7" xfId="1609"/>
    <cellStyle name="Normal 2 6 8" xfId="1982"/>
    <cellStyle name="Normal 2 6 9" xfId="2204"/>
    <cellStyle name="Normal 2 7" xfId="192"/>
    <cellStyle name="Normal 2 7 2" xfId="389"/>
    <cellStyle name="Normal 2 7 2 2" xfId="794"/>
    <cellStyle name="Normal 2 7 2 2 2" xfId="1524"/>
    <cellStyle name="Normal 2 7 2 2 3" xfId="2844"/>
    <cellStyle name="Normal 2 7 2 2 4" xfId="3562"/>
    <cellStyle name="Normal 2 7 2 3" xfId="1127"/>
    <cellStyle name="Normal 2 7 2 4" xfId="2445"/>
    <cellStyle name="Normal 2 7 2 5" xfId="3165"/>
    <cellStyle name="Normal 2 7 3" xfId="597"/>
    <cellStyle name="Normal 2 7 3 2" xfId="1329"/>
    <cellStyle name="Normal 2 7 3 3" xfId="2649"/>
    <cellStyle name="Normal 2 7 3 4" xfId="3367"/>
    <cellStyle name="Normal 2 7 4" xfId="932"/>
    <cellStyle name="Normal 2 7 5" xfId="2020"/>
    <cellStyle name="Normal 2 7 6" xfId="2250"/>
    <cellStyle name="Normal 2 7 7" xfId="2970"/>
    <cellStyle name="Normal 2 8" xfId="374"/>
    <cellStyle name="Normal 2 8 2" xfId="779"/>
    <cellStyle name="Normal 2 8 2 2" xfId="1509"/>
    <cellStyle name="Normal 2 8 2 3" xfId="2829"/>
    <cellStyle name="Normal 2 8 2 4" xfId="3547"/>
    <cellStyle name="Normal 2 8 3" xfId="1112"/>
    <cellStyle name="Normal 2 8 4" xfId="2144"/>
    <cellStyle name="Normal 2 8 5" xfId="2430"/>
    <cellStyle name="Normal 2 8 6" xfId="3150"/>
    <cellStyle name="Normal 2 9" xfId="440"/>
    <cellStyle name="Normal 2 9 2" xfId="1178"/>
    <cellStyle name="Normal 2 9 3" xfId="1790"/>
    <cellStyle name="Normal 2 9 4" xfId="2498"/>
    <cellStyle name="Normal 2 9 5" xfId="3216"/>
    <cellStyle name="Normal 20" xfId="3599"/>
    <cellStyle name="Normal 21" xfId="3601"/>
    <cellStyle name="Normal 22" xfId="3603"/>
    <cellStyle name="Normal 3" xfId="45"/>
    <cellStyle name="Normal 3 2" xfId="72"/>
    <cellStyle name="Normal 3 2 10" xfId="2910"/>
    <cellStyle name="Normal 3 2 2" xfId="105"/>
    <cellStyle name="Normal 3 2 2 10" xfId="1757"/>
    <cellStyle name="Normal 3 2 2 11" xfId="1951"/>
    <cellStyle name="Normal 3 2 2 12" xfId="2221"/>
    <cellStyle name="Normal 3 2 2 13" xfId="2941"/>
    <cellStyle name="Normal 3 2 2 2" xfId="168"/>
    <cellStyle name="Normal 3 2 2 2 2" xfId="255"/>
    <cellStyle name="Normal 3 2 2 2 2 2" xfId="393"/>
    <cellStyle name="Normal 3 2 2 2 2 2 2" xfId="798"/>
    <cellStyle name="Normal 3 2 2 2 2 2 2 2" xfId="1528"/>
    <cellStyle name="Normal 3 2 2 2 2 2 2 3" xfId="2848"/>
    <cellStyle name="Normal 3 2 2 2 2 2 2 4" xfId="3566"/>
    <cellStyle name="Normal 3 2 2 2 2 2 3" xfId="1131"/>
    <cellStyle name="Normal 3 2 2 2 2 2 4" xfId="2449"/>
    <cellStyle name="Normal 3 2 2 2 2 2 5" xfId="3169"/>
    <cellStyle name="Normal 3 2 2 2 2 3" xfId="660"/>
    <cellStyle name="Normal 3 2 2 2 2 3 2" xfId="1392"/>
    <cellStyle name="Normal 3 2 2 2 2 3 3" xfId="2712"/>
    <cellStyle name="Normal 3 2 2 2 2 3 4" xfId="3430"/>
    <cellStyle name="Normal 3 2 2 2 2 4" xfId="995"/>
    <cellStyle name="Normal 3 2 2 2 2 5" xfId="2117"/>
    <cellStyle name="Normal 3 2 2 2 2 6" xfId="2313"/>
    <cellStyle name="Normal 3 2 2 2 2 7" xfId="3033"/>
    <cellStyle name="Normal 3 2 2 2 3" xfId="392"/>
    <cellStyle name="Normal 3 2 2 2 3 2" xfId="797"/>
    <cellStyle name="Normal 3 2 2 2 3 2 2" xfId="1527"/>
    <cellStyle name="Normal 3 2 2 2 3 2 3" xfId="2847"/>
    <cellStyle name="Normal 3 2 2 2 3 2 4" xfId="3565"/>
    <cellStyle name="Normal 3 2 2 2 3 3" xfId="1130"/>
    <cellStyle name="Normal 3 2 2 2 3 4" xfId="2071"/>
    <cellStyle name="Normal 3 2 2 2 3 5" xfId="2448"/>
    <cellStyle name="Normal 3 2 2 2 3 6" xfId="3168"/>
    <cellStyle name="Normal 3 2 2 2 4" xfId="494"/>
    <cellStyle name="Normal 3 2 2 2 4 2" xfId="1675"/>
    <cellStyle name="Normal 3 2 2 2 4 3" xfId="1873"/>
    <cellStyle name="Normal 3 2 2 2 5" xfId="583"/>
    <cellStyle name="Normal 3 2 2 2 5 2" xfId="1315"/>
    <cellStyle name="Normal 3 2 2 2 5 3" xfId="2635"/>
    <cellStyle name="Normal 3 2 2 2 5 4" xfId="3353"/>
    <cellStyle name="Normal 3 2 2 2 6" xfId="917"/>
    <cellStyle name="Normal 3 2 2 2 7" xfId="1990"/>
    <cellStyle name="Normal 3 2 2 2 8" xfId="2236"/>
    <cellStyle name="Normal 3 2 2 2 9" xfId="2956"/>
    <cellStyle name="Normal 3 2 2 3" xfId="147"/>
    <cellStyle name="Normal 3 2 2 3 2" xfId="1582"/>
    <cellStyle name="Normal 3 2 2 3 3" xfId="1564"/>
    <cellStyle name="Normal 3 2 2 3 4" xfId="1772"/>
    <cellStyle name="Normal 3 2 2 3 5" xfId="2028"/>
    <cellStyle name="Normal 3 2 2 4" xfId="240"/>
    <cellStyle name="Normal 3 2 2 4 2" xfId="394"/>
    <cellStyle name="Normal 3 2 2 4 2 2" xfId="799"/>
    <cellStyle name="Normal 3 2 2 4 2 2 2" xfId="1529"/>
    <cellStyle name="Normal 3 2 2 4 2 2 3" xfId="2849"/>
    <cellStyle name="Normal 3 2 2 4 2 2 4" xfId="3567"/>
    <cellStyle name="Normal 3 2 2 4 2 3" xfId="1132"/>
    <cellStyle name="Normal 3 2 2 4 2 4" xfId="2450"/>
    <cellStyle name="Normal 3 2 2 4 2 5" xfId="3170"/>
    <cellStyle name="Normal 3 2 2 4 3" xfId="645"/>
    <cellStyle name="Normal 3 2 2 4 3 2" xfId="1377"/>
    <cellStyle name="Normal 3 2 2 4 3 3" xfId="2697"/>
    <cellStyle name="Normal 3 2 2 4 3 4" xfId="3415"/>
    <cellStyle name="Normal 3 2 2 4 4" xfId="980"/>
    <cellStyle name="Normal 3 2 2 4 5" xfId="2104"/>
    <cellStyle name="Normal 3 2 2 4 6" xfId="2298"/>
    <cellStyle name="Normal 3 2 2 4 7" xfId="3018"/>
    <cellStyle name="Normal 3 2 2 5" xfId="391"/>
    <cellStyle name="Normal 3 2 2 5 2" xfId="796"/>
    <cellStyle name="Normal 3 2 2 5 2 2" xfId="1526"/>
    <cellStyle name="Normal 3 2 2 5 2 3" xfId="2846"/>
    <cellStyle name="Normal 3 2 2 5 2 4" xfId="3564"/>
    <cellStyle name="Normal 3 2 2 5 3" xfId="1129"/>
    <cellStyle name="Normal 3 2 2 5 4" xfId="2152"/>
    <cellStyle name="Normal 3 2 2 5 5" xfId="2447"/>
    <cellStyle name="Normal 3 2 2 5 6" xfId="3167"/>
    <cellStyle name="Normal 3 2 2 6" xfId="487"/>
    <cellStyle name="Normal 3 2 2 6 2" xfId="1225"/>
    <cellStyle name="Normal 3 2 2 6 3" xfId="1798"/>
    <cellStyle name="Normal 3 2 2 6 4" xfId="2545"/>
    <cellStyle name="Normal 3 2 2 6 5" xfId="3263"/>
    <cellStyle name="Normal 3 2 2 7" xfId="568"/>
    <cellStyle name="Normal 3 2 2 7 2" xfId="1300"/>
    <cellStyle name="Normal 3 2 2 7 3" xfId="1861"/>
    <cellStyle name="Normal 3 2 2 7 4" xfId="2620"/>
    <cellStyle name="Normal 3 2 2 7 5" xfId="3338"/>
    <cellStyle name="Normal 3 2 2 8" xfId="896"/>
    <cellStyle name="Normal 3 2 2 8 2" xfId="1719"/>
    <cellStyle name="Normal 3 2 2 8 3" xfId="1908"/>
    <cellStyle name="Normal 3 2 2 9" xfId="1637"/>
    <cellStyle name="Normal 3 2 3" xfId="143"/>
    <cellStyle name="Normal 3 2 4" xfId="209"/>
    <cellStyle name="Normal 3 2 4 2" xfId="395"/>
    <cellStyle name="Normal 3 2 4 2 2" xfId="800"/>
    <cellStyle name="Normal 3 2 4 2 2 2" xfId="1530"/>
    <cellStyle name="Normal 3 2 4 2 2 3" xfId="2850"/>
    <cellStyle name="Normal 3 2 4 2 2 4" xfId="3568"/>
    <cellStyle name="Normal 3 2 4 2 3" xfId="1133"/>
    <cellStyle name="Normal 3 2 4 2 4" xfId="2451"/>
    <cellStyle name="Normal 3 2 4 2 5" xfId="3171"/>
    <cellStyle name="Normal 3 2 4 3" xfId="614"/>
    <cellStyle name="Normal 3 2 4 3 2" xfId="1346"/>
    <cellStyle name="Normal 3 2 4 3 3" xfId="2666"/>
    <cellStyle name="Normal 3 2 4 3 4" xfId="3384"/>
    <cellStyle name="Normal 3 2 4 4" xfId="949"/>
    <cellStyle name="Normal 3 2 4 5" xfId="2074"/>
    <cellStyle name="Normal 3 2 4 6" xfId="2267"/>
    <cellStyle name="Normal 3 2 4 7" xfId="2987"/>
    <cellStyle name="Normal 3 2 5" xfId="390"/>
    <cellStyle name="Normal 3 2 5 2" xfId="795"/>
    <cellStyle name="Normal 3 2 5 2 2" xfId="1525"/>
    <cellStyle name="Normal 3 2 5 2 2 2" xfId="1681"/>
    <cellStyle name="Normal 3 2 5 2 3" xfId="2845"/>
    <cellStyle name="Normal 3 2 5 2 4" xfId="3563"/>
    <cellStyle name="Normal 3 2 5 3" xfId="1128"/>
    <cellStyle name="Normal 3 2 5 4" xfId="1569"/>
    <cellStyle name="Normal 3 2 5 5" xfId="2446"/>
    <cellStyle name="Normal 3 2 5 6" xfId="3166"/>
    <cellStyle name="Normal 3 2 6" xfId="457"/>
    <cellStyle name="Normal 3 2 6 2" xfId="1195"/>
    <cellStyle name="Normal 3 2 6 3" xfId="2515"/>
    <cellStyle name="Normal 3 2 6 4" xfId="3233"/>
    <cellStyle name="Normal 3 2 7" xfId="537"/>
    <cellStyle name="Normal 3 2 7 2" xfId="1269"/>
    <cellStyle name="Normal 3 2 7 3" xfId="2589"/>
    <cellStyle name="Normal 3 2 7 4" xfId="3307"/>
    <cellStyle name="Normal 3 2 8" xfId="864"/>
    <cellStyle name="Normal 3 2 9" xfId="2190"/>
    <cellStyle name="Normal 3 3" xfId="129"/>
    <cellStyle name="Normal 3 4" xfId="117"/>
    <cellStyle name="Normal 3 5" xfId="1590"/>
    <cellStyle name="Normal 4" xfId="59"/>
    <cellStyle name="Normal 4 2" xfId="73"/>
    <cellStyle name="Normal 4 2 2" xfId="169"/>
    <cellStyle name="Normal 4 2 2 2" xfId="496"/>
    <cellStyle name="Normal 4 2 3" xfId="136"/>
    <cellStyle name="Normal 4 2 4" xfId="1589"/>
    <cellStyle name="Normal 4 2 4 2" xfId="1690"/>
    <cellStyle name="Normal 4 2 4 3" xfId="1661"/>
    <cellStyle name="Normal 4 2 4 4" xfId="2118"/>
    <cellStyle name="Normal 4 2 5" xfId="908"/>
    <cellStyle name="Normal 4 3" xfId="144"/>
    <cellStyle name="Normal 4 3 10" xfId="1602"/>
    <cellStyle name="Normal 4 3 11" xfId="1945"/>
    <cellStyle name="Normal 4 3 12" xfId="2227"/>
    <cellStyle name="Normal 4 3 13" xfId="2947"/>
    <cellStyle name="Normal 4 3 2" xfId="159"/>
    <cellStyle name="Normal 4 3 2 2" xfId="252"/>
    <cellStyle name="Normal 4 3 2 2 2" xfId="398"/>
    <cellStyle name="Normal 4 3 2 2 2 2" xfId="803"/>
    <cellStyle name="Normal 4 3 2 2 2 2 2" xfId="1533"/>
    <cellStyle name="Normal 4 3 2 2 2 2 3" xfId="2853"/>
    <cellStyle name="Normal 4 3 2 2 2 2 4" xfId="3571"/>
    <cellStyle name="Normal 4 3 2 2 2 3" xfId="1136"/>
    <cellStyle name="Normal 4 3 2 2 2 4" xfId="2454"/>
    <cellStyle name="Normal 4 3 2 2 2 5" xfId="3174"/>
    <cellStyle name="Normal 4 3 2 2 3" xfId="657"/>
    <cellStyle name="Normal 4 3 2 2 3 2" xfId="1389"/>
    <cellStyle name="Normal 4 3 2 2 3 3" xfId="2709"/>
    <cellStyle name="Normal 4 3 2 2 3 4" xfId="3427"/>
    <cellStyle name="Normal 4 3 2 2 4" xfId="992"/>
    <cellStyle name="Normal 4 3 2 2 5" xfId="2114"/>
    <cellStyle name="Normal 4 3 2 2 6" xfId="2310"/>
    <cellStyle name="Normal 4 3 2 2 7" xfId="3030"/>
    <cellStyle name="Normal 4 3 2 3" xfId="397"/>
    <cellStyle name="Normal 4 3 2 3 2" xfId="802"/>
    <cellStyle name="Normal 4 3 2 3 2 2" xfId="1532"/>
    <cellStyle name="Normal 4 3 2 3 2 3" xfId="2852"/>
    <cellStyle name="Normal 4 3 2 3 2 4" xfId="3570"/>
    <cellStyle name="Normal 4 3 2 3 3" xfId="1135"/>
    <cellStyle name="Normal 4 3 2 3 4" xfId="2068"/>
    <cellStyle name="Normal 4 3 2 3 5" xfId="2453"/>
    <cellStyle name="Normal 4 3 2 3 6" xfId="3173"/>
    <cellStyle name="Normal 4 3 2 4" xfId="504"/>
    <cellStyle name="Normal 4 3 2 4 2" xfId="1237"/>
    <cellStyle name="Normal 4 3 2 4 3" xfId="1870"/>
    <cellStyle name="Normal 4 3 2 4 4" xfId="2557"/>
    <cellStyle name="Normal 4 3 2 4 5" xfId="3275"/>
    <cellStyle name="Normal 4 3 2 5" xfId="580"/>
    <cellStyle name="Normal 4 3 2 5 2" xfId="1312"/>
    <cellStyle name="Normal 4 3 2 5 3" xfId="2632"/>
    <cellStyle name="Normal 4 3 2 5 4" xfId="3350"/>
    <cellStyle name="Normal 4 3 2 6" xfId="913"/>
    <cellStyle name="Normal 4 3 2 7" xfId="1984"/>
    <cellStyle name="Normal 4 3 2 8" xfId="2233"/>
    <cellStyle name="Normal 4 3 2 9" xfId="2953"/>
    <cellStyle name="Normal 4 3 3" xfId="246"/>
    <cellStyle name="Normal 4 3 3 2" xfId="399"/>
    <cellStyle name="Normal 4 3 3 2 2" xfId="804"/>
    <cellStyle name="Normal 4 3 3 2 2 2" xfId="1534"/>
    <cellStyle name="Normal 4 3 3 2 2 3" xfId="2854"/>
    <cellStyle name="Normal 4 3 3 2 2 4" xfId="3572"/>
    <cellStyle name="Normal 4 3 3 2 3" xfId="1137"/>
    <cellStyle name="Normal 4 3 3 2 4" xfId="2455"/>
    <cellStyle name="Normal 4 3 3 2 5" xfId="3175"/>
    <cellStyle name="Normal 4 3 3 3" xfId="651"/>
    <cellStyle name="Normal 4 3 3 3 2" xfId="1383"/>
    <cellStyle name="Normal 4 3 3 3 3" xfId="2703"/>
    <cellStyle name="Normal 4 3 3 3 4" xfId="3421"/>
    <cellStyle name="Normal 4 3 3 4" xfId="986"/>
    <cellStyle name="Normal 4 3 3 5" xfId="2022"/>
    <cellStyle name="Normal 4 3 3 6" xfId="2304"/>
    <cellStyle name="Normal 4 3 3 7" xfId="3024"/>
    <cellStyle name="Normal 4 3 4" xfId="396"/>
    <cellStyle name="Normal 4 3 4 2" xfId="801"/>
    <cellStyle name="Normal 4 3 4 2 2" xfId="1531"/>
    <cellStyle name="Normal 4 3 4 2 3" xfId="2851"/>
    <cellStyle name="Normal 4 3 4 2 4" xfId="3569"/>
    <cellStyle name="Normal 4 3 4 3" xfId="1134"/>
    <cellStyle name="Normal 4 3 4 4" xfId="2146"/>
    <cellStyle name="Normal 4 3 4 5" xfId="2452"/>
    <cellStyle name="Normal 4 3 4 6" xfId="3172"/>
    <cellStyle name="Normal 4 3 5" xfId="497"/>
    <cellStyle name="Normal 4 3 5 2" xfId="1230"/>
    <cellStyle name="Normal 4 3 5 3" xfId="1792"/>
    <cellStyle name="Normal 4 3 5 4" xfId="1619"/>
    <cellStyle name="Normal 4 3 5 5" xfId="2550"/>
    <cellStyle name="Normal 4 3 5 6" xfId="3268"/>
    <cellStyle name="Normal 4 3 6" xfId="574"/>
    <cellStyle name="Normal 4 3 6 2" xfId="1306"/>
    <cellStyle name="Normal 4 3 6 3" xfId="1867"/>
    <cellStyle name="Normal 4 3 6 4" xfId="2626"/>
    <cellStyle name="Normal 4 3 6 5" xfId="3344"/>
    <cellStyle name="Normal 4 3 7" xfId="906"/>
    <cellStyle name="Normal 4 3 7 2" xfId="1713"/>
    <cellStyle name="Normal 4 3 7 3" xfId="1902"/>
    <cellStyle name="Normal 4 3 8" xfId="1607"/>
    <cellStyle name="Normal 4 3 8 2" xfId="903"/>
    <cellStyle name="Normal 4 3 9" xfId="1751"/>
    <cellStyle name="Normal 4 4" xfId="108"/>
    <cellStyle name="Normal 4 4 2" xfId="1628"/>
    <cellStyle name="Normal 4 4 3" xfId="1604"/>
    <cellStyle name="Normal 4 4 4" xfId="1603"/>
    <cellStyle name="Normal 4 5" xfId="130"/>
    <cellStyle name="Normal 4 6" xfId="151"/>
    <cellStyle name="Normal 4 7" xfId="1566"/>
    <cellStyle name="Normal 4 7 2" xfId="1663"/>
    <cellStyle name="Normal 4 8" xfId="1676"/>
    <cellStyle name="Normal 4 9" xfId="1678"/>
    <cellStyle name="Normal 5" xfId="66"/>
    <cellStyle name="Normal 5 2" xfId="165"/>
    <cellStyle name="Normal 5 2 2" xfId="491"/>
    <cellStyle name="Normal 5 3" xfId="134"/>
    <cellStyle name="Normal 6" xfId="46"/>
    <cellStyle name="Normal 6 10" xfId="2895"/>
    <cellStyle name="Normal 6 2" xfId="90"/>
    <cellStyle name="Normal 6 2 10" xfId="1645"/>
    <cellStyle name="Normal 6 2 11" xfId="1755"/>
    <cellStyle name="Normal 6 2 12" xfId="1949"/>
    <cellStyle name="Normal 6 2 13" xfId="2206"/>
    <cellStyle name="Normal 6 2 14" xfId="2926"/>
    <cellStyle name="Normal 6 2 2" xfId="174"/>
    <cellStyle name="Normal 6 2 3" xfId="163"/>
    <cellStyle name="Normal 6 2 3 2" xfId="254"/>
    <cellStyle name="Normal 6 2 3 2 2" xfId="403"/>
    <cellStyle name="Normal 6 2 3 2 2 2" xfId="808"/>
    <cellStyle name="Normal 6 2 3 2 2 2 2" xfId="1538"/>
    <cellStyle name="Normal 6 2 3 2 2 2 3" xfId="2858"/>
    <cellStyle name="Normal 6 2 3 2 2 2 4" xfId="3576"/>
    <cellStyle name="Normal 6 2 3 2 2 3" xfId="1141"/>
    <cellStyle name="Normal 6 2 3 2 2 4" xfId="2459"/>
    <cellStyle name="Normal 6 2 3 2 2 5" xfId="3179"/>
    <cellStyle name="Normal 6 2 3 2 3" xfId="659"/>
    <cellStyle name="Normal 6 2 3 2 3 2" xfId="1391"/>
    <cellStyle name="Normal 6 2 3 2 3 3" xfId="2711"/>
    <cellStyle name="Normal 6 2 3 2 3 4" xfId="3429"/>
    <cellStyle name="Normal 6 2 3 2 4" xfId="994"/>
    <cellStyle name="Normal 6 2 3 2 5" xfId="2116"/>
    <cellStyle name="Normal 6 2 3 2 6" xfId="2312"/>
    <cellStyle name="Normal 6 2 3 2 7" xfId="3032"/>
    <cellStyle name="Normal 6 2 3 3" xfId="402"/>
    <cellStyle name="Normal 6 2 3 3 2" xfId="807"/>
    <cellStyle name="Normal 6 2 3 3 2 2" xfId="1537"/>
    <cellStyle name="Normal 6 2 3 3 2 3" xfId="2857"/>
    <cellStyle name="Normal 6 2 3 3 2 4" xfId="3575"/>
    <cellStyle name="Normal 6 2 3 3 3" xfId="1140"/>
    <cellStyle name="Normal 6 2 3 3 4" xfId="2070"/>
    <cellStyle name="Normal 6 2 3 3 5" xfId="2458"/>
    <cellStyle name="Normal 6 2 3 3 6" xfId="3178"/>
    <cellStyle name="Normal 6 2 3 4" xfId="582"/>
    <cellStyle name="Normal 6 2 3 4 2" xfId="1314"/>
    <cellStyle name="Normal 6 2 3 4 3" xfId="1872"/>
    <cellStyle name="Normal 6 2 3 4 4" xfId="2634"/>
    <cellStyle name="Normal 6 2 3 4 5" xfId="3352"/>
    <cellStyle name="Normal 6 2 3 5" xfId="915"/>
    <cellStyle name="Normal 6 2 3 6" xfId="1765"/>
    <cellStyle name="Normal 6 2 3 7" xfId="1988"/>
    <cellStyle name="Normal 6 2 3 8" xfId="2235"/>
    <cellStyle name="Normal 6 2 3 9" xfId="2955"/>
    <cellStyle name="Normal 6 2 4" xfId="109"/>
    <cellStyle name="Normal 6 2 4 2" xfId="1608"/>
    <cellStyle name="Normal 6 2 4 3" xfId="1562"/>
    <cellStyle name="Normal 6 2 4 4" xfId="1771"/>
    <cellStyle name="Normal 6 2 4 5" xfId="2026"/>
    <cellStyle name="Normal 6 2 5" xfId="225"/>
    <cellStyle name="Normal 6 2 5 2" xfId="404"/>
    <cellStyle name="Normal 6 2 5 2 2" xfId="809"/>
    <cellStyle name="Normal 6 2 5 2 2 2" xfId="1539"/>
    <cellStyle name="Normal 6 2 5 2 2 3" xfId="2859"/>
    <cellStyle name="Normal 6 2 5 2 2 4" xfId="3577"/>
    <cellStyle name="Normal 6 2 5 2 3" xfId="1142"/>
    <cellStyle name="Normal 6 2 5 2 4" xfId="2460"/>
    <cellStyle name="Normal 6 2 5 2 5" xfId="3180"/>
    <cellStyle name="Normal 6 2 5 3" xfId="630"/>
    <cellStyle name="Normal 6 2 5 3 2" xfId="1362"/>
    <cellStyle name="Normal 6 2 5 3 3" xfId="2682"/>
    <cellStyle name="Normal 6 2 5 3 4" xfId="3400"/>
    <cellStyle name="Normal 6 2 5 4" xfId="965"/>
    <cellStyle name="Normal 6 2 5 5" xfId="2089"/>
    <cellStyle name="Normal 6 2 5 6" xfId="2283"/>
    <cellStyle name="Normal 6 2 5 7" xfId="3003"/>
    <cellStyle name="Normal 6 2 6" xfId="401"/>
    <cellStyle name="Normal 6 2 6 2" xfId="806"/>
    <cellStyle name="Normal 6 2 6 2 2" xfId="1536"/>
    <cellStyle name="Normal 6 2 6 2 3" xfId="2856"/>
    <cellStyle name="Normal 6 2 6 2 4" xfId="3574"/>
    <cellStyle name="Normal 6 2 6 3" xfId="1139"/>
    <cellStyle name="Normal 6 2 6 4" xfId="2150"/>
    <cellStyle name="Normal 6 2 6 5" xfId="2457"/>
    <cellStyle name="Normal 6 2 6 6" xfId="3177"/>
    <cellStyle name="Normal 6 2 7" xfId="472"/>
    <cellStyle name="Normal 6 2 7 2" xfId="1210"/>
    <cellStyle name="Normal 6 2 7 3" xfId="1796"/>
    <cellStyle name="Normal 6 2 7 4" xfId="2530"/>
    <cellStyle name="Normal 6 2 7 5" xfId="3248"/>
    <cellStyle name="Normal 6 2 8" xfId="553"/>
    <cellStyle name="Normal 6 2 8 2" xfId="1285"/>
    <cellStyle name="Normal 6 2 8 3" xfId="1846"/>
    <cellStyle name="Normal 6 2 8 4" xfId="2605"/>
    <cellStyle name="Normal 6 2 8 5" xfId="3323"/>
    <cellStyle name="Normal 6 2 9" xfId="881"/>
    <cellStyle name="Normal 6 2 9 2" xfId="1717"/>
    <cellStyle name="Normal 6 2 9 3" xfId="1906"/>
    <cellStyle name="Normal 6 3" xfId="156"/>
    <cellStyle name="Normal 6 3 2" xfId="249"/>
    <cellStyle name="Normal 6 3 2 2" xfId="406"/>
    <cellStyle name="Normal 6 3 2 2 2" xfId="811"/>
    <cellStyle name="Normal 6 3 2 2 2 2" xfId="1541"/>
    <cellStyle name="Normal 6 3 2 2 2 3" xfId="2861"/>
    <cellStyle name="Normal 6 3 2 2 2 4" xfId="3579"/>
    <cellStyle name="Normal 6 3 2 2 3" xfId="1144"/>
    <cellStyle name="Normal 6 3 2 2 4" xfId="2462"/>
    <cellStyle name="Normal 6 3 2 2 5" xfId="3182"/>
    <cellStyle name="Normal 6 3 2 3" xfId="654"/>
    <cellStyle name="Normal 6 3 2 3 2" xfId="1386"/>
    <cellStyle name="Normal 6 3 2 3 3" xfId="2706"/>
    <cellStyle name="Normal 6 3 2 3 4" xfId="3424"/>
    <cellStyle name="Normal 6 3 2 4" xfId="989"/>
    <cellStyle name="Normal 6 3 2 5" xfId="2111"/>
    <cellStyle name="Normal 6 3 2 6" xfId="2307"/>
    <cellStyle name="Normal 6 3 2 7" xfId="3027"/>
    <cellStyle name="Normal 6 3 3" xfId="405"/>
    <cellStyle name="Normal 6 3 3 2" xfId="810"/>
    <cellStyle name="Normal 6 3 3 2 2" xfId="1540"/>
    <cellStyle name="Normal 6 3 3 2 3" xfId="2860"/>
    <cellStyle name="Normal 6 3 3 2 4" xfId="3578"/>
    <cellStyle name="Normal 6 3 3 3" xfId="1143"/>
    <cellStyle name="Normal 6 3 3 4" xfId="2461"/>
    <cellStyle name="Normal 6 3 3 5" xfId="3181"/>
    <cellStyle name="Normal 6 3 4" xfId="501"/>
    <cellStyle name="Normal 6 3 4 2" xfId="1234"/>
    <cellStyle name="Normal 6 3 4 3" xfId="2554"/>
    <cellStyle name="Normal 6 3 4 4" xfId="3272"/>
    <cellStyle name="Normal 6 3 5" xfId="577"/>
    <cellStyle name="Normal 6 3 5 2" xfId="1309"/>
    <cellStyle name="Normal 6 3 5 3" xfId="2629"/>
    <cellStyle name="Normal 6 3 5 4" xfId="3347"/>
    <cellStyle name="Normal 6 3 6" xfId="910"/>
    <cellStyle name="Normal 6 3 7" xfId="2066"/>
    <cellStyle name="Normal 6 3 8" xfId="2230"/>
    <cellStyle name="Normal 6 3 9" xfId="2950"/>
    <cellStyle name="Normal 6 4" xfId="194"/>
    <cellStyle name="Normal 6 4 2" xfId="407"/>
    <cellStyle name="Normal 6 4 2 2" xfId="812"/>
    <cellStyle name="Normal 6 4 2 2 2" xfId="1542"/>
    <cellStyle name="Normal 6 4 2 2 3" xfId="2862"/>
    <cellStyle name="Normal 6 4 2 2 4" xfId="3580"/>
    <cellStyle name="Normal 6 4 2 3" xfId="1145"/>
    <cellStyle name="Normal 6 4 2 4" xfId="2463"/>
    <cellStyle name="Normal 6 4 2 5" xfId="3183"/>
    <cellStyle name="Normal 6 4 3" xfId="599"/>
    <cellStyle name="Normal 6 4 3 2" xfId="1331"/>
    <cellStyle name="Normal 6 4 3 3" xfId="2651"/>
    <cellStyle name="Normal 6 4 3 4" xfId="3369"/>
    <cellStyle name="Normal 6 4 4" xfId="934"/>
    <cellStyle name="Normal 6 4 5" xfId="2073"/>
    <cellStyle name="Normal 6 4 6" xfId="2252"/>
    <cellStyle name="Normal 6 4 7" xfId="2972"/>
    <cellStyle name="Normal 6 5" xfId="400"/>
    <cellStyle name="Normal 6 5 2" xfId="805"/>
    <cellStyle name="Normal 6 5 2 2" xfId="1535"/>
    <cellStyle name="Normal 6 5 2 3" xfId="2855"/>
    <cellStyle name="Normal 6 5 2 4" xfId="3573"/>
    <cellStyle name="Normal 6 5 3" xfId="1138"/>
    <cellStyle name="Normal 6 5 4" xfId="1563"/>
    <cellStyle name="Normal 6 5 5" xfId="2456"/>
    <cellStyle name="Normal 6 5 6" xfId="3176"/>
    <cellStyle name="Normal 6 6" xfId="442"/>
    <cellStyle name="Normal 6 6 2" xfId="1180"/>
    <cellStyle name="Normal 6 6 3" xfId="2500"/>
    <cellStyle name="Normal 6 6 4" xfId="3218"/>
    <cellStyle name="Normal 6 7" xfId="522"/>
    <cellStyle name="Normal 6 7 2" xfId="1254"/>
    <cellStyle name="Normal 6 7 3" xfId="2574"/>
    <cellStyle name="Normal 6 7 4" xfId="3292"/>
    <cellStyle name="Normal 6 8" xfId="849"/>
    <cellStyle name="Normal 6 9" xfId="2175"/>
    <cellStyle name="Normal 7" xfId="75"/>
    <cellStyle name="Normal 7 10" xfId="866"/>
    <cellStyle name="Normal 7 10 2" xfId="1916"/>
    <cellStyle name="Normal 7 10 3" xfId="1913"/>
    <cellStyle name="Normal 7 11" xfId="2191"/>
    <cellStyle name="Normal 7 12" xfId="2911"/>
    <cellStyle name="Normal 7 13" xfId="3600"/>
    <cellStyle name="Normal 7 2" xfId="112"/>
    <cellStyle name="Normal 7 2 2" xfId="123"/>
    <cellStyle name="Normal 7 2 3" xfId="1573"/>
    <cellStyle name="Normal 7 3" xfId="133"/>
    <cellStyle name="Normal 7 3 2" xfId="1668"/>
    <cellStyle name="Normal 7 4" xfId="161"/>
    <cellStyle name="Normal 7 4 2" xfId="1685"/>
    <cellStyle name="Normal 7 5" xfId="177"/>
    <cellStyle name="Normal 7 5 2" xfId="1581"/>
    <cellStyle name="Normal 7 5 2 2" xfId="1662"/>
    <cellStyle name="Normal 7 5 3" xfId="1674"/>
    <cellStyle name="Normal 7 5 4" xfId="1584"/>
    <cellStyle name="Normal 7 6" xfId="106"/>
    <cellStyle name="Normal 7 7" xfId="210"/>
    <cellStyle name="Normal 7 7 2" xfId="408"/>
    <cellStyle name="Normal 7 7 2 2" xfId="813"/>
    <cellStyle name="Normal 7 7 2 2 2" xfId="1543"/>
    <cellStyle name="Normal 7 7 2 2 3" xfId="2863"/>
    <cellStyle name="Normal 7 7 2 2 4" xfId="3581"/>
    <cellStyle name="Normal 7 7 2 3" xfId="1146"/>
    <cellStyle name="Normal 7 7 2 4" xfId="2464"/>
    <cellStyle name="Normal 7 7 2 5" xfId="3184"/>
    <cellStyle name="Normal 7 7 3" xfId="615"/>
    <cellStyle name="Normal 7 7 3 2" xfId="1347"/>
    <cellStyle name="Normal 7 7 3 3" xfId="2667"/>
    <cellStyle name="Normal 7 7 3 4" xfId="3385"/>
    <cellStyle name="Normal 7 7 4" xfId="950"/>
    <cellStyle name="Normal 7 7 5" xfId="2075"/>
    <cellStyle name="Normal 7 7 6" xfId="2268"/>
    <cellStyle name="Normal 7 7 7" xfId="2988"/>
    <cellStyle name="Normal 7 8" xfId="409"/>
    <cellStyle name="Normal 7 8 2" xfId="814"/>
    <cellStyle name="Normal 7 8 2 2" xfId="1544"/>
    <cellStyle name="Normal 7 8 2 3" xfId="2864"/>
    <cellStyle name="Normal 7 8 2 4" xfId="3582"/>
    <cellStyle name="Normal 7 8 3" xfId="1147"/>
    <cellStyle name="Normal 7 8 4" xfId="2033"/>
    <cellStyle name="Normal 7 8 5" xfId="2465"/>
    <cellStyle name="Normal 7 8 6" xfId="3185"/>
    <cellStyle name="Normal 7 9" xfId="538"/>
    <cellStyle name="Normal 7 9 2" xfId="1270"/>
    <cellStyle name="Normal 7 9 3" xfId="1593"/>
    <cellStyle name="Normal 7 9 3 2" xfId="1831"/>
    <cellStyle name="Normal 7 9 4" xfId="2590"/>
    <cellStyle name="Normal 7 9 5" xfId="3308"/>
    <cellStyle name="Normal 8" xfId="116"/>
    <cellStyle name="Normal 8 2" xfId="140"/>
    <cellStyle name="Normal 8 3" xfId="1565"/>
    <cellStyle name="Normal 8 4" xfId="1623"/>
    <cellStyle name="Normal 8 4 2" xfId="918"/>
    <cellStyle name="Normal 8 5" xfId="844"/>
    <cellStyle name="Normal 8 5 2" xfId="1627"/>
    <cellStyle name="Normal 9" xfId="110"/>
    <cellStyle name="Normal 9 10" xfId="2942"/>
    <cellStyle name="Normal 9 2" xfId="241"/>
    <cellStyle name="Normal 9 2 2" xfId="411"/>
    <cellStyle name="Normal 9 2 2 2" xfId="816"/>
    <cellStyle name="Normal 9 2 2 2 2" xfId="1546"/>
    <cellStyle name="Normal 9 2 2 2 3" xfId="2866"/>
    <cellStyle name="Normal 9 2 2 2 4" xfId="3584"/>
    <cellStyle name="Normal 9 2 2 3" xfId="1149"/>
    <cellStyle name="Normal 9 2 2 4" xfId="2467"/>
    <cellStyle name="Normal 9 2 2 5" xfId="3187"/>
    <cellStyle name="Normal 9 2 3" xfId="646"/>
    <cellStyle name="Normal 9 2 3 2" xfId="1378"/>
    <cellStyle name="Normal 9 2 3 3" xfId="2698"/>
    <cellStyle name="Normal 9 2 3 4" xfId="3416"/>
    <cellStyle name="Normal 9 2 4" xfId="981"/>
    <cellStyle name="Normal 9 2 5" xfId="2105"/>
    <cellStyle name="Normal 9 2 6" xfId="2299"/>
    <cellStyle name="Normal 9 2 7" xfId="3019"/>
    <cellStyle name="Normal 9 3" xfId="410"/>
    <cellStyle name="Normal 9 3 2" xfId="815"/>
    <cellStyle name="Normal 9 3 2 2" xfId="1545"/>
    <cellStyle name="Normal 9 3 2 3" xfId="2865"/>
    <cellStyle name="Normal 9 3 2 4" xfId="3583"/>
    <cellStyle name="Normal 9 3 3" xfId="1148"/>
    <cellStyle name="Normal 9 3 4" xfId="2061"/>
    <cellStyle name="Normal 9 3 5" xfId="2466"/>
    <cellStyle name="Normal 9 3 6" xfId="3186"/>
    <cellStyle name="Normal 9 4" xfId="492"/>
    <cellStyle name="Normal 9 4 2" xfId="1227"/>
    <cellStyle name="Normal 9 4 3" xfId="1862"/>
    <cellStyle name="Normal 9 4 4" xfId="1611"/>
    <cellStyle name="Normal 9 4 5" xfId="2547"/>
    <cellStyle name="Normal 9 4 6" xfId="3265"/>
    <cellStyle name="Normal 9 5" xfId="569"/>
    <cellStyle name="Normal 9 5 2" xfId="1301"/>
    <cellStyle name="Normal 9 5 3" xfId="2621"/>
    <cellStyle name="Normal 9 5 4" xfId="3339"/>
    <cellStyle name="Normal 9 6" xfId="899"/>
    <cellStyle name="Normal 9 6 2" xfId="1736"/>
    <cellStyle name="Normal 9 6 3" xfId="1683"/>
    <cellStyle name="Normal 9 7" xfId="1587"/>
    <cellStyle name="Normal 9 7 2" xfId="1616"/>
    <cellStyle name="Normal 9 8" xfId="1955"/>
    <cellStyle name="Normal 9 9" xfId="2222"/>
    <cellStyle name="Normal_Sheet1" xfId="3602"/>
    <cellStyle name="Note 10" xfId="1673"/>
    <cellStyle name="Note 10 2" xfId="1723"/>
    <cellStyle name="Note 10 3" xfId="1912"/>
    <cellStyle name="Note 11" xfId="1918"/>
    <cellStyle name="Note 12" xfId="2158"/>
    <cellStyle name="Note 2" xfId="44"/>
    <cellStyle name="Note 2 10" xfId="848"/>
    <cellStyle name="Note 2 10 2" xfId="1714"/>
    <cellStyle name="Note 2 10 3" xfId="1903"/>
    <cellStyle name="Note 2 11" xfId="1655"/>
    <cellStyle name="Note 2 12" xfId="1752"/>
    <cellStyle name="Note 2 13" xfId="1946"/>
    <cellStyle name="Note 2 14" xfId="2174"/>
    <cellStyle name="Note 2 15" xfId="2894"/>
    <cellStyle name="Note 2 2" xfId="68"/>
    <cellStyle name="Note 2 2 10" xfId="1947"/>
    <cellStyle name="Note 2 2 11" xfId="2189"/>
    <cellStyle name="Note 2 2 12" xfId="2909"/>
    <cellStyle name="Note 2 2 2" xfId="104"/>
    <cellStyle name="Note 2 2 2 2" xfId="239"/>
    <cellStyle name="Note 2 2 2 2 2" xfId="415"/>
    <cellStyle name="Note 2 2 2 2 2 2" xfId="820"/>
    <cellStyle name="Note 2 2 2 2 2 2 2" xfId="1550"/>
    <cellStyle name="Note 2 2 2 2 2 2 3" xfId="2870"/>
    <cellStyle name="Note 2 2 2 2 2 2 4" xfId="3588"/>
    <cellStyle name="Note 2 2 2 2 2 3" xfId="1153"/>
    <cellStyle name="Note 2 2 2 2 2 4" xfId="2471"/>
    <cellStyle name="Note 2 2 2 2 2 5" xfId="3191"/>
    <cellStyle name="Note 2 2 2 2 3" xfId="644"/>
    <cellStyle name="Note 2 2 2 2 3 2" xfId="1376"/>
    <cellStyle name="Note 2 2 2 2 3 3" xfId="2696"/>
    <cellStyle name="Note 2 2 2 2 3 4" xfId="3414"/>
    <cellStyle name="Note 2 2 2 2 4" xfId="979"/>
    <cellStyle name="Note 2 2 2 2 5" xfId="2103"/>
    <cellStyle name="Note 2 2 2 2 6" xfId="2297"/>
    <cellStyle name="Note 2 2 2 2 7" xfId="3017"/>
    <cellStyle name="Note 2 2 2 3" xfId="414"/>
    <cellStyle name="Note 2 2 2 3 2" xfId="819"/>
    <cellStyle name="Note 2 2 2 3 2 2" xfId="1549"/>
    <cellStyle name="Note 2 2 2 3 2 3" xfId="2869"/>
    <cellStyle name="Note 2 2 2 3 2 4" xfId="3587"/>
    <cellStyle name="Note 2 2 2 3 3" xfId="1152"/>
    <cellStyle name="Note 2 2 2 3 4" xfId="2060"/>
    <cellStyle name="Note 2 2 2 3 5" xfId="2470"/>
    <cellStyle name="Note 2 2 2 3 6" xfId="3190"/>
    <cellStyle name="Note 2 2 2 4" xfId="486"/>
    <cellStyle name="Note 2 2 2 4 2" xfId="1224"/>
    <cellStyle name="Note 2 2 2 4 3" xfId="1860"/>
    <cellStyle name="Note 2 2 2 4 4" xfId="2544"/>
    <cellStyle name="Note 2 2 2 4 5" xfId="3262"/>
    <cellStyle name="Note 2 2 2 5" xfId="567"/>
    <cellStyle name="Note 2 2 2 5 2" xfId="1299"/>
    <cellStyle name="Note 2 2 2 5 3" xfId="2619"/>
    <cellStyle name="Note 2 2 2 5 4" xfId="3337"/>
    <cellStyle name="Note 2 2 2 6" xfId="895"/>
    <cellStyle name="Note 2 2 2 7" xfId="1986"/>
    <cellStyle name="Note 2 2 2 8" xfId="2220"/>
    <cellStyle name="Note 2 2 2 9" xfId="2940"/>
    <cellStyle name="Note 2 2 3" xfId="208"/>
    <cellStyle name="Note 2 2 3 2" xfId="416"/>
    <cellStyle name="Note 2 2 3 2 2" xfId="821"/>
    <cellStyle name="Note 2 2 3 2 2 2" xfId="1551"/>
    <cellStyle name="Note 2 2 3 2 2 3" xfId="2871"/>
    <cellStyle name="Note 2 2 3 2 2 4" xfId="3589"/>
    <cellStyle name="Note 2 2 3 2 3" xfId="1154"/>
    <cellStyle name="Note 2 2 3 2 4" xfId="2472"/>
    <cellStyle name="Note 2 2 3 2 5" xfId="3192"/>
    <cellStyle name="Note 2 2 3 3" xfId="613"/>
    <cellStyle name="Note 2 2 3 3 2" xfId="1345"/>
    <cellStyle name="Note 2 2 3 3 3" xfId="2665"/>
    <cellStyle name="Note 2 2 3 3 4" xfId="3383"/>
    <cellStyle name="Note 2 2 3 4" xfId="948"/>
    <cellStyle name="Note 2 2 3 5" xfId="2024"/>
    <cellStyle name="Note 2 2 3 6" xfId="2266"/>
    <cellStyle name="Note 2 2 3 7" xfId="2986"/>
    <cellStyle name="Note 2 2 4" xfId="413"/>
    <cellStyle name="Note 2 2 4 2" xfId="818"/>
    <cellStyle name="Note 2 2 4 2 2" xfId="1548"/>
    <cellStyle name="Note 2 2 4 2 3" xfId="2868"/>
    <cellStyle name="Note 2 2 4 2 4" xfId="3586"/>
    <cellStyle name="Note 2 2 4 3" xfId="1151"/>
    <cellStyle name="Note 2 2 4 4" xfId="2148"/>
    <cellStyle name="Note 2 2 4 5" xfId="2469"/>
    <cellStyle name="Note 2 2 4 6" xfId="3189"/>
    <cellStyle name="Note 2 2 5" xfId="456"/>
    <cellStyle name="Note 2 2 5 2" xfId="1194"/>
    <cellStyle name="Note 2 2 5 3" xfId="1794"/>
    <cellStyle name="Note 2 2 5 4" xfId="2514"/>
    <cellStyle name="Note 2 2 5 5" xfId="3232"/>
    <cellStyle name="Note 2 2 6" xfId="536"/>
    <cellStyle name="Note 2 2 6 2" xfId="1268"/>
    <cellStyle name="Note 2 2 6 3" xfId="1830"/>
    <cellStyle name="Note 2 2 6 4" xfId="2588"/>
    <cellStyle name="Note 2 2 6 5" xfId="3306"/>
    <cellStyle name="Note 2 2 7" xfId="863"/>
    <cellStyle name="Note 2 2 7 2" xfId="1715"/>
    <cellStyle name="Note 2 2 7 3" xfId="1904"/>
    <cellStyle name="Note 2 2 8" xfId="1635"/>
    <cellStyle name="Note 2 2 9" xfId="1753"/>
    <cellStyle name="Note 2 3" xfId="89"/>
    <cellStyle name="Note 2 3 10" xfId="1953"/>
    <cellStyle name="Note 2 3 11" xfId="2205"/>
    <cellStyle name="Note 2 3 12" xfId="2925"/>
    <cellStyle name="Note 2 3 2" xfId="157"/>
    <cellStyle name="Note 2 3 2 2" xfId="250"/>
    <cellStyle name="Note 2 3 2 2 2" xfId="419"/>
    <cellStyle name="Note 2 3 2 2 2 2" xfId="824"/>
    <cellStyle name="Note 2 3 2 2 2 2 2" xfId="1554"/>
    <cellStyle name="Note 2 3 2 2 2 2 3" xfId="2874"/>
    <cellStyle name="Note 2 3 2 2 2 2 4" xfId="3592"/>
    <cellStyle name="Note 2 3 2 2 2 3" xfId="1157"/>
    <cellStyle name="Note 2 3 2 2 2 4" xfId="2475"/>
    <cellStyle name="Note 2 3 2 2 2 5" xfId="3195"/>
    <cellStyle name="Note 2 3 2 2 3" xfId="655"/>
    <cellStyle name="Note 2 3 2 2 3 2" xfId="1387"/>
    <cellStyle name="Note 2 3 2 2 3 3" xfId="2707"/>
    <cellStyle name="Note 2 3 2 2 3 4" xfId="3425"/>
    <cellStyle name="Note 2 3 2 2 4" xfId="990"/>
    <cellStyle name="Note 2 3 2 2 5" xfId="2112"/>
    <cellStyle name="Note 2 3 2 2 6" xfId="2308"/>
    <cellStyle name="Note 2 3 2 2 7" xfId="3028"/>
    <cellStyle name="Note 2 3 2 3" xfId="418"/>
    <cellStyle name="Note 2 3 2 3 2" xfId="823"/>
    <cellStyle name="Note 2 3 2 3 2 2" xfId="1553"/>
    <cellStyle name="Note 2 3 2 3 2 3" xfId="2873"/>
    <cellStyle name="Note 2 3 2 3 2 4" xfId="3591"/>
    <cellStyle name="Note 2 3 2 3 3" xfId="1156"/>
    <cellStyle name="Note 2 3 2 3 4" xfId="2067"/>
    <cellStyle name="Note 2 3 2 3 5" xfId="2474"/>
    <cellStyle name="Note 2 3 2 3 6" xfId="3194"/>
    <cellStyle name="Note 2 3 2 4" xfId="502"/>
    <cellStyle name="Note 2 3 2 4 2" xfId="1235"/>
    <cellStyle name="Note 2 3 2 4 3" xfId="1868"/>
    <cellStyle name="Note 2 3 2 4 4" xfId="2555"/>
    <cellStyle name="Note 2 3 2 4 5" xfId="3273"/>
    <cellStyle name="Note 2 3 2 5" xfId="578"/>
    <cellStyle name="Note 2 3 2 5 2" xfId="1310"/>
    <cellStyle name="Note 2 3 2 5 3" xfId="2630"/>
    <cellStyle name="Note 2 3 2 5 4" xfId="3348"/>
    <cellStyle name="Note 2 3 2 6" xfId="911"/>
    <cellStyle name="Note 2 3 2 7" xfId="1992"/>
    <cellStyle name="Note 2 3 2 8" xfId="2231"/>
    <cellStyle name="Note 2 3 2 9" xfId="2951"/>
    <cellStyle name="Note 2 3 3" xfId="224"/>
    <cellStyle name="Note 2 3 3 2" xfId="420"/>
    <cellStyle name="Note 2 3 3 2 2" xfId="825"/>
    <cellStyle name="Note 2 3 3 2 2 2" xfId="1555"/>
    <cellStyle name="Note 2 3 3 2 2 3" xfId="2875"/>
    <cellStyle name="Note 2 3 3 2 2 4" xfId="3593"/>
    <cellStyle name="Note 2 3 3 2 3" xfId="1158"/>
    <cellStyle name="Note 2 3 3 2 4" xfId="2476"/>
    <cellStyle name="Note 2 3 3 2 5" xfId="3196"/>
    <cellStyle name="Note 2 3 3 3" xfId="629"/>
    <cellStyle name="Note 2 3 3 3 2" xfId="1361"/>
    <cellStyle name="Note 2 3 3 3 3" xfId="2681"/>
    <cellStyle name="Note 2 3 3 3 4" xfId="3399"/>
    <cellStyle name="Note 2 3 3 4" xfId="964"/>
    <cellStyle name="Note 2 3 3 5" xfId="2030"/>
    <cellStyle name="Note 2 3 3 6" xfId="2282"/>
    <cellStyle name="Note 2 3 3 7" xfId="3002"/>
    <cellStyle name="Note 2 3 4" xfId="417"/>
    <cellStyle name="Note 2 3 4 2" xfId="822"/>
    <cellStyle name="Note 2 3 4 2 2" xfId="1552"/>
    <cellStyle name="Note 2 3 4 2 3" xfId="2872"/>
    <cellStyle name="Note 2 3 4 2 4" xfId="3590"/>
    <cellStyle name="Note 2 3 4 3" xfId="1155"/>
    <cellStyle name="Note 2 3 4 4" xfId="2154"/>
    <cellStyle name="Note 2 3 4 5" xfId="2473"/>
    <cellStyle name="Note 2 3 4 6" xfId="3193"/>
    <cellStyle name="Note 2 3 5" xfId="471"/>
    <cellStyle name="Note 2 3 5 2" xfId="1209"/>
    <cellStyle name="Note 2 3 5 3" xfId="1800"/>
    <cellStyle name="Note 2 3 5 4" xfId="2529"/>
    <cellStyle name="Note 2 3 5 5" xfId="3247"/>
    <cellStyle name="Note 2 3 6" xfId="552"/>
    <cellStyle name="Note 2 3 6 2" xfId="1284"/>
    <cellStyle name="Note 2 3 6 3" xfId="1845"/>
    <cellStyle name="Note 2 3 6 4" xfId="2604"/>
    <cellStyle name="Note 2 3 6 5" xfId="3322"/>
    <cellStyle name="Note 2 3 7" xfId="880"/>
    <cellStyle name="Note 2 3 7 2" xfId="1721"/>
    <cellStyle name="Note 2 3 7 3" xfId="1910"/>
    <cellStyle name="Note 2 3 8" xfId="1612"/>
    <cellStyle name="Note 2 3 9" xfId="1759"/>
    <cellStyle name="Note 2 4" xfId="175"/>
    <cellStyle name="Note 2 5" xfId="149"/>
    <cellStyle name="Note 2 5 2" xfId="1606"/>
    <cellStyle name="Note 2 5 3" xfId="1620"/>
    <cellStyle name="Note 2 5 4" xfId="1763"/>
    <cellStyle name="Note 2 5 5" xfId="1985"/>
    <cellStyle name="Note 2 6" xfId="193"/>
    <cellStyle name="Note 2 6 2" xfId="421"/>
    <cellStyle name="Note 2 6 2 2" xfId="826"/>
    <cellStyle name="Note 2 6 2 2 2" xfId="1556"/>
    <cellStyle name="Note 2 6 2 2 3" xfId="2876"/>
    <cellStyle name="Note 2 6 2 2 4" xfId="3594"/>
    <cellStyle name="Note 2 6 2 3" xfId="1159"/>
    <cellStyle name="Note 2 6 2 4" xfId="2477"/>
    <cellStyle name="Note 2 6 2 5" xfId="3197"/>
    <cellStyle name="Note 2 6 3" xfId="598"/>
    <cellStyle name="Note 2 6 3 2" xfId="1330"/>
    <cellStyle name="Note 2 6 3 3" xfId="2650"/>
    <cellStyle name="Note 2 6 3 4" xfId="3368"/>
    <cellStyle name="Note 2 6 4" xfId="933"/>
    <cellStyle name="Note 2 6 5" xfId="1571"/>
    <cellStyle name="Note 2 6 6" xfId="2023"/>
    <cellStyle name="Note 2 6 7" xfId="2251"/>
    <cellStyle name="Note 2 6 8" xfId="2971"/>
    <cellStyle name="Note 2 7" xfId="412"/>
    <cellStyle name="Note 2 7 2" xfId="817"/>
    <cellStyle name="Note 2 7 2 2" xfId="1547"/>
    <cellStyle name="Note 2 7 2 3" xfId="2867"/>
    <cellStyle name="Note 2 7 2 4" xfId="3585"/>
    <cellStyle name="Note 2 7 3" xfId="1150"/>
    <cellStyle name="Note 2 7 4" xfId="2147"/>
    <cellStyle name="Note 2 7 5" xfId="2468"/>
    <cellStyle name="Note 2 7 6" xfId="3188"/>
    <cellStyle name="Note 2 8" xfId="441"/>
    <cellStyle name="Note 2 8 2" xfId="1179"/>
    <cellStyle name="Note 2 8 3" xfId="1793"/>
    <cellStyle name="Note 2 8 4" xfId="2499"/>
    <cellStyle name="Note 2 8 5" xfId="3217"/>
    <cellStyle name="Note 2 9" xfId="521"/>
    <cellStyle name="Note 2 9 2" xfId="1253"/>
    <cellStyle name="Note 2 9 3" xfId="1816"/>
    <cellStyle name="Note 2 9 4" xfId="2573"/>
    <cellStyle name="Note 2 9 5" xfId="3291"/>
    <cellStyle name="Note 3" xfId="132"/>
    <cellStyle name="Note 3 10" xfId="1754"/>
    <cellStyle name="Note 3 11" xfId="1576"/>
    <cellStyle name="Note 3 12" xfId="1948"/>
    <cellStyle name="Note 3 2" xfId="142"/>
    <cellStyle name="Note 3 2 10" xfId="1954"/>
    <cellStyle name="Note 3 2 11" xfId="2226"/>
    <cellStyle name="Note 3 2 12" xfId="2946"/>
    <cellStyle name="Note 3 2 2" xfId="160"/>
    <cellStyle name="Note 3 2 2 2" xfId="253"/>
    <cellStyle name="Note 3 2 2 2 2" xfId="424"/>
    <cellStyle name="Note 3 2 2 2 2 2" xfId="829"/>
    <cellStyle name="Note 3 2 2 2 2 2 2" xfId="1559"/>
    <cellStyle name="Note 3 2 2 2 2 2 3" xfId="2879"/>
    <cellStyle name="Note 3 2 2 2 2 2 4" xfId="3597"/>
    <cellStyle name="Note 3 2 2 2 2 3" xfId="1162"/>
    <cellStyle name="Note 3 2 2 2 2 4" xfId="2480"/>
    <cellStyle name="Note 3 2 2 2 2 5" xfId="3200"/>
    <cellStyle name="Note 3 2 2 2 3" xfId="658"/>
    <cellStyle name="Note 3 2 2 2 3 2" xfId="1390"/>
    <cellStyle name="Note 3 2 2 2 3 3" xfId="2710"/>
    <cellStyle name="Note 3 2 2 2 3 4" xfId="3428"/>
    <cellStyle name="Note 3 2 2 2 4" xfId="993"/>
    <cellStyle name="Note 3 2 2 2 5" xfId="2115"/>
    <cellStyle name="Note 3 2 2 2 6" xfId="2311"/>
    <cellStyle name="Note 3 2 2 2 7" xfId="3031"/>
    <cellStyle name="Note 3 2 2 3" xfId="423"/>
    <cellStyle name="Note 3 2 2 3 2" xfId="828"/>
    <cellStyle name="Note 3 2 2 3 2 2" xfId="1558"/>
    <cellStyle name="Note 3 2 2 3 2 3" xfId="2878"/>
    <cellStyle name="Note 3 2 2 3 2 4" xfId="3596"/>
    <cellStyle name="Note 3 2 2 3 3" xfId="1161"/>
    <cellStyle name="Note 3 2 2 3 4" xfId="2069"/>
    <cellStyle name="Note 3 2 2 3 5" xfId="2479"/>
    <cellStyle name="Note 3 2 2 3 6" xfId="3199"/>
    <cellStyle name="Note 3 2 2 4" xfId="505"/>
    <cellStyle name="Note 3 2 2 4 2" xfId="1238"/>
    <cellStyle name="Note 3 2 2 4 3" xfId="1871"/>
    <cellStyle name="Note 3 2 2 4 4" xfId="2558"/>
    <cellStyle name="Note 3 2 2 4 5" xfId="3276"/>
    <cellStyle name="Note 3 2 2 5" xfId="581"/>
    <cellStyle name="Note 3 2 2 5 2" xfId="1313"/>
    <cellStyle name="Note 3 2 2 5 3" xfId="2633"/>
    <cellStyle name="Note 3 2 2 5 4" xfId="3351"/>
    <cellStyle name="Note 3 2 2 6" xfId="914"/>
    <cellStyle name="Note 3 2 2 7" xfId="1993"/>
    <cellStyle name="Note 3 2 2 8" xfId="2234"/>
    <cellStyle name="Note 3 2 2 9" xfId="2954"/>
    <cellStyle name="Note 3 2 3" xfId="245"/>
    <cellStyle name="Note 3 2 3 2" xfId="425"/>
    <cellStyle name="Note 3 2 3 2 2" xfId="830"/>
    <cellStyle name="Note 3 2 3 2 2 2" xfId="1560"/>
    <cellStyle name="Note 3 2 3 2 2 3" xfId="2880"/>
    <cellStyle name="Note 3 2 3 2 2 4" xfId="3598"/>
    <cellStyle name="Note 3 2 3 2 3" xfId="1163"/>
    <cellStyle name="Note 3 2 3 2 4" xfId="2481"/>
    <cellStyle name="Note 3 2 3 2 5" xfId="3201"/>
    <cellStyle name="Note 3 2 3 3" xfId="650"/>
    <cellStyle name="Note 3 2 3 3 2" xfId="1382"/>
    <cellStyle name="Note 3 2 3 3 3" xfId="2702"/>
    <cellStyle name="Note 3 2 3 3 4" xfId="3420"/>
    <cellStyle name="Note 3 2 3 4" xfId="985"/>
    <cellStyle name="Note 3 2 3 5" xfId="2031"/>
    <cellStyle name="Note 3 2 3 6" xfId="2303"/>
    <cellStyle name="Note 3 2 3 7" xfId="3023"/>
    <cellStyle name="Note 3 2 4" xfId="422"/>
    <cellStyle name="Note 3 2 4 2" xfId="827"/>
    <cellStyle name="Note 3 2 4 2 2" xfId="1557"/>
    <cellStyle name="Note 3 2 4 2 3" xfId="2877"/>
    <cellStyle name="Note 3 2 4 2 4" xfId="3595"/>
    <cellStyle name="Note 3 2 4 3" xfId="1160"/>
    <cellStyle name="Note 3 2 4 4" xfId="2155"/>
    <cellStyle name="Note 3 2 4 5" xfId="2478"/>
    <cellStyle name="Note 3 2 4 6" xfId="3198"/>
    <cellStyle name="Note 3 2 5" xfId="498"/>
    <cellStyle name="Note 3 2 5 2" xfId="1231"/>
    <cellStyle name="Note 3 2 5 3" xfId="1801"/>
    <cellStyle name="Note 3 2 5 4" xfId="2551"/>
    <cellStyle name="Note 3 2 5 5" xfId="3269"/>
    <cellStyle name="Note 3 2 6" xfId="573"/>
    <cellStyle name="Note 3 2 6 2" xfId="1305"/>
    <cellStyle name="Note 3 2 6 3" xfId="1866"/>
    <cellStyle name="Note 3 2 6 4" xfId="2625"/>
    <cellStyle name="Note 3 2 6 5" xfId="3343"/>
    <cellStyle name="Note 3 2 7" xfId="905"/>
    <cellStyle name="Note 3 2 7 2" xfId="1722"/>
    <cellStyle name="Note 3 2 7 3" xfId="1911"/>
    <cellStyle name="Note 3 2 8" xfId="1636"/>
    <cellStyle name="Note 3 2 9" xfId="1760"/>
    <cellStyle name="Note 3 3" xfId="176"/>
    <cellStyle name="Note 3 4" xfId="1575"/>
    <cellStyle name="Note 3 4 2" xfId="1613"/>
    <cellStyle name="Note 3 4 3" xfId="1680"/>
    <cellStyle name="Note 3 4 4" xfId="1764"/>
    <cellStyle name="Note 3 4 5" xfId="1987"/>
    <cellStyle name="Note 3 5" xfId="832"/>
    <cellStyle name="Note 3 5 2" xfId="1634"/>
    <cellStyle name="Note 3 5 3" xfId="1770"/>
    <cellStyle name="Note 3 5 4" xfId="2025"/>
    <cellStyle name="Note 3 6" xfId="1579"/>
    <cellStyle name="Note 3 6 2" xfId="1693"/>
    <cellStyle name="Note 3 6 3" xfId="1775"/>
    <cellStyle name="Note 3 6 4" xfId="2149"/>
    <cellStyle name="Note 3 7" xfId="1672"/>
    <cellStyle name="Note 3 7 2" xfId="1696"/>
    <cellStyle name="Note 3 7 3" xfId="1795"/>
    <cellStyle name="Note 3 8" xfId="1667"/>
    <cellStyle name="Note 3 8 2" xfId="1716"/>
    <cellStyle name="Note 3 8 3" xfId="1905"/>
    <cellStyle name="Note 3 9" xfId="1632"/>
    <cellStyle name="Note 4" xfId="148"/>
    <cellStyle name="Note 4 2" xfId="1568"/>
    <cellStyle name="Note 4 2 2" xfId="1592"/>
    <cellStyle name="Note 4 3" xfId="1599"/>
    <cellStyle name="Note 4 3 2" xfId="1629"/>
    <cellStyle name="Note 5" xfId="121"/>
    <cellStyle name="Note 5 2" xfId="1625"/>
    <cellStyle name="Note 5 3" xfId="1594"/>
    <cellStyle name="Note 5 4" xfId="1761"/>
    <cellStyle name="Note 5 5" xfId="1956"/>
    <cellStyle name="Note 6" xfId="141"/>
    <cellStyle name="Note 6 2" xfId="1598"/>
    <cellStyle name="Note 6 3" xfId="1583"/>
    <cellStyle name="Note 6 4" xfId="1767"/>
    <cellStyle name="Note 6 5" xfId="1994"/>
    <cellStyle name="Note 7" xfId="257"/>
    <cellStyle name="Note 7 2" xfId="662"/>
    <cellStyle name="Note 7 2 2" xfId="1394"/>
    <cellStyle name="Note 7 2 3" xfId="2714"/>
    <cellStyle name="Note 7 2 4" xfId="3432"/>
    <cellStyle name="Note 7 3" xfId="997"/>
    <cellStyle name="Note 7 4" xfId="2032"/>
    <cellStyle name="Note 7 5" xfId="2315"/>
    <cellStyle name="Note 7 6" xfId="3035"/>
    <cellStyle name="Note 8" xfId="427"/>
    <cellStyle name="Note 8 2" xfId="1165"/>
    <cellStyle name="Note 8 3" xfId="1777"/>
    <cellStyle name="Note 8 4" xfId="2156"/>
    <cellStyle name="Note 8 5" xfId="2485"/>
    <cellStyle name="Note 8 6" xfId="3203"/>
    <cellStyle name="Note 9" xfId="1691"/>
    <cellStyle name="Note 9 2" xfId="1697"/>
    <cellStyle name="Note 9 3" xfId="1802"/>
    <cellStyle name="Output" xfId="12" builtinId="21" customBuiltin="1"/>
    <cellStyle name="Percent 2" xfId="62"/>
    <cellStyle name="Percent 3" xfId="115"/>
    <cellStyle name="Percent 4" xfId="122"/>
    <cellStyle name="Percent 5" xfId="865"/>
    <cellStyle name="Title" xfId="3" builtinId="15" customBuiltin="1"/>
    <cellStyle name="Title 2" xfId="1682"/>
    <cellStyle name="Total" xfId="18" builtinId="25" customBuiltin="1"/>
    <cellStyle name="Warning Text" xfId="16" builtinId="11" customBuiltin="1"/>
  </cellStyles>
  <dxfs count="2">
    <dxf>
      <fill>
        <gradientFill degree="45">
          <stop position="0">
            <color rgb="FFFFFF00"/>
          </stop>
          <stop position="1">
            <color rgb="FFFFC000"/>
          </stop>
        </gradientFill>
      </fill>
    </dxf>
    <dxf>
      <fill>
        <gradientFill degree="45">
          <stop position="0">
            <color rgb="FFFF000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8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85725</xdr:rowOff>
    </xdr:from>
    <xdr:to>
      <xdr:col>0</xdr:col>
      <xdr:colOff>571500</xdr:colOff>
      <xdr:row>0</xdr:row>
      <xdr:rowOff>495300</xdr:rowOff>
    </xdr:to>
    <xdr:sp macro="[0]!LMpull" textlink="">
      <xdr:nvSpPr>
        <xdr:cNvPr id="2" name="Rounded Rectangle 1"/>
        <xdr:cNvSpPr/>
      </xdr:nvSpPr>
      <xdr:spPr>
        <a:xfrm>
          <a:off x="47625" y="85725"/>
          <a:ext cx="523875" cy="409575"/>
        </a:xfrm>
        <a:prstGeom prst="roundRect">
          <a:avLst/>
        </a:prstGeom>
        <a:gradFill flip="none" rotWithShape="1">
          <a:gsLst>
            <a:gs pos="0">
              <a:srgbClr val="00B0F0">
                <a:tint val="66000"/>
                <a:satMod val="160000"/>
              </a:srgbClr>
            </a:gs>
            <a:gs pos="50000">
              <a:srgbClr val="00B0F0">
                <a:tint val="44500"/>
                <a:satMod val="160000"/>
              </a:srgbClr>
            </a:gs>
            <a:gs pos="100000">
              <a:srgbClr val="00B0F0">
                <a:tint val="23500"/>
                <a:satMod val="160000"/>
              </a:srgbClr>
            </a:gs>
          </a:gsLst>
          <a:lin ang="13500000" scaled="1"/>
          <a:tileRect/>
        </a:gradFill>
        <a:ln w="3175"/>
        <a:effectLst>
          <a:reflection blurRad="6350" stA="50000" endA="300" endPos="5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800" baseline="0">
              <a:solidFill>
                <a:srgbClr val="002060"/>
              </a:solidFill>
            </a:rPr>
            <a:t>Import Data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CZ395"/>
  <sheetViews>
    <sheetView tabSelected="1" showOutlineSymbol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5546875" defaultRowHeight="12.75"/>
  <cols>
    <col min="1" max="1" width="5.7109375" style="88" customWidth="1"/>
    <col min="2" max="2" width="10.7109375" style="87" bestFit="1" customWidth="1"/>
    <col min="3" max="3" width="24.42578125" style="87" bestFit="1" customWidth="1"/>
    <col min="4" max="4" width="13.5703125" style="87" hidden="1" customWidth="1"/>
    <col min="5" max="5" width="14.42578125" style="87" hidden="1" customWidth="1"/>
    <col min="6" max="6" width="15.28515625" style="87" customWidth="1"/>
    <col min="7" max="7" width="14" style="87" customWidth="1"/>
    <col min="8" max="8" width="12.85546875" style="87" customWidth="1"/>
    <col min="9" max="9" width="15.28515625" style="87" customWidth="1"/>
    <col min="10" max="10" width="14" style="87" customWidth="1"/>
    <col min="11" max="11" width="13.85546875" style="87" customWidth="1"/>
    <col min="12" max="12" width="15.42578125" style="87" customWidth="1"/>
    <col min="13" max="14" width="13" style="87" customWidth="1"/>
    <col min="15" max="15" width="15.28515625" style="87" customWidth="1"/>
    <col min="16" max="16" width="11.140625" style="87" bestFit="1" customWidth="1"/>
    <col min="17" max="17" width="13" style="87" customWidth="1"/>
    <col min="18" max="18" width="13.140625" style="87" customWidth="1"/>
    <col min="19" max="19" width="12.28515625" style="87" customWidth="1"/>
    <col min="20" max="20" width="11.7109375" style="87" customWidth="1"/>
    <col min="21" max="21" width="13.7109375" style="87" customWidth="1"/>
    <col min="22" max="22" width="13" style="87" customWidth="1"/>
    <col min="23" max="23" width="12.28515625" style="87" customWidth="1"/>
    <col min="24" max="24" width="13.140625" style="87" customWidth="1"/>
    <col min="25" max="25" width="13.5703125" style="87" customWidth="1"/>
    <col min="26" max="26" width="13.85546875" style="87" customWidth="1"/>
    <col min="27" max="27" width="10.42578125" style="87" bestFit="1" customWidth="1"/>
    <col min="28" max="28" width="11" style="87" customWidth="1"/>
    <col min="29" max="29" width="12.28515625" style="87" hidden="1" customWidth="1"/>
    <col min="30" max="30" width="12.28515625" style="87" customWidth="1"/>
    <col min="31" max="31" width="11.42578125" style="87" customWidth="1"/>
    <col min="32" max="33" width="12" style="87" customWidth="1"/>
    <col min="34" max="34" width="9.7109375" style="87" customWidth="1"/>
    <col min="35" max="35" width="12.5703125" style="87" customWidth="1"/>
    <col min="36" max="36" width="11.85546875" style="87" customWidth="1"/>
    <col min="37" max="37" width="15.42578125" style="87" customWidth="1"/>
    <col min="38" max="38" width="13.140625" style="87" hidden="1" customWidth="1"/>
    <col min="39" max="39" width="14.7109375" style="87" customWidth="1"/>
    <col min="40" max="40" width="14.85546875" style="87" customWidth="1"/>
    <col min="41" max="41" width="13.5703125" style="87" customWidth="1"/>
    <col min="42" max="42" width="11.5703125" style="87" customWidth="1"/>
    <col min="43" max="43" width="12.140625" style="87" hidden="1" customWidth="1"/>
    <col min="44" max="44" width="8.85546875" style="87" customWidth="1"/>
    <col min="45" max="45" width="12.7109375" style="87" customWidth="1"/>
    <col min="46" max="46" width="12" style="87" customWidth="1"/>
    <col min="47" max="47" width="8.7109375" style="87" bestFit="1" customWidth="1"/>
    <col min="48" max="48" width="12.140625" style="87" hidden="1" customWidth="1"/>
    <col min="49" max="49" width="12.140625" style="87" customWidth="1"/>
    <col min="50" max="51" width="11.42578125" style="87" customWidth="1"/>
    <col min="52" max="52" width="12.85546875" style="87" customWidth="1"/>
    <col min="53" max="53" width="11.85546875" style="87" customWidth="1"/>
    <col min="54" max="54" width="11.85546875" style="87" hidden="1" customWidth="1"/>
    <col min="55" max="55" width="6.5703125" style="87" customWidth="1"/>
    <col min="56" max="57" width="3.5703125" style="87" customWidth="1"/>
    <col min="58" max="58" width="13.28515625" style="87" customWidth="1"/>
    <col min="59" max="61" width="12.42578125" style="87" customWidth="1"/>
    <col min="62" max="62" width="10" style="87" customWidth="1"/>
    <col min="63" max="63" width="10.140625" style="87" customWidth="1"/>
    <col min="64" max="64" width="9.42578125" style="99" customWidth="1"/>
    <col min="65" max="65" width="11.5703125" style="87" customWidth="1"/>
    <col min="66" max="66" width="12.28515625" style="87" customWidth="1"/>
    <col min="67" max="67" width="12.85546875" style="87" customWidth="1"/>
    <col min="68" max="68" width="10.42578125" style="87" customWidth="1"/>
    <col min="69" max="69" width="12.42578125" style="87" customWidth="1"/>
    <col min="70" max="71" width="12.140625" style="87" customWidth="1"/>
    <col min="72" max="72" width="10.5703125" style="87" customWidth="1"/>
    <col min="73" max="78" width="9.28515625" style="87" bestFit="1" customWidth="1"/>
    <col min="79" max="79" width="9.42578125" style="87" bestFit="1" customWidth="1"/>
    <col min="80" max="84" width="9.28515625" style="87" bestFit="1" customWidth="1"/>
    <col min="85" max="85" width="9.7109375" style="87" customWidth="1"/>
    <col min="86" max="86" width="11.42578125" style="87" customWidth="1"/>
    <col min="87" max="87" width="9.28515625" style="87" customWidth="1"/>
    <col min="88" max="89" width="10.5703125" style="87" customWidth="1"/>
    <col min="90" max="90" width="11.5703125" style="87" customWidth="1"/>
    <col min="91" max="91" width="10.28515625" style="87" bestFit="1" customWidth="1"/>
    <col min="92" max="92" width="9.85546875" style="87" bestFit="1" customWidth="1"/>
    <col min="93" max="93" width="10" style="87" customWidth="1"/>
    <col min="94" max="94" width="10.85546875" style="87" bestFit="1" customWidth="1"/>
    <col min="95" max="95" width="10.140625" style="106" customWidth="1"/>
    <col min="96" max="96" width="12.140625" style="106" bestFit="1" customWidth="1"/>
    <col min="97" max="97" width="13.85546875" style="106" customWidth="1"/>
    <col min="98" max="98" width="9.28515625" style="118" bestFit="1" customWidth="1"/>
    <col min="99" max="100" width="9.28515625" style="87" bestFit="1" customWidth="1"/>
    <col min="101" max="101" width="9.85546875" style="87" customWidth="1"/>
    <col min="102" max="102" width="13.42578125" style="87" customWidth="1"/>
    <col min="103" max="103" width="12.140625" style="87" customWidth="1"/>
    <col min="104" max="16384" width="8.85546875" style="87"/>
  </cols>
  <sheetData>
    <row r="1" spans="1:104" ht="15" customHeight="1">
      <c r="C1" s="88"/>
      <c r="D1" s="88"/>
      <c r="F1" s="88" t="s">
        <v>154</v>
      </c>
      <c r="G1" s="88"/>
      <c r="H1" s="88"/>
      <c r="I1" s="88" t="s">
        <v>155</v>
      </c>
      <c r="J1" s="88"/>
      <c r="K1" s="88"/>
      <c r="L1" s="88" t="s">
        <v>156</v>
      </c>
      <c r="M1" s="219"/>
      <c r="N1" s="88"/>
      <c r="O1" s="88"/>
      <c r="P1" s="88" t="s">
        <v>157</v>
      </c>
      <c r="Q1" s="88" t="s">
        <v>814</v>
      </c>
      <c r="R1" s="88" t="s">
        <v>158</v>
      </c>
      <c r="S1" s="88" t="s">
        <v>159</v>
      </c>
      <c r="T1" s="88" t="s">
        <v>160</v>
      </c>
      <c r="U1" s="88"/>
      <c r="V1" s="88"/>
      <c r="W1" s="88"/>
      <c r="X1" s="88"/>
      <c r="Y1" s="88" t="s">
        <v>161</v>
      </c>
      <c r="Z1" s="88" t="s">
        <v>162</v>
      </c>
      <c r="AA1" s="88" t="s">
        <v>163</v>
      </c>
      <c r="AB1" s="88"/>
      <c r="AC1" s="88" t="s">
        <v>826</v>
      </c>
      <c r="AD1" s="88" t="s">
        <v>164</v>
      </c>
      <c r="AE1" s="88" t="s">
        <v>165</v>
      </c>
      <c r="AF1" s="88" t="s">
        <v>166</v>
      </c>
      <c r="AG1" s="88" t="s">
        <v>167</v>
      </c>
      <c r="AH1" s="88" t="s">
        <v>168</v>
      </c>
      <c r="AI1" s="88" t="s">
        <v>169</v>
      </c>
      <c r="AJ1" s="88" t="s">
        <v>193</v>
      </c>
      <c r="AK1" s="88" t="s">
        <v>194</v>
      </c>
      <c r="AL1" s="88"/>
      <c r="AM1" s="88" t="s">
        <v>170</v>
      </c>
      <c r="AN1" s="88" t="s">
        <v>815</v>
      </c>
      <c r="AO1" s="88" t="s">
        <v>816</v>
      </c>
      <c r="AP1" s="88" t="s">
        <v>817</v>
      </c>
      <c r="AQ1" s="88"/>
      <c r="AR1" s="88" t="s">
        <v>819</v>
      </c>
      <c r="AS1" s="88" t="s">
        <v>825</v>
      </c>
      <c r="AT1" s="88" t="s">
        <v>827</v>
      </c>
      <c r="AU1" s="88" t="s">
        <v>851</v>
      </c>
      <c r="AW1" s="88" t="s">
        <v>852</v>
      </c>
      <c r="AX1" s="88" t="s">
        <v>854</v>
      </c>
      <c r="AY1" s="88" t="s">
        <v>855</v>
      </c>
      <c r="AZ1" s="88" t="s">
        <v>868</v>
      </c>
      <c r="BA1" s="88" t="s">
        <v>856</v>
      </c>
      <c r="BB1" s="88"/>
      <c r="BC1" s="88"/>
      <c r="BD1" s="88"/>
      <c r="BE1" s="96"/>
      <c r="BF1" s="96"/>
      <c r="BG1" s="96" t="s">
        <v>860</v>
      </c>
      <c r="BH1" s="96" t="s">
        <v>863</v>
      </c>
      <c r="BI1" s="96" t="s">
        <v>873</v>
      </c>
      <c r="BJ1" s="123"/>
      <c r="BK1" s="123"/>
      <c r="BL1" s="123"/>
      <c r="BM1" s="96" t="s">
        <v>872</v>
      </c>
      <c r="BN1" s="96" t="s">
        <v>875</v>
      </c>
      <c r="BO1" s="96" t="s">
        <v>876</v>
      </c>
      <c r="BP1" s="96" t="s">
        <v>882</v>
      </c>
      <c r="BQ1" s="96" t="s">
        <v>883</v>
      </c>
      <c r="BR1" s="96" t="s">
        <v>884</v>
      </c>
      <c r="BS1" s="96" t="s">
        <v>3488</v>
      </c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162"/>
      <c r="CF1" s="162"/>
      <c r="CG1" s="162"/>
      <c r="CH1" s="162"/>
      <c r="CI1" s="162"/>
      <c r="CJ1" s="162"/>
      <c r="CK1" s="162"/>
      <c r="CL1" s="162"/>
      <c r="CM1" s="162"/>
      <c r="CO1" s="87" t="s">
        <v>1</v>
      </c>
      <c r="CP1" s="88"/>
      <c r="CQ1" s="162"/>
      <c r="CR1" s="162"/>
      <c r="CS1" s="162"/>
      <c r="CT1" s="314"/>
      <c r="CU1" s="314"/>
      <c r="CV1" s="314"/>
    </row>
    <row r="2" spans="1:104" ht="15" customHeight="1">
      <c r="A2" s="88" t="s">
        <v>1</v>
      </c>
      <c r="B2" s="100">
        <v>43628</v>
      </c>
      <c r="C2" s="313" t="s">
        <v>3946</v>
      </c>
      <c r="D2" s="246" t="s">
        <v>3510</v>
      </c>
      <c r="E2" s="246" t="s">
        <v>3510</v>
      </c>
      <c r="F2" s="162"/>
      <c r="G2" s="162"/>
      <c r="H2" s="162"/>
      <c r="I2" s="162"/>
      <c r="J2" s="162"/>
      <c r="K2" s="162"/>
      <c r="L2" s="162"/>
      <c r="M2" s="249" t="s">
        <v>864</v>
      </c>
      <c r="N2" s="249" t="s">
        <v>864</v>
      </c>
      <c r="O2" s="249" t="s">
        <v>864</v>
      </c>
      <c r="P2" s="88"/>
      <c r="Q2" s="88"/>
      <c r="R2" s="88"/>
      <c r="S2" s="88"/>
      <c r="T2" s="88"/>
      <c r="U2" s="162"/>
      <c r="V2" s="162"/>
      <c r="W2" s="162"/>
      <c r="X2" s="162"/>
      <c r="Y2" s="162"/>
      <c r="Z2" s="88"/>
      <c r="AA2" s="88"/>
      <c r="AB2" s="88"/>
      <c r="AC2" s="88" t="s">
        <v>3498</v>
      </c>
      <c r="AD2" s="88"/>
      <c r="AE2" s="88"/>
      <c r="AF2" s="88"/>
      <c r="AG2" s="88"/>
      <c r="AH2" s="88"/>
      <c r="AI2" s="88"/>
      <c r="AJ2" s="88"/>
      <c r="AK2" s="88"/>
      <c r="AL2" s="88"/>
      <c r="AM2" s="162"/>
      <c r="AN2" s="162"/>
      <c r="AO2" s="88"/>
      <c r="AP2" s="93"/>
      <c r="AQ2" s="93" t="s">
        <v>3498</v>
      </c>
      <c r="AR2" s="93"/>
      <c r="AS2" s="88"/>
      <c r="AT2" s="93"/>
      <c r="AU2" s="88"/>
      <c r="AV2" s="249" t="s">
        <v>864</v>
      </c>
      <c r="AW2" s="88" t="s">
        <v>864</v>
      </c>
      <c r="AX2" s="219"/>
      <c r="AY2" s="219"/>
      <c r="AZ2" s="219"/>
      <c r="BA2" s="219"/>
      <c r="BB2" s="93" t="s">
        <v>3498</v>
      </c>
      <c r="BC2" s="103"/>
      <c r="BD2" s="103"/>
      <c r="BE2" s="103"/>
      <c r="BF2" s="88"/>
      <c r="BG2" s="123"/>
      <c r="BH2" s="96"/>
      <c r="BI2" s="96"/>
      <c r="BJ2" s="96"/>
      <c r="BK2" s="96"/>
      <c r="BL2" s="264"/>
      <c r="BM2" s="123"/>
      <c r="BN2" s="123"/>
      <c r="BO2" s="96"/>
      <c r="BP2" s="96"/>
      <c r="BQ2" s="88"/>
      <c r="BR2" s="88" t="s">
        <v>1</v>
      </c>
      <c r="BS2" s="88"/>
      <c r="BT2" s="265"/>
      <c r="BU2" s="317" t="s">
        <v>888</v>
      </c>
      <c r="BV2" s="318"/>
      <c r="BW2" s="318"/>
      <c r="BX2" s="318"/>
      <c r="BY2" s="318"/>
      <c r="BZ2" s="318"/>
      <c r="CA2" s="318"/>
      <c r="CB2" s="318"/>
      <c r="CC2" s="318"/>
      <c r="CD2" s="319"/>
      <c r="CE2" s="326" t="s">
        <v>889</v>
      </c>
      <c r="CF2" s="327"/>
      <c r="CG2" s="327"/>
      <c r="CH2" s="327"/>
      <c r="CI2" s="327"/>
      <c r="CJ2" s="327"/>
      <c r="CK2" s="327"/>
      <c r="CL2" s="327"/>
      <c r="CM2" s="328"/>
      <c r="CN2" s="320" t="s">
        <v>890</v>
      </c>
      <c r="CO2" s="321"/>
      <c r="CP2" s="321"/>
      <c r="CQ2" s="321"/>
      <c r="CR2" s="321"/>
      <c r="CS2" s="322"/>
      <c r="CT2" s="323" t="s">
        <v>180</v>
      </c>
      <c r="CU2" s="324"/>
      <c r="CV2" s="325"/>
      <c r="CX2" s="315" t="s">
        <v>3645</v>
      </c>
      <c r="CY2" s="316"/>
    </row>
    <row r="3" spans="1:104" ht="78.75">
      <c r="A3" s="85" t="s">
        <v>171</v>
      </c>
      <c r="B3" s="85" t="s">
        <v>172</v>
      </c>
      <c r="C3" s="85" t="s">
        <v>173</v>
      </c>
      <c r="D3" s="111" t="s">
        <v>3512</v>
      </c>
      <c r="E3" s="111" t="s">
        <v>3513</v>
      </c>
      <c r="F3" s="111" t="s">
        <v>3514</v>
      </c>
      <c r="G3" s="111" t="s">
        <v>3702</v>
      </c>
      <c r="H3" s="111" t="s">
        <v>3515</v>
      </c>
      <c r="I3" s="111" t="s">
        <v>3616</v>
      </c>
      <c r="J3" s="111" t="s">
        <v>3521</v>
      </c>
      <c r="K3" s="111" t="s">
        <v>3516</v>
      </c>
      <c r="L3" s="111" t="s">
        <v>3520</v>
      </c>
      <c r="M3" s="111" t="s">
        <v>3517</v>
      </c>
      <c r="N3" s="111" t="s">
        <v>3518</v>
      </c>
      <c r="O3" s="111" t="s">
        <v>3519</v>
      </c>
      <c r="P3" s="111" t="s">
        <v>834</v>
      </c>
      <c r="Q3" s="111" t="s">
        <v>835</v>
      </c>
      <c r="R3" s="111" t="s">
        <v>3557</v>
      </c>
      <c r="S3" s="150" t="s">
        <v>3468</v>
      </c>
      <c r="T3" s="150" t="s">
        <v>3467</v>
      </c>
      <c r="U3" s="111" t="s">
        <v>3591</v>
      </c>
      <c r="V3" s="111" t="s">
        <v>836</v>
      </c>
      <c r="W3" s="111" t="s">
        <v>3592</v>
      </c>
      <c r="X3" s="111" t="s">
        <v>839</v>
      </c>
      <c r="Y3" s="150" t="s">
        <v>3466</v>
      </c>
      <c r="Z3" s="111" t="s">
        <v>3631</v>
      </c>
      <c r="AA3" s="150" t="s">
        <v>3492</v>
      </c>
      <c r="AB3" s="111" t="s">
        <v>3434</v>
      </c>
      <c r="AC3" s="111" t="s">
        <v>867</v>
      </c>
      <c r="AD3" s="111" t="s">
        <v>844</v>
      </c>
      <c r="AE3" s="150" t="s">
        <v>3495</v>
      </c>
      <c r="AF3" s="111" t="s">
        <v>846</v>
      </c>
      <c r="AG3" s="111" t="s">
        <v>847</v>
      </c>
      <c r="AH3" s="150" t="s">
        <v>3493</v>
      </c>
      <c r="AI3" s="111" t="s">
        <v>848</v>
      </c>
      <c r="AJ3" s="150" t="s">
        <v>3465</v>
      </c>
      <c r="AK3" s="111" t="s">
        <v>849</v>
      </c>
      <c r="AL3" s="111"/>
      <c r="AM3" s="111" t="s">
        <v>3505</v>
      </c>
      <c r="AN3" s="251" t="s">
        <v>850</v>
      </c>
      <c r="AO3" s="150" t="s">
        <v>3464</v>
      </c>
      <c r="AP3" s="150" t="s">
        <v>3494</v>
      </c>
      <c r="AQ3" s="150" t="s">
        <v>3463</v>
      </c>
      <c r="AR3" s="150" t="s">
        <v>3469</v>
      </c>
      <c r="AS3" s="111" t="s">
        <v>853</v>
      </c>
      <c r="AT3" s="150" t="s">
        <v>3470</v>
      </c>
      <c r="AU3" s="150" t="s">
        <v>186</v>
      </c>
      <c r="AV3" s="111" t="s">
        <v>3461</v>
      </c>
      <c r="AW3" s="111" t="s">
        <v>3460</v>
      </c>
      <c r="AX3" s="111" t="s">
        <v>857</v>
      </c>
      <c r="AY3" s="111" t="s">
        <v>858</v>
      </c>
      <c r="AZ3" s="111" t="s">
        <v>859</v>
      </c>
      <c r="BA3" s="150" t="s">
        <v>822</v>
      </c>
      <c r="BB3" s="150" t="s">
        <v>861</v>
      </c>
      <c r="BC3" s="94" t="s">
        <v>183</v>
      </c>
      <c r="BD3" s="94" t="s">
        <v>184</v>
      </c>
      <c r="BE3" s="94" t="s">
        <v>185</v>
      </c>
      <c r="BF3" s="111" t="s">
        <v>862</v>
      </c>
      <c r="BG3" s="111" t="s">
        <v>874</v>
      </c>
      <c r="BH3" s="111" t="s">
        <v>866</v>
      </c>
      <c r="BI3" s="160" t="s">
        <v>877</v>
      </c>
      <c r="BJ3" s="111" t="s">
        <v>878</v>
      </c>
      <c r="BK3" s="111" t="s">
        <v>879</v>
      </c>
      <c r="BL3" s="111" t="s">
        <v>880</v>
      </c>
      <c r="BM3" s="111" t="s">
        <v>881</v>
      </c>
      <c r="BN3" s="111" t="s">
        <v>3593</v>
      </c>
      <c r="BO3" s="111" t="s">
        <v>3594</v>
      </c>
      <c r="BP3" s="111" t="s">
        <v>3595</v>
      </c>
      <c r="BQ3" s="111" t="s">
        <v>885</v>
      </c>
      <c r="BR3" s="111" t="s">
        <v>886</v>
      </c>
      <c r="BS3" s="161" t="s">
        <v>887</v>
      </c>
      <c r="BT3" s="166" t="s">
        <v>182</v>
      </c>
      <c r="BU3" s="178" t="s">
        <v>2</v>
      </c>
      <c r="BV3" s="157"/>
      <c r="BW3" s="157"/>
      <c r="BX3" s="157"/>
      <c r="BY3" s="157" t="s">
        <v>3</v>
      </c>
      <c r="BZ3" s="179"/>
      <c r="CA3" s="157"/>
      <c r="CB3" s="157"/>
      <c r="CC3" s="157" t="s">
        <v>133</v>
      </c>
      <c r="CD3" s="180" t="s">
        <v>174</v>
      </c>
      <c r="CE3" s="181" t="s">
        <v>175</v>
      </c>
      <c r="CF3" s="181" t="s">
        <v>3500</v>
      </c>
      <c r="CG3" s="181" t="s">
        <v>3499</v>
      </c>
      <c r="CH3" s="181" t="s">
        <v>3503</v>
      </c>
      <c r="CI3" s="181" t="s">
        <v>3506</v>
      </c>
      <c r="CJ3" s="181" t="s">
        <v>3507</v>
      </c>
      <c r="CK3" s="181" t="s">
        <v>3714</v>
      </c>
      <c r="CL3" s="181" t="s">
        <v>3715</v>
      </c>
      <c r="CM3" s="181" t="s">
        <v>176</v>
      </c>
      <c r="CN3" s="182" t="s">
        <v>820</v>
      </c>
      <c r="CO3" s="183" t="s">
        <v>821</v>
      </c>
      <c r="CP3" s="183" t="s">
        <v>832</v>
      </c>
      <c r="CQ3" s="150" t="s">
        <v>177</v>
      </c>
      <c r="CR3" s="150" t="s">
        <v>178</v>
      </c>
      <c r="CS3" s="184" t="s">
        <v>179</v>
      </c>
      <c r="CT3" s="185" t="s">
        <v>3590</v>
      </c>
      <c r="CU3" s="185" t="s">
        <v>181</v>
      </c>
      <c r="CV3" s="186" t="s">
        <v>807</v>
      </c>
      <c r="CW3" s="241" t="s">
        <v>3497</v>
      </c>
      <c r="CX3" s="292" t="s">
        <v>3642</v>
      </c>
      <c r="CY3" s="293" t="s">
        <v>3641</v>
      </c>
    </row>
    <row r="4" spans="1:104" s="103" customFormat="1" ht="15" customHeight="1">
      <c r="A4" s="86" t="s">
        <v>196</v>
      </c>
      <c r="B4" s="86"/>
      <c r="C4" s="86" t="s">
        <v>804</v>
      </c>
      <c r="D4" s="188">
        <f t="shared" ref="D4:AK4" si="0">SUM(D5:D290)</f>
        <v>450667.9</v>
      </c>
      <c r="E4" s="188">
        <f t="shared" si="0"/>
        <v>573</v>
      </c>
      <c r="F4" s="188">
        <f t="shared" si="0"/>
        <v>451240.9</v>
      </c>
      <c r="G4" s="188">
        <f t="shared" si="0"/>
        <v>465178.6</v>
      </c>
      <c r="H4" s="188">
        <f t="shared" si="0"/>
        <v>445.5</v>
      </c>
      <c r="I4" s="188">
        <f t="shared" si="0"/>
        <v>465624.1</v>
      </c>
      <c r="J4" s="188">
        <f t="shared" si="0"/>
        <v>465655.5</v>
      </c>
      <c r="K4" s="188">
        <f t="shared" si="0"/>
        <v>566.5</v>
      </c>
      <c r="L4" s="188">
        <f t="shared" si="0"/>
        <v>466222</v>
      </c>
      <c r="M4" s="188">
        <f t="shared" si="0"/>
        <v>464884.7</v>
      </c>
      <c r="N4" s="188">
        <f t="shared" si="0"/>
        <v>464.8</v>
      </c>
      <c r="O4" s="188">
        <f t="shared" si="0"/>
        <v>465349.5</v>
      </c>
      <c r="P4" s="188">
        <f t="shared" si="0"/>
        <v>469691.4</v>
      </c>
      <c r="Q4" s="188">
        <f t="shared" si="0"/>
        <v>4032</v>
      </c>
      <c r="R4" s="188">
        <f t="shared" si="0"/>
        <v>6</v>
      </c>
      <c r="S4" s="188">
        <f t="shared" si="0"/>
        <v>473729.4</v>
      </c>
      <c r="T4" s="188">
        <f t="shared" si="0"/>
        <v>54688.1</v>
      </c>
      <c r="U4" s="188">
        <f t="shared" si="0"/>
        <v>143073.70000000001</v>
      </c>
      <c r="V4" s="188">
        <f t="shared" si="0"/>
        <v>9418.7000000000007</v>
      </c>
      <c r="W4" s="188">
        <f t="shared" si="0"/>
        <v>49092</v>
      </c>
      <c r="X4" s="188">
        <f t="shared" si="0"/>
        <v>9083.2000000000007</v>
      </c>
      <c r="Y4" s="188">
        <f t="shared" si="0"/>
        <v>10167.4</v>
      </c>
      <c r="Z4" s="188">
        <f t="shared" si="0"/>
        <v>108874</v>
      </c>
      <c r="AA4" s="188">
        <f t="shared" si="0"/>
        <v>9073.2999999999993</v>
      </c>
      <c r="AB4" s="187">
        <f t="shared" si="0"/>
        <v>479595</v>
      </c>
      <c r="AC4" s="187">
        <f t="shared" si="0"/>
        <v>0</v>
      </c>
      <c r="AD4" s="187">
        <f t="shared" si="0"/>
        <v>179638</v>
      </c>
      <c r="AE4" s="188">
        <f t="shared" si="0"/>
        <v>86945.8</v>
      </c>
      <c r="AF4" s="188">
        <f t="shared" si="0"/>
        <v>11143.1</v>
      </c>
      <c r="AG4" s="188">
        <f t="shared" si="0"/>
        <v>11605.6</v>
      </c>
      <c r="AH4" s="188">
        <f t="shared" si="0"/>
        <v>12220.5</v>
      </c>
      <c r="AI4" s="188">
        <f t="shared" si="0"/>
        <v>12558.7</v>
      </c>
      <c r="AJ4" s="188">
        <f t="shared" si="0"/>
        <v>3140</v>
      </c>
      <c r="AK4" s="188">
        <f t="shared" si="0"/>
        <v>130127.8</v>
      </c>
      <c r="AL4" s="188"/>
      <c r="AM4" s="187">
        <f t="shared" ref="AM4:BB4" si="1">SUM(AM5:AM290)</f>
        <v>92451979</v>
      </c>
      <c r="AN4" s="187">
        <f t="shared" si="1"/>
        <v>101223247</v>
      </c>
      <c r="AO4" s="188">
        <f t="shared" si="1"/>
        <v>24746.9</v>
      </c>
      <c r="AP4" s="188">
        <f t="shared" si="1"/>
        <v>7571</v>
      </c>
      <c r="AQ4" s="188">
        <f t="shared" si="1"/>
        <v>0</v>
      </c>
      <c r="AR4" s="188">
        <f t="shared" si="1"/>
        <v>6421.7</v>
      </c>
      <c r="AS4" s="187">
        <f t="shared" si="1"/>
        <v>479347115</v>
      </c>
      <c r="AT4" s="188">
        <f t="shared" si="1"/>
        <v>115089.4</v>
      </c>
      <c r="AU4" s="188">
        <f t="shared" si="1"/>
        <v>42</v>
      </c>
      <c r="AV4" s="188">
        <f t="shared" si="1"/>
        <v>797413.8</v>
      </c>
      <c r="AW4" s="188">
        <f t="shared" si="1"/>
        <v>688746.1</v>
      </c>
      <c r="AX4" s="188">
        <f t="shared" si="1"/>
        <v>5637</v>
      </c>
      <c r="AY4" s="188">
        <f t="shared" si="1"/>
        <v>913.4</v>
      </c>
      <c r="AZ4" s="189">
        <f t="shared" si="1"/>
        <v>3295.75</v>
      </c>
      <c r="BA4" s="187">
        <f t="shared" si="1"/>
        <v>32074481</v>
      </c>
      <c r="BB4" s="187">
        <f t="shared" si="1"/>
        <v>0</v>
      </c>
      <c r="BC4" s="188"/>
      <c r="BD4" s="188"/>
      <c r="BE4" s="188"/>
      <c r="BF4" s="187">
        <f t="shared" ref="BF4:BS4" si="2">SUM(BF5:BF290)</f>
        <v>2900702058</v>
      </c>
      <c r="BG4" s="187">
        <f t="shared" si="2"/>
        <v>3380049409</v>
      </c>
      <c r="BH4" s="187">
        <f t="shared" si="2"/>
        <v>3453959927</v>
      </c>
      <c r="BI4" s="187">
        <f t="shared" si="2"/>
        <v>3380048576</v>
      </c>
      <c r="BJ4" s="187">
        <f t="shared" si="2"/>
        <v>-26728</v>
      </c>
      <c r="BK4" s="187">
        <f t="shared" si="2"/>
        <v>-4330267</v>
      </c>
      <c r="BL4" s="187">
        <f t="shared" si="2"/>
        <v>-269783</v>
      </c>
      <c r="BM4" s="187">
        <f t="shared" si="2"/>
        <v>-4626778</v>
      </c>
      <c r="BN4" s="187">
        <f t="shared" si="2"/>
        <v>3375421798</v>
      </c>
      <c r="BO4" s="187">
        <f t="shared" si="2"/>
        <v>3585321536</v>
      </c>
      <c r="BP4" s="214">
        <f t="shared" si="2"/>
        <v>88.25</v>
      </c>
      <c r="BQ4" s="187">
        <f t="shared" si="2"/>
        <v>1118606616</v>
      </c>
      <c r="BR4" s="187">
        <f t="shared" si="2"/>
        <v>1131888915</v>
      </c>
      <c r="BS4" s="187">
        <f t="shared" si="2"/>
        <v>1113635566</v>
      </c>
      <c r="BT4" s="263">
        <f>SUM(BT5:BT290)/296</f>
        <v>0.29559999999999997</v>
      </c>
      <c r="BU4" s="188">
        <f>SUM(BU5:BU290)</f>
        <v>468.2</v>
      </c>
      <c r="BV4" s="188"/>
      <c r="BW4" s="188"/>
      <c r="BX4" s="188"/>
      <c r="BY4" s="188">
        <f>SUM(BY5:BY290)</f>
        <v>9296.2999999999993</v>
      </c>
      <c r="BZ4" s="188"/>
      <c r="CA4" s="188"/>
      <c r="CB4" s="188"/>
      <c r="CC4" s="188">
        <f t="shared" ref="CC4:CQ4" si="3">SUM(CC5:CC290)</f>
        <v>32422</v>
      </c>
      <c r="CD4" s="188">
        <f t="shared" si="3"/>
        <v>12501.6</v>
      </c>
      <c r="CE4" s="188">
        <f t="shared" si="3"/>
        <v>82019.7</v>
      </c>
      <c r="CF4" s="189">
        <f t="shared" si="3"/>
        <v>1320.63</v>
      </c>
      <c r="CG4" s="189">
        <f t="shared" si="3"/>
        <v>7695</v>
      </c>
      <c r="CH4" s="187">
        <f>SUM(CH5:CH290)</f>
        <v>300760</v>
      </c>
      <c r="CI4" s="190">
        <f>SUM(CI5:CI290)</f>
        <v>286</v>
      </c>
      <c r="CJ4" s="187">
        <f>SUM(CJ5:CJ290)</f>
        <v>92451979</v>
      </c>
      <c r="CK4" s="187">
        <f>SUM(CK5:CK290)</f>
        <v>92451979</v>
      </c>
      <c r="CL4" s="187">
        <f>SUM(CL5:CL290)</f>
        <v>92451979</v>
      </c>
      <c r="CM4" s="188">
        <f t="shared" si="3"/>
        <v>22197.4</v>
      </c>
      <c r="CN4" s="187">
        <f t="shared" si="3"/>
        <v>31533091</v>
      </c>
      <c r="CO4" s="187">
        <f t="shared" si="3"/>
        <v>0</v>
      </c>
      <c r="CP4" s="187">
        <f t="shared" si="3"/>
        <v>27008966</v>
      </c>
      <c r="CQ4" s="262">
        <f t="shared" si="3"/>
        <v>0.47010000000000002</v>
      </c>
      <c r="CR4" s="187">
        <f>SUM(CR5:CR290)</f>
        <v>32803353</v>
      </c>
      <c r="CS4" s="187">
        <f>SUM(CS5:CS290)</f>
        <v>26746186</v>
      </c>
      <c r="CT4" s="207">
        <f>AD5/AB5</f>
        <v>0.4768</v>
      </c>
      <c r="CU4" s="188">
        <f>SUM(CU5:CU290)</f>
        <v>9226.9</v>
      </c>
      <c r="CV4" s="188">
        <f>SUM(CV5:CV290)</f>
        <v>1916.2</v>
      </c>
      <c r="CW4" s="240">
        <f>SUM(CW5:CW290)</f>
        <v>803835.5</v>
      </c>
      <c r="CX4" s="309">
        <f t="shared" ref="CX4:CY4" si="4">SUM(CX5:CX290)</f>
        <v>119980083</v>
      </c>
      <c r="CY4" s="309">
        <f t="shared" si="4"/>
        <v>14033093</v>
      </c>
    </row>
    <row r="5" spans="1:104" ht="15" customHeight="1">
      <c r="A5" s="88">
        <v>101</v>
      </c>
      <c r="B5" s="87" t="s">
        <v>4</v>
      </c>
      <c r="C5" s="87" t="s">
        <v>519</v>
      </c>
      <c r="D5" s="95">
        <v>503</v>
      </c>
      <c r="E5" s="95">
        <v>0</v>
      </c>
      <c r="F5" s="95">
        <f t="shared" ref="F5:F68" si="5">D5+E5</f>
        <v>503</v>
      </c>
      <c r="G5" s="95">
        <v>506</v>
      </c>
      <c r="H5" s="95">
        <v>0</v>
      </c>
      <c r="I5" s="95">
        <f t="shared" ref="I5:I68" si="6">G5+H5</f>
        <v>506</v>
      </c>
      <c r="J5" s="95">
        <v>514.5</v>
      </c>
      <c r="K5" s="95">
        <v>0</v>
      </c>
      <c r="L5" s="95">
        <f t="shared" ref="L5:L68" si="7">J5+K5</f>
        <v>514.5</v>
      </c>
      <c r="M5" s="95">
        <f>IF(ISNA(VLOOKUP($CZ5,'Audit Values'!$A$2:$BW$365,2,FALSE)),'Preliminary SO66'!C4,VLOOKUP($CZ5,'Audit Values'!$A$2:$BW$365,73,FALSE))</f>
        <v>491.5</v>
      </c>
      <c r="N5" s="95">
        <f>IF(ISNA(VLOOKUP($CZ5,'Audit Values'!$A$2:$BW$365,2,FALSE)),'Preliminary SO66'!F4,VLOOKUP($CZ5,'Audit Values'!$A$2:$BW$365,4,FALSE))</f>
        <v>0</v>
      </c>
      <c r="O5" s="95">
        <f t="shared" ref="O5:O68" si="8">M5+N5</f>
        <v>491.5</v>
      </c>
      <c r="P5" s="95">
        <f>IF('Military Provision'!J6="YES", MAX('2019 Legal Max'!L5,'2019 Legal Max'!I5,AVERAGE('2019 Legal Max'!F5,'2019 Legal Max'!I5,'2019 Legal Max'!L5)), MAX(L5, I5))</f>
        <v>514.5</v>
      </c>
      <c r="Q5" s="95">
        <f>IF(ISNA(VLOOKUP($CZ5,'Audit Values'!$A$2:$BU$353,2,FALSE)),'Preliminary SO66'!AL4,VLOOKUP($CZ5,'Audit Values'!$A$2:$BU$3955,58,FALSE))</f>
        <v>0</v>
      </c>
      <c r="R5" s="95">
        <v>0</v>
      </c>
      <c r="S5" s="95">
        <f t="shared" ref="S5:S19" si="9">P5+Q5+R5</f>
        <v>514.5</v>
      </c>
      <c r="T5" s="95">
        <f t="shared" ref="T5:T68" si="10">MAX(BU5, BY5, CC5, CD5)</f>
        <v>211.6</v>
      </c>
      <c r="U5" s="95">
        <f>IF(ISNA(VLOOKUP($CZ5,'Audit Values'!$A$2:$BW$317,2,FALSE)),'Preliminary SO66'!AM4,VLOOKUP($CZ5,'Audit Values'!$A$2:$BW$317,62,FALSE))</f>
        <v>1.3</v>
      </c>
      <c r="V5" s="95">
        <f>(U5/6)*'Weighting Factors'!$Q$7</f>
        <v>0.1</v>
      </c>
      <c r="W5" s="132">
        <f>IF(ISNA(VLOOKUP($CZ5,'Audit Values'!$A$2:$BW$353,2,FALSE)),'Preliminary SO66'!AN4,VLOOKUP($CZ5,'Audit Values'!$A$2:$BW$353,61,FALSE))</f>
        <v>8</v>
      </c>
      <c r="X5" s="95">
        <f>W5*'Weighting Factors'!$Q$8</f>
        <v>1.5</v>
      </c>
      <c r="Y5" s="95">
        <f t="shared" ref="Y5:Y68" si="11">MAX(V5,X5)</f>
        <v>1.5</v>
      </c>
      <c r="Z5" s="276">
        <f>IF(ISNA(VLOOKUP($CZ5,'Audit Values'!$A$2:$BW$317,2,FALSE)),'Preliminary SO66'!AO4,VLOOKUP($CZ5,'Audit Values'!$A$2:$BW$317,60,FALSE))</f>
        <v>98.5</v>
      </c>
      <c r="AA5" s="95">
        <f>Z5/6*'Weighting Factors'!$Q$6</f>
        <v>8.1999999999999993</v>
      </c>
      <c r="AB5" s="99">
        <f>IF(ISNA(VLOOKUP($CZ5,'Audit Values'!$A$2:$BU$353,2,FALSE)),'Preliminary SO66'!AS4,VLOOKUP($CZ5,'Audit Values'!$A$2:$BU$353,63,FALSE))</f>
        <v>495</v>
      </c>
      <c r="AC5" s="99">
        <f>IF(ISNA(VLOOKUP($CZ5,'Audit Values'!$A$2:$BU$49,2,FALSE)),'Preliminary SO66'!AT4,VLOOKUP($CZ5,'Audit Values'!$A$2:$BU$49,63,FALSE))</f>
        <v>0</v>
      </c>
      <c r="AD5" s="99">
        <f>IF(ISNA(VLOOKUP($CZ5,'Audit Values'!$A$2:$BU$353,2,FALSE)),'Preliminary SO66'!AP4,VLOOKUP($CZ5,'Audit Values'!$A$2:$BU$353,64,FALSE))</f>
        <v>236</v>
      </c>
      <c r="AE5" s="95">
        <f>IF(A5=207, AD5,MAX(AC5,AD5))*'Weighting Factors'!$Q$9</f>
        <v>114.2</v>
      </c>
      <c r="AF5" s="95">
        <f t="shared" ref="AF5:AF68" si="12">MAX(CU5,CV5)</f>
        <v>20.9</v>
      </c>
      <c r="AG5" s="95">
        <f>IF(ISNA(VLOOKUP($CZ5,'Audit Values'!$A$2:$BW$353,2,FALSE)),'Preliminary SO66'!AG4,VLOOKUP($CZ5,'Audit Values'!$A$2:$BW$353,70,FALSE))</f>
        <v>18.2</v>
      </c>
      <c r="AH5" s="95">
        <f t="shared" ref="AH5:AH68" si="13">MAX(AF5, AG5)</f>
        <v>20.9</v>
      </c>
      <c r="AI5" s="95">
        <f>IF(ISNA(VLOOKUP($CZ5,'Audit Values'!$A$2:$BU$353,2,FALSE)),'Preliminary SO66'!AQ4,VLOOKUP($CZ5,'Audit Values'!$A$2:$BU$353,65,FALSE))</f>
        <v>0</v>
      </c>
      <c r="AJ5" s="95">
        <f>AI5*'Weighting Factors'!$Q$10</f>
        <v>0</v>
      </c>
      <c r="AK5" s="95">
        <f>IF(ISNA(VLOOKUP($CZ5,'Audit Values'!$A$2:$BU$353,2,FALSE)),'Preliminary SO66'!AR4,VLOOKUP($CZ5,'Audit Values'!$A$2:$BU$353,66,FALSE))</f>
        <v>256</v>
      </c>
      <c r="AL5" s="95"/>
      <c r="AM5" s="99">
        <f t="shared" ref="AM5:AM68" si="14">CL5</f>
        <v>258560</v>
      </c>
      <c r="AN5" s="99">
        <v>303923</v>
      </c>
      <c r="AO5" s="95">
        <f>MAX(AN5, AM5)/'Weighting Factors'!$Q$5</f>
        <v>73</v>
      </c>
      <c r="AP5" s="95">
        <f>CN5/'Weighting Factors'!$Q$5</f>
        <v>0</v>
      </c>
      <c r="AQ5" s="95">
        <v>0</v>
      </c>
      <c r="AR5" s="95">
        <f>CS5/'Weighting Factors'!$Q$5</f>
        <v>0</v>
      </c>
      <c r="AS5" s="99">
        <v>694175</v>
      </c>
      <c r="AT5" s="95">
        <f>AS5/'Weighting Factors'!$Q$5</f>
        <v>166.7</v>
      </c>
      <c r="AU5" s="95">
        <f>IF(ISNA(VLOOKUP($CZ5,'Audit Values'!$A$2:$BU$353,2,FALSE)),'Preliminary SO66'!X4,VLOOKUP($CZ5,'Audit Values'!$A$2:$BU$353,47,FALSE))</f>
        <v>0</v>
      </c>
      <c r="AV5" s="95">
        <f t="shared" ref="AV5:AV68" si="15">SUM(S5+T5+Y5+AA5+AE5+AH5+AJ5++AO5+AP5+AQ5+AT5+AU5)</f>
        <v>1110.5999999999999</v>
      </c>
      <c r="AW5" s="95">
        <f t="shared" ref="AW5:AW68" si="16">SUM(S5+T5+Y5+AA5+AE5+AH5+AJ5++AO5+AP5+AQ5+AR5+AU5)</f>
        <v>943.9</v>
      </c>
      <c r="AX5" s="95">
        <f>IF(ISNA(VLOOKUP($CZ5,'Audit Values'!$A$2:$BU$353,2,FALSE)),'Preliminary SO66'!AA4,VLOOKUP($CZ5,'Audit Values'!$A$2:$BU$353,41,FALSE))</f>
        <v>0</v>
      </c>
      <c r="AY5" s="95">
        <f>IF(ISNA(VLOOKUP($CZ5,'Audit Values'!$A$2:$BU$353,2,FALSE)),'Preliminary SO66'!AB4,VLOOKUP($CZ5,'Audit Values'!$A$2:$BU$353,42,FALSE))</f>
        <v>0</v>
      </c>
      <c r="AZ5" s="114">
        <v>0</v>
      </c>
      <c r="BA5" s="99">
        <f>SUM(AX5*'Weighting Factors'!$T$10)+('2019 Legal Max'!AY5*'Weighting Factors'!$T$11)+('2019 Legal Max'!AZ5*'Weighting Factors'!$T$12)</f>
        <v>0</v>
      </c>
      <c r="BB5" s="158">
        <v>0</v>
      </c>
      <c r="BC5" s="88">
        <f>IF(ISNA(VLOOKUP($CZ5,'Audit Values'!$A$2:$BU$353,2,FALSE)),"",IF(AND('Weighting Factors'!H5&gt;0,VLOOKUP($CZ5,'Audit Values'!$A$2:$BU$353,51,FALSE)&lt;'Weighting Factors'!H5),'Weighting Factors'!H5,VLOOKUP($CZ5,'Audit Values'!$A$2:$BU$353,50,FALSE)))</f>
        <v>19</v>
      </c>
      <c r="BD5" s="88" t="str">
        <f>IF(ISNA(VLOOKUP($CZ5,'Audit Values'!$A$2:$BV$353,2,FALSE)),"",VLOOKUP($CZ5,'Audit Values'!$A$2:$BV$353,51,FALSE))</f>
        <v>A</v>
      </c>
      <c r="BE5" s="88" t="str">
        <f>IF('Weighting Factors'!H5="","",IF('Weighting Factors'!J5="Pending","PX","R"))</f>
        <v/>
      </c>
      <c r="BF5" s="97">
        <f>SUM((S5+T5+Y5+AA5+AE5+AH5+AJ5++AO5+AP5+AQ5+AU5+AR5)*'Weighting Factors'!$Q$5)+'2019 Legal Max'!BA5+'2019 Legal Max'!BB5</f>
        <v>3931344</v>
      </c>
      <c r="BG5" s="99">
        <f>SUM((AV5+AR5)*'Weighting Factors'!$Q$5)+BA5+'2019 Legal Max'!BB5</f>
        <v>4625649</v>
      </c>
      <c r="BH5" s="108">
        <f>IF('Weighting Factors'!H5&gt;0,'Weighting Factors'!H5,'Preliminary SO66'!AV4)</f>
        <v>4835149</v>
      </c>
      <c r="BI5" s="99">
        <f>MIN(BG5,BH5)</f>
        <v>4625649</v>
      </c>
      <c r="BJ5" s="112"/>
      <c r="BK5" s="112">
        <f>'Weighting Factors'!F5</f>
        <v>0</v>
      </c>
      <c r="BL5" s="112">
        <f>'Weighting Factors'!E5</f>
        <v>0</v>
      </c>
      <c r="BM5" s="99">
        <f t="shared" ref="BM5:BM68" si="17">SUM(BJ5:BL5)</f>
        <v>0</v>
      </c>
      <c r="BN5" s="99">
        <f t="shared" ref="BN5:BN68" si="18">BI5+BM5</f>
        <v>4625649</v>
      </c>
      <c r="BO5" s="99">
        <f>SUM((S5+T5+Y5+AA5+AE5+AH5+AJ5++AO5+AP5+AQ5+AR5)*'Weighting Factors'!Q$12)+(MAX(AS5,'Weighting Factors'!B5))</f>
        <v>4969278</v>
      </c>
      <c r="BP5" s="122">
        <v>0.3</v>
      </c>
      <c r="BQ5" s="99">
        <f t="shared" ref="BQ5:BQ68" si="19">BO5*BP5</f>
        <v>1490783</v>
      </c>
      <c r="BR5" s="108">
        <v>1547896</v>
      </c>
      <c r="BS5" s="99">
        <f t="shared" ref="BS5:BS68" si="20">MIN(BQ5,BR5)</f>
        <v>1490783</v>
      </c>
      <c r="BT5" s="167">
        <f t="shared" ref="BT5:BT68" si="21">BS5/BO5</f>
        <v>0.3</v>
      </c>
      <c r="BU5" s="95">
        <f t="shared" ref="BU5:BU68" si="22">ROUND(IF(S5&lt;=99.9,(S5*1.014331),0),1)</f>
        <v>0</v>
      </c>
      <c r="BV5" s="87" t="b">
        <f t="shared" ref="BV5:BV68" si="23">AND(S5&gt;99.9,S5&lt;=299.9)</f>
        <v>0</v>
      </c>
      <c r="BW5" s="117">
        <f t="shared" ref="BW5:BW68" si="24">IF(BV5=TRUE,ROUND((S5-100)*9.655,3),0)</f>
        <v>0</v>
      </c>
      <c r="BX5" s="116">
        <f t="shared" ref="BX5:BX68" si="25">IF(BV5=TRUE,ROUND(((7337-BW5)/3642.4)-1,6),0)</f>
        <v>0</v>
      </c>
      <c r="BY5" s="95">
        <f t="shared" ref="BY5:BY68" si="26">ROUND(BX5*S5,1)</f>
        <v>0</v>
      </c>
      <c r="BZ5" s="87" t="b">
        <f t="shared" ref="BZ5:BZ68" si="27">AND(S5&gt;299.9,S5&lt;=1621.9)</f>
        <v>1</v>
      </c>
      <c r="CA5" s="87">
        <f t="shared" ref="CA5:CA68" si="28">IF(BZ5=TRUE,ROUND((S5-300)*1.2375,4),0)</f>
        <v>265.44380000000001</v>
      </c>
      <c r="CB5" s="116">
        <f t="shared" ref="CB5:CB68" si="29">IF(BZ5=TRUE,ROUND(((5406-CA5)/3642.4)-1,6),0)</f>
        <v>0.41131000000000001</v>
      </c>
      <c r="CC5" s="95">
        <f t="shared" ref="CC5:CC68" si="30">ROUND(CB5*S5,1)</f>
        <v>211.6</v>
      </c>
      <c r="CD5" s="95">
        <f t="shared" ref="CD5:CD68" si="31">ROUND(IF(S5&gt;=1622,(S5*0.03504),0),1)</f>
        <v>0</v>
      </c>
      <c r="CE5" s="98">
        <v>325</v>
      </c>
      <c r="CF5" s="250">
        <f t="shared" ref="CF5:CF68" si="32">AK5/CE5</f>
        <v>0.78800000000000003</v>
      </c>
      <c r="CG5" s="274">
        <f>IF(CF5&lt;0.06,1,IF(CF5&gt;=18.29,52,MATCH(CF5-0.001,'Weighting Factors'!$Y$5:$Y$156)+1))</f>
        <v>29</v>
      </c>
      <c r="CH5" s="243">
        <f>VLOOKUP(CG5, 'Weighting Factors'!$W$5:$Z$56,4)</f>
        <v>1010</v>
      </c>
      <c r="CI5" s="118">
        <f>('Weighting Factors'!$Q$5/'Weighting Factors'!$Q$14)</f>
        <v>1</v>
      </c>
      <c r="CJ5" s="245">
        <f t="shared" ref="CJ5:CJ68" si="33">AK5*CH5</f>
        <v>258560</v>
      </c>
      <c r="CK5" s="245">
        <f>CJ5*'Weighting Factors'!$S$7</f>
        <v>258560</v>
      </c>
      <c r="CL5" s="245">
        <f t="shared" ref="CL5:CL68" si="34">CK5*CI5</f>
        <v>258560</v>
      </c>
      <c r="CM5" s="95">
        <f>AM5/'Weighting Factors'!$Q$5</f>
        <v>62.1</v>
      </c>
      <c r="CN5" s="148">
        <v>0</v>
      </c>
      <c r="CO5" s="148">
        <v>0</v>
      </c>
      <c r="CP5" s="149">
        <v>0</v>
      </c>
      <c r="CQ5" s="151">
        <v>0</v>
      </c>
      <c r="CR5" s="99">
        <f>SUM((AV5*'Weighting Factors'!$Q$5)+'2019 Legal Max'!BA5)*CQ5</f>
        <v>0</v>
      </c>
      <c r="CS5" s="99">
        <f t="shared" ref="CS5:CS68" si="35">IF(CP5&gt;CR5,CR5,CP5)</f>
        <v>0</v>
      </c>
      <c r="CT5" s="106">
        <f t="shared" ref="CT5:CT68" si="36">AD5/AB5</f>
        <v>0.4768</v>
      </c>
      <c r="CU5" s="95">
        <f t="shared" ref="CU5:CU68" si="37">IF(CT5&gt;=50%,AD5*10.5%,0)</f>
        <v>0</v>
      </c>
      <c r="CV5" s="95">
        <f t="shared" ref="CV5:CV68" si="38">IF(AND(CT5&gt;35%,CT5&lt;50%),AD5*(CT5-35%)*0.7,0)</f>
        <v>20.9</v>
      </c>
      <c r="CW5" s="95">
        <f t="shared" ref="CW5:CW68" si="39">AW5+AT5</f>
        <v>1110.5999999999999</v>
      </c>
      <c r="CX5" s="99">
        <f>'LOB Transfers'!G4</f>
        <v>153252</v>
      </c>
      <c r="CY5" s="99">
        <f>'LOB Transfers'!J4</f>
        <v>2087</v>
      </c>
      <c r="CZ5" s="87" t="s">
        <v>197</v>
      </c>
    </row>
    <row r="6" spans="1:104" ht="15" customHeight="1">
      <c r="A6" s="88">
        <v>102</v>
      </c>
      <c r="B6" s="87" t="s">
        <v>5</v>
      </c>
      <c r="C6" s="87" t="s">
        <v>811</v>
      </c>
      <c r="D6" s="95">
        <v>619</v>
      </c>
      <c r="E6" s="95">
        <v>0</v>
      </c>
      <c r="F6" s="95">
        <f t="shared" si="5"/>
        <v>619</v>
      </c>
      <c r="G6" s="95">
        <v>640.5</v>
      </c>
      <c r="H6" s="95">
        <v>0</v>
      </c>
      <c r="I6" s="95">
        <f t="shared" si="6"/>
        <v>640.5</v>
      </c>
      <c r="J6" s="95">
        <v>638.20000000000005</v>
      </c>
      <c r="K6" s="95">
        <v>0</v>
      </c>
      <c r="L6" s="95">
        <f t="shared" si="7"/>
        <v>638.20000000000005</v>
      </c>
      <c r="M6" s="95">
        <f>IF(ISNA(VLOOKUP($CZ6,'Audit Values'!$A$2:$BW$365,2,FALSE)),'Preliminary SO66'!C5,VLOOKUP($CZ6,'Audit Values'!$A$2:$BW$365,73,FALSE))</f>
        <v>659.1</v>
      </c>
      <c r="N6" s="95">
        <f>IF(ISNA(VLOOKUP($CZ6,'Audit Values'!$A$2:$BW$365,2,FALSE)),'Preliminary SO66'!F5,VLOOKUP($CZ6,'Audit Values'!$A$2:$BW$365,4,FALSE))</f>
        <v>0</v>
      </c>
      <c r="O6" s="95">
        <f t="shared" si="8"/>
        <v>659.1</v>
      </c>
      <c r="P6" s="95">
        <f>IF('Military Provision'!J7="YES", MAX('2019 Legal Max'!L6,'2019 Legal Max'!I6,AVERAGE('2019 Legal Max'!F6,'2019 Legal Max'!I6,'2019 Legal Max'!L6)), MAX(L6, I6))</f>
        <v>640.5</v>
      </c>
      <c r="Q6" s="95">
        <f>IF(ISNA(VLOOKUP($CZ6,'Audit Values'!$A$2:$BU$353,2,FALSE)),'Preliminary SO66'!AL5,VLOOKUP($CZ6,'Audit Values'!$A$2:$BU$3955,58,FALSE))</f>
        <v>8.5</v>
      </c>
      <c r="R6" s="95">
        <v>0</v>
      </c>
      <c r="S6" s="95">
        <f t="shared" si="9"/>
        <v>649</v>
      </c>
      <c r="T6" s="95">
        <f t="shared" si="10"/>
        <v>237.3</v>
      </c>
      <c r="U6" s="95">
        <f>IF(ISNA(VLOOKUP($CZ6,'Audit Values'!$A$2:$BW$317,2,FALSE)),'Preliminary SO66'!AM5,VLOOKUP($CZ6,'Audit Values'!$A$2:$BW$317,62,FALSE))</f>
        <v>737.8</v>
      </c>
      <c r="V6" s="95">
        <f>(U6/6)*'Weighting Factors'!$Q$7</f>
        <v>48.6</v>
      </c>
      <c r="W6" s="132">
        <f>IF(ISNA(VLOOKUP($CZ6,'Audit Values'!$A$2:$BW$353,2,FALSE)),'Preliminary SO66'!AN5,VLOOKUP($CZ6,'Audit Values'!$A$2:$BW$353,61,FALSE))</f>
        <v>145</v>
      </c>
      <c r="X6" s="95">
        <f>W6*'Weighting Factors'!$Q$8</f>
        <v>26.8</v>
      </c>
      <c r="Y6" s="95">
        <f t="shared" si="11"/>
        <v>48.6</v>
      </c>
      <c r="Z6" s="276">
        <f>IF(ISNA(VLOOKUP($CZ6,'Audit Values'!$A$2:$BW$317,2,FALSE)),'Preliminary SO66'!AO5,VLOOKUP($CZ6,'Audit Values'!$A$2:$BW$317,60,FALSE))</f>
        <v>180.6</v>
      </c>
      <c r="AA6" s="95">
        <f>Z6/6*'Weighting Factors'!$Q$6</f>
        <v>15.1</v>
      </c>
      <c r="AB6" s="99">
        <f>IF(ISNA(VLOOKUP($CZ6,'Audit Values'!$A$2:$BU$353,2,FALSE)),'Preliminary SO66'!AS5,VLOOKUP($CZ6,'Audit Values'!$A$2:$BU$353,63,FALSE))</f>
        <v>679</v>
      </c>
      <c r="AC6" s="99">
        <v>0</v>
      </c>
      <c r="AD6" s="99">
        <f>IF(ISNA(VLOOKUP($CZ6,'Audit Values'!$A$2:$BU$353,2,FALSE)),'Preliminary SO66'!AP5,VLOOKUP($CZ6,'Audit Values'!$A$2:$BU$353,64,FALSE))</f>
        <v>212</v>
      </c>
      <c r="AE6" s="95">
        <f>IF(A6=207, AD6,MAX(AC6,AD6))*'Weighting Factors'!$Q$9</f>
        <v>102.6</v>
      </c>
      <c r="AF6" s="95">
        <f t="shared" si="12"/>
        <v>0</v>
      </c>
      <c r="AG6" s="95">
        <f>IF(ISNA(VLOOKUP($CZ6,'Audit Values'!$A$2:$BW$353,2,FALSE)),'Preliminary SO66'!AG5,VLOOKUP($CZ6,'Audit Values'!$A$2:$BW$353,70,FALSE))</f>
        <v>1</v>
      </c>
      <c r="AH6" s="95">
        <f t="shared" si="13"/>
        <v>1</v>
      </c>
      <c r="AI6" s="95">
        <f>IF(ISNA(VLOOKUP($CZ6,'Audit Values'!$A$2:$BU$353,2,FALSE)),'Preliminary SO66'!AQ5,VLOOKUP($CZ6,'Audit Values'!$A$2:$BU$353,65,FALSE))</f>
        <v>0</v>
      </c>
      <c r="AJ6" s="95">
        <f>AI6*'Weighting Factors'!$Q$10</f>
        <v>0</v>
      </c>
      <c r="AK6" s="95">
        <f>IF(ISNA(VLOOKUP($CZ6,'Audit Values'!$A$2:$BU$353,2,FALSE)),'Preliminary SO66'!AR5,VLOOKUP($CZ6,'Audit Values'!$A$2:$BU$353,66,FALSE))</f>
        <v>99</v>
      </c>
      <c r="AL6" s="95"/>
      <c r="AM6" s="99">
        <f t="shared" si="14"/>
        <v>128700</v>
      </c>
      <c r="AN6" s="99">
        <v>154850</v>
      </c>
      <c r="AO6" s="95">
        <f>MAX(AN6, AM6)/'Weighting Factors'!$Q$5</f>
        <v>37.200000000000003</v>
      </c>
      <c r="AP6" s="95">
        <f>CN6/'Weighting Factors'!$Q$5</f>
        <v>0</v>
      </c>
      <c r="AQ6" s="95">
        <v>0</v>
      </c>
      <c r="AR6" s="95">
        <f>CS6/'Weighting Factors'!$Q$5</f>
        <v>0</v>
      </c>
      <c r="AS6" s="99">
        <v>451649</v>
      </c>
      <c r="AT6" s="95">
        <f>AS6/'Weighting Factors'!$Q$5</f>
        <v>108.4</v>
      </c>
      <c r="AU6" s="95">
        <f>IF(ISNA(VLOOKUP($CZ6,'Audit Values'!$A$2:$BU$353,2,FALSE)),'Preliminary SO66'!X5,VLOOKUP($CZ6,'Audit Values'!$A$2:$BU$353,47,FALSE))</f>
        <v>0</v>
      </c>
      <c r="AV6" s="95">
        <f t="shared" si="15"/>
        <v>1199.2</v>
      </c>
      <c r="AW6" s="95">
        <f t="shared" si="16"/>
        <v>1090.8</v>
      </c>
      <c r="AX6" s="95">
        <f>IF(ISNA(VLOOKUP($CZ6,'Audit Values'!$A$2:$BU$353,2,FALSE)),'Preliminary SO66'!AA5,VLOOKUP($CZ6,'Audit Values'!$A$2:$BU$353,41,FALSE))</f>
        <v>0</v>
      </c>
      <c r="AY6" s="95">
        <f>IF(ISNA(VLOOKUP($CZ6,'Audit Values'!$A$2:$BU$353,2,FALSE)),'Preliminary SO66'!AB5,VLOOKUP($CZ6,'Audit Values'!$A$2:$BU$353,42,FALSE))</f>
        <v>0</v>
      </c>
      <c r="AZ6" s="114">
        <v>0</v>
      </c>
      <c r="BA6" s="99">
        <f>SUM(AX6*'Weighting Factors'!$T$10)+('2019 Legal Max'!AY6*'Weighting Factors'!$T$11)+('2019 Legal Max'!AZ6*'Weighting Factors'!$T$12)</f>
        <v>0</v>
      </c>
      <c r="BB6" s="158">
        <v>0</v>
      </c>
      <c r="BC6" s="88">
        <f>IF(ISNA(VLOOKUP($CZ6,'Audit Values'!$A$2:$BU$353,2,FALSE)),"",IF(AND('Weighting Factors'!H6&gt;0,VLOOKUP($CZ6,'Audit Values'!$A$2:$BU$353,51,FALSE)&lt;'Weighting Factors'!H6),'Weighting Factors'!H6,VLOOKUP($CZ6,'Audit Values'!$A$2:$BU$353,50,FALSE)))</f>
        <v>12</v>
      </c>
      <c r="BD6" s="88" t="str">
        <f>IF(ISNA(VLOOKUP($CZ6,'Audit Values'!$A$2:$BV$353,2,FALSE)),"",VLOOKUP($CZ6,'Audit Values'!$A$2:$BV$353,51,FALSE))</f>
        <v>A</v>
      </c>
      <c r="BE6" s="88" t="str">
        <f>IF('Weighting Factors'!H6="","",IF('Weighting Factors'!J6="Pending","PX","R"))</f>
        <v/>
      </c>
      <c r="BF6" s="97">
        <f>SUM((S6+T6+Y6+AA6+AE6+AH6+AJ6++AO6+AP6+AQ6+AU6+AR6)*'Weighting Factors'!$Q$5)+'2019 Legal Max'!BA6+'2019 Legal Max'!BB6</f>
        <v>4543182</v>
      </c>
      <c r="BG6" s="99">
        <f>SUM((AV6+AR6)*'Weighting Factors'!$Q$5)+BA6+'2019 Legal Max'!BB6</f>
        <v>4994668</v>
      </c>
      <c r="BH6" s="108">
        <f>IF('Weighting Factors'!H6&gt;0,'Weighting Factors'!H6,'Preliminary SO66'!AV5)</f>
        <v>5111288</v>
      </c>
      <c r="BI6" s="99">
        <f t="shared" ref="BI6:BI69" si="40">MIN(BG6,BH6)</f>
        <v>4994668</v>
      </c>
      <c r="BJ6" s="112"/>
      <c r="BK6" s="112">
        <f>'Weighting Factors'!F6</f>
        <v>0</v>
      </c>
      <c r="BL6" s="112">
        <f>'Weighting Factors'!E6</f>
        <v>0</v>
      </c>
      <c r="BM6" s="99">
        <f t="shared" si="17"/>
        <v>0</v>
      </c>
      <c r="BN6" s="99">
        <f t="shared" si="18"/>
        <v>4994668</v>
      </c>
      <c r="BO6" s="99">
        <f>SUM((S6+T6+Y6+AA6+AE6+AH6+AJ6++AO6+AP6+AQ6+AR6)*'Weighting Factors'!Q$12)+(MAX(AS6,'Weighting Factors'!B6))</f>
        <v>5436075</v>
      </c>
      <c r="BP6" s="122">
        <v>0.3</v>
      </c>
      <c r="BQ6" s="99">
        <f t="shared" si="19"/>
        <v>1630823</v>
      </c>
      <c r="BR6" s="108">
        <v>1640065</v>
      </c>
      <c r="BS6" s="99">
        <f t="shared" si="20"/>
        <v>1630823</v>
      </c>
      <c r="BT6" s="167">
        <f t="shared" si="21"/>
        <v>0.3</v>
      </c>
      <c r="BU6" s="95">
        <f t="shared" si="22"/>
        <v>0</v>
      </c>
      <c r="BV6" s="87" t="b">
        <f t="shared" si="23"/>
        <v>0</v>
      </c>
      <c r="BW6" s="117">
        <f t="shared" si="24"/>
        <v>0</v>
      </c>
      <c r="BX6" s="116">
        <f t="shared" si="25"/>
        <v>0</v>
      </c>
      <c r="BY6" s="95">
        <f t="shared" si="26"/>
        <v>0</v>
      </c>
      <c r="BZ6" s="87" t="b">
        <f t="shared" si="27"/>
        <v>1</v>
      </c>
      <c r="CA6" s="87">
        <f t="shared" si="28"/>
        <v>431.88749999999999</v>
      </c>
      <c r="CB6" s="116">
        <f t="shared" si="29"/>
        <v>0.36561399999999999</v>
      </c>
      <c r="CC6" s="95">
        <f t="shared" si="30"/>
        <v>237.3</v>
      </c>
      <c r="CD6" s="95">
        <f t="shared" si="31"/>
        <v>0</v>
      </c>
      <c r="CE6" s="98">
        <v>538</v>
      </c>
      <c r="CF6" s="250">
        <f t="shared" si="32"/>
        <v>0.184</v>
      </c>
      <c r="CG6" s="274">
        <f>IF(CF6&lt;0.06,1,IF(CF6&gt;=18.29,52,MATCH(CF6-0.001,'Weighting Factors'!$Y$5:$Y$156)+1))</f>
        <v>14</v>
      </c>
      <c r="CH6" s="243">
        <f>VLOOKUP(CG6, 'Weighting Factors'!$W$5:$Z$56,4)</f>
        <v>1300</v>
      </c>
      <c r="CI6" s="118">
        <f>('Weighting Factors'!$Q$5/'Weighting Factors'!$Q$14)</f>
        <v>1</v>
      </c>
      <c r="CJ6" s="245">
        <f t="shared" si="33"/>
        <v>128700</v>
      </c>
      <c r="CK6" s="245">
        <f>CJ6*'Weighting Factors'!$S$7</f>
        <v>128700</v>
      </c>
      <c r="CL6" s="245">
        <f t="shared" si="34"/>
        <v>128700</v>
      </c>
      <c r="CM6" s="95">
        <f>AM6/'Weighting Factors'!$Q$5</f>
        <v>30.9</v>
      </c>
      <c r="CN6" s="148">
        <v>0</v>
      </c>
      <c r="CO6" s="148">
        <v>0</v>
      </c>
      <c r="CP6" s="149">
        <v>0</v>
      </c>
      <c r="CQ6" s="151">
        <v>0</v>
      </c>
      <c r="CR6" s="99">
        <f>SUM((AV6*'Weighting Factors'!$Q$5)+'2019 Legal Max'!BA6)*CQ6</f>
        <v>0</v>
      </c>
      <c r="CS6" s="99">
        <f t="shared" si="35"/>
        <v>0</v>
      </c>
      <c r="CT6" s="106">
        <f t="shared" si="36"/>
        <v>0.31219999999999998</v>
      </c>
      <c r="CU6" s="95">
        <f t="shared" si="37"/>
        <v>0</v>
      </c>
      <c r="CV6" s="95">
        <f t="shared" si="38"/>
        <v>0</v>
      </c>
      <c r="CW6" s="95">
        <f t="shared" si="39"/>
        <v>1199.2</v>
      </c>
      <c r="CX6" s="99">
        <f>'LOB Transfers'!G5</f>
        <v>140577</v>
      </c>
      <c r="CY6" s="99">
        <f>'LOB Transfers'!J5</f>
        <v>66538</v>
      </c>
      <c r="CZ6" s="87" t="s">
        <v>198</v>
      </c>
    </row>
    <row r="7" spans="1:104" ht="15" customHeight="1">
      <c r="A7" s="88">
        <v>103</v>
      </c>
      <c r="B7" s="87" t="s">
        <v>6</v>
      </c>
      <c r="C7" s="87" t="s">
        <v>520</v>
      </c>
      <c r="D7" s="95">
        <v>133.5</v>
      </c>
      <c r="E7" s="95">
        <v>0</v>
      </c>
      <c r="F7" s="95">
        <f t="shared" si="5"/>
        <v>133.5</v>
      </c>
      <c r="G7" s="95">
        <v>127</v>
      </c>
      <c r="H7" s="95">
        <v>0</v>
      </c>
      <c r="I7" s="95">
        <f t="shared" si="6"/>
        <v>127</v>
      </c>
      <c r="J7" s="95">
        <v>128.5</v>
      </c>
      <c r="K7" s="95">
        <v>0</v>
      </c>
      <c r="L7" s="95">
        <f t="shared" si="7"/>
        <v>128.5</v>
      </c>
      <c r="M7" s="95">
        <f>IF(ISNA(VLOOKUP($CZ7,'Audit Values'!$A$2:$BW$365,2,FALSE)),'Preliminary SO66'!C6,VLOOKUP($CZ7,'Audit Values'!$A$2:$BW$365,73,FALSE))</f>
        <v>126.5</v>
      </c>
      <c r="N7" s="95">
        <f>IF(ISNA(VLOOKUP($CZ7,'Audit Values'!$A$2:$BW$365,2,FALSE)),'Preliminary SO66'!F6,VLOOKUP($CZ7,'Audit Values'!$A$2:$BW$365,4,FALSE))</f>
        <v>0</v>
      </c>
      <c r="O7" s="95">
        <f t="shared" si="8"/>
        <v>126.5</v>
      </c>
      <c r="P7" s="95">
        <f>IF('Military Provision'!J8="YES", MAX('2019 Legal Max'!L7,'2019 Legal Max'!I7,AVERAGE('2019 Legal Max'!F7,'2019 Legal Max'!I7,'2019 Legal Max'!L7)), MAX(L7, I7))</f>
        <v>128.5</v>
      </c>
      <c r="Q7" s="95">
        <f>IF(ISNA(VLOOKUP($CZ7,'Audit Values'!$A$2:$BU$353,2,FALSE)),'Preliminary SO66'!AL6,VLOOKUP($CZ7,'Audit Values'!$A$2:$BU$3955,58,FALSE))</f>
        <v>0</v>
      </c>
      <c r="R7" s="95">
        <v>0</v>
      </c>
      <c r="S7" s="95">
        <f t="shared" si="9"/>
        <v>128.5</v>
      </c>
      <c r="T7" s="95">
        <f t="shared" si="10"/>
        <v>120.6</v>
      </c>
      <c r="U7" s="95">
        <f>IF(ISNA(VLOOKUP($CZ7,'Audit Values'!$A$2:$BW$317,2,FALSE)),'Preliminary SO66'!AM6,VLOOKUP($CZ7,'Audit Values'!$A$2:$BW$317,62,FALSE))</f>
        <v>142.6</v>
      </c>
      <c r="V7" s="95">
        <f>(U7/6)*'Weighting Factors'!$Q$7</f>
        <v>9.4</v>
      </c>
      <c r="W7" s="132">
        <f>IF(ISNA(VLOOKUP($CZ7,'Audit Values'!$A$2:$BW$353,2,FALSE)),'Preliminary SO66'!AN6,VLOOKUP($CZ7,'Audit Values'!$A$2:$BW$353,61,FALSE))</f>
        <v>30</v>
      </c>
      <c r="X7" s="95">
        <f>W7*'Weighting Factors'!$Q$8</f>
        <v>5.6</v>
      </c>
      <c r="Y7" s="95">
        <f t="shared" si="11"/>
        <v>9.4</v>
      </c>
      <c r="Z7" s="276">
        <f>IF(ISNA(VLOOKUP($CZ7,'Audit Values'!$A$2:$BW$317,2,FALSE)),'Preliminary SO66'!AO6,VLOOKUP($CZ7,'Audit Values'!$A$2:$BW$317,60,FALSE))</f>
        <v>58.4</v>
      </c>
      <c r="AA7" s="95">
        <f>Z7/6*'Weighting Factors'!$Q$6</f>
        <v>4.9000000000000004</v>
      </c>
      <c r="AB7" s="99">
        <f>IF(ISNA(VLOOKUP($CZ7,'Audit Values'!$A$2:$BU$353,2,FALSE)),'Preliminary SO66'!AS6,VLOOKUP($CZ7,'Audit Values'!$A$2:$BU$353,63,FALSE))</f>
        <v>127</v>
      </c>
      <c r="AC7" s="99">
        <v>0</v>
      </c>
      <c r="AD7" s="99">
        <f>IF(ISNA(VLOOKUP($CZ7,'Audit Values'!$A$2:$BU$353,2,FALSE)),'Preliminary SO66'!AP6,VLOOKUP($CZ7,'Audit Values'!$A$2:$BU$353,64,FALSE))</f>
        <v>59</v>
      </c>
      <c r="AE7" s="95">
        <f>IF(A7=207, AD7,MAX(AC7,AD7))*'Weighting Factors'!$Q$9</f>
        <v>28.6</v>
      </c>
      <c r="AF7" s="95">
        <f t="shared" si="12"/>
        <v>4.7</v>
      </c>
      <c r="AG7" s="95">
        <f>IF(ISNA(VLOOKUP($CZ7,'Audit Values'!$A$2:$BW$353,2,FALSE)),'Preliminary SO66'!AG6,VLOOKUP($CZ7,'Audit Values'!$A$2:$BW$353,70,FALSE))</f>
        <v>4.8</v>
      </c>
      <c r="AH7" s="95">
        <f t="shared" si="13"/>
        <v>4.8</v>
      </c>
      <c r="AI7" s="95">
        <f>IF(ISNA(VLOOKUP($CZ7,'Audit Values'!$A$2:$BU$353,2,FALSE)),'Preliminary SO66'!AQ6,VLOOKUP($CZ7,'Audit Values'!$A$2:$BU$353,65,FALSE))</f>
        <v>0</v>
      </c>
      <c r="AJ7" s="95">
        <f>AI7*'Weighting Factors'!$Q$10</f>
        <v>0</v>
      </c>
      <c r="AK7" s="95">
        <f>IF(ISNA(VLOOKUP($CZ7,'Audit Values'!$A$2:$BU$353,2,FALSE)),'Preliminary SO66'!AR6,VLOOKUP($CZ7,'Audit Values'!$A$2:$BU$353,66,FALSE))</f>
        <v>55</v>
      </c>
      <c r="AL7" s="95"/>
      <c r="AM7" s="99">
        <f t="shared" si="14"/>
        <v>82500</v>
      </c>
      <c r="AN7" s="99">
        <v>105545</v>
      </c>
      <c r="AO7" s="95">
        <f>MAX(AN7, AM7)/'Weighting Factors'!$Q$5</f>
        <v>25.3</v>
      </c>
      <c r="AP7" s="95">
        <f>CN7/'Weighting Factors'!$Q$5</f>
        <v>0</v>
      </c>
      <c r="AQ7" s="95">
        <v>0</v>
      </c>
      <c r="AR7" s="95">
        <f>CS7/'Weighting Factors'!$Q$5</f>
        <v>0</v>
      </c>
      <c r="AS7" s="99">
        <v>136937</v>
      </c>
      <c r="AT7" s="95">
        <f>AS7/'Weighting Factors'!$Q$5</f>
        <v>32.9</v>
      </c>
      <c r="AU7" s="95">
        <f>IF(ISNA(VLOOKUP($CZ7,'Audit Values'!$A$2:$BU$353,2,FALSE)),'Preliminary SO66'!X6,VLOOKUP($CZ7,'Audit Values'!$A$2:$BU$353,47,FALSE))</f>
        <v>0</v>
      </c>
      <c r="AV7" s="95">
        <f t="shared" si="15"/>
        <v>355</v>
      </c>
      <c r="AW7" s="95">
        <f t="shared" si="16"/>
        <v>322.10000000000002</v>
      </c>
      <c r="AX7" s="95">
        <f>IF(ISNA(VLOOKUP($CZ7,'Audit Values'!$A$2:$BU$353,2,FALSE)),'Preliminary SO66'!AA6,VLOOKUP($CZ7,'Audit Values'!$A$2:$BU$353,41,FALSE))</f>
        <v>0</v>
      </c>
      <c r="AY7" s="95">
        <f>IF(ISNA(VLOOKUP($CZ7,'Audit Values'!$A$2:$BU$353,2,FALSE)),'Preliminary SO66'!AB6,VLOOKUP($CZ7,'Audit Values'!$A$2:$BU$353,42,FALSE))</f>
        <v>0</v>
      </c>
      <c r="AZ7" s="114">
        <v>0</v>
      </c>
      <c r="BA7" s="99">
        <f>SUM(AX7*'Weighting Factors'!$T$10)+('2019 Legal Max'!AY7*'Weighting Factors'!$T$11)+('2019 Legal Max'!AZ7*'Weighting Factors'!$T$12)</f>
        <v>0</v>
      </c>
      <c r="BB7" s="158">
        <v>0</v>
      </c>
      <c r="BC7" s="88">
        <f>IF(ISNA(VLOOKUP($CZ7,'Audit Values'!$A$2:$BU$353,2,FALSE)),"",IF(AND('Weighting Factors'!H7&gt;0,VLOOKUP($CZ7,'Audit Values'!$A$2:$BU$353,51,FALSE)&lt;'Weighting Factors'!H7),'Weighting Factors'!H7,VLOOKUP($CZ7,'Audit Values'!$A$2:$BU$353,50,FALSE)))</f>
        <v>16</v>
      </c>
      <c r="BD7" s="88" t="str">
        <f>IF(ISNA(VLOOKUP($CZ7,'Audit Values'!$A$2:$BV$353,2,FALSE)),"",VLOOKUP($CZ7,'Audit Values'!$A$2:$BV$353,51,FALSE))</f>
        <v>A</v>
      </c>
      <c r="BE7" s="88" t="str">
        <f>IF('Weighting Factors'!H7="","",IF('Weighting Factors'!J7="Pending","PX","R"))</f>
        <v/>
      </c>
      <c r="BF7" s="97">
        <f>SUM((S7+T7+Y7+AA7+AE7+AH7+AJ7++AO7+AP7+AQ7+AU7+AR7)*'Weighting Factors'!$Q$5)+'2019 Legal Max'!BA7+'2019 Legal Max'!BB7</f>
        <v>1341547</v>
      </c>
      <c r="BG7" s="99">
        <f>SUM((AV7+AR7)*'Weighting Factors'!$Q$5)+BA7+'2019 Legal Max'!BB7</f>
        <v>1478575</v>
      </c>
      <c r="BH7" s="108">
        <f>IF('Weighting Factors'!H7&gt;0,'Weighting Factors'!H7,'Preliminary SO66'!AV6)</f>
        <v>1589364</v>
      </c>
      <c r="BI7" s="99">
        <f t="shared" si="40"/>
        <v>1478575</v>
      </c>
      <c r="BJ7" s="112"/>
      <c r="BK7" s="112">
        <f>'Weighting Factors'!F7</f>
        <v>-13187</v>
      </c>
      <c r="BL7" s="112">
        <f>'Weighting Factors'!E7</f>
        <v>0</v>
      </c>
      <c r="BM7" s="99">
        <f t="shared" si="17"/>
        <v>-13187</v>
      </c>
      <c r="BN7" s="99">
        <f t="shared" si="18"/>
        <v>1465388</v>
      </c>
      <c r="BO7" s="99">
        <f>SUM((S7+T7+Y7+AA7+AE7+AH7+AJ7++AO7+AP7+AQ7+AR7)*'Weighting Factors'!Q$12)+(MAX(AS7,'Weighting Factors'!B7))</f>
        <v>1636484</v>
      </c>
      <c r="BP7" s="122">
        <v>0.3</v>
      </c>
      <c r="BQ7" s="99">
        <f t="shared" si="19"/>
        <v>490945</v>
      </c>
      <c r="BR7" s="108">
        <v>509803</v>
      </c>
      <c r="BS7" s="99">
        <f t="shared" si="20"/>
        <v>490945</v>
      </c>
      <c r="BT7" s="167">
        <f t="shared" si="21"/>
        <v>0.3</v>
      </c>
      <c r="BU7" s="95">
        <f t="shared" si="22"/>
        <v>0</v>
      </c>
      <c r="BV7" s="87" t="b">
        <f t="shared" si="23"/>
        <v>1</v>
      </c>
      <c r="BW7" s="117">
        <f t="shared" si="24"/>
        <v>275.16800000000001</v>
      </c>
      <c r="BX7" s="116">
        <f t="shared" si="25"/>
        <v>0.93878499999999998</v>
      </c>
      <c r="BY7" s="95">
        <f t="shared" si="26"/>
        <v>120.6</v>
      </c>
      <c r="BZ7" s="87" t="b">
        <f t="shared" si="27"/>
        <v>0</v>
      </c>
      <c r="CA7" s="87">
        <f t="shared" si="28"/>
        <v>0</v>
      </c>
      <c r="CB7" s="116">
        <f t="shared" si="29"/>
        <v>0</v>
      </c>
      <c r="CC7" s="95">
        <f t="shared" si="30"/>
        <v>0</v>
      </c>
      <c r="CD7" s="95">
        <f t="shared" si="31"/>
        <v>0</v>
      </c>
      <c r="CE7" s="98">
        <v>688</v>
      </c>
      <c r="CF7" s="250">
        <f t="shared" si="32"/>
        <v>0.08</v>
      </c>
      <c r="CG7" s="274">
        <f>IF(CF7&lt;0.06,1,IF(CF7&gt;=18.29,52,MATCH(CF7-0.001,'Weighting Factors'!$Y$5:$Y$156)+1))</f>
        <v>4</v>
      </c>
      <c r="CH7" s="243">
        <f>VLOOKUP(CG7, 'Weighting Factors'!$W$5:$Z$56,4)</f>
        <v>1500</v>
      </c>
      <c r="CI7" s="118">
        <f>('Weighting Factors'!$Q$5/'Weighting Factors'!$Q$14)</f>
        <v>1</v>
      </c>
      <c r="CJ7" s="245">
        <f t="shared" si="33"/>
        <v>82500</v>
      </c>
      <c r="CK7" s="245">
        <f>CJ7*'Weighting Factors'!$S$7</f>
        <v>82500</v>
      </c>
      <c r="CL7" s="245">
        <f t="shared" si="34"/>
        <v>82500</v>
      </c>
      <c r="CM7" s="95">
        <f>AM7/'Weighting Factors'!$Q$5</f>
        <v>19.8</v>
      </c>
      <c r="CN7" s="148">
        <v>0</v>
      </c>
      <c r="CO7" s="148">
        <v>0</v>
      </c>
      <c r="CP7" s="149">
        <v>0</v>
      </c>
      <c r="CQ7" s="151">
        <v>0</v>
      </c>
      <c r="CR7" s="99">
        <f>SUM((AV7*'Weighting Factors'!$Q$5)+'2019 Legal Max'!BA7)*CQ7</f>
        <v>0</v>
      </c>
      <c r="CS7" s="99">
        <f t="shared" si="35"/>
        <v>0</v>
      </c>
      <c r="CT7" s="106">
        <f t="shared" si="36"/>
        <v>0.46460000000000001</v>
      </c>
      <c r="CU7" s="95">
        <f t="shared" si="37"/>
        <v>0</v>
      </c>
      <c r="CV7" s="95">
        <f t="shared" si="38"/>
        <v>4.7</v>
      </c>
      <c r="CW7" s="95">
        <f t="shared" si="39"/>
        <v>355</v>
      </c>
      <c r="CX7" s="99">
        <f>'LOB Transfers'!G6</f>
        <v>39570</v>
      </c>
      <c r="CY7" s="99">
        <f>'LOB Transfers'!J6</f>
        <v>13010</v>
      </c>
      <c r="CZ7" s="87" t="s">
        <v>199</v>
      </c>
    </row>
    <row r="8" spans="1:104" ht="15" customHeight="1">
      <c r="A8" s="88">
        <v>105</v>
      </c>
      <c r="B8" s="87" t="s">
        <v>51</v>
      </c>
      <c r="C8" s="87" t="s">
        <v>521</v>
      </c>
      <c r="D8" s="95">
        <v>333.4</v>
      </c>
      <c r="E8" s="95">
        <v>0</v>
      </c>
      <c r="F8" s="95">
        <f t="shared" si="5"/>
        <v>333.4</v>
      </c>
      <c r="G8" s="95">
        <v>335</v>
      </c>
      <c r="H8" s="95">
        <v>0</v>
      </c>
      <c r="I8" s="95">
        <f t="shared" si="6"/>
        <v>335</v>
      </c>
      <c r="J8" s="95">
        <v>329.5</v>
      </c>
      <c r="K8" s="95">
        <v>0</v>
      </c>
      <c r="L8" s="95">
        <f t="shared" si="7"/>
        <v>329.5</v>
      </c>
      <c r="M8" s="95">
        <f>IF(ISNA(VLOOKUP($CZ8,'Audit Values'!$A$2:$BW$365,2,FALSE)),'Preliminary SO66'!C7,VLOOKUP($CZ8,'Audit Values'!$A$2:$BW$365,73,FALSE))</f>
        <v>353.9</v>
      </c>
      <c r="N8" s="95">
        <f>IF(ISNA(VLOOKUP($CZ8,'Audit Values'!$A$2:$BW$365,2,FALSE)),'Preliminary SO66'!F7,VLOOKUP($CZ8,'Audit Values'!$A$2:$BW$365,4,FALSE))</f>
        <v>0</v>
      </c>
      <c r="O8" s="95">
        <f t="shared" si="8"/>
        <v>353.9</v>
      </c>
      <c r="P8" s="95">
        <f>IF('Military Provision'!J9="YES", MAX('2019 Legal Max'!L8,'2019 Legal Max'!I8,AVERAGE('2019 Legal Max'!F8,'2019 Legal Max'!I8,'2019 Legal Max'!L8)), MAX(L8, I8))</f>
        <v>335</v>
      </c>
      <c r="Q8" s="95">
        <f>IF(ISNA(VLOOKUP($CZ8,'Audit Values'!$A$2:$BU$353,2,FALSE)),'Preliminary SO66'!AL7,VLOOKUP($CZ8,'Audit Values'!$A$2:$BU$3955,58,FALSE))</f>
        <v>0</v>
      </c>
      <c r="R8" s="95">
        <v>0</v>
      </c>
      <c r="S8" s="95">
        <f t="shared" si="9"/>
        <v>335</v>
      </c>
      <c r="T8" s="95">
        <f t="shared" si="10"/>
        <v>158.19999999999999</v>
      </c>
      <c r="U8" s="95">
        <f>IF(ISNA(VLOOKUP($CZ8,'Audit Values'!$A$2:$BW$317,2,FALSE)),'Preliminary SO66'!AM7,VLOOKUP($CZ8,'Audit Values'!$A$2:$BW$317,62,FALSE))</f>
        <v>65.099999999999994</v>
      </c>
      <c r="V8" s="95">
        <f>(U8/6)*'Weighting Factors'!$Q$7</f>
        <v>4.3</v>
      </c>
      <c r="W8" s="132">
        <f>IF(ISNA(VLOOKUP($CZ8,'Audit Values'!$A$2:$BW$353,2,FALSE)),'Preliminary SO66'!AN7,VLOOKUP($CZ8,'Audit Values'!$A$2:$BW$353,61,FALSE))</f>
        <v>28</v>
      </c>
      <c r="X8" s="95">
        <f>W8*'Weighting Factors'!$Q$8</f>
        <v>5.2</v>
      </c>
      <c r="Y8" s="95">
        <f t="shared" si="11"/>
        <v>5.2</v>
      </c>
      <c r="Z8" s="276">
        <f>IF(ISNA(VLOOKUP($CZ8,'Audit Values'!$A$2:$BW$317,2,FALSE)),'Preliminary SO66'!AO7,VLOOKUP($CZ8,'Audit Values'!$A$2:$BW$317,60,FALSE))</f>
        <v>101.3</v>
      </c>
      <c r="AA8" s="95">
        <f>Z8/6*'Weighting Factors'!$Q$6</f>
        <v>8.4</v>
      </c>
      <c r="AB8" s="99">
        <f>IF(ISNA(VLOOKUP($CZ8,'Audit Values'!$A$2:$BU$353,2,FALSE)),'Preliminary SO66'!AS7,VLOOKUP($CZ8,'Audit Values'!$A$2:$BU$353,63,FALSE))</f>
        <v>356</v>
      </c>
      <c r="AC8" s="99">
        <v>0</v>
      </c>
      <c r="AD8" s="99">
        <f>IF(ISNA(VLOOKUP($CZ8,'Audit Values'!$A$2:$BU$353,2,FALSE)),'Preliminary SO66'!AP7,VLOOKUP($CZ8,'Audit Values'!$A$2:$BU$353,64,FALSE))</f>
        <v>152</v>
      </c>
      <c r="AE8" s="95">
        <f>IF(A8=207, AD8,MAX(AC8,AD8))*'Weighting Factors'!$Q$9</f>
        <v>73.599999999999994</v>
      </c>
      <c r="AF8" s="95">
        <f t="shared" si="12"/>
        <v>8.1999999999999993</v>
      </c>
      <c r="AG8" s="95">
        <f>IF(ISNA(VLOOKUP($CZ8,'Audit Values'!$A$2:$BW$353,2,FALSE)),'Preliminary SO66'!AG7,VLOOKUP($CZ8,'Audit Values'!$A$2:$BW$353,70,FALSE))</f>
        <v>8.1999999999999993</v>
      </c>
      <c r="AH8" s="95">
        <f t="shared" si="13"/>
        <v>8.1999999999999993</v>
      </c>
      <c r="AI8" s="95">
        <f>IF(ISNA(VLOOKUP($CZ8,'Audit Values'!$A$2:$BU$353,2,FALSE)),'Preliminary SO66'!AQ7,VLOOKUP($CZ8,'Audit Values'!$A$2:$BU$353,65,FALSE))</f>
        <v>0</v>
      </c>
      <c r="AJ8" s="95">
        <f>AI8*'Weighting Factors'!$Q$10</f>
        <v>0</v>
      </c>
      <c r="AK8" s="95">
        <f>IF(ISNA(VLOOKUP($CZ8,'Audit Values'!$A$2:$BU$353,2,FALSE)),'Preliminary SO66'!AR7,VLOOKUP($CZ8,'Audit Values'!$A$2:$BU$353,66,FALSE))</f>
        <v>126.5</v>
      </c>
      <c r="AL8" s="95"/>
      <c r="AM8" s="99">
        <f t="shared" si="14"/>
        <v>166980</v>
      </c>
      <c r="AN8" s="99">
        <v>196837</v>
      </c>
      <c r="AO8" s="95">
        <f>MAX(AN8, AM8)/'Weighting Factors'!$Q$5</f>
        <v>47.3</v>
      </c>
      <c r="AP8" s="95">
        <f>CN8/'Weighting Factors'!$Q$5</f>
        <v>0</v>
      </c>
      <c r="AQ8" s="95">
        <v>0</v>
      </c>
      <c r="AR8" s="95">
        <f>CS8/'Weighting Factors'!$Q$5</f>
        <v>0</v>
      </c>
      <c r="AS8" s="99">
        <v>276934</v>
      </c>
      <c r="AT8" s="95">
        <f>AS8/'Weighting Factors'!$Q$5</f>
        <v>66.5</v>
      </c>
      <c r="AU8" s="95">
        <f>IF(ISNA(VLOOKUP($CZ8,'Audit Values'!$A$2:$BU$353,2,FALSE)),'Preliminary SO66'!X7,VLOOKUP($CZ8,'Audit Values'!$A$2:$BU$353,47,FALSE))</f>
        <v>0</v>
      </c>
      <c r="AV8" s="95">
        <f t="shared" si="15"/>
        <v>702.4</v>
      </c>
      <c r="AW8" s="95">
        <f t="shared" si="16"/>
        <v>635.9</v>
      </c>
      <c r="AX8" s="95">
        <f>IF(ISNA(VLOOKUP($CZ8,'Audit Values'!$A$2:$BU$353,2,FALSE)),'Preliminary SO66'!AA7,VLOOKUP($CZ8,'Audit Values'!$A$2:$BU$353,41,FALSE))</f>
        <v>0</v>
      </c>
      <c r="AY8" s="95">
        <f>IF(ISNA(VLOOKUP($CZ8,'Audit Values'!$A$2:$BU$353,2,FALSE)),'Preliminary SO66'!AB7,VLOOKUP($CZ8,'Audit Values'!$A$2:$BU$353,42,FALSE))</f>
        <v>0</v>
      </c>
      <c r="AZ8" s="114">
        <v>0</v>
      </c>
      <c r="BA8" s="99">
        <f>SUM(AX8*'Weighting Factors'!$T$10)+('2019 Legal Max'!AY8*'Weighting Factors'!$T$11)+('2019 Legal Max'!AZ8*'Weighting Factors'!$T$12)</f>
        <v>0</v>
      </c>
      <c r="BB8" s="158">
        <v>0</v>
      </c>
      <c r="BC8" s="88">
        <f>IF(ISNA(VLOOKUP($CZ8,'Audit Values'!$A$2:$BU$353,2,FALSE)),"",IF(AND('Weighting Factors'!H8&gt;0,VLOOKUP($CZ8,'Audit Values'!$A$2:$BU$353,51,FALSE)&lt;'Weighting Factors'!H8),'Weighting Factors'!H8,VLOOKUP($CZ8,'Audit Values'!$A$2:$BU$353,50,FALSE)))</f>
        <v>17</v>
      </c>
      <c r="BD8" s="88" t="str">
        <f>IF(ISNA(VLOOKUP($CZ8,'Audit Values'!$A$2:$BV$353,2,FALSE)),"",VLOOKUP($CZ8,'Audit Values'!$A$2:$BV$353,51,FALSE))</f>
        <v>A</v>
      </c>
      <c r="BE8" s="88" t="str">
        <f>IF('Weighting Factors'!H8="","",IF('Weighting Factors'!J8="Pending","PX","R"))</f>
        <v>R</v>
      </c>
      <c r="BF8" s="97">
        <f>SUM((S8+T8+Y8+AA8+AE8+AH8+AJ8++AO8+AP8+AQ8+AU8+AR8)*'Weighting Factors'!$Q$5)+'2019 Legal Max'!BA8+'2019 Legal Max'!BB8</f>
        <v>2648524</v>
      </c>
      <c r="BG8" s="99">
        <f>SUM((AV8+AR8)*'Weighting Factors'!$Q$5)+BA8+'2019 Legal Max'!BB8</f>
        <v>2925496</v>
      </c>
      <c r="BH8" s="108">
        <f>IF('Weighting Factors'!H8&gt;0,'Weighting Factors'!H8,'Preliminary SO66'!AV7)</f>
        <v>2982557</v>
      </c>
      <c r="BI8" s="99">
        <f t="shared" si="40"/>
        <v>2925496</v>
      </c>
      <c r="BJ8" s="112"/>
      <c r="BK8" s="112">
        <f>'Weighting Factors'!F8</f>
        <v>0</v>
      </c>
      <c r="BL8" s="112">
        <f>'Weighting Factors'!E8</f>
        <v>0</v>
      </c>
      <c r="BM8" s="99">
        <f t="shared" si="17"/>
        <v>0</v>
      </c>
      <c r="BN8" s="99">
        <f t="shared" si="18"/>
        <v>2925496</v>
      </c>
      <c r="BO8" s="99">
        <f>SUM((S8+T8+Y8+AA8+AE8+AH8+AJ8++AO8+AP8+AQ8+AR8)*'Weighting Factors'!Q$12)+(MAX(AS8,'Weighting Factors'!B8))</f>
        <v>3188794</v>
      </c>
      <c r="BP8" s="122">
        <v>0.3</v>
      </c>
      <c r="BQ8" s="99">
        <f t="shared" si="19"/>
        <v>956638</v>
      </c>
      <c r="BR8" s="108">
        <v>950711</v>
      </c>
      <c r="BS8" s="99">
        <f t="shared" si="20"/>
        <v>950711</v>
      </c>
      <c r="BT8" s="167">
        <f t="shared" si="21"/>
        <v>0.29809999999999998</v>
      </c>
      <c r="BU8" s="95">
        <f t="shared" si="22"/>
        <v>0</v>
      </c>
      <c r="BV8" s="87" t="b">
        <f t="shared" si="23"/>
        <v>0</v>
      </c>
      <c r="BW8" s="117">
        <f t="shared" si="24"/>
        <v>0</v>
      </c>
      <c r="BX8" s="116">
        <f t="shared" si="25"/>
        <v>0</v>
      </c>
      <c r="BY8" s="95">
        <f t="shared" si="26"/>
        <v>0</v>
      </c>
      <c r="BZ8" s="87" t="b">
        <f t="shared" si="27"/>
        <v>1</v>
      </c>
      <c r="CA8" s="87">
        <f t="shared" si="28"/>
        <v>43.3125</v>
      </c>
      <c r="CB8" s="116">
        <f t="shared" si="29"/>
        <v>0.47229500000000002</v>
      </c>
      <c r="CC8" s="95">
        <f t="shared" si="30"/>
        <v>158.19999999999999</v>
      </c>
      <c r="CD8" s="95">
        <f t="shared" si="31"/>
        <v>0</v>
      </c>
      <c r="CE8" s="98">
        <v>740.1</v>
      </c>
      <c r="CF8" s="250">
        <f t="shared" si="32"/>
        <v>0.17100000000000001</v>
      </c>
      <c r="CG8" s="274">
        <f>IF(CF8&lt;0.06,1,IF(CF8&gt;=18.29,52,MATCH(CF8-0.001,'Weighting Factors'!$Y$5:$Y$156)+1))</f>
        <v>13</v>
      </c>
      <c r="CH8" s="243">
        <f>VLOOKUP(CG8, 'Weighting Factors'!$W$5:$Z$56,4)</f>
        <v>1320</v>
      </c>
      <c r="CI8" s="118">
        <f>('Weighting Factors'!$Q$5/'Weighting Factors'!$Q$14)</f>
        <v>1</v>
      </c>
      <c r="CJ8" s="245">
        <f t="shared" si="33"/>
        <v>166980</v>
      </c>
      <c r="CK8" s="245">
        <f>CJ8*'Weighting Factors'!$S$7</f>
        <v>166980</v>
      </c>
      <c r="CL8" s="245">
        <f t="shared" si="34"/>
        <v>166980</v>
      </c>
      <c r="CM8" s="95">
        <f>AM8/'Weighting Factors'!$Q$5</f>
        <v>40.1</v>
      </c>
      <c r="CN8" s="148">
        <v>0</v>
      </c>
      <c r="CO8" s="148">
        <v>0</v>
      </c>
      <c r="CP8" s="149">
        <v>0</v>
      </c>
      <c r="CQ8" s="151">
        <v>0</v>
      </c>
      <c r="CR8" s="99">
        <f>SUM((AV8*'Weighting Factors'!$Q$5)+'2019 Legal Max'!BA8)*CQ8</f>
        <v>0</v>
      </c>
      <c r="CS8" s="99">
        <f t="shared" si="35"/>
        <v>0</v>
      </c>
      <c r="CT8" s="106">
        <f t="shared" si="36"/>
        <v>0.42699999999999999</v>
      </c>
      <c r="CU8" s="95">
        <f t="shared" si="37"/>
        <v>0</v>
      </c>
      <c r="CV8" s="95">
        <f t="shared" si="38"/>
        <v>8.1999999999999993</v>
      </c>
      <c r="CW8" s="95">
        <f t="shared" si="39"/>
        <v>702.4</v>
      </c>
      <c r="CX8" s="99">
        <f>'LOB Transfers'!G7</f>
        <v>99635</v>
      </c>
      <c r="CY8" s="99">
        <f>'LOB Transfers'!J7</f>
        <v>7035</v>
      </c>
      <c r="CZ8" s="87" t="s">
        <v>200</v>
      </c>
    </row>
    <row r="9" spans="1:104" ht="15" customHeight="1">
      <c r="A9" s="88">
        <v>106</v>
      </c>
      <c r="B9" s="87" t="s">
        <v>47</v>
      </c>
      <c r="C9" s="87" t="s">
        <v>522</v>
      </c>
      <c r="D9" s="95">
        <v>104</v>
      </c>
      <c r="E9" s="95">
        <v>0</v>
      </c>
      <c r="F9" s="95">
        <f t="shared" si="5"/>
        <v>104</v>
      </c>
      <c r="G9" s="95">
        <v>105.8</v>
      </c>
      <c r="H9" s="95">
        <v>0</v>
      </c>
      <c r="I9" s="95">
        <f t="shared" si="6"/>
        <v>105.8</v>
      </c>
      <c r="J9" s="95">
        <v>94.5</v>
      </c>
      <c r="K9" s="95">
        <v>0</v>
      </c>
      <c r="L9" s="95">
        <f t="shared" si="7"/>
        <v>94.5</v>
      </c>
      <c r="M9" s="95">
        <f>IF(ISNA(VLOOKUP($CZ9,'Audit Values'!$A$2:$BW$365,2,FALSE)),'Preliminary SO66'!C8,VLOOKUP($CZ9,'Audit Values'!$A$2:$BW$365,73,FALSE))</f>
        <v>99.5</v>
      </c>
      <c r="N9" s="95">
        <f>IF(ISNA(VLOOKUP($CZ9,'Audit Values'!$A$2:$BW$365,2,FALSE)),'Preliminary SO66'!F8,VLOOKUP($CZ9,'Audit Values'!$A$2:$BW$365,4,FALSE))</f>
        <v>0</v>
      </c>
      <c r="O9" s="95">
        <f t="shared" si="8"/>
        <v>99.5</v>
      </c>
      <c r="P9" s="95">
        <f>IF('Military Provision'!J10="YES", MAX('2019 Legal Max'!L9,'2019 Legal Max'!I9,AVERAGE('2019 Legal Max'!F9,'2019 Legal Max'!I9,'2019 Legal Max'!L9)), MAX(L9, I9))</f>
        <v>105.8</v>
      </c>
      <c r="Q9" s="95">
        <f>IF(ISNA(VLOOKUP($CZ9,'Audit Values'!$A$2:$BU$353,2,FALSE)),'Preliminary SO66'!AL8,VLOOKUP($CZ9,'Audit Values'!$A$2:$BU$3955,58,FALSE))</f>
        <v>3</v>
      </c>
      <c r="R9" s="95">
        <v>0</v>
      </c>
      <c r="S9" s="95">
        <f t="shared" si="9"/>
        <v>108.8</v>
      </c>
      <c r="T9" s="95">
        <f t="shared" si="10"/>
        <v>107.8</v>
      </c>
      <c r="U9" s="95">
        <f>IF(ISNA(VLOOKUP($CZ9,'Audit Values'!$A$2:$BW$317,2,FALSE)),'Preliminary SO66'!AM8,VLOOKUP($CZ9,'Audit Values'!$A$2:$BW$317,62,FALSE))</f>
        <v>110.3</v>
      </c>
      <c r="V9" s="95">
        <f>(U9/6)*'Weighting Factors'!$Q$7</f>
        <v>7.3</v>
      </c>
      <c r="W9" s="132">
        <f>IF(ISNA(VLOOKUP($CZ9,'Audit Values'!$A$2:$BW$353,2,FALSE)),'Preliminary SO66'!AN8,VLOOKUP($CZ9,'Audit Values'!$A$2:$BW$353,61,FALSE))</f>
        <v>23</v>
      </c>
      <c r="X9" s="95">
        <f>W9*'Weighting Factors'!$Q$8</f>
        <v>4.3</v>
      </c>
      <c r="Y9" s="95">
        <f t="shared" si="11"/>
        <v>7.3</v>
      </c>
      <c r="Z9" s="276">
        <f>IF(ISNA(VLOOKUP($CZ9,'Audit Values'!$A$2:$BW$317,2,FALSE)),'Preliminary SO66'!AO8,VLOOKUP($CZ9,'Audit Values'!$A$2:$BW$317,60,FALSE))</f>
        <v>82.6</v>
      </c>
      <c r="AA9" s="95">
        <f>Z9/6*'Weighting Factors'!$Q$6</f>
        <v>6.9</v>
      </c>
      <c r="AB9" s="99">
        <f>IF(ISNA(VLOOKUP($CZ9,'Audit Values'!$A$2:$BU$353,2,FALSE)),'Preliminary SO66'!AS8,VLOOKUP($CZ9,'Audit Values'!$A$2:$BU$353,63,FALSE))</f>
        <v>107</v>
      </c>
      <c r="AC9" s="99">
        <v>0</v>
      </c>
      <c r="AD9" s="99">
        <f>IF(ISNA(VLOOKUP($CZ9,'Audit Values'!$A$2:$BU$353,2,FALSE)),'Preliminary SO66'!AP8,VLOOKUP($CZ9,'Audit Values'!$A$2:$BU$353,64,FALSE))</f>
        <v>66</v>
      </c>
      <c r="AE9" s="95">
        <f>IF(A9=207, AD9,MAX(AC9,AD9))*'Weighting Factors'!$Q$9</f>
        <v>31.9</v>
      </c>
      <c r="AF9" s="95">
        <f t="shared" si="12"/>
        <v>6.9</v>
      </c>
      <c r="AG9" s="95">
        <f>IF(ISNA(VLOOKUP($CZ9,'Audit Values'!$A$2:$BW$353,2,FALSE)),'Preliminary SO66'!AG8,VLOOKUP($CZ9,'Audit Values'!$A$2:$BW$353,70,FALSE))</f>
        <v>5.6</v>
      </c>
      <c r="AH9" s="95">
        <f t="shared" si="13"/>
        <v>6.9</v>
      </c>
      <c r="AI9" s="95">
        <f>IF(ISNA(VLOOKUP($CZ9,'Audit Values'!$A$2:$BU$353,2,FALSE)),'Preliminary SO66'!AQ8,VLOOKUP($CZ9,'Audit Values'!$A$2:$BU$353,65,FALSE))</f>
        <v>0</v>
      </c>
      <c r="AJ9" s="95">
        <f>AI9*'Weighting Factors'!$Q$10</f>
        <v>0</v>
      </c>
      <c r="AK9" s="95">
        <f>IF(ISNA(VLOOKUP($CZ9,'Audit Values'!$A$2:$BU$353,2,FALSE)),'Preliminary SO66'!AR8,VLOOKUP($CZ9,'Audit Values'!$A$2:$BU$353,66,FALSE))</f>
        <v>40</v>
      </c>
      <c r="AL9" s="95"/>
      <c r="AM9" s="99">
        <f t="shared" si="14"/>
        <v>63200</v>
      </c>
      <c r="AN9" s="99">
        <v>98996</v>
      </c>
      <c r="AO9" s="95">
        <f>MAX(AN9, AM9)/'Weighting Factors'!$Q$5</f>
        <v>23.8</v>
      </c>
      <c r="AP9" s="95">
        <f>CN9/'Weighting Factors'!$Q$5</f>
        <v>0</v>
      </c>
      <c r="AQ9" s="95">
        <v>0</v>
      </c>
      <c r="AR9" s="95">
        <f>CS9/'Weighting Factors'!$Q$5</f>
        <v>0</v>
      </c>
      <c r="AS9" s="99">
        <v>68633</v>
      </c>
      <c r="AT9" s="95">
        <f>AS9/'Weighting Factors'!$Q$5</f>
        <v>16.5</v>
      </c>
      <c r="AU9" s="95">
        <f>IF(ISNA(VLOOKUP($CZ9,'Audit Values'!$A$2:$BU$353,2,FALSE)),'Preliminary SO66'!X8,VLOOKUP($CZ9,'Audit Values'!$A$2:$BU$353,47,FALSE))</f>
        <v>0</v>
      </c>
      <c r="AV9" s="95">
        <f t="shared" si="15"/>
        <v>309.89999999999998</v>
      </c>
      <c r="AW9" s="95">
        <f t="shared" si="16"/>
        <v>293.39999999999998</v>
      </c>
      <c r="AX9" s="95">
        <f>IF(ISNA(VLOOKUP($CZ9,'Audit Values'!$A$2:$BU$353,2,FALSE)),'Preliminary SO66'!AA8,VLOOKUP($CZ9,'Audit Values'!$A$2:$BU$353,41,FALSE))</f>
        <v>0</v>
      </c>
      <c r="AY9" s="95">
        <f>IF(ISNA(VLOOKUP($CZ9,'Audit Values'!$A$2:$BU$353,2,FALSE)),'Preliminary SO66'!AB8,VLOOKUP($CZ9,'Audit Values'!$A$2:$BU$353,42,FALSE))</f>
        <v>0</v>
      </c>
      <c r="AZ9" s="114">
        <v>0</v>
      </c>
      <c r="BA9" s="99">
        <f>SUM(AX9*'Weighting Factors'!$T$10)+('2019 Legal Max'!AY9*'Weighting Factors'!$T$11)+('2019 Legal Max'!AZ9*'Weighting Factors'!$T$12)</f>
        <v>0</v>
      </c>
      <c r="BB9" s="158">
        <v>0</v>
      </c>
      <c r="BC9" s="88">
        <f>IF(ISNA(VLOOKUP($CZ9,'Audit Values'!$A$2:$BU$353,2,FALSE)),"",IF(AND('Weighting Factors'!H9&gt;0,VLOOKUP($CZ9,'Audit Values'!$A$2:$BU$353,51,FALSE)&lt;'Weighting Factors'!H9),'Weighting Factors'!H9,VLOOKUP($CZ9,'Audit Values'!$A$2:$BU$353,50,FALSE)))</f>
        <v>18</v>
      </c>
      <c r="BD9" s="88" t="str">
        <f>IF(ISNA(VLOOKUP($CZ9,'Audit Values'!$A$2:$BV$353,2,FALSE)),"",VLOOKUP($CZ9,'Audit Values'!$A$2:$BV$353,51,FALSE))</f>
        <v>A</v>
      </c>
      <c r="BE9" s="88" t="str">
        <f>IF('Weighting Factors'!H9="","",IF('Weighting Factors'!J9="Pending","PX","R"))</f>
        <v/>
      </c>
      <c r="BF9" s="97">
        <f>SUM((S9+T9+Y9+AA9+AE9+AH9+AJ9++AO9+AP9+AQ9+AU9+AR9)*'Weighting Factors'!$Q$5)+'2019 Legal Max'!BA9+'2019 Legal Max'!BB9</f>
        <v>1222011</v>
      </c>
      <c r="BG9" s="99">
        <f>SUM((AV9+AR9)*'Weighting Factors'!$Q$5)+BA9+'2019 Legal Max'!BB9</f>
        <v>1290734</v>
      </c>
      <c r="BH9" s="108">
        <f>IF('Weighting Factors'!H9&gt;0,'Weighting Factors'!H9,'Preliminary SO66'!AV8)</f>
        <v>1294066</v>
      </c>
      <c r="BI9" s="99">
        <f t="shared" si="40"/>
        <v>1290734</v>
      </c>
      <c r="BJ9" s="112"/>
      <c r="BK9" s="112">
        <f>'Weighting Factors'!F9</f>
        <v>-49409</v>
      </c>
      <c r="BL9" s="112">
        <f>'Weighting Factors'!E9</f>
        <v>0</v>
      </c>
      <c r="BM9" s="99">
        <f t="shared" si="17"/>
        <v>-49409</v>
      </c>
      <c r="BN9" s="99">
        <f t="shared" si="18"/>
        <v>1241325</v>
      </c>
      <c r="BO9" s="99">
        <f>SUM((S9+T9+Y9+AA9+AE9+AH9+AJ9++AO9+AP9+AQ9+AR9)*'Weighting Factors'!Q$12)+(MAX(AS9,'Weighting Factors'!B9))</f>
        <v>1468708</v>
      </c>
      <c r="BP9" s="122">
        <v>0.33</v>
      </c>
      <c r="BQ9" s="99">
        <f t="shared" si="19"/>
        <v>484674</v>
      </c>
      <c r="BR9" s="108">
        <v>475635</v>
      </c>
      <c r="BS9" s="99">
        <f t="shared" si="20"/>
        <v>475635</v>
      </c>
      <c r="BT9" s="167">
        <f t="shared" si="21"/>
        <v>0.32379999999999998</v>
      </c>
      <c r="BU9" s="95">
        <f t="shared" si="22"/>
        <v>0</v>
      </c>
      <c r="BV9" s="87" t="b">
        <f t="shared" si="23"/>
        <v>1</v>
      </c>
      <c r="BW9" s="117">
        <f t="shared" si="24"/>
        <v>84.963999999999999</v>
      </c>
      <c r="BX9" s="116">
        <f t="shared" si="25"/>
        <v>0.99100500000000002</v>
      </c>
      <c r="BY9" s="95">
        <f t="shared" si="26"/>
        <v>107.8</v>
      </c>
      <c r="BZ9" s="87" t="b">
        <f t="shared" si="27"/>
        <v>0</v>
      </c>
      <c r="CA9" s="87">
        <f t="shared" si="28"/>
        <v>0</v>
      </c>
      <c r="CB9" s="116">
        <f t="shared" si="29"/>
        <v>0</v>
      </c>
      <c r="CC9" s="95">
        <f t="shared" si="30"/>
        <v>0</v>
      </c>
      <c r="CD9" s="95">
        <f t="shared" si="31"/>
        <v>0</v>
      </c>
      <c r="CE9" s="98">
        <v>601.20000000000005</v>
      </c>
      <c r="CF9" s="250">
        <f t="shared" si="32"/>
        <v>6.7000000000000004E-2</v>
      </c>
      <c r="CG9" s="274">
        <f>IF(CF9&lt;0.06,1,IF(CF9&gt;=18.29,52,MATCH(CF9-0.001,'Weighting Factors'!$Y$5:$Y$156)+1))</f>
        <v>2</v>
      </c>
      <c r="CH9" s="243">
        <f>VLOOKUP(CG9, 'Weighting Factors'!$W$5:$Z$56,4)</f>
        <v>1580</v>
      </c>
      <c r="CI9" s="118">
        <f>('Weighting Factors'!$Q$5/'Weighting Factors'!$Q$14)</f>
        <v>1</v>
      </c>
      <c r="CJ9" s="245">
        <f t="shared" si="33"/>
        <v>63200</v>
      </c>
      <c r="CK9" s="245">
        <f>CJ9*'Weighting Factors'!$S$7</f>
        <v>63200</v>
      </c>
      <c r="CL9" s="245">
        <f t="shared" si="34"/>
        <v>63200</v>
      </c>
      <c r="CM9" s="95">
        <f>AM9/'Weighting Factors'!$Q$5</f>
        <v>15.2</v>
      </c>
      <c r="CN9" s="148">
        <v>0</v>
      </c>
      <c r="CO9" s="148">
        <v>0</v>
      </c>
      <c r="CP9" s="149">
        <v>0</v>
      </c>
      <c r="CQ9" s="151">
        <v>0</v>
      </c>
      <c r="CR9" s="99">
        <f>SUM((AV9*'Weighting Factors'!$Q$5)+'2019 Legal Max'!BA9)*CQ9</f>
        <v>0</v>
      </c>
      <c r="CS9" s="99">
        <f t="shared" si="35"/>
        <v>0</v>
      </c>
      <c r="CT9" s="106">
        <f t="shared" si="36"/>
        <v>0.61680000000000001</v>
      </c>
      <c r="CU9" s="95">
        <f t="shared" si="37"/>
        <v>6.9</v>
      </c>
      <c r="CV9" s="95">
        <f t="shared" si="38"/>
        <v>0</v>
      </c>
      <c r="CW9" s="95">
        <f t="shared" si="39"/>
        <v>309.89999999999998</v>
      </c>
      <c r="CX9" s="99">
        <f>'LOB Transfers'!G8</f>
        <v>49418</v>
      </c>
      <c r="CY9" s="99">
        <f>'LOB Transfers'!J8</f>
        <v>11320</v>
      </c>
      <c r="CZ9" s="87" t="s">
        <v>201</v>
      </c>
    </row>
    <row r="10" spans="1:104" ht="15" customHeight="1">
      <c r="A10" s="88">
        <v>107</v>
      </c>
      <c r="B10" s="87" t="s">
        <v>7</v>
      </c>
      <c r="C10" s="87" t="s">
        <v>523</v>
      </c>
      <c r="D10" s="95">
        <v>269.5</v>
      </c>
      <c r="E10" s="95">
        <v>0</v>
      </c>
      <c r="F10" s="95">
        <f t="shared" si="5"/>
        <v>269.5</v>
      </c>
      <c r="G10" s="95">
        <v>295</v>
      </c>
      <c r="H10" s="95">
        <v>0</v>
      </c>
      <c r="I10" s="95">
        <f t="shared" si="6"/>
        <v>295</v>
      </c>
      <c r="J10" s="95">
        <v>302.5</v>
      </c>
      <c r="K10" s="95">
        <v>0</v>
      </c>
      <c r="L10" s="95">
        <f t="shared" si="7"/>
        <v>302.5</v>
      </c>
      <c r="M10" s="95">
        <f>IF(ISNA(VLOOKUP($CZ10,'Audit Values'!$A$2:$BW$365,2,FALSE)),'Preliminary SO66'!C9,VLOOKUP($CZ10,'Audit Values'!$A$2:$BW$365,73,FALSE))</f>
        <v>293.5</v>
      </c>
      <c r="N10" s="95">
        <f>IF(ISNA(VLOOKUP($CZ10,'Audit Values'!$A$2:$BW$365,2,FALSE)),'Preliminary SO66'!F9,VLOOKUP($CZ10,'Audit Values'!$A$2:$BW$365,4,FALSE))</f>
        <v>0</v>
      </c>
      <c r="O10" s="95">
        <f t="shared" si="8"/>
        <v>293.5</v>
      </c>
      <c r="P10" s="95">
        <f>IF('Military Provision'!J11="YES", MAX('2019 Legal Max'!L10,'2019 Legal Max'!I10,AVERAGE('2019 Legal Max'!F10,'2019 Legal Max'!I10,'2019 Legal Max'!L10)), MAX(L10, I10))</f>
        <v>302.5</v>
      </c>
      <c r="Q10" s="95">
        <f>IF(ISNA(VLOOKUP($CZ10,'Audit Values'!$A$2:$BU$353,2,FALSE)),'Preliminary SO66'!AL9,VLOOKUP($CZ10,'Audit Values'!$A$2:$BU$3955,58,FALSE))</f>
        <v>4.5</v>
      </c>
      <c r="R10" s="95">
        <v>0</v>
      </c>
      <c r="S10" s="95">
        <f t="shared" si="9"/>
        <v>307</v>
      </c>
      <c r="T10" s="95">
        <f t="shared" si="10"/>
        <v>147.9</v>
      </c>
      <c r="U10" s="95">
        <f>IF(ISNA(VLOOKUP($CZ10,'Audit Values'!$A$2:$BW$317,2,FALSE)),'Preliminary SO66'!AM9,VLOOKUP($CZ10,'Audit Values'!$A$2:$BW$317,62,FALSE))</f>
        <v>0</v>
      </c>
      <c r="V10" s="95">
        <f>(U10/6)*'Weighting Factors'!$Q$7</f>
        <v>0</v>
      </c>
      <c r="W10" s="132">
        <f>IF(ISNA(VLOOKUP($CZ10,'Audit Values'!$A$2:$BW$353,2,FALSE)),'Preliminary SO66'!AN9,VLOOKUP($CZ10,'Audit Values'!$A$2:$BW$353,61,FALSE))</f>
        <v>0</v>
      </c>
      <c r="X10" s="95">
        <f>W10*'Weighting Factors'!$Q$8</f>
        <v>0</v>
      </c>
      <c r="Y10" s="95">
        <f t="shared" si="11"/>
        <v>0</v>
      </c>
      <c r="Z10" s="276">
        <f>IF(ISNA(VLOOKUP($CZ10,'Audit Values'!$A$2:$BW$317,2,FALSE)),'Preliminary SO66'!AO9,VLOOKUP($CZ10,'Audit Values'!$A$2:$BW$317,60,FALSE))</f>
        <v>62.6</v>
      </c>
      <c r="AA10" s="95">
        <f>Z10/6*'Weighting Factors'!$Q$6</f>
        <v>5.2</v>
      </c>
      <c r="AB10" s="99">
        <f>IF(ISNA(VLOOKUP($CZ10,'Audit Values'!$A$2:$BU$353,2,FALSE)),'Preliminary SO66'!AS9,VLOOKUP($CZ10,'Audit Values'!$A$2:$BU$353,63,FALSE))</f>
        <v>304</v>
      </c>
      <c r="AC10" s="99">
        <v>0</v>
      </c>
      <c r="AD10" s="99">
        <f>IF(ISNA(VLOOKUP($CZ10,'Audit Values'!$A$2:$BU$353,2,FALSE)),'Preliminary SO66'!AP9,VLOOKUP($CZ10,'Audit Values'!$A$2:$BU$353,64,FALSE))</f>
        <v>143</v>
      </c>
      <c r="AE10" s="95">
        <f>IF(A10=207, AD10,MAX(AC10,AD10))*'Weighting Factors'!$Q$9</f>
        <v>69.2</v>
      </c>
      <c r="AF10" s="95">
        <f t="shared" si="12"/>
        <v>12.1</v>
      </c>
      <c r="AG10" s="95">
        <f>IF(ISNA(VLOOKUP($CZ10,'Audit Values'!$A$2:$BW$353,2,FALSE)),'Preliminary SO66'!AG9,VLOOKUP($CZ10,'Audit Values'!$A$2:$BW$353,70,FALSE))</f>
        <v>12.1</v>
      </c>
      <c r="AH10" s="95">
        <f t="shared" si="13"/>
        <v>12.1</v>
      </c>
      <c r="AI10" s="95">
        <f>IF(ISNA(VLOOKUP($CZ10,'Audit Values'!$A$2:$BU$353,2,FALSE)),'Preliminary SO66'!AQ9,VLOOKUP($CZ10,'Audit Values'!$A$2:$BU$353,65,FALSE))</f>
        <v>0</v>
      </c>
      <c r="AJ10" s="95">
        <f>AI10*'Weighting Factors'!$Q$10</f>
        <v>0</v>
      </c>
      <c r="AK10" s="95">
        <f>IF(ISNA(VLOOKUP($CZ10,'Audit Values'!$A$2:$BU$353,2,FALSE)),'Preliminary SO66'!AR9,VLOOKUP($CZ10,'Audit Values'!$A$2:$BU$353,66,FALSE))</f>
        <v>138</v>
      </c>
      <c r="AL10" s="95"/>
      <c r="AM10" s="99">
        <f t="shared" si="14"/>
        <v>179400</v>
      </c>
      <c r="AN10" s="99">
        <v>228038</v>
      </c>
      <c r="AO10" s="95">
        <f>MAX(AN10, AM10)/'Weighting Factors'!$Q$5</f>
        <v>54.8</v>
      </c>
      <c r="AP10" s="95">
        <f>CN10/'Weighting Factors'!$Q$5</f>
        <v>0</v>
      </c>
      <c r="AQ10" s="95">
        <v>0</v>
      </c>
      <c r="AR10" s="95">
        <f>CS10/'Weighting Factors'!$Q$5</f>
        <v>0</v>
      </c>
      <c r="AS10" s="99">
        <v>355410</v>
      </c>
      <c r="AT10" s="95">
        <f>AS10/'Weighting Factors'!$Q$5</f>
        <v>85.3</v>
      </c>
      <c r="AU10" s="95">
        <f>IF(ISNA(VLOOKUP($CZ10,'Audit Values'!$A$2:$BU$353,2,FALSE)),'Preliminary SO66'!X9,VLOOKUP($CZ10,'Audit Values'!$A$2:$BU$353,47,FALSE))</f>
        <v>0</v>
      </c>
      <c r="AV10" s="95">
        <f t="shared" si="15"/>
        <v>681.5</v>
      </c>
      <c r="AW10" s="95">
        <f t="shared" si="16"/>
        <v>596.20000000000005</v>
      </c>
      <c r="AX10" s="95">
        <f>IF(ISNA(VLOOKUP($CZ10,'Audit Values'!$A$2:$BU$353,2,FALSE)),'Preliminary SO66'!AA9,VLOOKUP($CZ10,'Audit Values'!$A$2:$BU$353,41,FALSE))</f>
        <v>1</v>
      </c>
      <c r="AY10" s="95">
        <f>IF(ISNA(VLOOKUP($CZ10,'Audit Values'!$A$2:$BU$353,2,FALSE)),'Preliminary SO66'!AB9,VLOOKUP($CZ10,'Audit Values'!$A$2:$BU$353,42,FALSE))</f>
        <v>0</v>
      </c>
      <c r="AZ10" s="114">
        <v>0</v>
      </c>
      <c r="BA10" s="99">
        <f>SUM(AX10*'Weighting Factors'!$T$10)+('2019 Legal Max'!AY10*'Weighting Factors'!$T$11)+('2019 Legal Max'!AZ10*'Weighting Factors'!$T$12)</f>
        <v>5000</v>
      </c>
      <c r="BB10" s="158">
        <v>0</v>
      </c>
      <c r="BC10" s="88">
        <f>IF(ISNA(VLOOKUP($CZ10,'Audit Values'!$A$2:$BU$353,2,FALSE)),"",IF(AND('Weighting Factors'!H10&gt;0,VLOOKUP($CZ10,'Audit Values'!$A$2:$BU$353,51,FALSE)&lt;'Weighting Factors'!H10),'Weighting Factors'!H10,VLOOKUP($CZ10,'Audit Values'!$A$2:$BU$353,50,FALSE)))</f>
        <v>18</v>
      </c>
      <c r="BD10" s="88" t="str">
        <f>IF(ISNA(VLOOKUP($CZ10,'Audit Values'!$A$2:$BV$353,2,FALSE)),"",VLOOKUP($CZ10,'Audit Values'!$A$2:$BV$353,51,FALSE))</f>
        <v>A</v>
      </c>
      <c r="BE10" s="88" t="str">
        <f>IF('Weighting Factors'!H10="","",IF('Weighting Factors'!J10="Pending","PX","R"))</f>
        <v/>
      </c>
      <c r="BF10" s="97">
        <f>SUM((S10+T10+Y10+AA10+AE10+AH10+AJ10++AO10+AP10+AQ10+AU10+AR10)*'Weighting Factors'!$Q$5)+'2019 Legal Max'!BA10+'2019 Legal Max'!BB10</f>
        <v>2488173</v>
      </c>
      <c r="BG10" s="99">
        <f>SUM((AV10+AR10)*'Weighting Factors'!$Q$5)+BA10+'2019 Legal Max'!BB10</f>
        <v>2843448</v>
      </c>
      <c r="BH10" s="108">
        <f>IF('Weighting Factors'!H10&gt;0,'Weighting Factors'!H10,'Preliminary SO66'!AV9)</f>
        <v>2997551</v>
      </c>
      <c r="BI10" s="99">
        <f t="shared" si="40"/>
        <v>2843448</v>
      </c>
      <c r="BJ10" s="112"/>
      <c r="BK10" s="112">
        <f>'Weighting Factors'!F10</f>
        <v>0</v>
      </c>
      <c r="BL10" s="112">
        <f>'Weighting Factors'!E10</f>
        <v>0</v>
      </c>
      <c r="BM10" s="99">
        <f t="shared" si="17"/>
        <v>0</v>
      </c>
      <c r="BN10" s="99">
        <f t="shared" si="18"/>
        <v>2843448</v>
      </c>
      <c r="BO10" s="99">
        <f>SUM((S10+T10+Y10+AA10+AE10+AH10+AJ10++AO10+AP10+AQ10+AR10)*'Weighting Factors'!Q$12)+(MAX(AS10,'Weighting Factors'!B10))</f>
        <v>3032348</v>
      </c>
      <c r="BP10" s="122">
        <v>0.3</v>
      </c>
      <c r="BQ10" s="99">
        <f t="shared" si="19"/>
        <v>909704</v>
      </c>
      <c r="BR10" s="108">
        <v>800000</v>
      </c>
      <c r="BS10" s="99">
        <f t="shared" si="20"/>
        <v>800000</v>
      </c>
      <c r="BT10" s="167">
        <f t="shared" si="21"/>
        <v>0.26379999999999998</v>
      </c>
      <c r="BU10" s="95">
        <f t="shared" si="22"/>
        <v>0</v>
      </c>
      <c r="BV10" s="87" t="b">
        <f t="shared" si="23"/>
        <v>0</v>
      </c>
      <c r="BW10" s="117">
        <f t="shared" si="24"/>
        <v>0</v>
      </c>
      <c r="BX10" s="116">
        <f t="shared" si="25"/>
        <v>0</v>
      </c>
      <c r="BY10" s="95">
        <f t="shared" si="26"/>
        <v>0</v>
      </c>
      <c r="BZ10" s="87" t="b">
        <f t="shared" si="27"/>
        <v>1</v>
      </c>
      <c r="CA10" s="87">
        <f t="shared" si="28"/>
        <v>8.6624999999999996</v>
      </c>
      <c r="CB10" s="116">
        <f t="shared" si="29"/>
        <v>0.48180800000000001</v>
      </c>
      <c r="CC10" s="95">
        <f t="shared" si="30"/>
        <v>147.9</v>
      </c>
      <c r="CD10" s="95">
        <f t="shared" si="31"/>
        <v>0</v>
      </c>
      <c r="CE10" s="98">
        <v>762</v>
      </c>
      <c r="CF10" s="250">
        <f t="shared" si="32"/>
        <v>0.18099999999999999</v>
      </c>
      <c r="CG10" s="274">
        <f>IF(CF10&lt;0.06,1,IF(CF10&gt;=18.29,52,MATCH(CF10-0.001,'Weighting Factors'!$Y$5:$Y$156)+1))</f>
        <v>14</v>
      </c>
      <c r="CH10" s="243">
        <f>VLOOKUP(CG10, 'Weighting Factors'!$W$5:$Z$56,4)</f>
        <v>1300</v>
      </c>
      <c r="CI10" s="118">
        <f>('Weighting Factors'!$Q$5/'Weighting Factors'!$Q$14)</f>
        <v>1</v>
      </c>
      <c r="CJ10" s="245">
        <f t="shared" si="33"/>
        <v>179400</v>
      </c>
      <c r="CK10" s="245">
        <f>CJ10*'Weighting Factors'!$S$7</f>
        <v>179400</v>
      </c>
      <c r="CL10" s="245">
        <f t="shared" si="34"/>
        <v>179400</v>
      </c>
      <c r="CM10" s="95">
        <f>AM10/'Weighting Factors'!$Q$5</f>
        <v>43.1</v>
      </c>
      <c r="CN10" s="148">
        <v>0</v>
      </c>
      <c r="CO10" s="148">
        <v>0</v>
      </c>
      <c r="CP10" s="149">
        <v>0</v>
      </c>
      <c r="CQ10" s="151">
        <v>0</v>
      </c>
      <c r="CR10" s="99">
        <f>SUM((AV10*'Weighting Factors'!$Q$5)+'2019 Legal Max'!BA10)*CQ10</f>
        <v>0</v>
      </c>
      <c r="CS10" s="99">
        <f t="shared" si="35"/>
        <v>0</v>
      </c>
      <c r="CT10" s="106">
        <f t="shared" si="36"/>
        <v>0.47039999999999998</v>
      </c>
      <c r="CU10" s="95">
        <f t="shared" si="37"/>
        <v>0</v>
      </c>
      <c r="CV10" s="95">
        <f t="shared" si="38"/>
        <v>12.1</v>
      </c>
      <c r="CW10" s="95">
        <f t="shared" si="39"/>
        <v>681.5</v>
      </c>
      <c r="CX10" s="99">
        <f>'LOB Transfers'!G9</f>
        <v>81760</v>
      </c>
      <c r="CY10" s="99">
        <f>'LOB Transfers'!J9</f>
        <v>0</v>
      </c>
      <c r="CZ10" s="87" t="s">
        <v>202</v>
      </c>
    </row>
    <row r="11" spans="1:104" ht="15" customHeight="1">
      <c r="A11" s="88">
        <v>108</v>
      </c>
      <c r="B11" s="87" t="s">
        <v>19</v>
      </c>
      <c r="C11" s="87" t="s">
        <v>524</v>
      </c>
      <c r="D11" s="95">
        <v>337</v>
      </c>
      <c r="E11" s="95">
        <v>0</v>
      </c>
      <c r="F11" s="95">
        <f t="shared" si="5"/>
        <v>337</v>
      </c>
      <c r="G11" s="95">
        <v>334.5</v>
      </c>
      <c r="H11" s="95">
        <v>0</v>
      </c>
      <c r="I11" s="95">
        <f t="shared" si="6"/>
        <v>334.5</v>
      </c>
      <c r="J11" s="95">
        <v>329.2</v>
      </c>
      <c r="K11" s="95">
        <v>0</v>
      </c>
      <c r="L11" s="95">
        <f t="shared" si="7"/>
        <v>329.2</v>
      </c>
      <c r="M11" s="95">
        <f>IF(ISNA(VLOOKUP($CZ11,'Audit Values'!$A$2:$BW$365,2,FALSE)),'Preliminary SO66'!C10,VLOOKUP($CZ11,'Audit Values'!$A$2:$BW$365,73,FALSE))</f>
        <v>327.3</v>
      </c>
      <c r="N11" s="95">
        <f>IF(ISNA(VLOOKUP($CZ11,'Audit Values'!$A$2:$BW$365,2,FALSE)),'Preliminary SO66'!F10,VLOOKUP($CZ11,'Audit Values'!$A$2:$BW$365,4,FALSE))</f>
        <v>0</v>
      </c>
      <c r="O11" s="95">
        <f t="shared" si="8"/>
        <v>327.3</v>
      </c>
      <c r="P11" s="95">
        <f>IF('Military Provision'!J12="YES", MAX('2019 Legal Max'!L11,'2019 Legal Max'!I11,AVERAGE('2019 Legal Max'!F11,'2019 Legal Max'!I11,'2019 Legal Max'!L11)), MAX(L11, I11))</f>
        <v>334.5</v>
      </c>
      <c r="Q11" s="95">
        <f>IF(ISNA(VLOOKUP($CZ11,'Audit Values'!$A$2:$BU$353,2,FALSE)),'Preliminary SO66'!AL10,VLOOKUP($CZ11,'Audit Values'!$A$2:$BU$3955,58,FALSE))</f>
        <v>0</v>
      </c>
      <c r="R11" s="95">
        <v>0</v>
      </c>
      <c r="S11" s="95">
        <f t="shared" si="9"/>
        <v>334.5</v>
      </c>
      <c r="T11" s="95">
        <f t="shared" si="10"/>
        <v>158</v>
      </c>
      <c r="U11" s="95">
        <f>IF(ISNA(VLOOKUP($CZ11,'Audit Values'!$A$2:$BW$317,2,FALSE)),'Preliminary SO66'!AM10,VLOOKUP($CZ11,'Audit Values'!$A$2:$BW$317,62,FALSE))</f>
        <v>8.8000000000000007</v>
      </c>
      <c r="V11" s="95">
        <f>(U11/6)*'Weighting Factors'!$Q$7</f>
        <v>0.6</v>
      </c>
      <c r="W11" s="132">
        <f>IF(ISNA(VLOOKUP($CZ11,'Audit Values'!$A$2:$BW$353,2,FALSE)),'Preliminary SO66'!AN10,VLOOKUP($CZ11,'Audit Values'!$A$2:$BW$353,61,FALSE))</f>
        <v>15</v>
      </c>
      <c r="X11" s="95">
        <f>W11*'Weighting Factors'!$Q$8</f>
        <v>2.8</v>
      </c>
      <c r="Y11" s="95">
        <f t="shared" si="11"/>
        <v>2.8</v>
      </c>
      <c r="Z11" s="276">
        <f>IF(ISNA(VLOOKUP($CZ11,'Audit Values'!$A$2:$BW$317,2,FALSE)),'Preliminary SO66'!AO10,VLOOKUP($CZ11,'Audit Values'!$A$2:$BW$317,60,FALSE))</f>
        <v>108.3</v>
      </c>
      <c r="AA11" s="95">
        <f>Z11/6*'Weighting Factors'!$Q$6</f>
        <v>9</v>
      </c>
      <c r="AB11" s="99">
        <f>IF(ISNA(VLOOKUP($CZ11,'Audit Values'!$A$2:$BU$353,2,FALSE)),'Preliminary SO66'!AS10,VLOOKUP($CZ11,'Audit Values'!$A$2:$BU$353,63,FALSE))</f>
        <v>332</v>
      </c>
      <c r="AC11" s="99">
        <v>0</v>
      </c>
      <c r="AD11" s="99">
        <f>IF(ISNA(VLOOKUP($CZ11,'Audit Values'!$A$2:$BU$353,2,FALSE)),'Preliminary SO66'!AP10,VLOOKUP($CZ11,'Audit Values'!$A$2:$BU$353,64,FALSE))</f>
        <v>111</v>
      </c>
      <c r="AE11" s="95">
        <f>IF(A11=207, AD11,MAX(AC11,AD11))*'Weighting Factors'!$Q$9</f>
        <v>53.7</v>
      </c>
      <c r="AF11" s="95">
        <f t="shared" si="12"/>
        <v>0</v>
      </c>
      <c r="AG11" s="95">
        <f>IF(ISNA(VLOOKUP($CZ11,'Audit Values'!$A$2:$BW$353,2,FALSE)),'Preliminary SO66'!AG10,VLOOKUP($CZ11,'Audit Values'!$A$2:$BW$353,70,FALSE))</f>
        <v>0.4</v>
      </c>
      <c r="AH11" s="95">
        <f t="shared" si="13"/>
        <v>0.4</v>
      </c>
      <c r="AI11" s="95">
        <f>IF(ISNA(VLOOKUP($CZ11,'Audit Values'!$A$2:$BU$353,2,FALSE)),'Preliminary SO66'!AQ10,VLOOKUP($CZ11,'Audit Values'!$A$2:$BU$353,65,FALSE))</f>
        <v>0</v>
      </c>
      <c r="AJ11" s="95">
        <f>AI11*'Weighting Factors'!$Q$10</f>
        <v>0</v>
      </c>
      <c r="AK11" s="95">
        <f>IF(ISNA(VLOOKUP($CZ11,'Audit Values'!$A$2:$BU$353,2,FALSE)),'Preliminary SO66'!AR10,VLOOKUP($CZ11,'Audit Values'!$A$2:$BU$353,66,FALSE))</f>
        <v>132</v>
      </c>
      <c r="AL11" s="95"/>
      <c r="AM11" s="99">
        <f t="shared" si="14"/>
        <v>154440</v>
      </c>
      <c r="AN11" s="99">
        <v>208778</v>
      </c>
      <c r="AO11" s="95">
        <f>MAX(AN11, AM11)/'Weighting Factors'!$Q$5</f>
        <v>50.1</v>
      </c>
      <c r="AP11" s="95">
        <f>CN11/'Weighting Factors'!$Q$5</f>
        <v>0</v>
      </c>
      <c r="AQ11" s="95">
        <v>0</v>
      </c>
      <c r="AR11" s="95">
        <f>CS11/'Weighting Factors'!$Q$5</f>
        <v>0</v>
      </c>
      <c r="AS11" s="99">
        <v>341476</v>
      </c>
      <c r="AT11" s="95">
        <f>AS11/'Weighting Factors'!$Q$5</f>
        <v>82</v>
      </c>
      <c r="AU11" s="95">
        <f>IF(ISNA(VLOOKUP($CZ11,'Audit Values'!$A$2:$BU$353,2,FALSE)),'Preliminary SO66'!X10,VLOOKUP($CZ11,'Audit Values'!$A$2:$BU$353,47,FALSE))</f>
        <v>0</v>
      </c>
      <c r="AV11" s="95">
        <f t="shared" si="15"/>
        <v>690.5</v>
      </c>
      <c r="AW11" s="95">
        <f t="shared" si="16"/>
        <v>608.5</v>
      </c>
      <c r="AX11" s="95">
        <f>IF(ISNA(VLOOKUP($CZ11,'Audit Values'!$A$2:$BU$353,2,FALSE)),'Preliminary SO66'!AA10,VLOOKUP($CZ11,'Audit Values'!$A$2:$BU$353,41,FALSE))</f>
        <v>0</v>
      </c>
      <c r="AY11" s="95">
        <f>IF(ISNA(VLOOKUP($CZ11,'Audit Values'!$A$2:$BU$353,2,FALSE)),'Preliminary SO66'!AB10,VLOOKUP($CZ11,'Audit Values'!$A$2:$BU$353,42,FALSE))</f>
        <v>0</v>
      </c>
      <c r="AZ11" s="114">
        <v>0</v>
      </c>
      <c r="BA11" s="99">
        <f>SUM(AX11*'Weighting Factors'!$T$10)+('2019 Legal Max'!AY11*'Weighting Factors'!$T$11)+('2019 Legal Max'!AZ11*'Weighting Factors'!$T$12)</f>
        <v>0</v>
      </c>
      <c r="BB11" s="158">
        <v>0</v>
      </c>
      <c r="BC11" s="88">
        <f>IF(ISNA(VLOOKUP($CZ11,'Audit Values'!$A$2:$BU$353,2,FALSE)),"",IF(AND('Weighting Factors'!H11&gt;0,VLOOKUP($CZ11,'Audit Values'!$A$2:$BU$353,51,FALSE)&lt;'Weighting Factors'!H11),'Weighting Factors'!H11,VLOOKUP($CZ11,'Audit Values'!$A$2:$BU$353,50,FALSE)))</f>
        <v>4</v>
      </c>
      <c r="BD11" s="88" t="str">
        <f>IF(ISNA(VLOOKUP($CZ11,'Audit Values'!$A$2:$BV$353,2,FALSE)),"",VLOOKUP($CZ11,'Audit Values'!$A$2:$BV$353,51,FALSE))</f>
        <v>A</v>
      </c>
      <c r="BE11" s="88" t="str">
        <f>IF('Weighting Factors'!H11="","",IF('Weighting Factors'!J11="Pending","PX","R"))</f>
        <v/>
      </c>
      <c r="BF11" s="97">
        <f>SUM((S11+T11+Y11+AA11+AE11+AH11+AJ11++AO11+AP11+AQ11+AU11+AR11)*'Weighting Factors'!$Q$5)+'2019 Legal Max'!BA11+'2019 Legal Max'!BB11</f>
        <v>2534403</v>
      </c>
      <c r="BG11" s="99">
        <f>SUM((AV11+AR11)*'Weighting Factors'!$Q$5)+BA11+'2019 Legal Max'!BB11</f>
        <v>2875933</v>
      </c>
      <c r="BH11" s="108">
        <f>IF('Weighting Factors'!H11&gt;0,'Weighting Factors'!H11,'Preliminary SO66'!AV10)</f>
        <v>2932993</v>
      </c>
      <c r="BI11" s="99">
        <f t="shared" si="40"/>
        <v>2875933</v>
      </c>
      <c r="BJ11" s="112"/>
      <c r="BK11" s="112">
        <f>'Weighting Factors'!F11</f>
        <v>-23674</v>
      </c>
      <c r="BL11" s="112">
        <f>'Weighting Factors'!E11</f>
        <v>0</v>
      </c>
      <c r="BM11" s="99">
        <f t="shared" si="17"/>
        <v>-23674</v>
      </c>
      <c r="BN11" s="99">
        <f t="shared" si="18"/>
        <v>2852259</v>
      </c>
      <c r="BO11" s="99">
        <f>SUM((S11+T11+Y11+AA11+AE11+AH11+AJ11++AO11+AP11+AQ11+AR11)*'Weighting Factors'!Q$12)+(MAX(AS11,'Weighting Factors'!B11))</f>
        <v>3280496</v>
      </c>
      <c r="BP11" s="122">
        <v>0.3</v>
      </c>
      <c r="BQ11" s="99">
        <f t="shared" si="19"/>
        <v>984149</v>
      </c>
      <c r="BR11" s="108">
        <v>987651</v>
      </c>
      <c r="BS11" s="99">
        <f t="shared" si="20"/>
        <v>984149</v>
      </c>
      <c r="BT11" s="167">
        <f t="shared" si="21"/>
        <v>0.3</v>
      </c>
      <c r="BU11" s="95">
        <f t="shared" si="22"/>
        <v>0</v>
      </c>
      <c r="BV11" s="87" t="b">
        <f t="shared" si="23"/>
        <v>0</v>
      </c>
      <c r="BW11" s="117">
        <f t="shared" si="24"/>
        <v>0</v>
      </c>
      <c r="BX11" s="116">
        <f t="shared" si="25"/>
        <v>0</v>
      </c>
      <c r="BY11" s="95">
        <f t="shared" si="26"/>
        <v>0</v>
      </c>
      <c r="BZ11" s="87" t="b">
        <f t="shared" si="27"/>
        <v>1</v>
      </c>
      <c r="CA11" s="87">
        <f t="shared" si="28"/>
        <v>42.693800000000003</v>
      </c>
      <c r="CB11" s="116">
        <f t="shared" si="29"/>
        <v>0.47246500000000002</v>
      </c>
      <c r="CC11" s="95">
        <f t="shared" si="30"/>
        <v>158</v>
      </c>
      <c r="CD11" s="95">
        <f t="shared" si="31"/>
        <v>0</v>
      </c>
      <c r="CE11" s="98">
        <v>389</v>
      </c>
      <c r="CF11" s="250">
        <f t="shared" si="32"/>
        <v>0.33900000000000002</v>
      </c>
      <c r="CG11" s="274">
        <f>IF(CF11&lt;0.06,1,IF(CF11&gt;=18.29,52,MATCH(CF11-0.001,'Weighting Factors'!$Y$5:$Y$156)+1))</f>
        <v>21</v>
      </c>
      <c r="CH11" s="243">
        <f>VLOOKUP(CG11, 'Weighting Factors'!$W$5:$Z$56,4)</f>
        <v>1170</v>
      </c>
      <c r="CI11" s="118">
        <f>('Weighting Factors'!$Q$5/'Weighting Factors'!$Q$14)</f>
        <v>1</v>
      </c>
      <c r="CJ11" s="245">
        <f t="shared" si="33"/>
        <v>154440</v>
      </c>
      <c r="CK11" s="245">
        <f>CJ11*'Weighting Factors'!$S$7</f>
        <v>154440</v>
      </c>
      <c r="CL11" s="245">
        <f t="shared" si="34"/>
        <v>154440</v>
      </c>
      <c r="CM11" s="95">
        <f>AM11/'Weighting Factors'!$Q$5</f>
        <v>37.1</v>
      </c>
      <c r="CN11" s="148">
        <v>0</v>
      </c>
      <c r="CO11" s="148">
        <v>0</v>
      </c>
      <c r="CP11" s="149">
        <v>0</v>
      </c>
      <c r="CQ11" s="151">
        <v>0</v>
      </c>
      <c r="CR11" s="99">
        <f>SUM((AV11*'Weighting Factors'!$Q$5)+'2019 Legal Max'!BA11)*CQ11</f>
        <v>0</v>
      </c>
      <c r="CS11" s="99">
        <f t="shared" si="35"/>
        <v>0</v>
      </c>
      <c r="CT11" s="106">
        <f t="shared" si="36"/>
        <v>0.33429999999999999</v>
      </c>
      <c r="CU11" s="95">
        <f t="shared" si="37"/>
        <v>0</v>
      </c>
      <c r="CV11" s="95">
        <f t="shared" si="38"/>
        <v>0</v>
      </c>
      <c r="CW11" s="95">
        <f t="shared" si="39"/>
        <v>690.5</v>
      </c>
      <c r="CX11" s="99">
        <f>'LOB Transfers'!G10</f>
        <v>76567</v>
      </c>
      <c r="CY11" s="99">
        <f>'LOB Transfers'!J10</f>
        <v>4035</v>
      </c>
      <c r="CZ11" s="87" t="s">
        <v>203</v>
      </c>
    </row>
    <row r="12" spans="1:104" ht="15" customHeight="1">
      <c r="A12" s="88">
        <v>109</v>
      </c>
      <c r="B12" s="87" t="s">
        <v>98</v>
      </c>
      <c r="C12" s="87" t="s">
        <v>525</v>
      </c>
      <c r="D12" s="95">
        <v>466</v>
      </c>
      <c r="E12" s="95">
        <v>0</v>
      </c>
      <c r="F12" s="95">
        <f t="shared" si="5"/>
        <v>466</v>
      </c>
      <c r="G12" s="95">
        <v>507.6</v>
      </c>
      <c r="H12" s="95">
        <v>0</v>
      </c>
      <c r="I12" s="95">
        <f t="shared" si="6"/>
        <v>507.6</v>
      </c>
      <c r="J12" s="95">
        <v>511</v>
      </c>
      <c r="K12" s="95">
        <v>0</v>
      </c>
      <c r="L12" s="95">
        <f t="shared" si="7"/>
        <v>511</v>
      </c>
      <c r="M12" s="95">
        <f>IF(ISNA(VLOOKUP($CZ12,'Audit Values'!$A$2:$BW$365,2,FALSE)),'Preliminary SO66'!C11,VLOOKUP($CZ12,'Audit Values'!$A$2:$BW$365,73,FALSE))</f>
        <v>515.4</v>
      </c>
      <c r="N12" s="95">
        <f>IF(ISNA(VLOOKUP($CZ12,'Audit Values'!$A$2:$BW$365,2,FALSE)),'Preliminary SO66'!F11,VLOOKUP($CZ12,'Audit Values'!$A$2:$BW$365,4,FALSE))</f>
        <v>0</v>
      </c>
      <c r="O12" s="95">
        <f t="shared" si="8"/>
        <v>515.4</v>
      </c>
      <c r="P12" s="95">
        <f>IF('Military Provision'!J13="YES", MAX('2019 Legal Max'!L12,'2019 Legal Max'!I12,AVERAGE('2019 Legal Max'!F12,'2019 Legal Max'!I12,'2019 Legal Max'!L12)), MAX(L12, I12))</f>
        <v>511</v>
      </c>
      <c r="Q12" s="95">
        <f>IF(ISNA(VLOOKUP($CZ12,'Audit Values'!$A$2:$BU$353,2,FALSE)),'Preliminary SO66'!AL11,VLOOKUP($CZ12,'Audit Values'!$A$2:$BU$3955,58,FALSE))</f>
        <v>0</v>
      </c>
      <c r="R12" s="95">
        <v>0</v>
      </c>
      <c r="S12" s="95">
        <f t="shared" si="9"/>
        <v>511</v>
      </c>
      <c r="T12" s="95">
        <f t="shared" si="10"/>
        <v>210.8</v>
      </c>
      <c r="U12" s="95">
        <f>IF(ISNA(VLOOKUP($CZ12,'Audit Values'!$A$2:$BW$317,2,FALSE)),'Preliminary SO66'!AM11,VLOOKUP($CZ12,'Audit Values'!$A$2:$BW$317,62,FALSE))</f>
        <v>0</v>
      </c>
      <c r="V12" s="95">
        <f>(U12/6)*'Weighting Factors'!$Q$7</f>
        <v>0</v>
      </c>
      <c r="W12" s="132">
        <f>IF(ISNA(VLOOKUP($CZ12,'Audit Values'!$A$2:$BW$353,2,FALSE)),'Preliminary SO66'!AN11,VLOOKUP($CZ12,'Audit Values'!$A$2:$BW$353,61,FALSE))</f>
        <v>2</v>
      </c>
      <c r="X12" s="95">
        <f>W12*'Weighting Factors'!$Q$8</f>
        <v>0.4</v>
      </c>
      <c r="Y12" s="95">
        <f t="shared" si="11"/>
        <v>0.4</v>
      </c>
      <c r="Z12" s="276">
        <f>IF(ISNA(VLOOKUP($CZ12,'Audit Values'!$A$2:$BW$317,2,FALSE)),'Preliminary SO66'!AO11,VLOOKUP($CZ12,'Audit Values'!$A$2:$BW$317,60,FALSE))</f>
        <v>112.8</v>
      </c>
      <c r="AA12" s="95">
        <f>Z12/6*'Weighting Factors'!$Q$6</f>
        <v>9.4</v>
      </c>
      <c r="AB12" s="99">
        <f>IF(ISNA(VLOOKUP($CZ12,'Audit Values'!$A$2:$BU$353,2,FALSE)),'Preliminary SO66'!AS11,VLOOKUP($CZ12,'Audit Values'!$A$2:$BU$353,63,FALSE))</f>
        <v>522</v>
      </c>
      <c r="AC12" s="99">
        <v>0</v>
      </c>
      <c r="AD12" s="99">
        <f>IF(ISNA(VLOOKUP($CZ12,'Audit Values'!$A$2:$BU$353,2,FALSE)),'Preliminary SO66'!AP11,VLOOKUP($CZ12,'Audit Values'!$A$2:$BU$353,64,FALSE))</f>
        <v>186</v>
      </c>
      <c r="AE12" s="95">
        <f>IF(A12=207, AD12,MAX(AC12,AD12))*'Weighting Factors'!$Q$9</f>
        <v>90</v>
      </c>
      <c r="AF12" s="95">
        <f t="shared" si="12"/>
        <v>0.8</v>
      </c>
      <c r="AG12" s="95">
        <f>IF(ISNA(VLOOKUP($CZ12,'Audit Values'!$A$2:$BW$353,2,FALSE)),'Preliminary SO66'!AG11,VLOOKUP($CZ12,'Audit Values'!$A$2:$BW$353,70,FALSE))</f>
        <v>2.1</v>
      </c>
      <c r="AH12" s="95">
        <f t="shared" si="13"/>
        <v>2.1</v>
      </c>
      <c r="AI12" s="95">
        <f>IF(ISNA(VLOOKUP($CZ12,'Audit Values'!$A$2:$BU$353,2,FALSE)),'Preliminary SO66'!AQ11,VLOOKUP($CZ12,'Audit Values'!$A$2:$BU$353,65,FALSE))</f>
        <v>0</v>
      </c>
      <c r="AJ12" s="95">
        <f>AI12*'Weighting Factors'!$Q$10</f>
        <v>0</v>
      </c>
      <c r="AK12" s="95">
        <f>IF(ISNA(VLOOKUP($CZ12,'Audit Values'!$A$2:$BU$353,2,FALSE)),'Preliminary SO66'!AR11,VLOOKUP($CZ12,'Audit Values'!$A$2:$BU$353,66,FALSE))</f>
        <v>156.5</v>
      </c>
      <c r="AL12" s="95"/>
      <c r="AM12" s="99">
        <f t="shared" si="14"/>
        <v>189365</v>
      </c>
      <c r="AN12" s="99">
        <v>251536</v>
      </c>
      <c r="AO12" s="95">
        <f>MAX(AN12, AM12)/'Weighting Factors'!$Q$5</f>
        <v>60.4</v>
      </c>
      <c r="AP12" s="95">
        <f>CN12/'Weighting Factors'!$Q$5</f>
        <v>0</v>
      </c>
      <c r="AQ12" s="95">
        <v>0</v>
      </c>
      <c r="AR12" s="95">
        <f>CS12/'Weighting Factors'!$Q$5</f>
        <v>0</v>
      </c>
      <c r="AS12" s="99">
        <v>526823</v>
      </c>
      <c r="AT12" s="95">
        <f>AS12/'Weighting Factors'!$Q$5</f>
        <v>126.5</v>
      </c>
      <c r="AU12" s="95">
        <f>IF(ISNA(VLOOKUP($CZ12,'Audit Values'!$A$2:$BU$353,2,FALSE)),'Preliminary SO66'!X11,VLOOKUP($CZ12,'Audit Values'!$A$2:$BU$353,47,FALSE))</f>
        <v>0</v>
      </c>
      <c r="AV12" s="95">
        <f t="shared" si="15"/>
        <v>1010.6</v>
      </c>
      <c r="AW12" s="95">
        <f t="shared" si="16"/>
        <v>884.1</v>
      </c>
      <c r="AX12" s="95">
        <f>IF(ISNA(VLOOKUP($CZ12,'Audit Values'!$A$2:$BU$353,2,FALSE)),'Preliminary SO66'!AA11,VLOOKUP($CZ12,'Audit Values'!$A$2:$BU$353,41,FALSE))</f>
        <v>0</v>
      </c>
      <c r="AY12" s="95">
        <f>IF(ISNA(VLOOKUP($CZ12,'Audit Values'!$A$2:$BU$353,2,FALSE)),'Preliminary SO66'!AB11,VLOOKUP($CZ12,'Audit Values'!$A$2:$BU$353,42,FALSE))</f>
        <v>0</v>
      </c>
      <c r="AZ12" s="114">
        <v>0</v>
      </c>
      <c r="BA12" s="99">
        <f>SUM(AX12*'Weighting Factors'!$T$10)+('2019 Legal Max'!AY12*'Weighting Factors'!$T$11)+('2019 Legal Max'!AZ12*'Weighting Factors'!$T$12)</f>
        <v>0</v>
      </c>
      <c r="BB12" s="158">
        <v>0</v>
      </c>
      <c r="BC12" s="88">
        <f>IF(ISNA(VLOOKUP($CZ12,'Audit Values'!$A$2:$BU$353,2,FALSE)),"",IF(AND('Weighting Factors'!H12&gt;0,VLOOKUP($CZ12,'Audit Values'!$A$2:$BU$353,51,FALSE)&lt;'Weighting Factors'!H12),'Weighting Factors'!H12,VLOOKUP($CZ12,'Audit Values'!$A$2:$BU$353,50,FALSE)))</f>
        <v>1</v>
      </c>
      <c r="BD12" s="88" t="str">
        <f>IF(ISNA(VLOOKUP($CZ12,'Audit Values'!$A$2:$BV$353,2,FALSE)),"",VLOOKUP($CZ12,'Audit Values'!$A$2:$BV$353,51,FALSE))</f>
        <v>A</v>
      </c>
      <c r="BE12" s="88" t="str">
        <f>IF('Weighting Factors'!H12="","",IF('Weighting Factors'!J12="Pending","PX","R"))</f>
        <v/>
      </c>
      <c r="BF12" s="97">
        <f>SUM((S12+T12+Y12+AA12+AE12+AH12+AJ12++AO12+AP12+AQ12+AU12+AR12)*'Weighting Factors'!$Q$5)+'2019 Legal Max'!BA12+'2019 Legal Max'!BB12</f>
        <v>3682277</v>
      </c>
      <c r="BG12" s="99">
        <f>SUM((AV12+AR12)*'Weighting Factors'!$Q$5)+BA12+'2019 Legal Max'!BB12</f>
        <v>4209149</v>
      </c>
      <c r="BH12" s="108">
        <f>IF('Weighting Factors'!H12&gt;0,'Weighting Factors'!H12,'Preliminary SO66'!AV11)</f>
        <v>4390365</v>
      </c>
      <c r="BI12" s="99">
        <f t="shared" si="40"/>
        <v>4209149</v>
      </c>
      <c r="BJ12" s="112"/>
      <c r="BK12" s="112">
        <f>'Weighting Factors'!F12</f>
        <v>-44186</v>
      </c>
      <c r="BL12" s="112">
        <f>'Weighting Factors'!E12</f>
        <v>0</v>
      </c>
      <c r="BM12" s="99">
        <f t="shared" si="17"/>
        <v>-44186</v>
      </c>
      <c r="BN12" s="99">
        <f t="shared" si="18"/>
        <v>4164963</v>
      </c>
      <c r="BO12" s="99">
        <f>SUM((S12+T12+Y12+AA12+AE12+AH12+AJ12++AO12+AP12+AQ12+AR12)*'Weighting Factors'!Q$12)+(MAX(AS12,'Weighting Factors'!B12))</f>
        <v>4584869</v>
      </c>
      <c r="BP12" s="122">
        <v>0.3</v>
      </c>
      <c r="BQ12" s="99">
        <f t="shared" si="19"/>
        <v>1375461</v>
      </c>
      <c r="BR12" s="108">
        <v>1412503</v>
      </c>
      <c r="BS12" s="99">
        <f t="shared" si="20"/>
        <v>1375461</v>
      </c>
      <c r="BT12" s="167">
        <f t="shared" si="21"/>
        <v>0.3</v>
      </c>
      <c r="BU12" s="95">
        <f t="shared" si="22"/>
        <v>0</v>
      </c>
      <c r="BV12" s="87" t="b">
        <f t="shared" si="23"/>
        <v>0</v>
      </c>
      <c r="BW12" s="117">
        <f t="shared" si="24"/>
        <v>0</v>
      </c>
      <c r="BX12" s="116">
        <f t="shared" si="25"/>
        <v>0</v>
      </c>
      <c r="BY12" s="95">
        <f t="shared" si="26"/>
        <v>0</v>
      </c>
      <c r="BZ12" s="87" t="b">
        <f t="shared" si="27"/>
        <v>1</v>
      </c>
      <c r="CA12" s="87">
        <f t="shared" si="28"/>
        <v>261.11250000000001</v>
      </c>
      <c r="CB12" s="116">
        <f t="shared" si="29"/>
        <v>0.412499</v>
      </c>
      <c r="CC12" s="95">
        <f t="shared" si="30"/>
        <v>210.8</v>
      </c>
      <c r="CD12" s="95">
        <f t="shared" si="31"/>
        <v>0</v>
      </c>
      <c r="CE12" s="98">
        <v>560</v>
      </c>
      <c r="CF12" s="250">
        <f t="shared" si="32"/>
        <v>0.27900000000000003</v>
      </c>
      <c r="CG12" s="274">
        <f>IF(CF12&lt;0.06,1,IF(CF12&gt;=18.29,52,MATCH(CF12-0.001,'Weighting Factors'!$Y$5:$Y$156)+1))</f>
        <v>19</v>
      </c>
      <c r="CH12" s="243">
        <f>VLOOKUP(CG12, 'Weighting Factors'!$W$5:$Z$56,4)</f>
        <v>1210</v>
      </c>
      <c r="CI12" s="118">
        <f>('Weighting Factors'!$Q$5/'Weighting Factors'!$Q$14)</f>
        <v>1</v>
      </c>
      <c r="CJ12" s="245">
        <f t="shared" si="33"/>
        <v>189365</v>
      </c>
      <c r="CK12" s="245">
        <f>CJ12*'Weighting Factors'!$S$7</f>
        <v>189365</v>
      </c>
      <c r="CL12" s="245">
        <f t="shared" si="34"/>
        <v>189365</v>
      </c>
      <c r="CM12" s="95">
        <f>AM12/'Weighting Factors'!$Q$5</f>
        <v>45.5</v>
      </c>
      <c r="CN12" s="148">
        <v>0</v>
      </c>
      <c r="CO12" s="148">
        <v>0</v>
      </c>
      <c r="CP12" s="149">
        <v>0</v>
      </c>
      <c r="CQ12" s="151">
        <v>0</v>
      </c>
      <c r="CR12" s="99">
        <f>SUM((AV12*'Weighting Factors'!$Q$5)+'2019 Legal Max'!BA12)*CQ12</f>
        <v>0</v>
      </c>
      <c r="CS12" s="99">
        <f t="shared" si="35"/>
        <v>0</v>
      </c>
      <c r="CT12" s="106">
        <f t="shared" si="36"/>
        <v>0.35630000000000001</v>
      </c>
      <c r="CU12" s="95">
        <f t="shared" si="37"/>
        <v>0</v>
      </c>
      <c r="CV12" s="95">
        <f t="shared" si="38"/>
        <v>0.8</v>
      </c>
      <c r="CW12" s="95">
        <f t="shared" si="39"/>
        <v>1010.6</v>
      </c>
      <c r="CX12" s="99">
        <f>'LOB Transfers'!G11</f>
        <v>122554</v>
      </c>
      <c r="CY12" s="99">
        <f>'LOB Transfers'!J11</f>
        <v>550</v>
      </c>
      <c r="CZ12" s="87" t="s">
        <v>204</v>
      </c>
    </row>
    <row r="13" spans="1:104" ht="15" customHeight="1">
      <c r="A13" s="88">
        <v>110</v>
      </c>
      <c r="B13" s="87" t="s">
        <v>53</v>
      </c>
      <c r="C13" s="87" t="s">
        <v>526</v>
      </c>
      <c r="D13" s="95">
        <v>214</v>
      </c>
      <c r="E13" s="95">
        <v>0</v>
      </c>
      <c r="F13" s="95">
        <f t="shared" si="5"/>
        <v>214</v>
      </c>
      <c r="G13" s="95">
        <v>209.5</v>
      </c>
      <c r="H13" s="95">
        <v>0</v>
      </c>
      <c r="I13" s="95">
        <f t="shared" si="6"/>
        <v>209.5</v>
      </c>
      <c r="J13" s="95">
        <v>197.5</v>
      </c>
      <c r="K13" s="95">
        <v>0</v>
      </c>
      <c r="L13" s="95">
        <f t="shared" si="7"/>
        <v>197.5</v>
      </c>
      <c r="M13" s="95">
        <f>IF(ISNA(VLOOKUP($CZ13,'Audit Values'!$A$2:$BW$365,2,FALSE)),'Preliminary SO66'!C12,VLOOKUP($CZ13,'Audit Values'!$A$2:$BW$365,73,FALSE))</f>
        <v>196</v>
      </c>
      <c r="N13" s="95">
        <f>IF(ISNA(VLOOKUP($CZ13,'Audit Values'!$A$2:$BW$365,2,FALSE)),'Preliminary SO66'!F12,VLOOKUP($CZ13,'Audit Values'!$A$2:$BW$365,4,FALSE))</f>
        <v>0</v>
      </c>
      <c r="O13" s="95">
        <f t="shared" si="8"/>
        <v>196</v>
      </c>
      <c r="P13" s="95">
        <f>IF('Military Provision'!J14="YES", MAX('2019 Legal Max'!L13,'2019 Legal Max'!I13,AVERAGE('2019 Legal Max'!F13,'2019 Legal Max'!I13,'2019 Legal Max'!L13)), MAX(L13, I13))</f>
        <v>209.5</v>
      </c>
      <c r="Q13" s="95">
        <f>IF(ISNA(VLOOKUP($CZ13,'Audit Values'!$A$2:$BU$353,2,FALSE)),'Preliminary SO66'!AL12,VLOOKUP($CZ13,'Audit Values'!$A$2:$BU$3955,58,FALSE))</f>
        <v>1</v>
      </c>
      <c r="R13" s="95">
        <v>0</v>
      </c>
      <c r="S13" s="95">
        <f t="shared" si="9"/>
        <v>210.5</v>
      </c>
      <c r="T13" s="95">
        <f t="shared" si="10"/>
        <v>151.9</v>
      </c>
      <c r="U13" s="95">
        <f>IF(ISNA(VLOOKUP($CZ13,'Audit Values'!$A$2:$BW$317,2,FALSE)),'Preliminary SO66'!AM12,VLOOKUP($CZ13,'Audit Values'!$A$2:$BW$317,62,FALSE))</f>
        <v>0</v>
      </c>
      <c r="V13" s="95">
        <f>(U13/6)*'Weighting Factors'!$Q$7</f>
        <v>0</v>
      </c>
      <c r="W13" s="132">
        <f>IF(ISNA(VLOOKUP($CZ13,'Audit Values'!$A$2:$BW$353,2,FALSE)),'Preliminary SO66'!AN12,VLOOKUP($CZ13,'Audit Values'!$A$2:$BW$353,61,FALSE))</f>
        <v>0</v>
      </c>
      <c r="X13" s="95">
        <f>W13*'Weighting Factors'!$Q$8</f>
        <v>0</v>
      </c>
      <c r="Y13" s="95">
        <f t="shared" si="11"/>
        <v>0</v>
      </c>
      <c r="Z13" s="276">
        <f>IF(ISNA(VLOOKUP($CZ13,'Audit Values'!$A$2:$BW$317,2,FALSE)),'Preliminary SO66'!AO12,VLOOKUP($CZ13,'Audit Values'!$A$2:$BW$317,60,FALSE))</f>
        <v>54.3</v>
      </c>
      <c r="AA13" s="95">
        <f>Z13/6*'Weighting Factors'!$Q$6</f>
        <v>4.5</v>
      </c>
      <c r="AB13" s="99">
        <f>IF(ISNA(VLOOKUP($CZ13,'Audit Values'!$A$2:$BU$353,2,FALSE)),'Preliminary SO66'!AS12,VLOOKUP($CZ13,'Audit Values'!$A$2:$BU$353,63,FALSE))</f>
        <v>200</v>
      </c>
      <c r="AC13" s="99">
        <v>0</v>
      </c>
      <c r="AD13" s="99">
        <f>IF(ISNA(VLOOKUP($CZ13,'Audit Values'!$A$2:$BU$353,2,FALSE)),'Preliminary SO66'!AP12,VLOOKUP($CZ13,'Audit Values'!$A$2:$BU$353,64,FALSE))</f>
        <v>81</v>
      </c>
      <c r="AE13" s="95">
        <f>IF(A13=207, AD13,MAX(AC13,AD13))*'Weighting Factors'!$Q$9</f>
        <v>39.200000000000003</v>
      </c>
      <c r="AF13" s="95">
        <f t="shared" si="12"/>
        <v>3.1</v>
      </c>
      <c r="AG13" s="95">
        <f>IF(ISNA(VLOOKUP($CZ13,'Audit Values'!$A$2:$BW$353,2,FALSE)),'Preliminary SO66'!AG12,VLOOKUP($CZ13,'Audit Values'!$A$2:$BW$353,70,FALSE))</f>
        <v>4.2</v>
      </c>
      <c r="AH13" s="95">
        <f t="shared" si="13"/>
        <v>4.2</v>
      </c>
      <c r="AI13" s="95">
        <f>IF(ISNA(VLOOKUP($CZ13,'Audit Values'!$A$2:$BU$353,2,FALSE)),'Preliminary SO66'!AQ12,VLOOKUP($CZ13,'Audit Values'!$A$2:$BU$353,65,FALSE))</f>
        <v>0</v>
      </c>
      <c r="AJ13" s="95">
        <f>AI13*'Weighting Factors'!$Q$10</f>
        <v>0</v>
      </c>
      <c r="AK13" s="95">
        <f>IF(ISNA(VLOOKUP($CZ13,'Audit Values'!$A$2:$BU$353,2,FALSE)),'Preliminary SO66'!AR12,VLOOKUP($CZ13,'Audit Values'!$A$2:$BU$353,66,FALSE))</f>
        <v>122</v>
      </c>
      <c r="AL13" s="95"/>
      <c r="AM13" s="99">
        <f t="shared" si="14"/>
        <v>150060</v>
      </c>
      <c r="AN13" s="99">
        <v>214171</v>
      </c>
      <c r="AO13" s="95">
        <f>MAX(AN13, AM13)/'Weighting Factors'!$Q$5</f>
        <v>51.4</v>
      </c>
      <c r="AP13" s="95">
        <f>CN13/'Weighting Factors'!$Q$5</f>
        <v>0</v>
      </c>
      <c r="AQ13" s="95">
        <v>0</v>
      </c>
      <c r="AR13" s="95">
        <f>CS13/'Weighting Factors'!$Q$5</f>
        <v>0</v>
      </c>
      <c r="AS13" s="99">
        <v>236698</v>
      </c>
      <c r="AT13" s="95">
        <f>AS13/'Weighting Factors'!$Q$5</f>
        <v>56.8</v>
      </c>
      <c r="AU13" s="95">
        <f>IF(ISNA(VLOOKUP($CZ13,'Audit Values'!$A$2:$BU$353,2,FALSE)),'Preliminary SO66'!X12,VLOOKUP($CZ13,'Audit Values'!$A$2:$BU$353,47,FALSE))</f>
        <v>0</v>
      </c>
      <c r="AV13" s="95">
        <f t="shared" si="15"/>
        <v>518.5</v>
      </c>
      <c r="AW13" s="95">
        <f t="shared" si="16"/>
        <v>461.7</v>
      </c>
      <c r="AX13" s="95">
        <f>IF(ISNA(VLOOKUP($CZ13,'Audit Values'!$A$2:$BU$353,2,FALSE)),'Preliminary SO66'!AA12,VLOOKUP($CZ13,'Audit Values'!$A$2:$BU$353,41,FALSE))</f>
        <v>0</v>
      </c>
      <c r="AY13" s="95">
        <f>IF(ISNA(VLOOKUP($CZ13,'Audit Values'!$A$2:$BU$353,2,FALSE)),'Preliminary SO66'!AB12,VLOOKUP($CZ13,'Audit Values'!$A$2:$BU$353,42,FALSE))</f>
        <v>0</v>
      </c>
      <c r="AZ13" s="114">
        <v>0</v>
      </c>
      <c r="BA13" s="99">
        <f>SUM(AX13*'Weighting Factors'!$T$10)+('2019 Legal Max'!AY13*'Weighting Factors'!$T$11)+('2019 Legal Max'!AZ13*'Weighting Factors'!$T$12)</f>
        <v>0</v>
      </c>
      <c r="BB13" s="158">
        <v>0</v>
      </c>
      <c r="BC13" s="88">
        <f>IF(ISNA(VLOOKUP($CZ13,'Audit Values'!$A$2:$BU$353,2,FALSE)),"",IF(AND('Weighting Factors'!H13&gt;0,VLOOKUP($CZ13,'Audit Values'!$A$2:$BU$353,51,FALSE)&lt;'Weighting Factors'!H13),'Weighting Factors'!H13,VLOOKUP($CZ13,'Audit Values'!$A$2:$BU$353,50,FALSE)))</f>
        <v>17</v>
      </c>
      <c r="BD13" s="88" t="str">
        <f>IF(ISNA(VLOOKUP($CZ13,'Audit Values'!$A$2:$BV$353,2,FALSE)),"",VLOOKUP($CZ13,'Audit Values'!$A$2:$BV$353,51,FALSE))</f>
        <v>A</v>
      </c>
      <c r="BE13" s="88" t="str">
        <f>IF('Weighting Factors'!H13="","",IF('Weighting Factors'!J13="Pending","PX","R"))</f>
        <v/>
      </c>
      <c r="BF13" s="97">
        <f>SUM((S13+T13+Y13+AA13+AE13+AH13+AJ13++AO13+AP13+AQ13+AU13+AR13)*'Weighting Factors'!$Q$5)+'2019 Legal Max'!BA13+'2019 Legal Max'!BB13</f>
        <v>1922981</v>
      </c>
      <c r="BG13" s="99">
        <f>SUM((AV13+AR13)*'Weighting Factors'!$Q$5)+BA13+'2019 Legal Max'!BB13</f>
        <v>2159553</v>
      </c>
      <c r="BH13" s="108">
        <f>IF('Weighting Factors'!H13&gt;0,'Weighting Factors'!H13,'Preliminary SO66'!AV12)</f>
        <v>2312408</v>
      </c>
      <c r="BI13" s="99">
        <f t="shared" si="40"/>
        <v>2159553</v>
      </c>
      <c r="BJ13" s="112"/>
      <c r="BK13" s="112">
        <f>'Weighting Factors'!F13</f>
        <v>0</v>
      </c>
      <c r="BL13" s="112">
        <f>'Weighting Factors'!E13</f>
        <v>0</v>
      </c>
      <c r="BM13" s="99">
        <f t="shared" si="17"/>
        <v>0</v>
      </c>
      <c r="BN13" s="99">
        <f t="shared" si="18"/>
        <v>2159553</v>
      </c>
      <c r="BO13" s="99">
        <f>SUM((S13+T13+Y13+AA13+AE13+AH13+AJ13++AO13+AP13+AQ13+AR13)*'Weighting Factors'!Q$12)+(MAX(AS13,'Weighting Factors'!B13))</f>
        <v>2406964</v>
      </c>
      <c r="BP13" s="122">
        <v>0.3</v>
      </c>
      <c r="BQ13" s="99">
        <f t="shared" si="19"/>
        <v>722089</v>
      </c>
      <c r="BR13" s="148">
        <v>755899</v>
      </c>
      <c r="BS13" s="99">
        <f t="shared" si="20"/>
        <v>722089</v>
      </c>
      <c r="BT13" s="167">
        <f t="shared" si="21"/>
        <v>0.3</v>
      </c>
      <c r="BU13" s="95">
        <f t="shared" si="22"/>
        <v>0</v>
      </c>
      <c r="BV13" s="87" t="b">
        <f t="shared" si="23"/>
        <v>1</v>
      </c>
      <c r="BW13" s="117">
        <f t="shared" si="24"/>
        <v>1066.8779999999999</v>
      </c>
      <c r="BX13" s="116">
        <f t="shared" si="25"/>
        <v>0.72142600000000001</v>
      </c>
      <c r="BY13" s="95">
        <f t="shared" si="26"/>
        <v>151.9</v>
      </c>
      <c r="BZ13" s="87" t="b">
        <f t="shared" si="27"/>
        <v>0</v>
      </c>
      <c r="CA13" s="87">
        <f t="shared" si="28"/>
        <v>0</v>
      </c>
      <c r="CB13" s="116">
        <f t="shared" si="29"/>
        <v>0</v>
      </c>
      <c r="CC13" s="95">
        <f t="shared" si="30"/>
        <v>0</v>
      </c>
      <c r="CD13" s="95">
        <f t="shared" si="31"/>
        <v>0</v>
      </c>
      <c r="CE13" s="98">
        <v>491</v>
      </c>
      <c r="CF13" s="250">
        <f t="shared" si="32"/>
        <v>0.248</v>
      </c>
      <c r="CG13" s="274">
        <f>IF(CF13&lt;0.06,1,IF(CF13&gt;=18.29,52,MATCH(CF13-0.001,'Weighting Factors'!$Y$5:$Y$156)+1))</f>
        <v>18</v>
      </c>
      <c r="CH13" s="243">
        <f>VLOOKUP(CG13, 'Weighting Factors'!$W$5:$Z$56,4)</f>
        <v>1230</v>
      </c>
      <c r="CI13" s="118">
        <f>('Weighting Factors'!$Q$5/'Weighting Factors'!$Q$14)</f>
        <v>1</v>
      </c>
      <c r="CJ13" s="245">
        <f t="shared" si="33"/>
        <v>150060</v>
      </c>
      <c r="CK13" s="245">
        <f>CJ13*'Weighting Factors'!$S$7</f>
        <v>150060</v>
      </c>
      <c r="CL13" s="245">
        <f t="shared" si="34"/>
        <v>150060</v>
      </c>
      <c r="CM13" s="95">
        <f>AM13/'Weighting Factors'!$Q$5</f>
        <v>36</v>
      </c>
      <c r="CN13" s="148">
        <v>0</v>
      </c>
      <c r="CO13" s="148">
        <v>0</v>
      </c>
      <c r="CP13" s="149">
        <v>0</v>
      </c>
      <c r="CQ13" s="152">
        <v>0</v>
      </c>
      <c r="CR13" s="99">
        <f>SUM((AV13*'Weighting Factors'!$Q$5)+'2019 Legal Max'!BA13)*CQ13</f>
        <v>0</v>
      </c>
      <c r="CS13" s="99">
        <f t="shared" si="35"/>
        <v>0</v>
      </c>
      <c r="CT13" s="106">
        <f t="shared" si="36"/>
        <v>0.40500000000000003</v>
      </c>
      <c r="CU13" s="95">
        <f t="shared" si="37"/>
        <v>0</v>
      </c>
      <c r="CV13" s="95">
        <f t="shared" si="38"/>
        <v>3.1</v>
      </c>
      <c r="CW13" s="95">
        <f t="shared" si="39"/>
        <v>518.5</v>
      </c>
      <c r="CX13" s="99">
        <f>'LOB Transfers'!G12</f>
        <v>54662</v>
      </c>
      <c r="CY13" s="99">
        <f>'LOB Transfers'!J12</f>
        <v>0</v>
      </c>
      <c r="CZ13" s="87" t="s">
        <v>205</v>
      </c>
    </row>
    <row r="14" spans="1:104" ht="15" customHeight="1">
      <c r="A14" s="88">
        <v>111</v>
      </c>
      <c r="B14" s="87" t="s">
        <v>92</v>
      </c>
      <c r="C14" s="87" t="s">
        <v>527</v>
      </c>
      <c r="D14" s="95">
        <v>309</v>
      </c>
      <c r="E14" s="95">
        <v>0</v>
      </c>
      <c r="F14" s="95">
        <f t="shared" si="5"/>
        <v>309</v>
      </c>
      <c r="G14" s="95">
        <v>323.5</v>
      </c>
      <c r="H14" s="95">
        <v>0</v>
      </c>
      <c r="I14" s="95">
        <f t="shared" si="6"/>
        <v>323.5</v>
      </c>
      <c r="J14" s="95">
        <v>310</v>
      </c>
      <c r="K14" s="95">
        <v>0</v>
      </c>
      <c r="L14" s="95">
        <f t="shared" si="7"/>
        <v>310</v>
      </c>
      <c r="M14" s="95">
        <f>IF(ISNA(VLOOKUP($CZ14,'Audit Values'!$A$2:$BW$365,2,FALSE)),'Preliminary SO66'!C13,VLOOKUP($CZ14,'Audit Values'!$A$2:$BW$365,73,FALSE))</f>
        <v>316</v>
      </c>
      <c r="N14" s="95">
        <f>IF(ISNA(VLOOKUP($CZ14,'Audit Values'!$A$2:$BW$365,2,FALSE)),'Preliminary SO66'!F13,VLOOKUP($CZ14,'Audit Values'!$A$2:$BW$365,4,FALSE))</f>
        <v>0</v>
      </c>
      <c r="O14" s="95">
        <f t="shared" si="8"/>
        <v>316</v>
      </c>
      <c r="P14" s="95">
        <f>IF('Military Provision'!J15="YES", MAX('2019 Legal Max'!L14,'2019 Legal Max'!I14,AVERAGE('2019 Legal Max'!F14,'2019 Legal Max'!I14,'2019 Legal Max'!L14)), MAX(L14, I14))</f>
        <v>323.5</v>
      </c>
      <c r="Q14" s="95">
        <f>IF(ISNA(VLOOKUP($CZ14,'Audit Values'!$A$2:$BU$353,2,FALSE)),'Preliminary SO66'!AL13,VLOOKUP($CZ14,'Audit Values'!$A$2:$BU$3955,58,FALSE))</f>
        <v>7</v>
      </c>
      <c r="R14" s="95">
        <v>0</v>
      </c>
      <c r="S14" s="95">
        <f t="shared" si="9"/>
        <v>330.5</v>
      </c>
      <c r="T14" s="95">
        <f t="shared" si="10"/>
        <v>156.6</v>
      </c>
      <c r="U14" s="95">
        <f>IF(ISNA(VLOOKUP($CZ14,'Audit Values'!$A$2:$BW$317,2,FALSE)),'Preliminary SO66'!AM13,VLOOKUP($CZ14,'Audit Values'!$A$2:$BW$317,62,FALSE))</f>
        <v>0</v>
      </c>
      <c r="V14" s="95">
        <f>(U14/6)*'Weighting Factors'!$Q$7</f>
        <v>0</v>
      </c>
      <c r="W14" s="132">
        <f>IF(ISNA(VLOOKUP($CZ14,'Audit Values'!$A$2:$BW$353,2,FALSE)),'Preliminary SO66'!AN13,VLOOKUP($CZ14,'Audit Values'!$A$2:$BW$353,61,FALSE))</f>
        <v>0</v>
      </c>
      <c r="X14" s="95">
        <f>W14*'Weighting Factors'!$Q$8</f>
        <v>0</v>
      </c>
      <c r="Y14" s="95">
        <f t="shared" si="11"/>
        <v>0</v>
      </c>
      <c r="Z14" s="276">
        <f>IF(ISNA(VLOOKUP($CZ14,'Audit Values'!$A$2:$BW$317,2,FALSE)),'Preliminary SO66'!AO13,VLOOKUP($CZ14,'Audit Values'!$A$2:$BW$317,60,FALSE))</f>
        <v>71.3</v>
      </c>
      <c r="AA14" s="95">
        <f>Z14/6*'Weighting Factors'!$Q$6</f>
        <v>5.9</v>
      </c>
      <c r="AB14" s="99">
        <f>IF(ISNA(VLOOKUP($CZ14,'Audit Values'!$A$2:$BU$353,2,FALSE)),'Preliminary SO66'!AS13,VLOOKUP($CZ14,'Audit Values'!$A$2:$BU$353,63,FALSE))</f>
        <v>330</v>
      </c>
      <c r="AC14" s="99">
        <v>0</v>
      </c>
      <c r="AD14" s="99">
        <f>IF(ISNA(VLOOKUP($CZ14,'Audit Values'!$A$2:$BU$353,2,FALSE)),'Preliminary SO66'!AP13,VLOOKUP($CZ14,'Audit Values'!$A$2:$BU$353,64,FALSE))</f>
        <v>107</v>
      </c>
      <c r="AE14" s="95">
        <f>IF(A14=207, AD14,MAX(AC14,AD14))*'Weighting Factors'!$Q$9</f>
        <v>51.8</v>
      </c>
      <c r="AF14" s="95">
        <f t="shared" si="12"/>
        <v>0</v>
      </c>
      <c r="AG14" s="95">
        <f>IF(ISNA(VLOOKUP($CZ14,'Audit Values'!$A$2:$BW$353,2,FALSE)),'Preliminary SO66'!AG13,VLOOKUP($CZ14,'Audit Values'!$A$2:$BW$353,70,FALSE))</f>
        <v>0</v>
      </c>
      <c r="AH14" s="95">
        <f t="shared" si="13"/>
        <v>0</v>
      </c>
      <c r="AI14" s="95">
        <f>IF(ISNA(VLOOKUP($CZ14,'Audit Values'!$A$2:$BU$353,2,FALSE)),'Preliminary SO66'!AQ13,VLOOKUP($CZ14,'Audit Values'!$A$2:$BU$353,65,FALSE))</f>
        <v>0</v>
      </c>
      <c r="AJ14" s="95">
        <f>AI14*'Weighting Factors'!$Q$10</f>
        <v>0</v>
      </c>
      <c r="AK14" s="95">
        <f>IF(ISNA(VLOOKUP($CZ14,'Audit Values'!$A$2:$BU$353,2,FALSE)),'Preliminary SO66'!AR13,VLOOKUP($CZ14,'Audit Values'!$A$2:$BU$353,66,FALSE))</f>
        <v>192.5</v>
      </c>
      <c r="AL14" s="95"/>
      <c r="AM14" s="99">
        <f t="shared" si="14"/>
        <v>190575</v>
      </c>
      <c r="AN14" s="99">
        <v>261166</v>
      </c>
      <c r="AO14" s="95">
        <f>MAX(AN14, AM14)/'Weighting Factors'!$Q$5</f>
        <v>62.7</v>
      </c>
      <c r="AP14" s="95">
        <f>CN14/'Weighting Factors'!$Q$5</f>
        <v>0</v>
      </c>
      <c r="AQ14" s="95">
        <v>0</v>
      </c>
      <c r="AR14" s="95">
        <f>CS14/'Weighting Factors'!$Q$5</f>
        <v>0</v>
      </c>
      <c r="AS14" s="99">
        <v>314614</v>
      </c>
      <c r="AT14" s="95">
        <f>AS14/'Weighting Factors'!$Q$5</f>
        <v>75.5</v>
      </c>
      <c r="AU14" s="95">
        <f>IF(ISNA(VLOOKUP($CZ14,'Audit Values'!$A$2:$BU$353,2,FALSE)),'Preliminary SO66'!X13,VLOOKUP($CZ14,'Audit Values'!$A$2:$BU$353,47,FALSE))</f>
        <v>0</v>
      </c>
      <c r="AV14" s="95">
        <f t="shared" si="15"/>
        <v>683</v>
      </c>
      <c r="AW14" s="95">
        <f t="shared" si="16"/>
        <v>607.5</v>
      </c>
      <c r="AX14" s="95">
        <f>IF(ISNA(VLOOKUP($CZ14,'Audit Values'!$A$2:$BU$353,2,FALSE)),'Preliminary SO66'!AA13,VLOOKUP($CZ14,'Audit Values'!$A$2:$BU$353,41,FALSE))</f>
        <v>0</v>
      </c>
      <c r="AY14" s="95">
        <f>IF(ISNA(VLOOKUP($CZ14,'Audit Values'!$A$2:$BU$353,2,FALSE)),'Preliminary SO66'!AB13,VLOOKUP($CZ14,'Audit Values'!$A$2:$BU$353,42,FALSE))</f>
        <v>0</v>
      </c>
      <c r="AZ14" s="114">
        <v>0</v>
      </c>
      <c r="BA14" s="99">
        <f>SUM(AX14*'Weighting Factors'!$T$10)+('2019 Legal Max'!AY14*'Weighting Factors'!$T$11)+('2019 Legal Max'!AZ14*'Weighting Factors'!$T$12)</f>
        <v>0</v>
      </c>
      <c r="BB14" s="158">
        <v>0</v>
      </c>
      <c r="BC14" s="88">
        <f>IF(ISNA(VLOOKUP($CZ14,'Audit Values'!$A$2:$BU$353,2,FALSE)),"",IF(AND('Weighting Factors'!H14&gt;0,VLOOKUP($CZ14,'Audit Values'!$A$2:$BU$353,51,FALSE)&lt;'Weighting Factors'!H14),'Weighting Factors'!H14,VLOOKUP($CZ14,'Audit Values'!$A$2:$BU$353,50,FALSE)))</f>
        <v>17</v>
      </c>
      <c r="BD14" s="88" t="str">
        <f>IF(ISNA(VLOOKUP($CZ14,'Audit Values'!$A$2:$BV$353,2,FALSE)),"",VLOOKUP($CZ14,'Audit Values'!$A$2:$BV$353,51,FALSE))</f>
        <v>A</v>
      </c>
      <c r="BE14" s="88" t="str">
        <f>IF('Weighting Factors'!H14="","",IF('Weighting Factors'!J14="Pending","PX","R"))</f>
        <v/>
      </c>
      <c r="BF14" s="97">
        <f>SUM((S14+T14+Y14+AA14+AE14+AH14+AJ14++AO14+AP14+AQ14+AU14+AR14)*'Weighting Factors'!$Q$5)+'2019 Legal Max'!BA14+'2019 Legal Max'!BB14</f>
        <v>2530238</v>
      </c>
      <c r="BG14" s="99">
        <f>SUM((AV14+AR14)*'Weighting Factors'!$Q$5)+BA14+'2019 Legal Max'!BB14</f>
        <v>2844695</v>
      </c>
      <c r="BH14" s="108">
        <f>IF('Weighting Factors'!H14&gt;0,'Weighting Factors'!H14,'Preliminary SO66'!AV13)</f>
        <v>2952569</v>
      </c>
      <c r="BI14" s="99">
        <f t="shared" si="40"/>
        <v>2844695</v>
      </c>
      <c r="BJ14" s="112"/>
      <c r="BK14" s="112">
        <f>'Weighting Factors'!F14</f>
        <v>-7728</v>
      </c>
      <c r="BL14" s="112">
        <f>'Weighting Factors'!E14</f>
        <v>0</v>
      </c>
      <c r="BM14" s="99">
        <f t="shared" si="17"/>
        <v>-7728</v>
      </c>
      <c r="BN14" s="99">
        <f t="shared" si="18"/>
        <v>2836967</v>
      </c>
      <c r="BO14" s="99">
        <f>SUM((S14+T14+Y14+AA14+AE14+AH14+AJ14++AO14+AP14+AQ14+AR14)*'Weighting Factors'!Q$12)+(MAX(AS14,'Weighting Factors'!B14))</f>
        <v>3282896</v>
      </c>
      <c r="BP14" s="122">
        <v>0.3</v>
      </c>
      <c r="BQ14" s="99">
        <f t="shared" si="19"/>
        <v>984869</v>
      </c>
      <c r="BR14" s="108">
        <v>1004400</v>
      </c>
      <c r="BS14" s="99">
        <f t="shared" si="20"/>
        <v>984869</v>
      </c>
      <c r="BT14" s="167">
        <f t="shared" si="21"/>
        <v>0.3</v>
      </c>
      <c r="BU14" s="95">
        <f t="shared" si="22"/>
        <v>0</v>
      </c>
      <c r="BV14" s="87" t="b">
        <f t="shared" si="23"/>
        <v>0</v>
      </c>
      <c r="BW14" s="117">
        <f t="shared" si="24"/>
        <v>0</v>
      </c>
      <c r="BX14" s="116">
        <f t="shared" si="25"/>
        <v>0</v>
      </c>
      <c r="BY14" s="95">
        <f t="shared" si="26"/>
        <v>0</v>
      </c>
      <c r="BZ14" s="87" t="b">
        <f t="shared" si="27"/>
        <v>1</v>
      </c>
      <c r="CA14" s="87">
        <f t="shared" si="28"/>
        <v>37.7438</v>
      </c>
      <c r="CB14" s="116">
        <f t="shared" si="29"/>
        <v>0.47382400000000002</v>
      </c>
      <c r="CC14" s="95">
        <f t="shared" si="30"/>
        <v>156.6</v>
      </c>
      <c r="CD14" s="95">
        <f t="shared" si="31"/>
        <v>0</v>
      </c>
      <c r="CE14" s="98">
        <v>229</v>
      </c>
      <c r="CF14" s="250">
        <f t="shared" si="32"/>
        <v>0.84099999999999997</v>
      </c>
      <c r="CG14" s="274">
        <f>IF(CF14&lt;0.06,1,IF(CF14&gt;=18.29,52,MATCH(CF14-0.001,'Weighting Factors'!$Y$5:$Y$156)+1))</f>
        <v>30</v>
      </c>
      <c r="CH14" s="243">
        <f>VLOOKUP(CG14, 'Weighting Factors'!$W$5:$Z$56,4)</f>
        <v>990</v>
      </c>
      <c r="CI14" s="118">
        <f>('Weighting Factors'!$Q$5/'Weighting Factors'!$Q$14)</f>
        <v>1</v>
      </c>
      <c r="CJ14" s="245">
        <f t="shared" si="33"/>
        <v>190575</v>
      </c>
      <c r="CK14" s="245">
        <f>CJ14*'Weighting Factors'!$S$7</f>
        <v>190575</v>
      </c>
      <c r="CL14" s="245">
        <f t="shared" si="34"/>
        <v>190575</v>
      </c>
      <c r="CM14" s="95">
        <f>AM14/'Weighting Factors'!$Q$5</f>
        <v>45.8</v>
      </c>
      <c r="CN14" s="148">
        <v>0</v>
      </c>
      <c r="CO14" s="148">
        <v>0</v>
      </c>
      <c r="CP14" s="149">
        <v>0</v>
      </c>
      <c r="CQ14" s="151">
        <v>0</v>
      </c>
      <c r="CR14" s="99">
        <f>SUM((AV14*'Weighting Factors'!$Q$5)+'2019 Legal Max'!BA14)*CQ14</f>
        <v>0</v>
      </c>
      <c r="CS14" s="99">
        <f t="shared" si="35"/>
        <v>0</v>
      </c>
      <c r="CT14" s="106">
        <f t="shared" si="36"/>
        <v>0.32419999999999999</v>
      </c>
      <c r="CU14" s="95">
        <f t="shared" si="37"/>
        <v>0</v>
      </c>
      <c r="CV14" s="95">
        <f t="shared" si="38"/>
        <v>0</v>
      </c>
      <c r="CW14" s="95">
        <f t="shared" si="39"/>
        <v>683</v>
      </c>
      <c r="CX14" s="99">
        <f>'LOB Transfers'!G13</f>
        <v>75441</v>
      </c>
      <c r="CY14" s="99">
        <f>'LOB Transfers'!J13</f>
        <v>0</v>
      </c>
      <c r="CZ14" s="87" t="s">
        <v>206</v>
      </c>
    </row>
    <row r="15" spans="1:104" ht="15" customHeight="1">
      <c r="A15" s="88">
        <v>112</v>
      </c>
      <c r="B15" s="87" t="s">
        <v>54</v>
      </c>
      <c r="C15" s="87" t="s">
        <v>528</v>
      </c>
      <c r="D15" s="95">
        <v>443.5</v>
      </c>
      <c r="E15" s="95">
        <v>0</v>
      </c>
      <c r="F15" s="95">
        <f t="shared" si="5"/>
        <v>443.5</v>
      </c>
      <c r="G15" s="95">
        <v>481.9</v>
      </c>
      <c r="H15" s="95">
        <v>0</v>
      </c>
      <c r="I15" s="95">
        <f t="shared" si="6"/>
        <v>481.9</v>
      </c>
      <c r="J15" s="95">
        <v>457.1</v>
      </c>
      <c r="K15" s="95">
        <v>0</v>
      </c>
      <c r="L15" s="95">
        <f t="shared" si="7"/>
        <v>457.1</v>
      </c>
      <c r="M15" s="95">
        <f>IF(ISNA(VLOOKUP($CZ15,'Audit Values'!$A$2:$BW$365,2,FALSE)),'Preliminary SO66'!C14,VLOOKUP($CZ15,'Audit Values'!$A$2:$BW$365,73,FALSE))</f>
        <v>456</v>
      </c>
      <c r="N15" s="95">
        <f>IF(ISNA(VLOOKUP($CZ15,'Audit Values'!$A$2:$BW$365,2,FALSE)),'Preliminary SO66'!F14,VLOOKUP($CZ15,'Audit Values'!$A$2:$BW$365,4,FALSE))</f>
        <v>0</v>
      </c>
      <c r="O15" s="95">
        <f t="shared" si="8"/>
        <v>456</v>
      </c>
      <c r="P15" s="95">
        <f>IF('Military Provision'!J16="YES", MAX('2019 Legal Max'!L15,'2019 Legal Max'!I15,AVERAGE('2019 Legal Max'!F15,'2019 Legal Max'!I15,'2019 Legal Max'!L15)), MAX(L15, I15))</f>
        <v>481.9</v>
      </c>
      <c r="Q15" s="95">
        <f>IF(ISNA(VLOOKUP($CZ15,'Audit Values'!$A$2:$BU$353,2,FALSE)),'Preliminary SO66'!AL14,VLOOKUP($CZ15,'Audit Values'!$A$2:$BU$3955,58,FALSE))</f>
        <v>2.5</v>
      </c>
      <c r="R15" s="95">
        <v>0</v>
      </c>
      <c r="S15" s="95">
        <f t="shared" si="9"/>
        <v>484.4</v>
      </c>
      <c r="T15" s="95">
        <f t="shared" si="10"/>
        <v>204.2</v>
      </c>
      <c r="U15" s="95">
        <f>IF(ISNA(VLOOKUP($CZ15,'Audit Values'!$A$2:$BW$317,2,FALSE)),'Preliminary SO66'!AM14,VLOOKUP($CZ15,'Audit Values'!$A$2:$BW$317,62,FALSE))</f>
        <v>0</v>
      </c>
      <c r="V15" s="95">
        <f>(U15/6)*'Weighting Factors'!$Q$7</f>
        <v>0</v>
      </c>
      <c r="W15" s="132">
        <f>IF(ISNA(VLOOKUP($CZ15,'Audit Values'!$A$2:$BW$353,2,FALSE)),'Preliminary SO66'!AN14,VLOOKUP($CZ15,'Audit Values'!$A$2:$BW$353,61,FALSE))</f>
        <v>0</v>
      </c>
      <c r="X15" s="95">
        <f>W15*'Weighting Factors'!$Q$8</f>
        <v>0</v>
      </c>
      <c r="Y15" s="95">
        <f t="shared" si="11"/>
        <v>0</v>
      </c>
      <c r="Z15" s="276">
        <f>IF(ISNA(VLOOKUP($CZ15,'Audit Values'!$A$2:$BW$317,2,FALSE)),'Preliminary SO66'!AO14,VLOOKUP($CZ15,'Audit Values'!$A$2:$BW$317,60,FALSE))</f>
        <v>98.1</v>
      </c>
      <c r="AA15" s="95">
        <f>Z15/6*'Weighting Factors'!$Q$6</f>
        <v>8.1999999999999993</v>
      </c>
      <c r="AB15" s="99">
        <f>IF(ISNA(VLOOKUP($CZ15,'Audit Values'!$A$2:$BU$353,2,FALSE)),'Preliminary SO66'!AS14,VLOOKUP($CZ15,'Audit Values'!$A$2:$BU$353,63,FALSE))</f>
        <v>468</v>
      </c>
      <c r="AC15" s="99">
        <v>0</v>
      </c>
      <c r="AD15" s="99">
        <f>IF(ISNA(VLOOKUP($CZ15,'Audit Values'!$A$2:$BU$353,2,FALSE)),'Preliminary SO66'!AP14,VLOOKUP($CZ15,'Audit Values'!$A$2:$BU$353,64,FALSE))</f>
        <v>156</v>
      </c>
      <c r="AE15" s="95">
        <f>IF(A15=207, AD15,MAX(AC15,AD15))*'Weighting Factors'!$Q$9</f>
        <v>75.5</v>
      </c>
      <c r="AF15" s="95">
        <f t="shared" si="12"/>
        <v>0</v>
      </c>
      <c r="AG15" s="95">
        <f>IF(ISNA(VLOOKUP($CZ15,'Audit Values'!$A$2:$BW$353,2,FALSE)),'Preliminary SO66'!AG14,VLOOKUP($CZ15,'Audit Values'!$A$2:$BW$353,70,FALSE))</f>
        <v>3.2</v>
      </c>
      <c r="AH15" s="95">
        <f t="shared" si="13"/>
        <v>3.2</v>
      </c>
      <c r="AI15" s="95">
        <f>IF(ISNA(VLOOKUP($CZ15,'Audit Values'!$A$2:$BU$353,2,FALSE)),'Preliminary SO66'!AQ14,VLOOKUP($CZ15,'Audit Values'!$A$2:$BU$353,65,FALSE))</f>
        <v>0</v>
      </c>
      <c r="AJ15" s="95">
        <f>AI15*'Weighting Factors'!$Q$10</f>
        <v>0</v>
      </c>
      <c r="AK15" s="95">
        <f>IF(ISNA(VLOOKUP($CZ15,'Audit Values'!$A$2:$BU$353,2,FALSE)),'Preliminary SO66'!AR14,VLOOKUP($CZ15,'Audit Values'!$A$2:$BU$353,66,FALSE))</f>
        <v>229</v>
      </c>
      <c r="AL15" s="95"/>
      <c r="AM15" s="99">
        <f t="shared" si="14"/>
        <v>258770</v>
      </c>
      <c r="AN15" s="99">
        <v>303538</v>
      </c>
      <c r="AO15" s="95">
        <f>MAX(AN15, AM15)/'Weighting Factors'!$Q$5</f>
        <v>72.900000000000006</v>
      </c>
      <c r="AP15" s="95">
        <f>CN15/'Weighting Factors'!$Q$5</f>
        <v>0</v>
      </c>
      <c r="AQ15" s="95">
        <v>0</v>
      </c>
      <c r="AR15" s="95">
        <f>CS15/'Weighting Factors'!$Q$5</f>
        <v>0</v>
      </c>
      <c r="AS15" s="99">
        <v>567375</v>
      </c>
      <c r="AT15" s="95">
        <f>AS15/'Weighting Factors'!$Q$5</f>
        <v>136.19999999999999</v>
      </c>
      <c r="AU15" s="95">
        <f>IF(ISNA(VLOOKUP($CZ15,'Audit Values'!$A$2:$BU$353,2,FALSE)),'Preliminary SO66'!X14,VLOOKUP($CZ15,'Audit Values'!$A$2:$BU$353,47,FALSE))</f>
        <v>0</v>
      </c>
      <c r="AV15" s="95">
        <f t="shared" si="15"/>
        <v>984.6</v>
      </c>
      <c r="AW15" s="95">
        <f t="shared" si="16"/>
        <v>848.4</v>
      </c>
      <c r="AX15" s="95">
        <f>IF(ISNA(VLOOKUP($CZ15,'Audit Values'!$A$2:$BU$353,2,FALSE)),'Preliminary SO66'!AA14,VLOOKUP($CZ15,'Audit Values'!$A$2:$BU$353,41,FALSE))</f>
        <v>23</v>
      </c>
      <c r="AY15" s="95">
        <f>IF(ISNA(VLOOKUP($CZ15,'Audit Values'!$A$2:$BU$353,2,FALSE)),'Preliminary SO66'!AB14,VLOOKUP($CZ15,'Audit Values'!$A$2:$BU$353,42,FALSE))</f>
        <v>1.4</v>
      </c>
      <c r="AZ15" s="114">
        <v>40</v>
      </c>
      <c r="BA15" s="99">
        <f>SUM(AX15*'Weighting Factors'!$T$10)+('2019 Legal Max'!AY15*'Weighting Factors'!$T$11)+('2019 Legal Max'!AZ15*'Weighting Factors'!$T$12)</f>
        <v>145740</v>
      </c>
      <c r="BB15" s="158">
        <v>0</v>
      </c>
      <c r="BC15" s="88">
        <f>IF(ISNA(VLOOKUP($CZ15,'Audit Values'!$A$2:$BU$353,2,FALSE)),"",IF(AND('Weighting Factors'!H15&gt;0,VLOOKUP($CZ15,'Audit Values'!$A$2:$BU$353,51,FALSE)&lt;'Weighting Factors'!H15),'Weighting Factors'!H15,VLOOKUP($CZ15,'Audit Values'!$A$2:$BU$353,50,FALSE)))</f>
        <v>14</v>
      </c>
      <c r="BD15" s="88" t="str">
        <f>IF(ISNA(VLOOKUP($CZ15,'Audit Values'!$A$2:$BV$353,2,FALSE)),"",VLOOKUP($CZ15,'Audit Values'!$A$2:$BV$353,51,FALSE))</f>
        <v>A</v>
      </c>
      <c r="BE15" s="88" t="str">
        <f>IF('Weighting Factors'!H15="","",IF('Weighting Factors'!J15="Pending","PX","R"))</f>
        <v/>
      </c>
      <c r="BF15" s="97">
        <f>SUM((S15+T15+Y15+AA15+AE15+AH15+AJ15++AO15+AP15+AQ15+AU15+AR15)*'Weighting Factors'!$Q$5)+'2019 Legal Max'!BA15+'2019 Legal Max'!BB15</f>
        <v>3679326</v>
      </c>
      <c r="BG15" s="99">
        <f>SUM((AV15+AR15)*'Weighting Factors'!$Q$5)+BA15+'2019 Legal Max'!BB15</f>
        <v>4246599</v>
      </c>
      <c r="BH15" s="108">
        <f>IF('Weighting Factors'!H15&gt;0,'Weighting Factors'!H15,'Preliminary SO66'!AV14)</f>
        <v>4374207</v>
      </c>
      <c r="BI15" s="99">
        <f t="shared" si="40"/>
        <v>4246599</v>
      </c>
      <c r="BJ15" s="112"/>
      <c r="BK15" s="112">
        <f>'Weighting Factors'!F15</f>
        <v>-37485</v>
      </c>
      <c r="BL15" s="112">
        <f>'Weighting Factors'!E15</f>
        <v>0</v>
      </c>
      <c r="BM15" s="99">
        <f t="shared" si="17"/>
        <v>-37485</v>
      </c>
      <c r="BN15" s="99">
        <f t="shared" si="18"/>
        <v>4209114</v>
      </c>
      <c r="BO15" s="99">
        <f>SUM((S15+T15+Y15+AA15+AE15+AH15+AJ15++AO15+AP15+AQ15+AR15)*'Weighting Factors'!Q$12)+(MAX(AS15,'Weighting Factors'!B15))</f>
        <v>4495292</v>
      </c>
      <c r="BP15" s="122">
        <v>0.33</v>
      </c>
      <c r="BQ15" s="99">
        <f t="shared" si="19"/>
        <v>1483446</v>
      </c>
      <c r="BR15" s="108">
        <v>1528935</v>
      </c>
      <c r="BS15" s="99">
        <f t="shared" si="20"/>
        <v>1483446</v>
      </c>
      <c r="BT15" s="167">
        <f t="shared" si="21"/>
        <v>0.33</v>
      </c>
      <c r="BU15" s="95">
        <f t="shared" si="22"/>
        <v>0</v>
      </c>
      <c r="BV15" s="87" t="b">
        <f t="shared" si="23"/>
        <v>0</v>
      </c>
      <c r="BW15" s="117">
        <f t="shared" si="24"/>
        <v>0</v>
      </c>
      <c r="BX15" s="116">
        <f t="shared" si="25"/>
        <v>0</v>
      </c>
      <c r="BY15" s="95">
        <f t="shared" si="26"/>
        <v>0</v>
      </c>
      <c r="BZ15" s="87" t="b">
        <f t="shared" si="27"/>
        <v>1</v>
      </c>
      <c r="CA15" s="87">
        <f t="shared" si="28"/>
        <v>228.19499999999999</v>
      </c>
      <c r="CB15" s="116">
        <f t="shared" si="29"/>
        <v>0.421537</v>
      </c>
      <c r="CC15" s="95">
        <f t="shared" si="30"/>
        <v>204.2</v>
      </c>
      <c r="CD15" s="95">
        <f t="shared" si="31"/>
        <v>0</v>
      </c>
      <c r="CE15" s="98">
        <v>582.79999999999995</v>
      </c>
      <c r="CF15" s="250">
        <f t="shared" si="32"/>
        <v>0.39300000000000002</v>
      </c>
      <c r="CG15" s="274">
        <f>IF(CF15&lt;0.06,1,IF(CF15&gt;=18.29,52,MATCH(CF15-0.001,'Weighting Factors'!$Y$5:$Y$156)+1))</f>
        <v>23</v>
      </c>
      <c r="CH15" s="243">
        <f>VLOOKUP(CG15, 'Weighting Factors'!$W$5:$Z$56,4)</f>
        <v>1130</v>
      </c>
      <c r="CI15" s="118">
        <f>('Weighting Factors'!$Q$5/'Weighting Factors'!$Q$14)</f>
        <v>1</v>
      </c>
      <c r="CJ15" s="245">
        <f t="shared" si="33"/>
        <v>258770</v>
      </c>
      <c r="CK15" s="245">
        <f>CJ15*'Weighting Factors'!$S$7</f>
        <v>258770</v>
      </c>
      <c r="CL15" s="245">
        <f t="shared" si="34"/>
        <v>258770</v>
      </c>
      <c r="CM15" s="95">
        <f>AM15/'Weighting Factors'!$Q$5</f>
        <v>62.1</v>
      </c>
      <c r="CN15" s="148">
        <v>0</v>
      </c>
      <c r="CO15" s="148">
        <v>0</v>
      </c>
      <c r="CP15" s="149">
        <v>0</v>
      </c>
      <c r="CQ15" s="151">
        <v>0</v>
      </c>
      <c r="CR15" s="99">
        <f>SUM((AV15*'Weighting Factors'!$Q$5)+'2019 Legal Max'!BA15)*CQ15</f>
        <v>0</v>
      </c>
      <c r="CS15" s="99">
        <f t="shared" si="35"/>
        <v>0</v>
      </c>
      <c r="CT15" s="106">
        <f t="shared" si="36"/>
        <v>0.33329999999999999</v>
      </c>
      <c r="CU15" s="95">
        <f t="shared" si="37"/>
        <v>0</v>
      </c>
      <c r="CV15" s="95">
        <f t="shared" si="38"/>
        <v>0</v>
      </c>
      <c r="CW15" s="95">
        <f t="shared" si="39"/>
        <v>984.6</v>
      </c>
      <c r="CX15" s="99">
        <f>'LOB Transfers'!G14</f>
        <v>114077</v>
      </c>
      <c r="CY15" s="99">
        <f>'LOB Transfers'!J14</f>
        <v>0</v>
      </c>
      <c r="CZ15" s="87" t="s">
        <v>207</v>
      </c>
    </row>
    <row r="16" spans="1:104" ht="15" customHeight="1">
      <c r="A16" s="88">
        <v>113</v>
      </c>
      <c r="B16" s="87" t="s">
        <v>100</v>
      </c>
      <c r="C16" s="87" t="s">
        <v>529</v>
      </c>
      <c r="D16" s="95">
        <v>1099.2</v>
      </c>
      <c r="E16" s="95">
        <v>0</v>
      </c>
      <c r="F16" s="95">
        <f t="shared" si="5"/>
        <v>1099.2</v>
      </c>
      <c r="G16" s="95">
        <v>1086.8</v>
      </c>
      <c r="H16" s="95">
        <v>0</v>
      </c>
      <c r="I16" s="95">
        <f t="shared" si="6"/>
        <v>1086.8</v>
      </c>
      <c r="J16" s="95">
        <v>1050.0999999999999</v>
      </c>
      <c r="K16" s="95">
        <v>0</v>
      </c>
      <c r="L16" s="95">
        <f t="shared" si="7"/>
        <v>1050.0999999999999</v>
      </c>
      <c r="M16" s="95">
        <f>IF(ISNA(VLOOKUP($CZ16,'Audit Values'!$A$2:$BW$365,2,FALSE)),'Preliminary SO66'!C15,VLOOKUP($CZ16,'Audit Values'!$A$2:$BW$365,73,FALSE))</f>
        <v>1072.3</v>
      </c>
      <c r="N16" s="95">
        <f>IF(ISNA(VLOOKUP($CZ16,'Audit Values'!$A$2:$BW$365,2,FALSE)),'Preliminary SO66'!F15,VLOOKUP($CZ16,'Audit Values'!$A$2:$BW$365,4,FALSE))</f>
        <v>0</v>
      </c>
      <c r="O16" s="95">
        <f t="shared" si="8"/>
        <v>1072.3</v>
      </c>
      <c r="P16" s="95">
        <f>IF('Military Provision'!J17="YES", MAX('2019 Legal Max'!L16,'2019 Legal Max'!I16,AVERAGE('2019 Legal Max'!F16,'2019 Legal Max'!I16,'2019 Legal Max'!L16)), MAX(L16, I16))</f>
        <v>1086.8</v>
      </c>
      <c r="Q16" s="95">
        <f>IF(ISNA(VLOOKUP($CZ16,'Audit Values'!$A$2:$BU$353,2,FALSE)),'Preliminary SO66'!AL15,VLOOKUP($CZ16,'Audit Values'!$A$2:$BU$3955,58,FALSE))</f>
        <v>13.5</v>
      </c>
      <c r="R16" s="95">
        <v>0</v>
      </c>
      <c r="S16" s="95">
        <f t="shared" si="9"/>
        <v>1100.3</v>
      </c>
      <c r="T16" s="95">
        <f t="shared" si="10"/>
        <v>233.6</v>
      </c>
      <c r="U16" s="95">
        <f>IF(ISNA(VLOOKUP($CZ16,'Audit Values'!$A$2:$BW$317,2,FALSE)),'Preliminary SO66'!AM15,VLOOKUP($CZ16,'Audit Values'!$A$2:$BW$317,62,FALSE))</f>
        <v>0.7</v>
      </c>
      <c r="V16" s="95">
        <f>(U16/6)*'Weighting Factors'!$Q$7</f>
        <v>0</v>
      </c>
      <c r="W16" s="132">
        <f>IF(ISNA(VLOOKUP($CZ16,'Audit Values'!$A$2:$BW$353,2,FALSE)),'Preliminary SO66'!AN15,VLOOKUP($CZ16,'Audit Values'!$A$2:$BW$353,61,FALSE))</f>
        <v>1</v>
      </c>
      <c r="X16" s="95">
        <f>W16*'Weighting Factors'!$Q$8</f>
        <v>0.2</v>
      </c>
      <c r="Y16" s="95">
        <f t="shared" si="11"/>
        <v>0.2</v>
      </c>
      <c r="Z16" s="276">
        <f>IF(ISNA(VLOOKUP($CZ16,'Audit Values'!$A$2:$BW$317,2,FALSE)),'Preliminary SO66'!AO15,VLOOKUP($CZ16,'Audit Values'!$A$2:$BW$317,60,FALSE))</f>
        <v>295.60000000000002</v>
      </c>
      <c r="AA16" s="95">
        <f>Z16/6*'Weighting Factors'!$Q$6</f>
        <v>24.6</v>
      </c>
      <c r="AB16" s="99">
        <f>IF(ISNA(VLOOKUP($CZ16,'Audit Values'!$A$2:$BU$353,2,FALSE)),'Preliminary SO66'!AS15,VLOOKUP($CZ16,'Audit Values'!$A$2:$BU$353,63,FALSE))</f>
        <v>1119</v>
      </c>
      <c r="AC16" s="99">
        <v>0</v>
      </c>
      <c r="AD16" s="99">
        <f>IF(ISNA(VLOOKUP($CZ16,'Audit Values'!$A$2:$BU$353,2,FALSE)),'Preliminary SO66'!AP15,VLOOKUP($CZ16,'Audit Values'!$A$2:$BU$353,64,FALSE))</f>
        <v>270</v>
      </c>
      <c r="AE16" s="95">
        <f>IF(A16=207, AD16,MAX(AC16,AD16))*'Weighting Factors'!$Q$9</f>
        <v>130.69999999999999</v>
      </c>
      <c r="AF16" s="95">
        <f t="shared" si="12"/>
        <v>0</v>
      </c>
      <c r="AG16" s="95">
        <f>IF(ISNA(VLOOKUP($CZ16,'Audit Values'!$A$2:$BW$353,2,FALSE)),'Preliminary SO66'!AG15,VLOOKUP($CZ16,'Audit Values'!$A$2:$BW$353,70,FALSE))</f>
        <v>1.3</v>
      </c>
      <c r="AH16" s="95">
        <f t="shared" si="13"/>
        <v>1.3</v>
      </c>
      <c r="AI16" s="95">
        <f>IF(ISNA(VLOOKUP($CZ16,'Audit Values'!$A$2:$BU$353,2,FALSE)),'Preliminary SO66'!AQ15,VLOOKUP($CZ16,'Audit Values'!$A$2:$BU$353,65,FALSE))</f>
        <v>0</v>
      </c>
      <c r="AJ16" s="95">
        <f>AI16*'Weighting Factors'!$Q$10</f>
        <v>0</v>
      </c>
      <c r="AK16" s="95">
        <f>IF(ISNA(VLOOKUP($CZ16,'Audit Values'!$A$2:$BU$353,2,FALSE)),'Preliminary SO66'!AR15,VLOOKUP($CZ16,'Audit Values'!$A$2:$BU$353,66,FALSE))</f>
        <v>379</v>
      </c>
      <c r="AL16" s="95"/>
      <c r="AM16" s="99">
        <f t="shared" si="14"/>
        <v>390370</v>
      </c>
      <c r="AN16" s="99">
        <v>458388</v>
      </c>
      <c r="AO16" s="95">
        <f>MAX(AN16, AM16)/'Weighting Factors'!$Q$5</f>
        <v>110.1</v>
      </c>
      <c r="AP16" s="95">
        <f>CN16/'Weighting Factors'!$Q$5</f>
        <v>0</v>
      </c>
      <c r="AQ16" s="95">
        <v>0</v>
      </c>
      <c r="AR16" s="95">
        <f>CS16/'Weighting Factors'!$Q$5</f>
        <v>0</v>
      </c>
      <c r="AS16" s="99">
        <v>756234</v>
      </c>
      <c r="AT16" s="95">
        <f>AS16/'Weighting Factors'!$Q$5</f>
        <v>181.6</v>
      </c>
      <c r="AU16" s="95">
        <f>IF(ISNA(VLOOKUP($CZ16,'Audit Values'!$A$2:$BU$353,2,FALSE)),'Preliminary SO66'!X15,VLOOKUP($CZ16,'Audit Values'!$A$2:$BU$353,47,FALSE))</f>
        <v>1</v>
      </c>
      <c r="AV16" s="95">
        <f t="shared" si="15"/>
        <v>1783.4</v>
      </c>
      <c r="AW16" s="95">
        <f t="shared" si="16"/>
        <v>1601.8</v>
      </c>
      <c r="AX16" s="95">
        <f>IF(ISNA(VLOOKUP($CZ16,'Audit Values'!$A$2:$BU$353,2,FALSE)),'Preliminary SO66'!AA15,VLOOKUP($CZ16,'Audit Values'!$A$2:$BU$353,41,FALSE))</f>
        <v>0</v>
      </c>
      <c r="AY16" s="95">
        <f>IF(ISNA(VLOOKUP($CZ16,'Audit Values'!$A$2:$BU$353,2,FALSE)),'Preliminary SO66'!AB15,VLOOKUP($CZ16,'Audit Values'!$A$2:$BU$353,42,FALSE))</f>
        <v>0</v>
      </c>
      <c r="AZ16" s="114">
        <v>0</v>
      </c>
      <c r="BA16" s="99">
        <f>SUM(AX16*'Weighting Factors'!$T$10)+('2019 Legal Max'!AY16*'Weighting Factors'!$T$11)+('2019 Legal Max'!AZ16*'Weighting Factors'!$T$12)</f>
        <v>0</v>
      </c>
      <c r="BB16" s="158">
        <v>0</v>
      </c>
      <c r="BC16" s="88">
        <f>IF(ISNA(VLOOKUP($CZ16,'Audit Values'!$A$2:$BU$353,2,FALSE)),"",IF(AND('Weighting Factors'!H16&gt;0,VLOOKUP($CZ16,'Audit Values'!$A$2:$BU$353,51,FALSE)&lt;'Weighting Factors'!H16),'Weighting Factors'!H16,VLOOKUP($CZ16,'Audit Values'!$A$2:$BU$353,50,FALSE)))</f>
        <v>10</v>
      </c>
      <c r="BD16" s="88" t="str">
        <f>IF(ISNA(VLOOKUP($CZ16,'Audit Values'!$A$2:$BV$353,2,FALSE)),"",VLOOKUP($CZ16,'Audit Values'!$A$2:$BV$353,51,FALSE))</f>
        <v>A</v>
      </c>
      <c r="BE16" s="88" t="str">
        <f>IF('Weighting Factors'!H16="","",IF('Weighting Factors'!J16="Pending","PX","R"))</f>
        <v/>
      </c>
      <c r="BF16" s="97">
        <f>SUM((S16+T16+Y16+AA16+AE16+AH16+AJ16++AO16+AP16+AQ16+AU16+AR16)*'Weighting Factors'!$Q$5)+'2019 Legal Max'!BA16+'2019 Legal Max'!BB16</f>
        <v>6671497</v>
      </c>
      <c r="BG16" s="99">
        <f>SUM((AV16+AR16)*'Weighting Factors'!$Q$5)+BA16+'2019 Legal Max'!BB16</f>
        <v>7427861</v>
      </c>
      <c r="BH16" s="108">
        <f>IF('Weighting Factors'!H16&gt;0,'Weighting Factors'!H16,'Preliminary SO66'!AV15)</f>
        <v>7606540</v>
      </c>
      <c r="BI16" s="99">
        <f t="shared" si="40"/>
        <v>7427861</v>
      </c>
      <c r="BJ16" s="112"/>
      <c r="BK16" s="112">
        <f>'Weighting Factors'!F16</f>
        <v>-9419</v>
      </c>
      <c r="BL16" s="112">
        <f>'Weighting Factors'!E16</f>
        <v>0</v>
      </c>
      <c r="BM16" s="99">
        <f t="shared" si="17"/>
        <v>-9419</v>
      </c>
      <c r="BN16" s="99">
        <f t="shared" si="18"/>
        <v>7418442</v>
      </c>
      <c r="BO16" s="99">
        <f>SUM((S16+T16+Y16+AA16+AE16+AH16+AJ16++AO16+AP16+AQ16+AR16)*'Weighting Factors'!Q$12)+(MAX(AS16,'Weighting Factors'!B16))</f>
        <v>8288385</v>
      </c>
      <c r="BP16" s="122">
        <v>0.33</v>
      </c>
      <c r="BQ16" s="99">
        <f t="shared" si="19"/>
        <v>2735167</v>
      </c>
      <c r="BR16" s="108">
        <v>2777544</v>
      </c>
      <c r="BS16" s="99">
        <f t="shared" si="20"/>
        <v>2735167</v>
      </c>
      <c r="BT16" s="167">
        <f t="shared" si="21"/>
        <v>0.33</v>
      </c>
      <c r="BU16" s="95">
        <f t="shared" si="22"/>
        <v>0</v>
      </c>
      <c r="BV16" s="87" t="b">
        <f t="shared" si="23"/>
        <v>0</v>
      </c>
      <c r="BW16" s="117">
        <f t="shared" si="24"/>
        <v>0</v>
      </c>
      <c r="BX16" s="116">
        <f t="shared" si="25"/>
        <v>0</v>
      </c>
      <c r="BY16" s="95">
        <f t="shared" si="26"/>
        <v>0</v>
      </c>
      <c r="BZ16" s="87" t="b">
        <f t="shared" si="27"/>
        <v>1</v>
      </c>
      <c r="CA16" s="87">
        <f t="shared" si="28"/>
        <v>990.37130000000002</v>
      </c>
      <c r="CB16" s="116">
        <f t="shared" si="29"/>
        <v>0.212285</v>
      </c>
      <c r="CC16" s="95">
        <f t="shared" si="30"/>
        <v>233.6</v>
      </c>
      <c r="CD16" s="95">
        <f t="shared" si="31"/>
        <v>0</v>
      </c>
      <c r="CE16" s="98">
        <v>543</v>
      </c>
      <c r="CF16" s="250">
        <f t="shared" si="32"/>
        <v>0.69799999999999995</v>
      </c>
      <c r="CG16" s="274">
        <f>IF(CF16&lt;0.06,1,IF(CF16&gt;=18.29,52,MATCH(CF16-0.001,'Weighting Factors'!$Y$5:$Y$156)+1))</f>
        <v>28</v>
      </c>
      <c r="CH16" s="243">
        <f>VLOOKUP(CG16, 'Weighting Factors'!$W$5:$Z$56,4)</f>
        <v>1030</v>
      </c>
      <c r="CI16" s="118">
        <f>('Weighting Factors'!$Q$5/'Weighting Factors'!$Q$14)</f>
        <v>1</v>
      </c>
      <c r="CJ16" s="245">
        <f t="shared" si="33"/>
        <v>390370</v>
      </c>
      <c r="CK16" s="245">
        <f>CJ16*'Weighting Factors'!$S$7</f>
        <v>390370</v>
      </c>
      <c r="CL16" s="245">
        <f t="shared" si="34"/>
        <v>390370</v>
      </c>
      <c r="CM16" s="95">
        <f>AM16/'Weighting Factors'!$Q$5</f>
        <v>93.7</v>
      </c>
      <c r="CN16" s="148">
        <v>0</v>
      </c>
      <c r="CO16" s="148">
        <v>0</v>
      </c>
      <c r="CP16" s="149">
        <v>0</v>
      </c>
      <c r="CQ16" s="151">
        <v>0</v>
      </c>
      <c r="CR16" s="99">
        <f>SUM((AV16*'Weighting Factors'!$Q$5)+'2019 Legal Max'!BA16)*CQ16</f>
        <v>0</v>
      </c>
      <c r="CS16" s="99">
        <f t="shared" si="35"/>
        <v>0</v>
      </c>
      <c r="CT16" s="106">
        <f t="shared" si="36"/>
        <v>0.24129999999999999</v>
      </c>
      <c r="CU16" s="95">
        <f t="shared" si="37"/>
        <v>0</v>
      </c>
      <c r="CV16" s="95">
        <f t="shared" si="38"/>
        <v>0</v>
      </c>
      <c r="CW16" s="95">
        <f t="shared" si="39"/>
        <v>1783.4</v>
      </c>
      <c r="CX16" s="99">
        <f>'LOB Transfers'!G15</f>
        <v>202129</v>
      </c>
      <c r="CY16" s="99">
        <f>'LOB Transfers'!J15</f>
        <v>274</v>
      </c>
      <c r="CZ16" s="87" t="s">
        <v>208</v>
      </c>
    </row>
    <row r="17" spans="1:104" ht="15" customHeight="1">
      <c r="A17" s="88">
        <v>114</v>
      </c>
      <c r="B17" s="87" t="s">
        <v>92</v>
      </c>
      <c r="C17" s="87" t="s">
        <v>530</v>
      </c>
      <c r="D17" s="95">
        <v>594.79999999999995</v>
      </c>
      <c r="E17" s="95">
        <v>0</v>
      </c>
      <c r="F17" s="95">
        <f t="shared" si="5"/>
        <v>594.79999999999995</v>
      </c>
      <c r="G17" s="95">
        <v>584.70000000000005</v>
      </c>
      <c r="H17" s="95">
        <v>0</v>
      </c>
      <c r="I17" s="95">
        <f t="shared" si="6"/>
        <v>584.70000000000005</v>
      </c>
      <c r="J17" s="95">
        <v>588.5</v>
      </c>
      <c r="K17" s="95">
        <v>0</v>
      </c>
      <c r="L17" s="95">
        <f t="shared" si="7"/>
        <v>588.5</v>
      </c>
      <c r="M17" s="95">
        <f>IF(ISNA(VLOOKUP($CZ17,'Audit Values'!$A$2:$BW$365,2,FALSE)),'Preliminary SO66'!C16,VLOOKUP($CZ17,'Audit Values'!$A$2:$BW$365,73,FALSE))</f>
        <v>580</v>
      </c>
      <c r="N17" s="95">
        <f>IF(ISNA(VLOOKUP($CZ17,'Audit Values'!$A$2:$BW$365,2,FALSE)),'Preliminary SO66'!F16,VLOOKUP($CZ17,'Audit Values'!$A$2:$BW$365,4,FALSE))</f>
        <v>0</v>
      </c>
      <c r="O17" s="95">
        <f t="shared" si="8"/>
        <v>580</v>
      </c>
      <c r="P17" s="95">
        <f>IF('Military Provision'!J18="YES", MAX('2019 Legal Max'!L17,'2019 Legal Max'!I17,AVERAGE('2019 Legal Max'!F17,'2019 Legal Max'!I17,'2019 Legal Max'!L17)), MAX(L17, I17))</f>
        <v>588.5</v>
      </c>
      <c r="Q17" s="95">
        <f>IF(ISNA(VLOOKUP($CZ17,'Audit Values'!$A$2:$BU$353,2,FALSE)),'Preliminary SO66'!AL16,VLOOKUP($CZ17,'Audit Values'!$A$2:$BU$3955,58,FALSE))</f>
        <v>5.5</v>
      </c>
      <c r="R17" s="95">
        <v>0</v>
      </c>
      <c r="S17" s="95">
        <f t="shared" si="9"/>
        <v>594</v>
      </c>
      <c r="T17" s="95">
        <f t="shared" si="10"/>
        <v>228.3</v>
      </c>
      <c r="U17" s="95">
        <f>IF(ISNA(VLOOKUP($CZ17,'Audit Values'!$A$2:$BW$317,2,FALSE)),'Preliminary SO66'!AM16,VLOOKUP($CZ17,'Audit Values'!$A$2:$BW$317,62,FALSE))</f>
        <v>0</v>
      </c>
      <c r="V17" s="95">
        <f>(U17/6)*'Weighting Factors'!$Q$7</f>
        <v>0</v>
      </c>
      <c r="W17" s="132">
        <f>IF(ISNA(VLOOKUP($CZ17,'Audit Values'!$A$2:$BW$353,2,FALSE)),'Preliminary SO66'!AN16,VLOOKUP($CZ17,'Audit Values'!$A$2:$BW$353,61,FALSE))</f>
        <v>0</v>
      </c>
      <c r="X17" s="95">
        <f>W17*'Weighting Factors'!$Q$8</f>
        <v>0</v>
      </c>
      <c r="Y17" s="95">
        <f t="shared" si="11"/>
        <v>0</v>
      </c>
      <c r="Z17" s="276">
        <f>IF(ISNA(VLOOKUP($CZ17,'Audit Values'!$A$2:$BW$317,2,FALSE)),'Preliminary SO66'!AO16,VLOOKUP($CZ17,'Audit Values'!$A$2:$BW$317,60,FALSE))</f>
        <v>167.3</v>
      </c>
      <c r="AA17" s="95">
        <f>Z17/6*'Weighting Factors'!$Q$6</f>
        <v>13.9</v>
      </c>
      <c r="AB17" s="99">
        <f>IF(ISNA(VLOOKUP($CZ17,'Audit Values'!$A$2:$BU$353,2,FALSE)),'Preliminary SO66'!AS16,VLOOKUP($CZ17,'Audit Values'!$A$2:$BU$353,63,FALSE))</f>
        <v>601</v>
      </c>
      <c r="AC17" s="99">
        <v>0</v>
      </c>
      <c r="AD17" s="99">
        <f>IF(ISNA(VLOOKUP($CZ17,'Audit Values'!$A$2:$BU$353,2,FALSE)),'Preliminary SO66'!AP16,VLOOKUP($CZ17,'Audit Values'!$A$2:$BU$353,64,FALSE))</f>
        <v>236</v>
      </c>
      <c r="AE17" s="95">
        <f>IF(A17=207, AD17,MAX(AC17,AD17))*'Weighting Factors'!$Q$9</f>
        <v>114.2</v>
      </c>
      <c r="AF17" s="95">
        <f t="shared" si="12"/>
        <v>7.1</v>
      </c>
      <c r="AG17" s="95">
        <f>IF(ISNA(VLOOKUP($CZ17,'Audit Values'!$A$2:$BW$353,2,FALSE)),'Preliminary SO66'!AG16,VLOOKUP($CZ17,'Audit Values'!$A$2:$BW$353,70,FALSE))</f>
        <v>8.1999999999999993</v>
      </c>
      <c r="AH17" s="95">
        <f t="shared" si="13"/>
        <v>8.1999999999999993</v>
      </c>
      <c r="AI17" s="95">
        <f>IF(ISNA(VLOOKUP($CZ17,'Audit Values'!$A$2:$BU$353,2,FALSE)),'Preliminary SO66'!AQ16,VLOOKUP($CZ17,'Audit Values'!$A$2:$BU$353,65,FALSE))</f>
        <v>0</v>
      </c>
      <c r="AJ17" s="95">
        <f>AI17*'Weighting Factors'!$Q$10</f>
        <v>0</v>
      </c>
      <c r="AK17" s="95">
        <f>IF(ISNA(VLOOKUP($CZ17,'Audit Values'!$A$2:$BU$353,2,FALSE)),'Preliminary SO66'!AR16,VLOOKUP($CZ17,'Audit Values'!$A$2:$BU$353,66,FALSE))</f>
        <v>190</v>
      </c>
      <c r="AL17" s="95"/>
      <c r="AM17" s="99">
        <f t="shared" si="14"/>
        <v>157700</v>
      </c>
      <c r="AN17" s="99">
        <v>227268</v>
      </c>
      <c r="AO17" s="95">
        <f>MAX(AN17, AM17)/'Weighting Factors'!$Q$5</f>
        <v>54.6</v>
      </c>
      <c r="AP17" s="95">
        <f>CN17/'Weighting Factors'!$Q$5</f>
        <v>0</v>
      </c>
      <c r="AQ17" s="95">
        <v>0</v>
      </c>
      <c r="AR17" s="95">
        <f>CS17/'Weighting Factors'!$Q$5</f>
        <v>0</v>
      </c>
      <c r="AS17" s="99">
        <v>618975</v>
      </c>
      <c r="AT17" s="95">
        <f>AS17/'Weighting Factors'!$Q$5</f>
        <v>148.6</v>
      </c>
      <c r="AU17" s="95">
        <f>IF(ISNA(VLOOKUP($CZ17,'Audit Values'!$A$2:$BU$353,2,FALSE)),'Preliminary SO66'!X16,VLOOKUP($CZ17,'Audit Values'!$A$2:$BU$353,47,FALSE))</f>
        <v>0</v>
      </c>
      <c r="AV17" s="95">
        <f t="shared" si="15"/>
        <v>1161.8</v>
      </c>
      <c r="AW17" s="95">
        <f t="shared" si="16"/>
        <v>1013.2</v>
      </c>
      <c r="AX17" s="95">
        <f>IF(ISNA(VLOOKUP($CZ17,'Audit Values'!$A$2:$BU$353,2,FALSE)),'Preliminary SO66'!AA16,VLOOKUP($CZ17,'Audit Values'!$A$2:$BU$353,41,FALSE))</f>
        <v>5</v>
      </c>
      <c r="AY17" s="95">
        <f>IF(ISNA(VLOOKUP($CZ17,'Audit Values'!$A$2:$BU$353,2,FALSE)),'Preliminary SO66'!AB16,VLOOKUP($CZ17,'Audit Values'!$A$2:$BU$353,42,FALSE))</f>
        <v>0</v>
      </c>
      <c r="AZ17" s="114">
        <v>3</v>
      </c>
      <c r="BA17" s="99">
        <f>SUM(AX17*'Weighting Factors'!$T$10)+('2019 Legal Max'!AY17*'Weighting Factors'!$T$11)+('2019 Legal Max'!AZ17*'Weighting Factors'!$T$12)</f>
        <v>27127</v>
      </c>
      <c r="BB17" s="158">
        <v>0</v>
      </c>
      <c r="BC17" s="88">
        <f>IF(ISNA(VLOOKUP($CZ17,'Audit Values'!$A$2:$BU$353,2,FALSE)),"",IF(AND('Weighting Factors'!H17&gt;0,VLOOKUP($CZ17,'Audit Values'!$A$2:$BU$353,51,FALSE)&lt;'Weighting Factors'!H17),'Weighting Factors'!H17,VLOOKUP($CZ17,'Audit Values'!$A$2:$BU$353,50,FALSE)))</f>
        <v>19</v>
      </c>
      <c r="BD17" s="88" t="str">
        <f>IF(ISNA(VLOOKUP($CZ17,'Audit Values'!$A$2:$BV$353,2,FALSE)),"",VLOOKUP($CZ17,'Audit Values'!$A$2:$BV$353,51,FALSE))</f>
        <v>A</v>
      </c>
      <c r="BE17" s="88" t="str">
        <f>IF('Weighting Factors'!H17="","",IF('Weighting Factors'!J17="Pending","PX","R"))</f>
        <v/>
      </c>
      <c r="BF17" s="97">
        <f>SUM((S17+T17+Y17+AA17+AE17+AH17+AJ17++AO17+AP17+AQ17+AU17+AR17)*'Weighting Factors'!$Q$5)+'2019 Legal Max'!BA17+'2019 Legal Max'!BB17</f>
        <v>4247105</v>
      </c>
      <c r="BG17" s="99">
        <f>SUM((AV17+AR17)*'Weighting Factors'!$Q$5)+BA17+'2019 Legal Max'!BB17</f>
        <v>4866024</v>
      </c>
      <c r="BH17" s="108">
        <f>IF('Weighting Factors'!H17&gt;0,'Weighting Factors'!H17,'Preliminary SO66'!AV16)</f>
        <v>5274659</v>
      </c>
      <c r="BI17" s="99">
        <f t="shared" si="40"/>
        <v>4866024</v>
      </c>
      <c r="BJ17" s="112"/>
      <c r="BK17" s="112">
        <f>'Weighting Factors'!F17</f>
        <v>-49816</v>
      </c>
      <c r="BL17" s="112">
        <f>'Weighting Factors'!E17</f>
        <v>-1418</v>
      </c>
      <c r="BM17" s="99">
        <f t="shared" si="17"/>
        <v>-51234</v>
      </c>
      <c r="BN17" s="99">
        <f t="shared" si="18"/>
        <v>4814790</v>
      </c>
      <c r="BO17" s="99">
        <f>SUM((S17+T17+Y17+AA17+AE17+AH17+AJ17++AO17+AP17+AQ17+AR17)*'Weighting Factors'!Q$12)+(MAX(AS17,'Weighting Factors'!B17))</f>
        <v>5180823</v>
      </c>
      <c r="BP17" s="122">
        <v>0.3</v>
      </c>
      <c r="BQ17" s="99">
        <f t="shared" si="19"/>
        <v>1554247</v>
      </c>
      <c r="BR17" s="108">
        <v>1675584</v>
      </c>
      <c r="BS17" s="99">
        <f t="shared" si="20"/>
        <v>1554247</v>
      </c>
      <c r="BT17" s="167">
        <f t="shared" si="21"/>
        <v>0.3</v>
      </c>
      <c r="BU17" s="95">
        <f t="shared" si="22"/>
        <v>0</v>
      </c>
      <c r="BV17" s="87" t="b">
        <f t="shared" si="23"/>
        <v>0</v>
      </c>
      <c r="BW17" s="117">
        <f t="shared" si="24"/>
        <v>0</v>
      </c>
      <c r="BX17" s="116">
        <f t="shared" si="25"/>
        <v>0</v>
      </c>
      <c r="BY17" s="95">
        <f t="shared" si="26"/>
        <v>0</v>
      </c>
      <c r="BZ17" s="87" t="b">
        <f t="shared" si="27"/>
        <v>1</v>
      </c>
      <c r="CA17" s="87">
        <f t="shared" si="28"/>
        <v>363.82499999999999</v>
      </c>
      <c r="CB17" s="116">
        <f t="shared" si="29"/>
        <v>0.38429999999999997</v>
      </c>
      <c r="CC17" s="95">
        <f t="shared" si="30"/>
        <v>228.3</v>
      </c>
      <c r="CD17" s="95">
        <f t="shared" si="31"/>
        <v>0</v>
      </c>
      <c r="CE17" s="98">
        <v>88</v>
      </c>
      <c r="CF17" s="250">
        <f t="shared" si="32"/>
        <v>2.1589999999999998</v>
      </c>
      <c r="CG17" s="274">
        <f>IF(CF17&lt;0.06,1,IF(CF17&gt;=18.29,52,MATCH(CF17-0.001,'Weighting Factors'!$Y$5:$Y$156)+1))</f>
        <v>38</v>
      </c>
      <c r="CH17" s="243">
        <f>VLOOKUP(CG17, 'Weighting Factors'!$W$5:$Z$56,4)</f>
        <v>830</v>
      </c>
      <c r="CI17" s="118">
        <f>('Weighting Factors'!$Q$5/'Weighting Factors'!$Q$14)</f>
        <v>1</v>
      </c>
      <c r="CJ17" s="245">
        <f t="shared" si="33"/>
        <v>157700</v>
      </c>
      <c r="CK17" s="245">
        <f>CJ17*'Weighting Factors'!$S$7</f>
        <v>157700</v>
      </c>
      <c r="CL17" s="245">
        <f t="shared" si="34"/>
        <v>157700</v>
      </c>
      <c r="CM17" s="95">
        <f>AM17/'Weighting Factors'!$Q$5</f>
        <v>37.9</v>
      </c>
      <c r="CN17" s="148">
        <v>0</v>
      </c>
      <c r="CO17" s="148">
        <v>0</v>
      </c>
      <c r="CP17" s="149">
        <v>0</v>
      </c>
      <c r="CQ17" s="151">
        <v>0</v>
      </c>
      <c r="CR17" s="99">
        <f>SUM((AV17*'Weighting Factors'!$Q$5)+'2019 Legal Max'!BA17)*CQ17</f>
        <v>0</v>
      </c>
      <c r="CS17" s="99">
        <f t="shared" si="35"/>
        <v>0</v>
      </c>
      <c r="CT17" s="106">
        <f t="shared" si="36"/>
        <v>0.39269999999999999</v>
      </c>
      <c r="CU17" s="95">
        <f t="shared" si="37"/>
        <v>0</v>
      </c>
      <c r="CV17" s="95">
        <f t="shared" si="38"/>
        <v>7.1</v>
      </c>
      <c r="CW17" s="95">
        <f t="shared" si="39"/>
        <v>1161.8</v>
      </c>
      <c r="CX17" s="99">
        <f>'LOB Transfers'!G16</f>
        <v>153560</v>
      </c>
      <c r="CY17" s="99">
        <f>'LOB Transfers'!J16</f>
        <v>0</v>
      </c>
      <c r="CZ17" s="87" t="s">
        <v>209</v>
      </c>
    </row>
    <row r="18" spans="1:104" ht="15" customHeight="1">
      <c r="A18" s="88">
        <v>115</v>
      </c>
      <c r="B18" s="87" t="s">
        <v>100</v>
      </c>
      <c r="C18" s="87" t="s">
        <v>531</v>
      </c>
      <c r="D18" s="95">
        <v>565.29999999999995</v>
      </c>
      <c r="E18" s="95">
        <v>0</v>
      </c>
      <c r="F18" s="95">
        <f t="shared" si="5"/>
        <v>565.29999999999995</v>
      </c>
      <c r="G18" s="95">
        <v>560.29999999999995</v>
      </c>
      <c r="H18" s="95">
        <v>0</v>
      </c>
      <c r="I18" s="95">
        <f t="shared" si="6"/>
        <v>560.29999999999995</v>
      </c>
      <c r="J18" s="95">
        <v>555.20000000000005</v>
      </c>
      <c r="K18" s="95">
        <v>0</v>
      </c>
      <c r="L18" s="95">
        <f t="shared" si="7"/>
        <v>555.20000000000005</v>
      </c>
      <c r="M18" s="95">
        <f>IF(ISNA(VLOOKUP($CZ18,'Audit Values'!$A$2:$BW$365,2,FALSE)),'Preliminary SO66'!C17,VLOOKUP($CZ18,'Audit Values'!$A$2:$BW$365,73,FALSE))</f>
        <v>564.4</v>
      </c>
      <c r="N18" s="95">
        <f>IF(ISNA(VLOOKUP($CZ18,'Audit Values'!$A$2:$BW$365,2,FALSE)),'Preliminary SO66'!F17,VLOOKUP($CZ18,'Audit Values'!$A$2:$BW$365,4,FALSE))</f>
        <v>0</v>
      </c>
      <c r="O18" s="95">
        <f t="shared" si="8"/>
        <v>564.4</v>
      </c>
      <c r="P18" s="95">
        <f>IF('Military Provision'!J19="YES", MAX('2019 Legal Max'!L18,'2019 Legal Max'!I18,AVERAGE('2019 Legal Max'!F18,'2019 Legal Max'!I18,'2019 Legal Max'!L18)), MAX(L18, I18))</f>
        <v>560.29999999999995</v>
      </c>
      <c r="Q18" s="95">
        <f>IF(ISNA(VLOOKUP($CZ18,'Audit Values'!$A$2:$BU$353,2,FALSE)),'Preliminary SO66'!AL17,VLOOKUP($CZ18,'Audit Values'!$A$2:$BU$3955,58,FALSE))</f>
        <v>13.5</v>
      </c>
      <c r="R18" s="95">
        <v>0</v>
      </c>
      <c r="S18" s="95">
        <f t="shared" si="9"/>
        <v>573.79999999999995</v>
      </c>
      <c r="T18" s="95">
        <f t="shared" si="10"/>
        <v>224.4</v>
      </c>
      <c r="U18" s="95">
        <f>IF(ISNA(VLOOKUP($CZ18,'Audit Values'!$A$2:$BW$317,2,FALSE)),'Preliminary SO66'!AM17,VLOOKUP($CZ18,'Audit Values'!$A$2:$BW$317,62,FALSE))</f>
        <v>0</v>
      </c>
      <c r="V18" s="95">
        <f>(U18/6)*'Weighting Factors'!$Q$7</f>
        <v>0</v>
      </c>
      <c r="W18" s="132">
        <f>IF(ISNA(VLOOKUP($CZ18,'Audit Values'!$A$2:$BW$353,2,FALSE)),'Preliminary SO66'!AN17,VLOOKUP($CZ18,'Audit Values'!$A$2:$BW$353,61,FALSE))</f>
        <v>9</v>
      </c>
      <c r="X18" s="95">
        <f>W18*'Weighting Factors'!$Q$8</f>
        <v>1.7</v>
      </c>
      <c r="Y18" s="95">
        <f t="shared" si="11"/>
        <v>1.7</v>
      </c>
      <c r="Z18" s="276">
        <f>IF(ISNA(VLOOKUP($CZ18,'Audit Values'!$A$2:$BW$317,2,FALSE)),'Preliminary SO66'!AO17,VLOOKUP($CZ18,'Audit Values'!$A$2:$BW$317,60,FALSE))</f>
        <v>253</v>
      </c>
      <c r="AA18" s="95">
        <f>Z18/6*'Weighting Factors'!$Q$6</f>
        <v>21.1</v>
      </c>
      <c r="AB18" s="99">
        <f>IF(ISNA(VLOOKUP($CZ18,'Audit Values'!$A$2:$BU$353,2,FALSE)),'Preliminary SO66'!AS17,VLOOKUP($CZ18,'Audit Values'!$A$2:$BU$353,63,FALSE))</f>
        <v>609</v>
      </c>
      <c r="AC18" s="99">
        <v>0</v>
      </c>
      <c r="AD18" s="99">
        <f>IF(ISNA(VLOOKUP($CZ18,'Audit Values'!$A$2:$BU$353,2,FALSE)),'Preliminary SO66'!AP17,VLOOKUP($CZ18,'Audit Values'!$A$2:$BU$353,64,FALSE))</f>
        <v>114</v>
      </c>
      <c r="AE18" s="95">
        <f>IF(A18=207, AD18,MAX(AC18,AD18))*'Weighting Factors'!$Q$9</f>
        <v>55.2</v>
      </c>
      <c r="AF18" s="95">
        <f t="shared" si="12"/>
        <v>0</v>
      </c>
      <c r="AG18" s="95">
        <f>IF(ISNA(VLOOKUP($CZ18,'Audit Values'!$A$2:$BW$353,2,FALSE)),'Preliminary SO66'!AG17,VLOOKUP($CZ18,'Audit Values'!$A$2:$BW$353,70,FALSE))</f>
        <v>0</v>
      </c>
      <c r="AH18" s="95">
        <f t="shared" si="13"/>
        <v>0</v>
      </c>
      <c r="AI18" s="95">
        <f>IF(ISNA(VLOOKUP($CZ18,'Audit Values'!$A$2:$BU$353,2,FALSE)),'Preliminary SO66'!AQ17,VLOOKUP($CZ18,'Audit Values'!$A$2:$BU$353,65,FALSE))</f>
        <v>0</v>
      </c>
      <c r="AJ18" s="95">
        <f>AI18*'Weighting Factors'!$Q$10</f>
        <v>0</v>
      </c>
      <c r="AK18" s="95">
        <f>IF(ISNA(VLOOKUP($CZ18,'Audit Values'!$A$2:$BU$353,2,FALSE)),'Preliminary SO66'!AR17,VLOOKUP($CZ18,'Audit Values'!$A$2:$BU$353,66,FALSE))</f>
        <v>212.6</v>
      </c>
      <c r="AL18" s="95"/>
      <c r="AM18" s="99">
        <f t="shared" si="14"/>
        <v>206222</v>
      </c>
      <c r="AN18" s="99">
        <v>225342</v>
      </c>
      <c r="AO18" s="95">
        <f>MAX(AN18, AM18)/'Weighting Factors'!$Q$5</f>
        <v>54.1</v>
      </c>
      <c r="AP18" s="95">
        <f>CN18/'Weighting Factors'!$Q$5</f>
        <v>0</v>
      </c>
      <c r="AQ18" s="95">
        <v>0</v>
      </c>
      <c r="AR18" s="95">
        <f>CS18/'Weighting Factors'!$Q$5</f>
        <v>0</v>
      </c>
      <c r="AS18" s="99">
        <v>409581</v>
      </c>
      <c r="AT18" s="95">
        <f>AS18/'Weighting Factors'!$Q$5</f>
        <v>98.3</v>
      </c>
      <c r="AU18" s="95">
        <f>IF(ISNA(VLOOKUP($CZ18,'Audit Values'!$A$2:$BU$353,2,FALSE)),'Preliminary SO66'!X17,VLOOKUP($CZ18,'Audit Values'!$A$2:$BU$353,47,FALSE))</f>
        <v>0</v>
      </c>
      <c r="AV18" s="95">
        <f t="shared" si="15"/>
        <v>1028.5999999999999</v>
      </c>
      <c r="AW18" s="95">
        <f t="shared" si="16"/>
        <v>930.3</v>
      </c>
      <c r="AX18" s="95">
        <f>IF(ISNA(VLOOKUP($CZ18,'Audit Values'!$A$2:$BU$353,2,FALSE)),'Preliminary SO66'!AA17,VLOOKUP($CZ18,'Audit Values'!$A$2:$BU$353,41,FALSE))</f>
        <v>0</v>
      </c>
      <c r="AY18" s="95">
        <f>IF(ISNA(VLOOKUP($CZ18,'Audit Values'!$A$2:$BU$353,2,FALSE)),'Preliminary SO66'!AB17,VLOOKUP($CZ18,'Audit Values'!$A$2:$BU$353,42,FALSE))</f>
        <v>0</v>
      </c>
      <c r="AZ18" s="114">
        <v>0</v>
      </c>
      <c r="BA18" s="99">
        <f>SUM(AX18*'Weighting Factors'!$T$10)+('2019 Legal Max'!AY18*'Weighting Factors'!$T$11)+('2019 Legal Max'!AZ18*'Weighting Factors'!$T$12)</f>
        <v>0</v>
      </c>
      <c r="BB18" s="158">
        <v>0</v>
      </c>
      <c r="BC18" s="88">
        <f>IF(ISNA(VLOOKUP($CZ18,'Audit Values'!$A$2:$BU$353,2,FALSE)),"",IF(AND('Weighting Factors'!H18&gt;0,VLOOKUP($CZ18,'Audit Values'!$A$2:$BU$353,51,FALSE)&lt;'Weighting Factors'!H18),'Weighting Factors'!H18,VLOOKUP($CZ18,'Audit Values'!$A$2:$BU$353,50,FALSE)))</f>
        <v>1</v>
      </c>
      <c r="BD18" s="88" t="str">
        <f>IF(ISNA(VLOOKUP($CZ18,'Audit Values'!$A$2:$BV$353,2,FALSE)),"",VLOOKUP($CZ18,'Audit Values'!$A$2:$BV$353,51,FALSE))</f>
        <v>A</v>
      </c>
      <c r="BE18" s="88" t="str">
        <f>IF('Weighting Factors'!H18="","",IF('Weighting Factors'!J18="Pending","PX","R"))</f>
        <v/>
      </c>
      <c r="BF18" s="97">
        <f>SUM((S18+T18+Y18+AA18+AE18+AH18+AJ18++AO18+AP18+AQ18+AU18+AR18)*'Weighting Factors'!$Q$5)+'2019 Legal Max'!BA18+'2019 Legal Max'!BB18</f>
        <v>3874700</v>
      </c>
      <c r="BG18" s="99">
        <f>SUM((AV18+AR18)*'Weighting Factors'!$Q$5)+BA18+'2019 Legal Max'!BB18</f>
        <v>4284119</v>
      </c>
      <c r="BH18" s="108">
        <f>IF('Weighting Factors'!H18&gt;0,'Weighting Factors'!H18,'Preliminary SO66'!AV17)</f>
        <v>4365753</v>
      </c>
      <c r="BI18" s="99">
        <f t="shared" si="40"/>
        <v>4284119</v>
      </c>
      <c r="BJ18" s="112"/>
      <c r="BK18" s="112">
        <f>'Weighting Factors'!F18</f>
        <v>0</v>
      </c>
      <c r="BL18" s="112">
        <f>'Weighting Factors'!E18</f>
        <v>0</v>
      </c>
      <c r="BM18" s="99">
        <f t="shared" si="17"/>
        <v>0</v>
      </c>
      <c r="BN18" s="99">
        <f t="shared" si="18"/>
        <v>4284119</v>
      </c>
      <c r="BO18" s="99">
        <f>SUM((S18+T18+Y18+AA18+AE18+AH18+AJ18++AO18+AP18+AQ18+AR18)*'Weighting Factors'!Q$12)+(MAX(AS18,'Weighting Factors'!B18))</f>
        <v>4754280</v>
      </c>
      <c r="BP18" s="122">
        <v>0.3</v>
      </c>
      <c r="BQ18" s="99">
        <f t="shared" si="19"/>
        <v>1426284</v>
      </c>
      <c r="BR18" s="108">
        <v>1411332</v>
      </c>
      <c r="BS18" s="99">
        <f t="shared" si="20"/>
        <v>1411332</v>
      </c>
      <c r="BT18" s="167">
        <f t="shared" si="21"/>
        <v>0.2969</v>
      </c>
      <c r="BU18" s="95">
        <f t="shared" si="22"/>
        <v>0</v>
      </c>
      <c r="BV18" s="87" t="b">
        <f t="shared" si="23"/>
        <v>0</v>
      </c>
      <c r="BW18" s="117">
        <f t="shared" si="24"/>
        <v>0</v>
      </c>
      <c r="BX18" s="116">
        <f t="shared" si="25"/>
        <v>0</v>
      </c>
      <c r="BY18" s="95">
        <f t="shared" si="26"/>
        <v>0</v>
      </c>
      <c r="BZ18" s="87" t="b">
        <f t="shared" si="27"/>
        <v>1</v>
      </c>
      <c r="CA18" s="87">
        <f t="shared" si="28"/>
        <v>338.82749999999999</v>
      </c>
      <c r="CB18" s="116">
        <f t="shared" si="29"/>
        <v>0.39116299999999998</v>
      </c>
      <c r="CC18" s="95">
        <f t="shared" si="30"/>
        <v>224.4</v>
      </c>
      <c r="CD18" s="95">
        <f t="shared" si="31"/>
        <v>0</v>
      </c>
      <c r="CE18" s="98">
        <v>222</v>
      </c>
      <c r="CF18" s="250">
        <f t="shared" si="32"/>
        <v>0.95799999999999996</v>
      </c>
      <c r="CG18" s="274">
        <f>IF(CF18&lt;0.06,1,IF(CF18&gt;=18.29,52,MATCH(CF18-0.001,'Weighting Factors'!$Y$5:$Y$156)+1))</f>
        <v>31</v>
      </c>
      <c r="CH18" s="243">
        <f>VLOOKUP(CG18, 'Weighting Factors'!$W$5:$Z$56,4)</f>
        <v>970</v>
      </c>
      <c r="CI18" s="118">
        <f>('Weighting Factors'!$Q$5/'Weighting Factors'!$Q$14)</f>
        <v>1</v>
      </c>
      <c r="CJ18" s="245">
        <f t="shared" si="33"/>
        <v>206222</v>
      </c>
      <c r="CK18" s="245">
        <f>CJ18*'Weighting Factors'!$S$7</f>
        <v>206222</v>
      </c>
      <c r="CL18" s="245">
        <f t="shared" si="34"/>
        <v>206222</v>
      </c>
      <c r="CM18" s="95">
        <f>AM18/'Weighting Factors'!$Q$5</f>
        <v>49.5</v>
      </c>
      <c r="CN18" s="148">
        <v>0</v>
      </c>
      <c r="CO18" s="148">
        <v>0</v>
      </c>
      <c r="CP18" s="149">
        <v>0</v>
      </c>
      <c r="CQ18" s="151">
        <v>0</v>
      </c>
      <c r="CR18" s="99">
        <f>SUM((AV18*'Weighting Factors'!$Q$5)+'2019 Legal Max'!BA18)*CQ18</f>
        <v>0</v>
      </c>
      <c r="CS18" s="99">
        <f t="shared" si="35"/>
        <v>0</v>
      </c>
      <c r="CT18" s="106">
        <f t="shared" si="36"/>
        <v>0.18720000000000001</v>
      </c>
      <c r="CU18" s="95">
        <f t="shared" si="37"/>
        <v>0</v>
      </c>
      <c r="CV18" s="95">
        <f t="shared" si="38"/>
        <v>0</v>
      </c>
      <c r="CW18" s="95">
        <f t="shared" si="39"/>
        <v>1028.5999999999999</v>
      </c>
      <c r="CX18" s="99">
        <f>'LOB Transfers'!G17</f>
        <v>76776</v>
      </c>
      <c r="CY18" s="99">
        <f>'LOB Transfers'!J17</f>
        <v>2399</v>
      </c>
      <c r="CZ18" s="87" t="s">
        <v>210</v>
      </c>
    </row>
    <row r="19" spans="1:104" ht="15" customHeight="1">
      <c r="A19" s="88">
        <v>200</v>
      </c>
      <c r="B19" s="87" t="s">
        <v>8</v>
      </c>
      <c r="C19" s="87" t="s">
        <v>532</v>
      </c>
      <c r="D19" s="95">
        <v>241.5</v>
      </c>
      <c r="E19" s="95">
        <v>0</v>
      </c>
      <c r="F19" s="95">
        <f t="shared" si="5"/>
        <v>241.5</v>
      </c>
      <c r="G19" s="95">
        <v>243.3</v>
      </c>
      <c r="H19" s="95">
        <v>0</v>
      </c>
      <c r="I19" s="95">
        <f t="shared" si="6"/>
        <v>243.3</v>
      </c>
      <c r="J19" s="95">
        <v>253.1</v>
      </c>
      <c r="K19" s="95">
        <v>0</v>
      </c>
      <c r="L19" s="95">
        <f t="shared" si="7"/>
        <v>253.1</v>
      </c>
      <c r="M19" s="95">
        <f>IF(ISNA(VLOOKUP($CZ19,'Audit Values'!$A$2:$BW$365,2,FALSE)),'Preliminary SO66'!C18,VLOOKUP($CZ19,'Audit Values'!$A$2:$BW$365,73,FALSE))</f>
        <v>250</v>
      </c>
      <c r="N19" s="95">
        <f>IF(ISNA(VLOOKUP($CZ19,'Audit Values'!$A$2:$BW$365,2,FALSE)),'Preliminary SO66'!F18,VLOOKUP($CZ19,'Audit Values'!$A$2:$BW$365,4,FALSE))</f>
        <v>0</v>
      </c>
      <c r="O19" s="95">
        <f t="shared" si="8"/>
        <v>250</v>
      </c>
      <c r="P19" s="95">
        <f>IF('Military Provision'!J20="YES", MAX('2019 Legal Max'!L19,'2019 Legal Max'!I19,AVERAGE('2019 Legal Max'!F19,'2019 Legal Max'!I19,'2019 Legal Max'!L19)), MAX(L19, I19))</f>
        <v>253.1</v>
      </c>
      <c r="Q19" s="95">
        <f>IF(ISNA(VLOOKUP($CZ19,'Audit Values'!$A$2:$BU$353,2,FALSE)),'Preliminary SO66'!AL18,VLOOKUP($CZ19,'Audit Values'!$A$2:$BU$3955,58,FALSE))</f>
        <v>3</v>
      </c>
      <c r="R19" s="95">
        <v>0</v>
      </c>
      <c r="S19" s="95">
        <f t="shared" si="9"/>
        <v>256.10000000000002</v>
      </c>
      <c r="T19" s="95">
        <f t="shared" si="10"/>
        <v>153.80000000000001</v>
      </c>
      <c r="U19" s="95">
        <f>IF(ISNA(VLOOKUP($CZ19,'Audit Values'!$A$2:$BW$317,2,FALSE)),'Preliminary SO66'!AM18,VLOOKUP($CZ19,'Audit Values'!$A$2:$BW$317,62,FALSE))</f>
        <v>130.9</v>
      </c>
      <c r="V19" s="95">
        <f>(U19/6)*'Weighting Factors'!$Q$7</f>
        <v>8.6</v>
      </c>
      <c r="W19" s="132">
        <f>IF(ISNA(VLOOKUP($CZ19,'Audit Values'!$A$2:$BW$353,2,FALSE)),'Preliminary SO66'!AN18,VLOOKUP($CZ19,'Audit Values'!$A$2:$BW$353,61,FALSE))</f>
        <v>62</v>
      </c>
      <c r="X19" s="95">
        <f>W19*'Weighting Factors'!$Q$8</f>
        <v>11.5</v>
      </c>
      <c r="Y19" s="95">
        <f t="shared" si="11"/>
        <v>11.5</v>
      </c>
      <c r="Z19" s="276">
        <f>IF(ISNA(VLOOKUP($CZ19,'Audit Values'!$A$2:$BW$317,2,FALSE)),'Preliminary SO66'!AO18,VLOOKUP($CZ19,'Audit Values'!$A$2:$BW$317,60,FALSE))</f>
        <v>32.799999999999997</v>
      </c>
      <c r="AA19" s="95">
        <f>Z19/6*'Weighting Factors'!$Q$6</f>
        <v>2.7</v>
      </c>
      <c r="AB19" s="99">
        <f>IF(ISNA(VLOOKUP($CZ19,'Audit Values'!$A$2:$BU$353,2,FALSE)),'Preliminary SO66'!AS18,VLOOKUP($CZ19,'Audit Values'!$A$2:$BU$353,63,FALSE))</f>
        <v>257</v>
      </c>
      <c r="AC19" s="99">
        <v>0</v>
      </c>
      <c r="AD19" s="99">
        <f>IF(ISNA(VLOOKUP($CZ19,'Audit Values'!$A$2:$BU$353,2,FALSE)),'Preliminary SO66'!AP18,VLOOKUP($CZ19,'Audit Values'!$A$2:$BU$353,64,FALSE))</f>
        <v>101</v>
      </c>
      <c r="AE19" s="95">
        <f>IF(A19=207, AD19,MAX(AC19,AD19))*'Weighting Factors'!$Q$9</f>
        <v>48.9</v>
      </c>
      <c r="AF19" s="95">
        <f t="shared" si="12"/>
        <v>3</v>
      </c>
      <c r="AG19" s="95">
        <f>IF(ISNA(VLOOKUP($CZ19,'Audit Values'!$A$2:$BW$353,2,FALSE)),'Preliminary SO66'!AG18,VLOOKUP($CZ19,'Audit Values'!$A$2:$BW$353,70,FALSE))</f>
        <v>3</v>
      </c>
      <c r="AH19" s="95">
        <f t="shared" si="13"/>
        <v>3</v>
      </c>
      <c r="AI19" s="95">
        <f>IF(ISNA(VLOOKUP($CZ19,'Audit Values'!$A$2:$BU$353,2,FALSE)),'Preliminary SO66'!AQ18,VLOOKUP($CZ19,'Audit Values'!$A$2:$BU$353,65,FALSE))</f>
        <v>0</v>
      </c>
      <c r="AJ19" s="95">
        <f>AI19*'Weighting Factors'!$Q$10</f>
        <v>0</v>
      </c>
      <c r="AK19" s="95">
        <f>IF(ISNA(VLOOKUP($CZ19,'Audit Values'!$A$2:$BU$353,2,FALSE)),'Preliminary SO66'!AR18,VLOOKUP($CZ19,'Audit Values'!$A$2:$BU$353,66,FALSE))</f>
        <v>71</v>
      </c>
      <c r="AL19" s="95"/>
      <c r="AM19" s="99">
        <f t="shared" si="14"/>
        <v>105080</v>
      </c>
      <c r="AN19" s="99">
        <v>124420</v>
      </c>
      <c r="AO19" s="95">
        <f>MAX(AN19, AM19)/'Weighting Factors'!$Q$5</f>
        <v>29.9</v>
      </c>
      <c r="AP19" s="95">
        <f>CN19/'Weighting Factors'!$Q$5</f>
        <v>0</v>
      </c>
      <c r="AQ19" s="95">
        <v>0</v>
      </c>
      <c r="AR19" s="95">
        <f>CS19/'Weighting Factors'!$Q$5</f>
        <v>0</v>
      </c>
      <c r="AS19" s="99">
        <v>159978</v>
      </c>
      <c r="AT19" s="95">
        <f>AS19/'Weighting Factors'!$Q$5</f>
        <v>38.4</v>
      </c>
      <c r="AU19" s="95">
        <f>IF(ISNA(VLOOKUP($CZ19,'Audit Values'!$A$2:$BU$353,2,FALSE)),'Preliminary SO66'!X18,VLOOKUP($CZ19,'Audit Values'!$A$2:$BU$353,47,FALSE))</f>
        <v>0</v>
      </c>
      <c r="AV19" s="95">
        <f t="shared" si="15"/>
        <v>544.29999999999995</v>
      </c>
      <c r="AW19" s="95">
        <f t="shared" si="16"/>
        <v>505.9</v>
      </c>
      <c r="AX19" s="95">
        <f>IF(ISNA(VLOOKUP($CZ19,'Audit Values'!$A$2:$BU$353,2,FALSE)),'Preliminary SO66'!AA18,VLOOKUP($CZ19,'Audit Values'!$A$2:$BU$353,41,FALSE))</f>
        <v>0</v>
      </c>
      <c r="AY19" s="95">
        <f>IF(ISNA(VLOOKUP($CZ19,'Audit Values'!$A$2:$BU$353,2,FALSE)),'Preliminary SO66'!AB18,VLOOKUP($CZ19,'Audit Values'!$A$2:$BU$353,42,FALSE))</f>
        <v>0</v>
      </c>
      <c r="AZ19" s="114">
        <v>0</v>
      </c>
      <c r="BA19" s="99">
        <f>SUM(AX19*'Weighting Factors'!$T$10)+('2019 Legal Max'!AY19*'Weighting Factors'!$T$11)+('2019 Legal Max'!AZ19*'Weighting Factors'!$T$12)</f>
        <v>0</v>
      </c>
      <c r="BB19" s="158">
        <v>0</v>
      </c>
      <c r="BC19" s="88">
        <f>IF(ISNA(VLOOKUP($CZ19,'Audit Values'!$A$2:$BU$353,2,FALSE)),"",IF(AND('Weighting Factors'!H19&gt;0,VLOOKUP($CZ19,'Audit Values'!$A$2:$BU$353,51,FALSE)&lt;'Weighting Factors'!H19),'Weighting Factors'!H19,VLOOKUP($CZ19,'Audit Values'!$A$2:$BU$353,50,FALSE)))</f>
        <v>15</v>
      </c>
      <c r="BD19" s="88" t="str">
        <f>IF(ISNA(VLOOKUP($CZ19,'Audit Values'!$A$2:$BV$353,2,FALSE)),"",VLOOKUP($CZ19,'Audit Values'!$A$2:$BV$353,51,FALSE))</f>
        <v>A</v>
      </c>
      <c r="BE19" s="88" t="str">
        <f>IF('Weighting Factors'!H19="","",IF('Weighting Factors'!J19="Pending","PX","R"))</f>
        <v/>
      </c>
      <c r="BF19" s="97">
        <f>SUM((S19+T19+Y19+AA19+AE19+AH19+AJ19++AO19+AP19+AQ19+AU19+AR19)*'Weighting Factors'!$Q$5)+'2019 Legal Max'!BA19+'2019 Legal Max'!BB19</f>
        <v>2107074</v>
      </c>
      <c r="BG19" s="99">
        <f>SUM((AV19+AR19)*'Weighting Factors'!$Q$5)+BA19+'2019 Legal Max'!BB19</f>
        <v>2267010</v>
      </c>
      <c r="BH19" s="108">
        <f>IF('Weighting Factors'!H19&gt;0,'Weighting Factors'!H19,'Preliminary SO66'!AV18)</f>
        <v>2321988</v>
      </c>
      <c r="BI19" s="99">
        <f t="shared" si="40"/>
        <v>2267010</v>
      </c>
      <c r="BJ19" s="112"/>
      <c r="BK19" s="112">
        <f>'Weighting Factors'!F19</f>
        <v>0</v>
      </c>
      <c r="BL19" s="112">
        <f>'Weighting Factors'!E19</f>
        <v>0</v>
      </c>
      <c r="BM19" s="99">
        <f t="shared" si="17"/>
        <v>0</v>
      </c>
      <c r="BN19" s="99">
        <f t="shared" si="18"/>
        <v>2267010</v>
      </c>
      <c r="BO19" s="99">
        <f>SUM((S19+T19+Y19+AA19+AE19+AH19+AJ19++AO19+AP19+AQ19+AR19)*'Weighting Factors'!Q$12)+(MAX(AS19,'Weighting Factors'!B19))</f>
        <v>2437342</v>
      </c>
      <c r="BP19" s="122">
        <v>0.3</v>
      </c>
      <c r="BQ19" s="99">
        <f t="shared" si="19"/>
        <v>731203</v>
      </c>
      <c r="BR19" s="108">
        <v>746701</v>
      </c>
      <c r="BS19" s="99">
        <f t="shared" si="20"/>
        <v>731203</v>
      </c>
      <c r="BT19" s="167">
        <f t="shared" si="21"/>
        <v>0.3</v>
      </c>
      <c r="BU19" s="95">
        <f t="shared" si="22"/>
        <v>0</v>
      </c>
      <c r="BV19" s="87" t="b">
        <f t="shared" si="23"/>
        <v>1</v>
      </c>
      <c r="BW19" s="117">
        <f t="shared" si="24"/>
        <v>1507.146</v>
      </c>
      <c r="BX19" s="116">
        <f t="shared" si="25"/>
        <v>0.600553</v>
      </c>
      <c r="BY19" s="95">
        <f t="shared" si="26"/>
        <v>153.80000000000001</v>
      </c>
      <c r="BZ19" s="87" t="b">
        <f t="shared" si="27"/>
        <v>0</v>
      </c>
      <c r="CA19" s="87">
        <f t="shared" si="28"/>
        <v>0</v>
      </c>
      <c r="CB19" s="116">
        <f t="shared" si="29"/>
        <v>0</v>
      </c>
      <c r="CC19" s="95">
        <f t="shared" si="30"/>
        <v>0</v>
      </c>
      <c r="CD19" s="95">
        <f t="shared" si="31"/>
        <v>0</v>
      </c>
      <c r="CE19" s="98">
        <v>780</v>
      </c>
      <c r="CF19" s="250">
        <f t="shared" si="32"/>
        <v>9.0999999999999998E-2</v>
      </c>
      <c r="CG19" s="274">
        <f>IF(CF19&lt;0.06,1,IF(CF19&gt;=18.29,52,MATCH(CF19-0.001,'Weighting Factors'!$Y$5:$Y$156)+1))</f>
        <v>5</v>
      </c>
      <c r="CH19" s="243">
        <f>VLOOKUP(CG19, 'Weighting Factors'!$W$5:$Z$56,4)</f>
        <v>1480</v>
      </c>
      <c r="CI19" s="118">
        <f>('Weighting Factors'!$Q$5/'Weighting Factors'!$Q$14)</f>
        <v>1</v>
      </c>
      <c r="CJ19" s="245">
        <f t="shared" si="33"/>
        <v>105080</v>
      </c>
      <c r="CK19" s="245">
        <f>CJ19*'Weighting Factors'!$S$7</f>
        <v>105080</v>
      </c>
      <c r="CL19" s="245">
        <f t="shared" si="34"/>
        <v>105080</v>
      </c>
      <c r="CM19" s="95">
        <f>AM19/'Weighting Factors'!$Q$5</f>
        <v>25.2</v>
      </c>
      <c r="CN19" s="148">
        <v>0</v>
      </c>
      <c r="CO19" s="148">
        <v>0</v>
      </c>
      <c r="CP19" s="149">
        <v>0</v>
      </c>
      <c r="CQ19" s="151">
        <v>0</v>
      </c>
      <c r="CR19" s="99">
        <f>SUM((AV19*'Weighting Factors'!$Q$5)+'2019 Legal Max'!BA19)*CQ19</f>
        <v>0</v>
      </c>
      <c r="CS19" s="99">
        <f t="shared" si="35"/>
        <v>0</v>
      </c>
      <c r="CT19" s="106">
        <f t="shared" si="36"/>
        <v>0.39300000000000002</v>
      </c>
      <c r="CU19" s="95">
        <f t="shared" si="37"/>
        <v>0</v>
      </c>
      <c r="CV19" s="95">
        <f t="shared" si="38"/>
        <v>3</v>
      </c>
      <c r="CW19" s="95">
        <f t="shared" si="39"/>
        <v>544.29999999999995</v>
      </c>
      <c r="CX19" s="99">
        <f>'LOB Transfers'!G18</f>
        <v>66028</v>
      </c>
      <c r="CY19" s="99">
        <f>'LOB Transfers'!J18</f>
        <v>15502</v>
      </c>
      <c r="CZ19" s="87" t="s">
        <v>211</v>
      </c>
    </row>
    <row r="20" spans="1:104" ht="15" customHeight="1">
      <c r="A20" s="88">
        <v>202</v>
      </c>
      <c r="B20" s="87" t="s">
        <v>9</v>
      </c>
      <c r="C20" s="87" t="s">
        <v>533</v>
      </c>
      <c r="D20" s="95">
        <v>3871.2</v>
      </c>
      <c r="E20" s="95">
        <v>0</v>
      </c>
      <c r="F20" s="95">
        <f t="shared" si="5"/>
        <v>3871.2</v>
      </c>
      <c r="G20" s="95">
        <v>3906.9</v>
      </c>
      <c r="H20" s="95">
        <v>0</v>
      </c>
      <c r="I20" s="95">
        <f t="shared" si="6"/>
        <v>3906.9</v>
      </c>
      <c r="J20" s="95">
        <v>3956</v>
      </c>
      <c r="K20" s="95">
        <v>0</v>
      </c>
      <c r="L20" s="95">
        <f t="shared" si="7"/>
        <v>3956</v>
      </c>
      <c r="M20" s="95">
        <f>IF(ISNA(VLOOKUP($CZ20,'Audit Values'!$A$2:$BW$365,2,FALSE)),'Preliminary SO66'!C19,VLOOKUP($CZ20,'Audit Values'!$A$2:$BW$365,73,FALSE))</f>
        <v>3899.5</v>
      </c>
      <c r="N20" s="95">
        <f>IF(ISNA(VLOOKUP($CZ20,'Audit Values'!$A$2:$BW$365,2,FALSE)),'Preliminary SO66'!F19,VLOOKUP($CZ20,'Audit Values'!$A$2:$BW$365,4,FALSE))</f>
        <v>0</v>
      </c>
      <c r="O20" s="95">
        <f t="shared" si="8"/>
        <v>3899.5</v>
      </c>
      <c r="P20" s="95">
        <f>IF('Military Provision'!J21="YES", MAX('2019 Legal Max'!L20,'2019 Legal Max'!I20,AVERAGE('2019 Legal Max'!F20,'2019 Legal Max'!I20,'2019 Legal Max'!L20)), MAX(L20, I20))</f>
        <v>3956</v>
      </c>
      <c r="Q20" s="95">
        <f>IF(ISNA(VLOOKUP($CZ20,'Audit Values'!$A$2:$BU$353,2,FALSE)),'Preliminary SO66'!AL19,VLOOKUP($CZ20,'Audit Values'!$A$2:$BU$3955,58,FALSE))</f>
        <v>71.5</v>
      </c>
      <c r="R20" s="95">
        <v>0</v>
      </c>
      <c r="S20" s="95">
        <f t="shared" ref="S20:S51" si="41">P20+Q20</f>
        <v>4027.5</v>
      </c>
      <c r="T20" s="95">
        <f t="shared" si="10"/>
        <v>141.1</v>
      </c>
      <c r="U20" s="95">
        <f>IF(ISNA(VLOOKUP($CZ20,'Audit Values'!$A$2:$BW$317,2,FALSE)),'Preliminary SO66'!AM19,VLOOKUP($CZ20,'Audit Values'!$A$2:$BW$317,62,FALSE))</f>
        <v>1621.3</v>
      </c>
      <c r="V20" s="95">
        <f>(U20/6)*'Weighting Factors'!$Q$7</f>
        <v>106.7</v>
      </c>
      <c r="W20" s="132">
        <f>IF(ISNA(VLOOKUP($CZ20,'Audit Values'!$A$2:$BW$353,2,FALSE)),'Preliminary SO66'!AN19,VLOOKUP($CZ20,'Audit Values'!$A$2:$BW$353,61,FALSE))</f>
        <v>823</v>
      </c>
      <c r="X20" s="95">
        <f>W20*'Weighting Factors'!$Q$8</f>
        <v>152.30000000000001</v>
      </c>
      <c r="Y20" s="95">
        <f t="shared" si="11"/>
        <v>152.30000000000001</v>
      </c>
      <c r="Z20" s="276">
        <f>IF(ISNA(VLOOKUP($CZ20,'Audit Values'!$A$2:$BW$317,2,FALSE)),'Preliminary SO66'!AO19,VLOOKUP($CZ20,'Audit Values'!$A$2:$BW$317,60,FALSE))</f>
        <v>938.3</v>
      </c>
      <c r="AA20" s="95">
        <f>Z20/6*'Weighting Factors'!$Q$6</f>
        <v>78.2</v>
      </c>
      <c r="AB20" s="99">
        <f>IF(ISNA(VLOOKUP($CZ20,'Audit Values'!$A$2:$BU$353,2,FALSE)),'Preliminary SO66'!AS19,VLOOKUP($CZ20,'Audit Values'!$A$2:$BU$353,63,FALSE))</f>
        <v>4059</v>
      </c>
      <c r="AC20" s="99">
        <v>0</v>
      </c>
      <c r="AD20" s="99">
        <f>IF(ISNA(VLOOKUP($CZ20,'Audit Values'!$A$2:$BU$353,2,FALSE)),'Preliminary SO66'!AP19,VLOOKUP($CZ20,'Audit Values'!$A$2:$BU$353,64,FALSE))</f>
        <v>2509</v>
      </c>
      <c r="AE20" s="95">
        <f>IF(A20=207, AD20,MAX(AC20,AD20))*'Weighting Factors'!$Q$9</f>
        <v>1214.4000000000001</v>
      </c>
      <c r="AF20" s="95">
        <f t="shared" si="12"/>
        <v>263.39999999999998</v>
      </c>
      <c r="AG20" s="95">
        <f>IF(ISNA(VLOOKUP($CZ20,'Audit Values'!$A$2:$BW$353,2,FALSE)),'Preliminary SO66'!AG19,VLOOKUP($CZ20,'Audit Values'!$A$2:$BW$353,70,FALSE))</f>
        <v>263.3</v>
      </c>
      <c r="AH20" s="95">
        <f t="shared" si="13"/>
        <v>263.39999999999998</v>
      </c>
      <c r="AI20" s="95">
        <f>IF(ISNA(VLOOKUP($CZ20,'Audit Values'!$A$2:$BU$353,2,FALSE)),'Preliminary SO66'!AQ19,VLOOKUP($CZ20,'Audit Values'!$A$2:$BU$353,65,FALSE))</f>
        <v>0</v>
      </c>
      <c r="AJ20" s="95">
        <f>AI20*'Weighting Factors'!$Q$10</f>
        <v>0</v>
      </c>
      <c r="AK20" s="95">
        <f>IF(ISNA(VLOOKUP($CZ20,'Audit Values'!$A$2:$BU$353,2,FALSE)),'Preliminary SO66'!AR19,VLOOKUP($CZ20,'Audit Values'!$A$2:$BU$353,66,FALSE))</f>
        <v>1200</v>
      </c>
      <c r="AL20" s="95"/>
      <c r="AM20" s="99">
        <f t="shared" si="14"/>
        <v>660000</v>
      </c>
      <c r="AN20" s="99">
        <v>671789</v>
      </c>
      <c r="AO20" s="95">
        <f>MAX(AN20, AM20)/'Weighting Factors'!$Q$5</f>
        <v>161.30000000000001</v>
      </c>
      <c r="AP20" s="95">
        <f>CN20/'Weighting Factors'!$Q$5</f>
        <v>0</v>
      </c>
      <c r="AQ20" s="95">
        <v>0</v>
      </c>
      <c r="AR20" s="95">
        <f>CS20/'Weighting Factors'!$Q$5</f>
        <v>0</v>
      </c>
      <c r="AS20" s="99">
        <v>3165945</v>
      </c>
      <c r="AT20" s="95">
        <f>AS20/'Weighting Factors'!$Q$5</f>
        <v>760.1</v>
      </c>
      <c r="AU20" s="95">
        <f>IF(ISNA(VLOOKUP($CZ20,'Audit Values'!$A$2:$BU$353,2,FALSE)),'Preliminary SO66'!X19,VLOOKUP($CZ20,'Audit Values'!$A$2:$BU$353,47,FALSE))</f>
        <v>2</v>
      </c>
      <c r="AV20" s="95">
        <f t="shared" si="15"/>
        <v>6800.3</v>
      </c>
      <c r="AW20" s="95">
        <f t="shared" si="16"/>
        <v>6040.2</v>
      </c>
      <c r="AX20" s="95">
        <f>IF(ISNA(VLOOKUP($CZ20,'Audit Values'!$A$2:$BU$353,2,FALSE)),'Preliminary SO66'!AA19,VLOOKUP($CZ20,'Audit Values'!$A$2:$BU$353,41,FALSE))</f>
        <v>8</v>
      </c>
      <c r="AY20" s="95">
        <f>IF(ISNA(VLOOKUP($CZ20,'Audit Values'!$A$2:$BU$353,2,FALSE)),'Preliminary SO66'!AB19,VLOOKUP($CZ20,'Audit Values'!$A$2:$BU$353,42,FALSE))</f>
        <v>0</v>
      </c>
      <c r="AZ20" s="114">
        <v>99</v>
      </c>
      <c r="BA20" s="99">
        <f>SUM(AX20*'Weighting Factors'!$T$10)+('2019 Legal Max'!AY20*'Weighting Factors'!$T$11)+('2019 Legal Max'!AZ20*'Weighting Factors'!$T$12)</f>
        <v>110191</v>
      </c>
      <c r="BB20" s="158">
        <v>0</v>
      </c>
      <c r="BC20" s="88">
        <f>IF(ISNA(VLOOKUP($CZ20,'Audit Values'!$A$2:$BU$353,2,FALSE)),"",IF(AND('Weighting Factors'!H20&gt;0,VLOOKUP($CZ20,'Audit Values'!$A$2:$BU$353,51,FALSE)&lt;'Weighting Factors'!H20),'Weighting Factors'!H20,VLOOKUP($CZ20,'Audit Values'!$A$2:$BU$353,50,FALSE)))</f>
        <v>15</v>
      </c>
      <c r="BD20" s="88" t="str">
        <f>IF(ISNA(VLOOKUP($CZ20,'Audit Values'!$A$2:$BV$353,2,FALSE)),"",VLOOKUP($CZ20,'Audit Values'!$A$2:$BV$353,51,FALSE))</f>
        <v>A</v>
      </c>
      <c r="BE20" s="88" t="str">
        <f>IF('Weighting Factors'!H20="","",IF('Weighting Factors'!J20="Pending","PX","R"))</f>
        <v/>
      </c>
      <c r="BF20" s="97">
        <f>SUM((S20+T20+Y20+AA20+AE20+AH20+AJ20++AO20+AP20+AQ20+AU20+AR20)*'Weighting Factors'!$Q$5)+'2019 Legal Max'!BA20+'2019 Legal Max'!BB20</f>
        <v>25267624</v>
      </c>
      <c r="BG20" s="99">
        <f>SUM((AV20+AR20)*'Weighting Factors'!$Q$5)+BA20+'2019 Legal Max'!BB20</f>
        <v>28433441</v>
      </c>
      <c r="BH20" s="108">
        <f>IF('Weighting Factors'!H20&gt;0,'Weighting Factors'!H20,'Preliminary SO66'!AV19)</f>
        <v>29168939</v>
      </c>
      <c r="BI20" s="99">
        <f t="shared" si="40"/>
        <v>28433441</v>
      </c>
      <c r="BJ20" s="112"/>
      <c r="BK20" s="112">
        <f>'Weighting Factors'!F20</f>
        <v>0</v>
      </c>
      <c r="BL20" s="112">
        <f>'Weighting Factors'!E20</f>
        <v>-3545</v>
      </c>
      <c r="BM20" s="99">
        <f t="shared" si="17"/>
        <v>-3545</v>
      </c>
      <c r="BN20" s="99">
        <f t="shared" si="18"/>
        <v>28429896</v>
      </c>
      <c r="BO20" s="99">
        <f>SUM((S20+T20+Y20+AA20+AE20+AH20+AJ20++AO20+AP20+AQ20+AR20)*'Weighting Factors'!Q$12)+(MAX(AS20,'Weighting Factors'!B20))</f>
        <v>30345520</v>
      </c>
      <c r="BP20" s="122">
        <v>0.3</v>
      </c>
      <c r="BQ20" s="99">
        <f t="shared" si="19"/>
        <v>9103656</v>
      </c>
      <c r="BR20" s="108">
        <v>9301822</v>
      </c>
      <c r="BS20" s="99">
        <f t="shared" si="20"/>
        <v>9103656</v>
      </c>
      <c r="BT20" s="167">
        <f t="shared" si="21"/>
        <v>0.3</v>
      </c>
      <c r="BU20" s="95">
        <f t="shared" si="22"/>
        <v>0</v>
      </c>
      <c r="BV20" s="87" t="b">
        <f t="shared" si="23"/>
        <v>0</v>
      </c>
      <c r="BW20" s="117">
        <f t="shared" si="24"/>
        <v>0</v>
      </c>
      <c r="BX20" s="116">
        <f t="shared" si="25"/>
        <v>0</v>
      </c>
      <c r="BY20" s="95">
        <f t="shared" si="26"/>
        <v>0</v>
      </c>
      <c r="BZ20" s="87" t="b">
        <f t="shared" si="27"/>
        <v>0</v>
      </c>
      <c r="CA20" s="87">
        <f t="shared" si="28"/>
        <v>0</v>
      </c>
      <c r="CB20" s="116">
        <f t="shared" si="29"/>
        <v>0</v>
      </c>
      <c r="CC20" s="95">
        <f t="shared" si="30"/>
        <v>0</v>
      </c>
      <c r="CD20" s="95">
        <f t="shared" si="31"/>
        <v>141.1</v>
      </c>
      <c r="CE20" s="98">
        <v>17</v>
      </c>
      <c r="CF20" s="250">
        <f t="shared" si="32"/>
        <v>70.587999999999994</v>
      </c>
      <c r="CG20" s="274">
        <f>IF(CF20&lt;0.06,1,IF(CF20&gt;=18.29,52,MATCH(CF20-0.001,'Weighting Factors'!$Y$5:$Y$156)+1))</f>
        <v>52</v>
      </c>
      <c r="CH20" s="243">
        <f>VLOOKUP(CG20, 'Weighting Factors'!$W$5:$Z$56,4)</f>
        <v>550</v>
      </c>
      <c r="CI20" s="118">
        <f>('Weighting Factors'!$Q$5/'Weighting Factors'!$Q$14)</f>
        <v>1</v>
      </c>
      <c r="CJ20" s="245">
        <f t="shared" si="33"/>
        <v>660000</v>
      </c>
      <c r="CK20" s="245">
        <f>CJ20*'Weighting Factors'!$S$7</f>
        <v>660000</v>
      </c>
      <c r="CL20" s="245">
        <f t="shared" si="34"/>
        <v>660000</v>
      </c>
      <c r="CM20" s="95">
        <f>AM20/'Weighting Factors'!$Q$5</f>
        <v>158.5</v>
      </c>
      <c r="CN20" s="148">
        <v>0</v>
      </c>
      <c r="CO20" s="148">
        <v>0</v>
      </c>
      <c r="CP20" s="149">
        <v>0</v>
      </c>
      <c r="CQ20" s="151">
        <v>0</v>
      </c>
      <c r="CR20" s="99">
        <f>SUM((AV20*'Weighting Factors'!$Q$5)+'2019 Legal Max'!BA20)*CQ20</f>
        <v>0</v>
      </c>
      <c r="CS20" s="99">
        <f t="shared" si="35"/>
        <v>0</v>
      </c>
      <c r="CT20" s="106">
        <f t="shared" si="36"/>
        <v>0.61809999999999998</v>
      </c>
      <c r="CU20" s="95">
        <f t="shared" si="37"/>
        <v>263.39999999999998</v>
      </c>
      <c r="CV20" s="95">
        <f t="shared" si="38"/>
        <v>0</v>
      </c>
      <c r="CW20" s="95">
        <f t="shared" si="39"/>
        <v>6800.3</v>
      </c>
      <c r="CX20" s="99">
        <f>'LOB Transfers'!G19</f>
        <v>1643210</v>
      </c>
      <c r="CY20" s="99">
        <f>'LOB Transfers'!J19</f>
        <v>205743</v>
      </c>
      <c r="CZ20" s="87" t="s">
        <v>212</v>
      </c>
    </row>
    <row r="21" spans="1:104" ht="15" customHeight="1">
      <c r="A21" s="88">
        <v>203</v>
      </c>
      <c r="B21" s="87" t="s">
        <v>9</v>
      </c>
      <c r="C21" s="87" t="s">
        <v>534</v>
      </c>
      <c r="D21" s="95">
        <v>1955</v>
      </c>
      <c r="E21" s="95">
        <v>0</v>
      </c>
      <c r="F21" s="95">
        <f t="shared" si="5"/>
        <v>1955</v>
      </c>
      <c r="G21" s="95">
        <v>2159.1999999999998</v>
      </c>
      <c r="H21" s="95">
        <v>0</v>
      </c>
      <c r="I21" s="95">
        <f t="shared" si="6"/>
        <v>2159.1999999999998</v>
      </c>
      <c r="J21" s="95">
        <v>2260.3000000000002</v>
      </c>
      <c r="K21" s="95">
        <v>0</v>
      </c>
      <c r="L21" s="95">
        <f t="shared" si="7"/>
        <v>2260.3000000000002</v>
      </c>
      <c r="M21" s="95">
        <f>IF(ISNA(VLOOKUP($CZ21,'Audit Values'!$A$2:$BW$365,2,FALSE)),'Preliminary SO66'!C20,VLOOKUP($CZ21,'Audit Values'!$A$2:$BW$365,73,FALSE))</f>
        <v>2314</v>
      </c>
      <c r="N21" s="95">
        <f>IF(ISNA(VLOOKUP($CZ21,'Audit Values'!$A$2:$BW$365,2,FALSE)),'Preliminary SO66'!F20,VLOOKUP($CZ21,'Audit Values'!$A$2:$BW$365,4,FALSE))</f>
        <v>0</v>
      </c>
      <c r="O21" s="95">
        <f t="shared" si="8"/>
        <v>2314</v>
      </c>
      <c r="P21" s="95">
        <f>IF('Military Provision'!J22="YES", MAX('2019 Legal Max'!L21,'2019 Legal Max'!I21,AVERAGE('2019 Legal Max'!F21,'2019 Legal Max'!I21,'2019 Legal Max'!L21)), MAX(L21, I21))</f>
        <v>2260.3000000000002</v>
      </c>
      <c r="Q21" s="95">
        <f>IF(ISNA(VLOOKUP($CZ21,'Audit Values'!$A$2:$BU$353,2,FALSE)),'Preliminary SO66'!AL20,VLOOKUP($CZ21,'Audit Values'!$A$2:$BU$3955,58,FALSE))</f>
        <v>5.5</v>
      </c>
      <c r="R21" s="95">
        <v>0</v>
      </c>
      <c r="S21" s="95">
        <f t="shared" si="41"/>
        <v>2265.8000000000002</v>
      </c>
      <c r="T21" s="95">
        <f t="shared" si="10"/>
        <v>79.400000000000006</v>
      </c>
      <c r="U21" s="95">
        <f>IF(ISNA(VLOOKUP($CZ21,'Audit Values'!$A$2:$BW$317,2,FALSE)),'Preliminary SO66'!AM20,VLOOKUP($CZ21,'Audit Values'!$A$2:$BW$317,62,FALSE))</f>
        <v>114.1</v>
      </c>
      <c r="V21" s="95">
        <f>(U21/6)*'Weighting Factors'!$Q$7</f>
        <v>7.5</v>
      </c>
      <c r="W21" s="132">
        <f>IF(ISNA(VLOOKUP($CZ21,'Audit Values'!$A$2:$BW$353,2,FALSE)),'Preliminary SO66'!AN20,VLOOKUP($CZ21,'Audit Values'!$A$2:$BW$353,61,FALSE))</f>
        <v>54</v>
      </c>
      <c r="X21" s="95">
        <f>W21*'Weighting Factors'!$Q$8</f>
        <v>10</v>
      </c>
      <c r="Y21" s="95">
        <f t="shared" si="11"/>
        <v>10</v>
      </c>
      <c r="Z21" s="276">
        <f>IF(ISNA(VLOOKUP($CZ21,'Audit Values'!$A$2:$BW$317,2,FALSE)),'Preliminary SO66'!AO20,VLOOKUP($CZ21,'Audit Values'!$A$2:$BW$317,60,FALSE))</f>
        <v>379.9</v>
      </c>
      <c r="AA21" s="95">
        <f>Z21/6*'Weighting Factors'!$Q$6</f>
        <v>31.7</v>
      </c>
      <c r="AB21" s="99">
        <f>IF(ISNA(VLOOKUP($CZ21,'Audit Values'!$A$2:$BU$353,2,FALSE)),'Preliminary SO66'!AS20,VLOOKUP($CZ21,'Audit Values'!$A$2:$BU$353,63,FALSE))</f>
        <v>2333</v>
      </c>
      <c r="AC21" s="99">
        <v>0</v>
      </c>
      <c r="AD21" s="99">
        <f>IF(ISNA(VLOOKUP($CZ21,'Audit Values'!$A$2:$BU$353,2,FALSE)),'Preliminary SO66'!AP20,VLOOKUP($CZ21,'Audit Values'!$A$2:$BU$353,64,FALSE))</f>
        <v>309</v>
      </c>
      <c r="AE21" s="95">
        <f>IF(A21=207, AD21,MAX(AC21,AD21))*'Weighting Factors'!$Q$9</f>
        <v>149.6</v>
      </c>
      <c r="AF21" s="95">
        <f t="shared" si="12"/>
        <v>0</v>
      </c>
      <c r="AG21" s="95">
        <f>IF(ISNA(VLOOKUP($CZ21,'Audit Values'!$A$2:$BW$353,2,FALSE)),'Preliminary SO66'!AG20,VLOOKUP($CZ21,'Audit Values'!$A$2:$BW$353,70,FALSE))</f>
        <v>0</v>
      </c>
      <c r="AH21" s="95">
        <f t="shared" si="13"/>
        <v>0</v>
      </c>
      <c r="AI21" s="95">
        <f>IF(ISNA(VLOOKUP($CZ21,'Audit Values'!$A$2:$BU$353,2,FALSE)),'Preliminary SO66'!AQ20,VLOOKUP($CZ21,'Audit Values'!$A$2:$BU$353,65,FALSE))</f>
        <v>0</v>
      </c>
      <c r="AJ21" s="95">
        <f>AI21*'Weighting Factors'!$Q$10</f>
        <v>0</v>
      </c>
      <c r="AK21" s="95">
        <f>IF(ISNA(VLOOKUP($CZ21,'Audit Values'!$A$2:$BU$353,2,FALSE)),'Preliminary SO66'!AR20,VLOOKUP($CZ21,'Audit Values'!$A$2:$BU$353,66,FALSE))</f>
        <v>1124</v>
      </c>
      <c r="AL21" s="95"/>
      <c r="AM21" s="99">
        <f t="shared" si="14"/>
        <v>618200</v>
      </c>
      <c r="AN21" s="99">
        <v>608616</v>
      </c>
      <c r="AO21" s="95">
        <f>MAX(AN21, AM21)/'Weighting Factors'!$Q$5</f>
        <v>148.4</v>
      </c>
      <c r="AP21" s="95">
        <f>CN21/'Weighting Factors'!$Q$5</f>
        <v>0</v>
      </c>
      <c r="AQ21" s="95">
        <v>0</v>
      </c>
      <c r="AR21" s="95">
        <f>CS21/'Weighting Factors'!$Q$5</f>
        <v>0</v>
      </c>
      <c r="AS21" s="99">
        <v>2682884</v>
      </c>
      <c r="AT21" s="95">
        <f>AS21/'Weighting Factors'!$Q$5</f>
        <v>644.1</v>
      </c>
      <c r="AU21" s="95">
        <f>IF(ISNA(VLOOKUP($CZ21,'Audit Values'!$A$2:$BU$353,2,FALSE)),'Preliminary SO66'!X20,VLOOKUP($CZ21,'Audit Values'!$A$2:$BU$353,47,FALSE))</f>
        <v>0</v>
      </c>
      <c r="AV21" s="95">
        <f t="shared" si="15"/>
        <v>3329</v>
      </c>
      <c r="AW21" s="95">
        <f t="shared" si="16"/>
        <v>2684.9</v>
      </c>
      <c r="AX21" s="95">
        <f>IF(ISNA(VLOOKUP($CZ21,'Audit Values'!$A$2:$BU$353,2,FALSE)),'Preliminary SO66'!AA20,VLOOKUP($CZ21,'Audit Values'!$A$2:$BU$353,41,FALSE))</f>
        <v>1</v>
      </c>
      <c r="AY21" s="95">
        <f>IF(ISNA(VLOOKUP($CZ21,'Audit Values'!$A$2:$BU$353,2,FALSE)),'Preliminary SO66'!AB20,VLOOKUP($CZ21,'Audit Values'!$A$2:$BU$353,42,FALSE))</f>
        <v>0.7</v>
      </c>
      <c r="AZ21" s="114">
        <v>0</v>
      </c>
      <c r="BA21" s="99">
        <f>SUM(AX21*'Weighting Factors'!$T$10)+('2019 Legal Max'!AY21*'Weighting Factors'!$T$11)+('2019 Legal Max'!AZ21*'Weighting Factors'!$T$12)</f>
        <v>6190</v>
      </c>
      <c r="BB21" s="158">
        <v>0</v>
      </c>
      <c r="BC21" s="88">
        <f>IF(ISNA(VLOOKUP($CZ21,'Audit Values'!$A$2:$BU$353,2,FALSE)),"",IF(AND('Weighting Factors'!H21&gt;0,VLOOKUP($CZ21,'Audit Values'!$A$2:$BU$353,51,FALSE)&lt;'Weighting Factors'!H21),'Weighting Factors'!H21,VLOOKUP($CZ21,'Audit Values'!$A$2:$BU$353,50,FALSE)))</f>
        <v>17</v>
      </c>
      <c r="BD21" s="88" t="str">
        <f>IF(ISNA(VLOOKUP($CZ21,'Audit Values'!$A$2:$BV$353,2,FALSE)),"",VLOOKUP($CZ21,'Audit Values'!$A$2:$BV$353,51,FALSE))</f>
        <v>A</v>
      </c>
      <c r="BE21" s="88" t="str">
        <f>IF('Weighting Factors'!H21="","",IF('Weighting Factors'!J21="Pending","PX","R"))</f>
        <v/>
      </c>
      <c r="BF21" s="97">
        <f>SUM((S21+T21+Y21+AA21+AE21+AH21+AJ21++AO21+AP21+AQ21+AU21+AR21)*'Weighting Factors'!$Q$5)+'2019 Legal Max'!BA21+'2019 Legal Max'!BB21</f>
        <v>11188799</v>
      </c>
      <c r="BG21" s="99">
        <f>SUM((AV21+AR21)*'Weighting Factors'!$Q$5)+BA21+'2019 Legal Max'!BB21</f>
        <v>13871475</v>
      </c>
      <c r="BH21" s="108">
        <f>IF('Weighting Factors'!H21&gt;0,'Weighting Factors'!H21,'Preliminary SO66'!AV20)</f>
        <v>14480679</v>
      </c>
      <c r="BI21" s="99">
        <f t="shared" si="40"/>
        <v>13871475</v>
      </c>
      <c r="BJ21" s="112"/>
      <c r="BK21" s="112">
        <f>'Weighting Factors'!F21</f>
        <v>0</v>
      </c>
      <c r="BL21" s="112">
        <f>'Weighting Factors'!E21</f>
        <v>0</v>
      </c>
      <c r="BM21" s="99">
        <f t="shared" si="17"/>
        <v>0</v>
      </c>
      <c r="BN21" s="99">
        <f t="shared" si="18"/>
        <v>13871475</v>
      </c>
      <c r="BO21" s="99">
        <f>SUM((S21+T21+Y21+AA21+AE21+AH21+AJ21++AO21+AP21+AQ21+AR21)*'Weighting Factors'!Q$12)+(MAX(AS21,'Weighting Factors'!B21))</f>
        <v>14738085</v>
      </c>
      <c r="BP21" s="122">
        <v>0.33</v>
      </c>
      <c r="BQ21" s="99">
        <f t="shared" si="19"/>
        <v>4863568</v>
      </c>
      <c r="BR21" s="108">
        <v>4757470</v>
      </c>
      <c r="BS21" s="99">
        <f t="shared" si="20"/>
        <v>4757470</v>
      </c>
      <c r="BT21" s="167">
        <f t="shared" si="21"/>
        <v>0.32279999999999998</v>
      </c>
      <c r="BU21" s="95">
        <f t="shared" si="22"/>
        <v>0</v>
      </c>
      <c r="BV21" s="87" t="b">
        <f t="shared" si="23"/>
        <v>0</v>
      </c>
      <c r="BW21" s="117">
        <f t="shared" si="24"/>
        <v>0</v>
      </c>
      <c r="BX21" s="116">
        <f t="shared" si="25"/>
        <v>0</v>
      </c>
      <c r="BY21" s="95">
        <f t="shared" si="26"/>
        <v>0</v>
      </c>
      <c r="BZ21" s="87" t="b">
        <f t="shared" si="27"/>
        <v>0</v>
      </c>
      <c r="CA21" s="87">
        <f t="shared" si="28"/>
        <v>0</v>
      </c>
      <c r="CB21" s="116">
        <f t="shared" si="29"/>
        <v>0</v>
      </c>
      <c r="CC21" s="95">
        <f t="shared" si="30"/>
        <v>0</v>
      </c>
      <c r="CD21" s="95">
        <f t="shared" si="31"/>
        <v>79.400000000000006</v>
      </c>
      <c r="CE21" s="98">
        <v>31.4</v>
      </c>
      <c r="CF21" s="250">
        <f t="shared" si="32"/>
        <v>35.795999999999999</v>
      </c>
      <c r="CG21" s="274">
        <f>IF(CF21&lt;0.06,1,IF(CF21&gt;=18.29,52,MATCH(CF21-0.001,'Weighting Factors'!$Y$5:$Y$156)+1))</f>
        <v>52</v>
      </c>
      <c r="CH21" s="243">
        <f>VLOOKUP(CG21, 'Weighting Factors'!$W$5:$Z$56,4)</f>
        <v>550</v>
      </c>
      <c r="CI21" s="118">
        <f>('Weighting Factors'!$Q$5/'Weighting Factors'!$Q$14)</f>
        <v>1</v>
      </c>
      <c r="CJ21" s="245">
        <f t="shared" si="33"/>
        <v>618200</v>
      </c>
      <c r="CK21" s="245">
        <f>CJ21*'Weighting Factors'!$S$7</f>
        <v>618200</v>
      </c>
      <c r="CL21" s="245">
        <f t="shared" si="34"/>
        <v>618200</v>
      </c>
      <c r="CM21" s="95">
        <f>AM21/'Weighting Factors'!$Q$5</f>
        <v>148.4</v>
      </c>
      <c r="CN21" s="148">
        <v>0</v>
      </c>
      <c r="CO21" s="148">
        <v>0</v>
      </c>
      <c r="CP21" s="149">
        <v>0</v>
      </c>
      <c r="CQ21" s="151">
        <v>2.9499999999999998E-2</v>
      </c>
      <c r="CR21" s="99">
        <f>SUM((AV21*'Weighting Factors'!$Q$5)+'2019 Legal Max'!BA21)*CQ21</f>
        <v>409209</v>
      </c>
      <c r="CS21" s="99">
        <f t="shared" si="35"/>
        <v>0</v>
      </c>
      <c r="CT21" s="106">
        <f t="shared" si="36"/>
        <v>0.13239999999999999</v>
      </c>
      <c r="CU21" s="95">
        <f t="shared" si="37"/>
        <v>0</v>
      </c>
      <c r="CV21" s="95">
        <f t="shared" si="38"/>
        <v>0</v>
      </c>
      <c r="CW21" s="95">
        <f t="shared" si="39"/>
        <v>3329</v>
      </c>
      <c r="CX21" s="99">
        <f>'LOB Transfers'!G20</f>
        <v>214086</v>
      </c>
      <c r="CY21" s="99">
        <f>'LOB Transfers'!J20</f>
        <v>14272</v>
      </c>
      <c r="CZ21" s="87" t="s">
        <v>213</v>
      </c>
    </row>
    <row r="22" spans="1:104" ht="15" customHeight="1">
      <c r="A22" s="88">
        <v>204</v>
      </c>
      <c r="B22" s="87" t="s">
        <v>9</v>
      </c>
      <c r="C22" s="87" t="s">
        <v>535</v>
      </c>
      <c r="D22" s="95">
        <v>2570.5</v>
      </c>
      <c r="E22" s="95">
        <v>0</v>
      </c>
      <c r="F22" s="95">
        <f t="shared" si="5"/>
        <v>2570.5</v>
      </c>
      <c r="G22" s="95">
        <v>2630.5</v>
      </c>
      <c r="H22" s="95">
        <v>0</v>
      </c>
      <c r="I22" s="95">
        <f t="shared" si="6"/>
        <v>2630.5</v>
      </c>
      <c r="J22" s="95">
        <v>2607.6999999999998</v>
      </c>
      <c r="K22" s="95">
        <v>0</v>
      </c>
      <c r="L22" s="95">
        <f t="shared" si="7"/>
        <v>2607.6999999999998</v>
      </c>
      <c r="M22" s="95">
        <f>IF(ISNA(VLOOKUP($CZ22,'Audit Values'!$A$2:$BW$365,2,FALSE)),'Preliminary SO66'!C21,VLOOKUP($CZ22,'Audit Values'!$A$2:$BW$365,73,FALSE))</f>
        <v>2591.3000000000002</v>
      </c>
      <c r="N22" s="95">
        <f>IF(ISNA(VLOOKUP($CZ22,'Audit Values'!$A$2:$BW$365,2,FALSE)),'Preliminary SO66'!F21,VLOOKUP($CZ22,'Audit Values'!$A$2:$BW$365,4,FALSE))</f>
        <v>0</v>
      </c>
      <c r="O22" s="95">
        <f t="shared" si="8"/>
        <v>2591.3000000000002</v>
      </c>
      <c r="P22" s="95">
        <f>IF('Military Provision'!J23="YES", MAX('2019 Legal Max'!L22,'2019 Legal Max'!I22,AVERAGE('2019 Legal Max'!F22,'2019 Legal Max'!I22,'2019 Legal Max'!L22)), MAX(L22, I22))</f>
        <v>2630.5</v>
      </c>
      <c r="Q22" s="95">
        <f>IF(ISNA(VLOOKUP($CZ22,'Audit Values'!$A$2:$BU$353,2,FALSE)),'Preliminary SO66'!AL21,VLOOKUP($CZ22,'Audit Values'!$A$2:$BU$3955,58,FALSE))</f>
        <v>16.5</v>
      </c>
      <c r="R22" s="95">
        <v>0</v>
      </c>
      <c r="S22" s="95">
        <f t="shared" si="41"/>
        <v>2647</v>
      </c>
      <c r="T22" s="95">
        <f t="shared" si="10"/>
        <v>92.8</v>
      </c>
      <c r="U22" s="95">
        <f>IF(ISNA(VLOOKUP($CZ22,'Audit Values'!$A$2:$BW$317,2,FALSE)),'Preliminary SO66'!AM21,VLOOKUP($CZ22,'Audit Values'!$A$2:$BW$317,62,FALSE))</f>
        <v>526.79999999999995</v>
      </c>
      <c r="V22" s="95">
        <f>(U22/6)*'Weighting Factors'!$Q$7</f>
        <v>34.700000000000003</v>
      </c>
      <c r="W22" s="132">
        <f>IF(ISNA(VLOOKUP($CZ22,'Audit Values'!$A$2:$BW$353,2,FALSE)),'Preliminary SO66'!AN21,VLOOKUP($CZ22,'Audit Values'!$A$2:$BW$353,61,FALSE))</f>
        <v>154</v>
      </c>
      <c r="X22" s="95">
        <f>W22*'Weighting Factors'!$Q$8</f>
        <v>28.5</v>
      </c>
      <c r="Y22" s="95">
        <f t="shared" si="11"/>
        <v>34.700000000000003</v>
      </c>
      <c r="Z22" s="276">
        <f>IF(ISNA(VLOOKUP($CZ22,'Audit Values'!$A$2:$BW$317,2,FALSE)),'Preliminary SO66'!AO21,VLOOKUP($CZ22,'Audit Values'!$A$2:$BW$317,60,FALSE))</f>
        <v>626.20000000000005</v>
      </c>
      <c r="AA22" s="95">
        <f>Z22/6*'Weighting Factors'!$Q$6</f>
        <v>52.2</v>
      </c>
      <c r="AB22" s="99">
        <f>IF(ISNA(VLOOKUP($CZ22,'Audit Values'!$A$2:$BU$353,2,FALSE)),'Preliminary SO66'!AS21,VLOOKUP($CZ22,'Audit Values'!$A$2:$BU$353,63,FALSE))</f>
        <v>2636</v>
      </c>
      <c r="AC22" s="99">
        <v>0</v>
      </c>
      <c r="AD22" s="99">
        <f>IF(ISNA(VLOOKUP($CZ22,'Audit Values'!$A$2:$BU$353,2,FALSE)),'Preliminary SO66'!AP21,VLOOKUP($CZ22,'Audit Values'!$A$2:$BU$353,64,FALSE))</f>
        <v>939</v>
      </c>
      <c r="AE22" s="95">
        <f>IF(A22=207, AD22,MAX(AC22,AD22))*'Weighting Factors'!$Q$9</f>
        <v>454.5</v>
      </c>
      <c r="AF22" s="95">
        <f t="shared" si="12"/>
        <v>4.0999999999999996</v>
      </c>
      <c r="AG22" s="95">
        <f>IF(ISNA(VLOOKUP($CZ22,'Audit Values'!$A$2:$BW$353,2,FALSE)),'Preliminary SO66'!AG21,VLOOKUP($CZ22,'Audit Values'!$A$2:$BW$353,70,FALSE))</f>
        <v>20</v>
      </c>
      <c r="AH22" s="95">
        <f t="shared" si="13"/>
        <v>20</v>
      </c>
      <c r="AI22" s="95">
        <f>IF(ISNA(VLOOKUP($CZ22,'Audit Values'!$A$2:$BU$353,2,FALSE)),'Preliminary SO66'!AQ21,VLOOKUP($CZ22,'Audit Values'!$A$2:$BU$353,65,FALSE))</f>
        <v>0</v>
      </c>
      <c r="AJ22" s="95">
        <f>AI22*'Weighting Factors'!$Q$10</f>
        <v>0</v>
      </c>
      <c r="AK22" s="95">
        <f>IF(ISNA(VLOOKUP($CZ22,'Audit Values'!$A$2:$BU$353,2,FALSE)),'Preliminary SO66'!AR21,VLOOKUP($CZ22,'Audit Values'!$A$2:$BU$353,66,FALSE))</f>
        <v>638</v>
      </c>
      <c r="AL22" s="95"/>
      <c r="AM22" s="99">
        <f t="shared" si="14"/>
        <v>363660</v>
      </c>
      <c r="AN22" s="99">
        <v>506538</v>
      </c>
      <c r="AO22" s="95">
        <f>MAX(AN22, AM22)/'Weighting Factors'!$Q$5</f>
        <v>121.6</v>
      </c>
      <c r="AP22" s="95">
        <f>CN22/'Weighting Factors'!$Q$5</f>
        <v>0</v>
      </c>
      <c r="AQ22" s="95">
        <v>0</v>
      </c>
      <c r="AR22" s="95">
        <f>CS22/'Weighting Factors'!$Q$5</f>
        <v>0</v>
      </c>
      <c r="AS22" s="99">
        <v>3370642</v>
      </c>
      <c r="AT22" s="95">
        <f>AS22/'Weighting Factors'!$Q$5</f>
        <v>809.3</v>
      </c>
      <c r="AU22" s="95">
        <f>IF(ISNA(VLOOKUP($CZ22,'Audit Values'!$A$2:$BU$353,2,FALSE)),'Preliminary SO66'!X21,VLOOKUP($CZ22,'Audit Values'!$A$2:$BU$353,47,FALSE))</f>
        <v>0</v>
      </c>
      <c r="AV22" s="95">
        <f t="shared" si="15"/>
        <v>4232.1000000000004</v>
      </c>
      <c r="AW22" s="95">
        <f t="shared" si="16"/>
        <v>3422.8</v>
      </c>
      <c r="AX22" s="95">
        <f>IF(ISNA(VLOOKUP($CZ22,'Audit Values'!$A$2:$BU$353,2,FALSE)),'Preliminary SO66'!AA21,VLOOKUP($CZ22,'Audit Values'!$A$2:$BU$353,41,FALSE))</f>
        <v>43</v>
      </c>
      <c r="AY22" s="95">
        <f>IF(ISNA(VLOOKUP($CZ22,'Audit Values'!$A$2:$BU$353,2,FALSE)),'Preliminary SO66'!AB21,VLOOKUP($CZ22,'Audit Values'!$A$2:$BU$353,42,FALSE))</f>
        <v>7</v>
      </c>
      <c r="AZ22" s="114">
        <v>45</v>
      </c>
      <c r="BA22" s="99">
        <f>SUM(AX22*'Weighting Factors'!$T$10)+('2019 Legal Max'!AY22*'Weighting Factors'!$T$11)+('2019 Legal Max'!AZ22*'Weighting Factors'!$T$12)</f>
        <v>258805</v>
      </c>
      <c r="BB22" s="158">
        <v>0</v>
      </c>
      <c r="BC22" s="88">
        <f>IF(ISNA(VLOOKUP($CZ22,'Audit Values'!$A$2:$BU$353,2,FALSE)),"",IF(AND('Weighting Factors'!H22&gt;0,VLOOKUP($CZ22,'Audit Values'!$A$2:$BU$353,51,FALSE)&lt;'Weighting Factors'!H22),'Weighting Factors'!H22,VLOOKUP($CZ22,'Audit Values'!$A$2:$BU$353,50,FALSE)))</f>
        <v>10</v>
      </c>
      <c r="BD22" s="88" t="str">
        <f>IF(ISNA(VLOOKUP($CZ22,'Audit Values'!$A$2:$BV$353,2,FALSE)),"",VLOOKUP($CZ22,'Audit Values'!$A$2:$BV$353,51,FALSE))</f>
        <v>A</v>
      </c>
      <c r="BE22" s="88" t="str">
        <f>IF('Weighting Factors'!H22="","",IF('Weighting Factors'!J22="Pending","PX","R"))</f>
        <v/>
      </c>
      <c r="BF22" s="97">
        <f>SUM((S22+T22+Y22+AA22+AE22+AH22+AJ22++AO22+AP22+AQ22+AU22+AR22)*'Weighting Factors'!$Q$5)+'2019 Legal Max'!BA22+'2019 Legal Max'!BB22</f>
        <v>14514767</v>
      </c>
      <c r="BG22" s="99">
        <f>SUM((AV22+AR22)*'Weighting Factors'!$Q$5)+BA22+'2019 Legal Max'!BB22</f>
        <v>17885502</v>
      </c>
      <c r="BH22" s="108">
        <f>IF('Weighting Factors'!H22&gt;0,'Weighting Factors'!H22,'Preliminary SO66'!AV21)</f>
        <v>18072853</v>
      </c>
      <c r="BI22" s="99">
        <f t="shared" si="40"/>
        <v>17885502</v>
      </c>
      <c r="BJ22" s="112"/>
      <c r="BK22" s="112">
        <f>'Weighting Factors'!F22</f>
        <v>-70956</v>
      </c>
      <c r="BL22" s="112">
        <f>'Weighting Factors'!E22</f>
        <v>0</v>
      </c>
      <c r="BM22" s="99">
        <f t="shared" si="17"/>
        <v>-70956</v>
      </c>
      <c r="BN22" s="99">
        <f t="shared" si="18"/>
        <v>17814546</v>
      </c>
      <c r="BO22" s="99">
        <f>SUM((S22+T22+Y22+AA22+AE22+AH22+AJ22++AO22+AP22+AQ22+AR22)*'Weighting Factors'!Q$12)+(MAX(AS22,'Weighting Factors'!B22))</f>
        <v>18739014</v>
      </c>
      <c r="BP22" s="122">
        <v>0.3</v>
      </c>
      <c r="BQ22" s="99">
        <f t="shared" si="19"/>
        <v>5621704</v>
      </c>
      <c r="BR22" s="108">
        <v>5685419</v>
      </c>
      <c r="BS22" s="99">
        <f t="shared" si="20"/>
        <v>5621704</v>
      </c>
      <c r="BT22" s="167">
        <f t="shared" si="21"/>
        <v>0.3</v>
      </c>
      <c r="BU22" s="95">
        <f t="shared" si="22"/>
        <v>0</v>
      </c>
      <c r="BV22" s="87" t="b">
        <f t="shared" si="23"/>
        <v>0</v>
      </c>
      <c r="BW22" s="117">
        <f t="shared" si="24"/>
        <v>0</v>
      </c>
      <c r="BX22" s="116">
        <f t="shared" si="25"/>
        <v>0</v>
      </c>
      <c r="BY22" s="95">
        <f t="shared" si="26"/>
        <v>0</v>
      </c>
      <c r="BZ22" s="87" t="b">
        <f t="shared" si="27"/>
        <v>0</v>
      </c>
      <c r="CA22" s="87">
        <f t="shared" si="28"/>
        <v>0</v>
      </c>
      <c r="CB22" s="116">
        <f t="shared" si="29"/>
        <v>0</v>
      </c>
      <c r="CC22" s="95">
        <f t="shared" si="30"/>
        <v>0</v>
      </c>
      <c r="CD22" s="95">
        <f t="shared" si="31"/>
        <v>92.8</v>
      </c>
      <c r="CE22" s="98">
        <v>38</v>
      </c>
      <c r="CF22" s="250">
        <f t="shared" si="32"/>
        <v>16.789000000000001</v>
      </c>
      <c r="CG22" s="274">
        <f>IF(CF22&lt;0.06,1,IF(CF22&gt;=18.29,52,MATCH(CF22-0.001,'Weighting Factors'!$Y$5:$Y$156)+1))</f>
        <v>51</v>
      </c>
      <c r="CH22" s="243">
        <f>VLOOKUP(CG22, 'Weighting Factors'!$W$5:$Z$56,4)</f>
        <v>570</v>
      </c>
      <c r="CI22" s="118">
        <f>('Weighting Factors'!$Q$5/'Weighting Factors'!$Q$14)</f>
        <v>1</v>
      </c>
      <c r="CJ22" s="245">
        <f t="shared" si="33"/>
        <v>363660</v>
      </c>
      <c r="CK22" s="245">
        <f>CJ22*'Weighting Factors'!$S$7</f>
        <v>363660</v>
      </c>
      <c r="CL22" s="245">
        <f t="shared" si="34"/>
        <v>363660</v>
      </c>
      <c r="CM22" s="95">
        <f>AM22/'Weighting Factors'!$Q$5</f>
        <v>87.3</v>
      </c>
      <c r="CN22" s="148">
        <v>0</v>
      </c>
      <c r="CO22" s="148">
        <v>0</v>
      </c>
      <c r="CP22" s="149">
        <v>0</v>
      </c>
      <c r="CQ22" s="151">
        <v>0</v>
      </c>
      <c r="CR22" s="99">
        <f>SUM((AV22*'Weighting Factors'!$Q$5)+'2019 Legal Max'!BA22)*CQ22</f>
        <v>0</v>
      </c>
      <c r="CS22" s="99">
        <f t="shared" si="35"/>
        <v>0</v>
      </c>
      <c r="CT22" s="106">
        <f t="shared" si="36"/>
        <v>0.35620000000000002</v>
      </c>
      <c r="CU22" s="95">
        <f t="shared" si="37"/>
        <v>0</v>
      </c>
      <c r="CV22" s="95">
        <f t="shared" si="38"/>
        <v>4.0999999999999996</v>
      </c>
      <c r="CW22" s="95">
        <f t="shared" si="39"/>
        <v>4232.1000000000004</v>
      </c>
      <c r="CX22" s="99">
        <f>'LOB Transfers'!G21</f>
        <v>606020</v>
      </c>
      <c r="CY22" s="99">
        <f>'LOB Transfers'!J21</f>
        <v>46098</v>
      </c>
      <c r="CZ22" s="87" t="s">
        <v>214</v>
      </c>
    </row>
    <row r="23" spans="1:104" ht="15" customHeight="1">
      <c r="A23" s="88">
        <v>205</v>
      </c>
      <c r="B23" s="87" t="s">
        <v>10</v>
      </c>
      <c r="C23" s="87" t="s">
        <v>536</v>
      </c>
      <c r="D23" s="95">
        <v>486.3</v>
      </c>
      <c r="E23" s="95">
        <v>0</v>
      </c>
      <c r="F23" s="95">
        <f t="shared" si="5"/>
        <v>486.3</v>
      </c>
      <c r="G23" s="95">
        <v>485</v>
      </c>
      <c r="H23" s="95">
        <v>0</v>
      </c>
      <c r="I23" s="95">
        <f t="shared" si="6"/>
        <v>485</v>
      </c>
      <c r="J23" s="95">
        <v>475.5</v>
      </c>
      <c r="K23" s="95">
        <v>0</v>
      </c>
      <c r="L23" s="95">
        <f t="shared" si="7"/>
        <v>475.5</v>
      </c>
      <c r="M23" s="95">
        <f>IF(ISNA(VLOOKUP($CZ23,'Audit Values'!$A$2:$BW$365,2,FALSE)),'Preliminary SO66'!C22,VLOOKUP($CZ23,'Audit Values'!$A$2:$BW$365,73,FALSE))</f>
        <v>496</v>
      </c>
      <c r="N23" s="95">
        <f>IF(ISNA(VLOOKUP($CZ23,'Audit Values'!$A$2:$BW$365,2,FALSE)),'Preliminary SO66'!F22,VLOOKUP($CZ23,'Audit Values'!$A$2:$BW$365,4,FALSE))</f>
        <v>0</v>
      </c>
      <c r="O23" s="95">
        <f t="shared" si="8"/>
        <v>496</v>
      </c>
      <c r="P23" s="95">
        <f>IF('Military Provision'!J24="YES", MAX('2019 Legal Max'!L23,'2019 Legal Max'!I23,AVERAGE('2019 Legal Max'!F23,'2019 Legal Max'!I23,'2019 Legal Max'!L23)), MAX(L23, I23))</f>
        <v>485</v>
      </c>
      <c r="Q23" s="95">
        <f>IF(ISNA(VLOOKUP($CZ23,'Audit Values'!$A$2:$BU$353,2,FALSE)),'Preliminary SO66'!AL22,VLOOKUP($CZ23,'Audit Values'!$A$2:$BU$3955,58,FALSE))</f>
        <v>0</v>
      </c>
      <c r="R23" s="95">
        <v>0</v>
      </c>
      <c r="S23" s="95">
        <f t="shared" si="41"/>
        <v>485</v>
      </c>
      <c r="T23" s="95">
        <f t="shared" si="10"/>
        <v>204.3</v>
      </c>
      <c r="U23" s="95">
        <f>IF(ISNA(VLOOKUP($CZ23,'Audit Values'!$A$2:$BW$317,2,FALSE)),'Preliminary SO66'!AM22,VLOOKUP($CZ23,'Audit Values'!$A$2:$BW$317,62,FALSE))</f>
        <v>0</v>
      </c>
      <c r="V23" s="95">
        <f>(U23/6)*'Weighting Factors'!$Q$7</f>
        <v>0</v>
      </c>
      <c r="W23" s="132">
        <f>IF(ISNA(VLOOKUP($CZ23,'Audit Values'!$A$2:$BW$353,2,FALSE)),'Preliminary SO66'!AN22,VLOOKUP($CZ23,'Audit Values'!$A$2:$BW$353,61,FALSE))</f>
        <v>3</v>
      </c>
      <c r="X23" s="95">
        <f>W23*'Weighting Factors'!$Q$8</f>
        <v>0.6</v>
      </c>
      <c r="Y23" s="95">
        <f t="shared" si="11"/>
        <v>0.6</v>
      </c>
      <c r="Z23" s="276">
        <f>IF(ISNA(VLOOKUP($CZ23,'Audit Values'!$A$2:$BW$317,2,FALSE)),'Preliminary SO66'!AO22,VLOOKUP($CZ23,'Audit Values'!$A$2:$BW$317,60,FALSE))</f>
        <v>72.900000000000006</v>
      </c>
      <c r="AA23" s="95">
        <f>Z23/6*'Weighting Factors'!$Q$6</f>
        <v>6.1</v>
      </c>
      <c r="AB23" s="99">
        <f>IF(ISNA(VLOOKUP($CZ23,'Audit Values'!$A$2:$BU$353,2,FALSE)),'Preliminary SO66'!AS22,VLOOKUP($CZ23,'Audit Values'!$A$2:$BU$353,63,FALSE))</f>
        <v>501</v>
      </c>
      <c r="AC23" s="99">
        <v>0</v>
      </c>
      <c r="AD23" s="99">
        <f>IF(ISNA(VLOOKUP($CZ23,'Audit Values'!$A$2:$BU$353,2,FALSE)),'Preliminary SO66'!AP22,VLOOKUP($CZ23,'Audit Values'!$A$2:$BU$353,64,FALSE))</f>
        <v>184</v>
      </c>
      <c r="AE23" s="95">
        <f>IF(A23=207, AD23,MAX(AC23,AD23))*'Weighting Factors'!$Q$9</f>
        <v>89.1</v>
      </c>
      <c r="AF23" s="95">
        <f t="shared" si="12"/>
        <v>2.2000000000000002</v>
      </c>
      <c r="AG23" s="95">
        <f>IF(ISNA(VLOOKUP($CZ23,'Audit Values'!$A$2:$BW$353,2,FALSE)),'Preliminary SO66'!AG22,VLOOKUP($CZ23,'Audit Values'!$A$2:$BW$353,70,FALSE))</f>
        <v>2.2999999999999998</v>
      </c>
      <c r="AH23" s="95">
        <f t="shared" si="13"/>
        <v>2.2999999999999998</v>
      </c>
      <c r="AI23" s="95">
        <f>IF(ISNA(VLOOKUP($CZ23,'Audit Values'!$A$2:$BU$353,2,FALSE)),'Preliminary SO66'!AQ22,VLOOKUP($CZ23,'Audit Values'!$A$2:$BU$353,65,FALSE))</f>
        <v>0</v>
      </c>
      <c r="AJ23" s="95">
        <f>AI23*'Weighting Factors'!$Q$10</f>
        <v>0</v>
      </c>
      <c r="AK23" s="95">
        <f>IF(ISNA(VLOOKUP($CZ23,'Audit Values'!$A$2:$BU$353,2,FALSE)),'Preliminary SO66'!AR22,VLOOKUP($CZ23,'Audit Values'!$A$2:$BU$353,66,FALSE))</f>
        <v>244</v>
      </c>
      <c r="AL23" s="95"/>
      <c r="AM23" s="99">
        <f t="shared" si="14"/>
        <v>251320</v>
      </c>
      <c r="AN23" s="99">
        <v>294293</v>
      </c>
      <c r="AO23" s="95">
        <f>MAX(AN23, AM23)/'Weighting Factors'!$Q$5</f>
        <v>70.7</v>
      </c>
      <c r="AP23" s="95">
        <f>CN23/'Weighting Factors'!$Q$5</f>
        <v>0</v>
      </c>
      <c r="AQ23" s="95">
        <v>0</v>
      </c>
      <c r="AR23" s="95">
        <f>CS23/'Weighting Factors'!$Q$5</f>
        <v>0</v>
      </c>
      <c r="AS23" s="99">
        <v>563450</v>
      </c>
      <c r="AT23" s="95">
        <f>AS23/'Weighting Factors'!$Q$5</f>
        <v>135.30000000000001</v>
      </c>
      <c r="AU23" s="95">
        <f>IF(ISNA(VLOOKUP($CZ23,'Audit Values'!$A$2:$BU$353,2,FALSE)),'Preliminary SO66'!X22,VLOOKUP($CZ23,'Audit Values'!$A$2:$BU$353,47,FALSE))</f>
        <v>0</v>
      </c>
      <c r="AV23" s="95">
        <f t="shared" si="15"/>
        <v>993.4</v>
      </c>
      <c r="AW23" s="95">
        <f t="shared" si="16"/>
        <v>858.1</v>
      </c>
      <c r="AX23" s="95">
        <f>IF(ISNA(VLOOKUP($CZ23,'Audit Values'!$A$2:$BU$353,2,FALSE)),'Preliminary SO66'!AA22,VLOOKUP($CZ23,'Audit Values'!$A$2:$BU$353,41,FALSE))</f>
        <v>0</v>
      </c>
      <c r="AY23" s="95">
        <f>IF(ISNA(VLOOKUP($CZ23,'Audit Values'!$A$2:$BU$353,2,FALSE)),'Preliminary SO66'!AB22,VLOOKUP($CZ23,'Audit Values'!$A$2:$BU$353,42,FALSE))</f>
        <v>0</v>
      </c>
      <c r="AZ23" s="114">
        <v>0</v>
      </c>
      <c r="BA23" s="99">
        <f>SUM(AX23*'Weighting Factors'!$T$10)+('2019 Legal Max'!AY23*'Weighting Factors'!$T$11)+('2019 Legal Max'!AZ23*'Weighting Factors'!$T$12)</f>
        <v>0</v>
      </c>
      <c r="BB23" s="158">
        <v>0</v>
      </c>
      <c r="BC23" s="88">
        <f>IF(ISNA(VLOOKUP($CZ23,'Audit Values'!$A$2:$BU$353,2,FALSE)),"",IF(AND('Weighting Factors'!H23&gt;0,VLOOKUP($CZ23,'Audit Values'!$A$2:$BU$353,51,FALSE)&lt;'Weighting Factors'!H23),'Weighting Factors'!H23,VLOOKUP($CZ23,'Audit Values'!$A$2:$BU$353,50,FALSE)))</f>
        <v>15</v>
      </c>
      <c r="BD23" s="88" t="str">
        <f>IF(ISNA(VLOOKUP($CZ23,'Audit Values'!$A$2:$BV$353,2,FALSE)),"",VLOOKUP($CZ23,'Audit Values'!$A$2:$BV$353,51,FALSE))</f>
        <v>A</v>
      </c>
      <c r="BE23" s="88" t="str">
        <f>IF('Weighting Factors'!H23="","",IF('Weighting Factors'!J23="Pending","PX","R"))</f>
        <v/>
      </c>
      <c r="BF23" s="97">
        <f>SUM((S23+T23+Y23+AA23+AE23+AH23+AJ23++AO23+AP23+AQ23+AU23+AR23)*'Weighting Factors'!$Q$5)+'2019 Legal Max'!BA23+'2019 Legal Max'!BB23</f>
        <v>3573987</v>
      </c>
      <c r="BG23" s="99">
        <f>SUM((AV23+AR23)*'Weighting Factors'!$Q$5)+BA23+'2019 Legal Max'!BB23</f>
        <v>4137511</v>
      </c>
      <c r="BH23" s="108">
        <f>IF('Weighting Factors'!H23&gt;0,'Weighting Factors'!H23,'Preliminary SO66'!AV22)</f>
        <v>4355757</v>
      </c>
      <c r="BI23" s="99">
        <f t="shared" si="40"/>
        <v>4137511</v>
      </c>
      <c r="BJ23" s="112"/>
      <c r="BK23" s="112">
        <f>'Weighting Factors'!F23</f>
        <v>-76373</v>
      </c>
      <c r="BL23" s="112">
        <f>'Weighting Factors'!E23</f>
        <v>0</v>
      </c>
      <c r="BM23" s="99">
        <f t="shared" si="17"/>
        <v>-76373</v>
      </c>
      <c r="BN23" s="99">
        <f t="shared" si="18"/>
        <v>4061138</v>
      </c>
      <c r="BO23" s="99">
        <f>SUM((S23+T23+Y23+AA23+AE23+AH23+AJ23++AO23+AP23+AQ23+AR23)*'Weighting Factors'!Q$12)+(MAX(AS23,'Weighting Factors'!B23))</f>
        <v>4459343</v>
      </c>
      <c r="BP23" s="122">
        <v>0.3</v>
      </c>
      <c r="BQ23" s="99">
        <f t="shared" si="19"/>
        <v>1337803</v>
      </c>
      <c r="BR23" s="108">
        <v>1393413</v>
      </c>
      <c r="BS23" s="99">
        <f t="shared" si="20"/>
        <v>1337803</v>
      </c>
      <c r="BT23" s="167">
        <f t="shared" si="21"/>
        <v>0.3</v>
      </c>
      <c r="BU23" s="95">
        <f t="shared" si="22"/>
        <v>0</v>
      </c>
      <c r="BV23" s="87" t="b">
        <f t="shared" si="23"/>
        <v>0</v>
      </c>
      <c r="BW23" s="117">
        <f t="shared" si="24"/>
        <v>0</v>
      </c>
      <c r="BX23" s="116">
        <f t="shared" si="25"/>
        <v>0</v>
      </c>
      <c r="BY23" s="95">
        <f t="shared" si="26"/>
        <v>0</v>
      </c>
      <c r="BZ23" s="87" t="b">
        <f t="shared" si="27"/>
        <v>1</v>
      </c>
      <c r="CA23" s="87">
        <f t="shared" si="28"/>
        <v>228.9375</v>
      </c>
      <c r="CB23" s="116">
        <f t="shared" si="29"/>
        <v>0.42133300000000001</v>
      </c>
      <c r="CC23" s="95">
        <f t="shared" si="30"/>
        <v>204.3</v>
      </c>
      <c r="CD23" s="95">
        <f t="shared" si="31"/>
        <v>0</v>
      </c>
      <c r="CE23" s="98">
        <v>348.6</v>
      </c>
      <c r="CF23" s="250">
        <f t="shared" si="32"/>
        <v>0.7</v>
      </c>
      <c r="CG23" s="274">
        <f>IF(CF23&lt;0.06,1,IF(CF23&gt;=18.29,52,MATCH(CF23-0.001,'Weighting Factors'!$Y$5:$Y$156)+1))</f>
        <v>28</v>
      </c>
      <c r="CH23" s="243">
        <f>VLOOKUP(CG23, 'Weighting Factors'!$W$5:$Z$56,4)</f>
        <v>1030</v>
      </c>
      <c r="CI23" s="118">
        <f>('Weighting Factors'!$Q$5/'Weighting Factors'!$Q$14)</f>
        <v>1</v>
      </c>
      <c r="CJ23" s="245">
        <f t="shared" si="33"/>
        <v>251320</v>
      </c>
      <c r="CK23" s="245">
        <f>CJ23*'Weighting Factors'!$S$7</f>
        <v>251320</v>
      </c>
      <c r="CL23" s="245">
        <f t="shared" si="34"/>
        <v>251320</v>
      </c>
      <c r="CM23" s="95">
        <f>AM23/'Weighting Factors'!$Q$5</f>
        <v>60.3</v>
      </c>
      <c r="CN23" s="148">
        <v>0</v>
      </c>
      <c r="CO23" s="148">
        <v>0</v>
      </c>
      <c r="CP23" s="149">
        <v>0</v>
      </c>
      <c r="CQ23" s="151">
        <v>0</v>
      </c>
      <c r="CR23" s="99">
        <f>SUM((AV23*'Weighting Factors'!$Q$5)+'2019 Legal Max'!BA23)*CQ23</f>
        <v>0</v>
      </c>
      <c r="CS23" s="99">
        <f t="shared" si="35"/>
        <v>0</v>
      </c>
      <c r="CT23" s="106">
        <f t="shared" si="36"/>
        <v>0.36730000000000002</v>
      </c>
      <c r="CU23" s="95">
        <f t="shared" si="37"/>
        <v>0</v>
      </c>
      <c r="CV23" s="95">
        <f t="shared" si="38"/>
        <v>2.2000000000000002</v>
      </c>
      <c r="CW23" s="95">
        <f t="shared" si="39"/>
        <v>993.4</v>
      </c>
      <c r="CX23" s="99">
        <f>'LOB Transfers'!G22</f>
        <v>120001</v>
      </c>
      <c r="CY23" s="99">
        <f>'LOB Transfers'!J22</f>
        <v>803</v>
      </c>
      <c r="CZ23" s="87" t="s">
        <v>215</v>
      </c>
    </row>
    <row r="24" spans="1:104" ht="15" customHeight="1">
      <c r="A24" s="88">
        <v>206</v>
      </c>
      <c r="B24" s="87" t="s">
        <v>10</v>
      </c>
      <c r="C24" s="87" t="s">
        <v>537</v>
      </c>
      <c r="D24" s="95">
        <v>491.7</v>
      </c>
      <c r="E24" s="95">
        <v>0</v>
      </c>
      <c r="F24" s="95">
        <f t="shared" si="5"/>
        <v>491.7</v>
      </c>
      <c r="G24" s="95">
        <v>501.9</v>
      </c>
      <c r="H24" s="95">
        <v>0</v>
      </c>
      <c r="I24" s="95">
        <f t="shared" si="6"/>
        <v>501.9</v>
      </c>
      <c r="J24" s="95">
        <v>504.7</v>
      </c>
      <c r="K24" s="95">
        <v>0</v>
      </c>
      <c r="L24" s="95">
        <f t="shared" si="7"/>
        <v>504.7</v>
      </c>
      <c r="M24" s="95">
        <f>IF(ISNA(VLOOKUP($CZ24,'Audit Values'!$A$2:$BW$365,2,FALSE)),'Preliminary SO66'!C23,VLOOKUP($CZ24,'Audit Values'!$A$2:$BW$365,73,FALSE))</f>
        <v>492.9</v>
      </c>
      <c r="N24" s="95">
        <f>IF(ISNA(VLOOKUP($CZ24,'Audit Values'!$A$2:$BW$365,2,FALSE)),'Preliminary SO66'!F23,VLOOKUP($CZ24,'Audit Values'!$A$2:$BW$365,4,FALSE))</f>
        <v>0</v>
      </c>
      <c r="O24" s="95">
        <f t="shared" si="8"/>
        <v>492.9</v>
      </c>
      <c r="P24" s="95">
        <f>IF('Military Provision'!J25="YES", MAX('2019 Legal Max'!L24,'2019 Legal Max'!I24,AVERAGE('2019 Legal Max'!F24,'2019 Legal Max'!I24,'2019 Legal Max'!L24)), MAX(L24, I24))</f>
        <v>504.7</v>
      </c>
      <c r="Q24" s="95">
        <f>IF(ISNA(VLOOKUP($CZ24,'Audit Values'!$A$2:$BU$353,2,FALSE)),'Preliminary SO66'!AL23,VLOOKUP($CZ24,'Audit Values'!$A$2:$BU$3955,58,FALSE))</f>
        <v>4.5</v>
      </c>
      <c r="R24" s="95">
        <v>0</v>
      </c>
      <c r="S24" s="95">
        <f t="shared" si="41"/>
        <v>509.2</v>
      </c>
      <c r="T24" s="95">
        <f t="shared" si="10"/>
        <v>210.4</v>
      </c>
      <c r="U24" s="95">
        <f>IF(ISNA(VLOOKUP($CZ24,'Audit Values'!$A$2:$BW$317,2,FALSE)),'Preliminary SO66'!AM23,VLOOKUP($CZ24,'Audit Values'!$A$2:$BW$317,62,FALSE))</f>
        <v>35.1</v>
      </c>
      <c r="V24" s="95">
        <f>(U24/6)*'Weighting Factors'!$Q$7</f>
        <v>2.2999999999999998</v>
      </c>
      <c r="W24" s="132">
        <f>IF(ISNA(VLOOKUP($CZ24,'Audit Values'!$A$2:$BW$353,2,FALSE)),'Preliminary SO66'!AN23,VLOOKUP($CZ24,'Audit Values'!$A$2:$BW$353,61,FALSE))</f>
        <v>25</v>
      </c>
      <c r="X24" s="95">
        <f>W24*'Weighting Factors'!$Q$8</f>
        <v>4.5999999999999996</v>
      </c>
      <c r="Y24" s="95">
        <f t="shared" si="11"/>
        <v>4.5999999999999996</v>
      </c>
      <c r="Z24" s="276">
        <f>IF(ISNA(VLOOKUP($CZ24,'Audit Values'!$A$2:$BW$317,2,FALSE)),'Preliminary SO66'!AO23,VLOOKUP($CZ24,'Audit Values'!$A$2:$BW$317,60,FALSE))</f>
        <v>89.8</v>
      </c>
      <c r="AA24" s="95">
        <f>Z24/6*'Weighting Factors'!$Q$6</f>
        <v>7.5</v>
      </c>
      <c r="AB24" s="99">
        <f>IF(ISNA(VLOOKUP($CZ24,'Audit Values'!$A$2:$BU$353,2,FALSE)),'Preliminary SO66'!AS23,VLOOKUP($CZ24,'Audit Values'!$A$2:$BU$353,63,FALSE))</f>
        <v>506</v>
      </c>
      <c r="AC24" s="99">
        <v>0</v>
      </c>
      <c r="AD24" s="99">
        <f>IF(ISNA(VLOOKUP($CZ24,'Audit Values'!$A$2:$BU$353,2,FALSE)),'Preliminary SO66'!AP23,VLOOKUP($CZ24,'Audit Values'!$A$2:$BU$353,64,FALSE))</f>
        <v>130</v>
      </c>
      <c r="AE24" s="95">
        <f>IF(A24=207, AD24,MAX(AC24,AD24))*'Weighting Factors'!$Q$9</f>
        <v>62.9</v>
      </c>
      <c r="AF24" s="95">
        <f t="shared" si="12"/>
        <v>0</v>
      </c>
      <c r="AG24" s="95">
        <f>IF(ISNA(VLOOKUP($CZ24,'Audit Values'!$A$2:$BW$353,2,FALSE)),'Preliminary SO66'!AG23,VLOOKUP($CZ24,'Audit Values'!$A$2:$BW$353,70,FALSE))</f>
        <v>0</v>
      </c>
      <c r="AH24" s="95">
        <f t="shared" si="13"/>
        <v>0</v>
      </c>
      <c r="AI24" s="95">
        <f>IF(ISNA(VLOOKUP($CZ24,'Audit Values'!$A$2:$BU$353,2,FALSE)),'Preliminary SO66'!AQ23,VLOOKUP($CZ24,'Audit Values'!$A$2:$BU$353,65,FALSE))</f>
        <v>0</v>
      </c>
      <c r="AJ24" s="95">
        <f>AI24*'Weighting Factors'!$Q$10</f>
        <v>0</v>
      </c>
      <c r="AK24" s="95">
        <f>IF(ISNA(VLOOKUP($CZ24,'Audit Values'!$A$2:$BU$353,2,FALSE)),'Preliminary SO66'!AR23,VLOOKUP($CZ24,'Audit Values'!$A$2:$BU$353,66,FALSE))</f>
        <v>349</v>
      </c>
      <c r="AL24" s="95"/>
      <c r="AM24" s="99">
        <f t="shared" si="14"/>
        <v>317590</v>
      </c>
      <c r="AN24" s="99">
        <v>348606</v>
      </c>
      <c r="AO24" s="95">
        <f>MAX(AN24, AM24)/'Weighting Factors'!$Q$5</f>
        <v>83.7</v>
      </c>
      <c r="AP24" s="95">
        <f>CN24/'Weighting Factors'!$Q$5</f>
        <v>0</v>
      </c>
      <c r="AQ24" s="95">
        <v>0</v>
      </c>
      <c r="AR24" s="95">
        <f>CS24/'Weighting Factors'!$Q$5</f>
        <v>0</v>
      </c>
      <c r="AS24" s="99">
        <v>605315</v>
      </c>
      <c r="AT24" s="95">
        <f>AS24/'Weighting Factors'!$Q$5</f>
        <v>145.30000000000001</v>
      </c>
      <c r="AU24" s="95">
        <f>IF(ISNA(VLOOKUP($CZ24,'Audit Values'!$A$2:$BU$353,2,FALSE)),'Preliminary SO66'!X23,VLOOKUP($CZ24,'Audit Values'!$A$2:$BU$353,47,FALSE))</f>
        <v>0</v>
      </c>
      <c r="AV24" s="95">
        <f t="shared" si="15"/>
        <v>1023.6</v>
      </c>
      <c r="AW24" s="95">
        <f t="shared" si="16"/>
        <v>878.3</v>
      </c>
      <c r="AX24" s="95">
        <f>IF(ISNA(VLOOKUP($CZ24,'Audit Values'!$A$2:$BU$353,2,FALSE)),'Preliminary SO66'!AA23,VLOOKUP($CZ24,'Audit Values'!$A$2:$BU$353,41,FALSE))</f>
        <v>0</v>
      </c>
      <c r="AY24" s="95">
        <f>IF(ISNA(VLOOKUP($CZ24,'Audit Values'!$A$2:$BU$353,2,FALSE)),'Preliminary SO66'!AB23,VLOOKUP($CZ24,'Audit Values'!$A$2:$BU$353,42,FALSE))</f>
        <v>0</v>
      </c>
      <c r="AZ24" s="114">
        <v>0</v>
      </c>
      <c r="BA24" s="99">
        <f>SUM(AX24*'Weighting Factors'!$T$10)+('2019 Legal Max'!AY24*'Weighting Factors'!$T$11)+('2019 Legal Max'!AZ24*'Weighting Factors'!$T$12)</f>
        <v>0</v>
      </c>
      <c r="BB24" s="158">
        <v>0</v>
      </c>
      <c r="BC24" s="88">
        <f>IF(ISNA(VLOOKUP($CZ24,'Audit Values'!$A$2:$BU$353,2,FALSE)),"",IF(AND('Weighting Factors'!H24&gt;0,VLOOKUP($CZ24,'Audit Values'!$A$2:$BU$353,51,FALSE)&lt;'Weighting Factors'!H24),'Weighting Factors'!H24,VLOOKUP($CZ24,'Audit Values'!$A$2:$BU$353,50,FALSE)))</f>
        <v>24</v>
      </c>
      <c r="BD24" s="88" t="str">
        <f>IF(ISNA(VLOOKUP($CZ24,'Audit Values'!$A$2:$BV$353,2,FALSE)),"",VLOOKUP($CZ24,'Audit Values'!$A$2:$BV$353,51,FALSE))</f>
        <v>A</v>
      </c>
      <c r="BE24" s="88" t="str">
        <f>IF('Weighting Factors'!H24="","",IF('Weighting Factors'!J24="Pending","PX","R"))</f>
        <v/>
      </c>
      <c r="BF24" s="97">
        <f>SUM((S24+T24+Y24+AA24+AE24+AH24+AJ24++AO24+AP24+AQ24+AU24+AR24)*'Weighting Factors'!$Q$5)+'2019 Legal Max'!BA24+'2019 Legal Max'!BB24</f>
        <v>3658120</v>
      </c>
      <c r="BG24" s="99">
        <f>SUM((AV24+AR24)*'Weighting Factors'!$Q$5)+BA24+'2019 Legal Max'!BB24</f>
        <v>4263294</v>
      </c>
      <c r="BH24" s="108">
        <f>IF('Weighting Factors'!H24&gt;0,'Weighting Factors'!H24,'Preliminary SO66'!AV23)</f>
        <v>4453635</v>
      </c>
      <c r="BI24" s="99">
        <f t="shared" si="40"/>
        <v>4263294</v>
      </c>
      <c r="BJ24" s="112"/>
      <c r="BK24" s="112">
        <f>'Weighting Factors'!F24</f>
        <v>-105620</v>
      </c>
      <c r="BL24" s="112">
        <f>'Weighting Factors'!E24</f>
        <v>0</v>
      </c>
      <c r="BM24" s="99">
        <f t="shared" si="17"/>
        <v>-105620</v>
      </c>
      <c r="BN24" s="99">
        <f t="shared" si="18"/>
        <v>4157674</v>
      </c>
      <c r="BO24" s="99">
        <f>SUM((S24+T24+Y24+AA24+AE24+AH24+AJ24++AO24+AP24+AQ24+AR24)*'Weighting Factors'!Q$12)+(MAX(AS24,'Weighting Factors'!B24))</f>
        <v>4548882</v>
      </c>
      <c r="BP24" s="122">
        <v>0.33</v>
      </c>
      <c r="BQ24" s="99">
        <f t="shared" si="19"/>
        <v>1501131</v>
      </c>
      <c r="BR24" s="108">
        <v>1475000</v>
      </c>
      <c r="BS24" s="99">
        <f t="shared" si="20"/>
        <v>1475000</v>
      </c>
      <c r="BT24" s="167">
        <f t="shared" si="21"/>
        <v>0.32429999999999998</v>
      </c>
      <c r="BU24" s="95">
        <f t="shared" si="22"/>
        <v>0</v>
      </c>
      <c r="BV24" s="87" t="b">
        <f t="shared" si="23"/>
        <v>0</v>
      </c>
      <c r="BW24" s="117">
        <f t="shared" si="24"/>
        <v>0</v>
      </c>
      <c r="BX24" s="116">
        <f t="shared" si="25"/>
        <v>0</v>
      </c>
      <c r="BY24" s="95">
        <f t="shared" si="26"/>
        <v>0</v>
      </c>
      <c r="BZ24" s="87" t="b">
        <f t="shared" si="27"/>
        <v>1</v>
      </c>
      <c r="CA24" s="87">
        <f t="shared" si="28"/>
        <v>258.88499999999999</v>
      </c>
      <c r="CB24" s="116">
        <f t="shared" si="29"/>
        <v>0.41311100000000001</v>
      </c>
      <c r="CC24" s="95">
        <f t="shared" si="30"/>
        <v>210.4</v>
      </c>
      <c r="CD24" s="95">
        <f t="shared" si="31"/>
        <v>0</v>
      </c>
      <c r="CE24" s="98">
        <v>253</v>
      </c>
      <c r="CF24" s="250">
        <f t="shared" si="32"/>
        <v>1.379</v>
      </c>
      <c r="CG24" s="274">
        <f>IF(CF24&lt;0.06,1,IF(CF24&gt;=18.29,52,MATCH(CF24-0.001,'Weighting Factors'!$Y$5:$Y$156)+1))</f>
        <v>34</v>
      </c>
      <c r="CH24" s="243">
        <f>VLOOKUP(CG24, 'Weighting Factors'!$W$5:$Z$56,4)</f>
        <v>910</v>
      </c>
      <c r="CI24" s="118">
        <f>('Weighting Factors'!$Q$5/'Weighting Factors'!$Q$14)</f>
        <v>1</v>
      </c>
      <c r="CJ24" s="245">
        <f t="shared" si="33"/>
        <v>317590</v>
      </c>
      <c r="CK24" s="245">
        <f>CJ24*'Weighting Factors'!$S$7</f>
        <v>317590</v>
      </c>
      <c r="CL24" s="245">
        <f t="shared" si="34"/>
        <v>317590</v>
      </c>
      <c r="CM24" s="95">
        <f>AM24/'Weighting Factors'!$Q$5</f>
        <v>76.3</v>
      </c>
      <c r="CN24" s="148">
        <v>0</v>
      </c>
      <c r="CO24" s="148">
        <v>0</v>
      </c>
      <c r="CP24" s="149">
        <v>0</v>
      </c>
      <c r="CQ24" s="151">
        <v>0</v>
      </c>
      <c r="CR24" s="99">
        <f>SUM((AV24*'Weighting Factors'!$Q$5)+'2019 Legal Max'!BA24)*CQ24</f>
        <v>0</v>
      </c>
      <c r="CS24" s="99">
        <f t="shared" si="35"/>
        <v>0</v>
      </c>
      <c r="CT24" s="106">
        <f t="shared" si="36"/>
        <v>0.25690000000000002</v>
      </c>
      <c r="CU24" s="95">
        <f t="shared" si="37"/>
        <v>0</v>
      </c>
      <c r="CV24" s="95">
        <f t="shared" si="38"/>
        <v>0</v>
      </c>
      <c r="CW24" s="95">
        <f t="shared" si="39"/>
        <v>1023.6</v>
      </c>
      <c r="CX24" s="99">
        <f>'LOB Transfers'!G23</f>
        <v>91008</v>
      </c>
      <c r="CY24" s="99">
        <f>'LOB Transfers'!J23</f>
        <v>6638</v>
      </c>
      <c r="CZ24" s="87" t="s">
        <v>216</v>
      </c>
    </row>
    <row r="25" spans="1:104" ht="15" customHeight="1">
      <c r="A25" s="88">
        <v>207</v>
      </c>
      <c r="B25" s="87" t="s">
        <v>11</v>
      </c>
      <c r="C25" s="87" t="s">
        <v>538</v>
      </c>
      <c r="D25" s="95">
        <v>1597.1</v>
      </c>
      <c r="E25" s="95">
        <v>56</v>
      </c>
      <c r="F25" s="95">
        <f t="shared" si="5"/>
        <v>1653.1</v>
      </c>
      <c r="G25" s="95">
        <v>1675.5</v>
      </c>
      <c r="H25" s="95">
        <v>67.5</v>
      </c>
      <c r="I25" s="95">
        <f t="shared" si="6"/>
        <v>1743</v>
      </c>
      <c r="J25" s="95">
        <v>1756.6</v>
      </c>
      <c r="K25" s="95">
        <v>67</v>
      </c>
      <c r="L25" s="95">
        <f t="shared" si="7"/>
        <v>1823.6</v>
      </c>
      <c r="M25" s="95">
        <f>IF(ISNA(VLOOKUP($CZ25,'Audit Values'!$A$2:$BW$365,2,FALSE)),'Preliminary SO66'!C24,VLOOKUP($CZ25,'Audit Values'!$A$2:$BW$365,73,FALSE))</f>
        <v>1695.5</v>
      </c>
      <c r="N25" s="95">
        <f>IF(ISNA(VLOOKUP($CZ25,'Audit Values'!$A$2:$BW$365,2,FALSE)),'Preliminary SO66'!F24,VLOOKUP($CZ25,'Audit Values'!$A$2:$BW$365,4,FALSE))</f>
        <v>61</v>
      </c>
      <c r="O25" s="95">
        <f t="shared" si="8"/>
        <v>1756.5</v>
      </c>
      <c r="P25" s="95">
        <f>IF('Military Provision'!J26="YES", MAX('2019 Legal Max'!L25,'2019 Legal Max'!I25,AVERAGE('2019 Legal Max'!F25,'2019 Legal Max'!I25,'2019 Legal Max'!L25)), MAX(L25, I25))</f>
        <v>1823.6</v>
      </c>
      <c r="Q25" s="95">
        <f>IF(ISNA(VLOOKUP($CZ25,'Audit Values'!$A$2:$BU$353,2,FALSE)),'Preliminary SO66'!AL24,VLOOKUP($CZ25,'Audit Values'!$A$2:$BU$3955,58,FALSE))</f>
        <v>0</v>
      </c>
      <c r="R25" s="95">
        <v>0</v>
      </c>
      <c r="S25" s="95">
        <f t="shared" si="41"/>
        <v>1823.6</v>
      </c>
      <c r="T25" s="95">
        <f t="shared" si="10"/>
        <v>63.9</v>
      </c>
      <c r="U25" s="95">
        <f>IF(ISNA(VLOOKUP($CZ25,'Audit Values'!$A$2:$BW$317,2,FALSE)),'Preliminary SO66'!AM24,VLOOKUP($CZ25,'Audit Values'!$A$2:$BW$317,62,FALSE))</f>
        <v>47.1</v>
      </c>
      <c r="V25" s="95">
        <f>(U25/6)*'Weighting Factors'!$Q$7</f>
        <v>3.1</v>
      </c>
      <c r="W25" s="132">
        <f>IF(ISNA(VLOOKUP($CZ25,'Audit Values'!$A$2:$BW$353,2,FALSE)),'Preliminary SO66'!AN24,VLOOKUP($CZ25,'Audit Values'!$A$2:$BW$353,61,FALSE))</f>
        <v>74</v>
      </c>
      <c r="X25" s="95">
        <f>W25*'Weighting Factors'!$Q$8</f>
        <v>13.7</v>
      </c>
      <c r="Y25" s="95">
        <f t="shared" si="11"/>
        <v>13.7</v>
      </c>
      <c r="Z25" s="276">
        <f>IF(ISNA(VLOOKUP($CZ25,'Audit Values'!$A$2:$BW$317,2,FALSE)),'Preliminary SO66'!AO24,VLOOKUP($CZ25,'Audit Values'!$A$2:$BW$317,60,FALSE))</f>
        <v>0</v>
      </c>
      <c r="AA25" s="95">
        <f>Z25/6*'Weighting Factors'!$Q$6</f>
        <v>0</v>
      </c>
      <c r="AB25" s="99">
        <f>IF(ISNA(VLOOKUP($CZ25,'Audit Values'!$A$2:$BU$353,2,FALSE)),'Preliminary SO66'!AS24,VLOOKUP($CZ25,'Audit Values'!$A$2:$BU$353,63,FALSE))</f>
        <v>1769</v>
      </c>
      <c r="AC25" s="99">
        <v>0</v>
      </c>
      <c r="AD25" s="99">
        <f>IF(ISNA(VLOOKUP($CZ25,'Audit Values'!$A$2:$BU$353,2,FALSE)),'Preliminary SO66'!AP24,VLOOKUP($CZ25,'Audit Values'!$A$2:$BU$353,64,FALSE))</f>
        <v>68</v>
      </c>
      <c r="AE25" s="95">
        <f>IF(A25=207, AD25,MAX(AC25,AD25))*'Weighting Factors'!$Q$9</f>
        <v>32.9</v>
      </c>
      <c r="AF25" s="95">
        <f t="shared" si="12"/>
        <v>0</v>
      </c>
      <c r="AG25" s="95">
        <f>IF(ISNA(VLOOKUP($CZ25,'Audit Values'!$A$2:$BW$353,2,FALSE)),'Preliminary SO66'!AG24,VLOOKUP($CZ25,'Audit Values'!$A$2:$BW$353,70,FALSE))</f>
        <v>0</v>
      </c>
      <c r="AH25" s="95">
        <f t="shared" si="13"/>
        <v>0</v>
      </c>
      <c r="AI25" s="95">
        <f>IF(ISNA(VLOOKUP($CZ25,'Audit Values'!$A$2:$BU$353,2,FALSE)),'Preliminary SO66'!AQ24,VLOOKUP($CZ25,'Audit Values'!$A$2:$BU$353,65,FALSE))</f>
        <v>0</v>
      </c>
      <c r="AJ25" s="95">
        <f>AI25*'Weighting Factors'!$Q$10</f>
        <v>0</v>
      </c>
      <c r="AK25" s="95">
        <f>IF(ISNA(VLOOKUP($CZ25,'Audit Values'!$A$2:$BU$353,2,FALSE)),'Preliminary SO66'!AR24,VLOOKUP($CZ25,'Audit Values'!$A$2:$BU$353,66,FALSE))</f>
        <v>0</v>
      </c>
      <c r="AL25" s="95"/>
      <c r="AM25" s="99">
        <f t="shared" si="14"/>
        <v>0</v>
      </c>
      <c r="AN25" s="99">
        <v>83974</v>
      </c>
      <c r="AO25" s="95">
        <f>MAX(AN25, AM25)/'Weighting Factors'!$Q$5</f>
        <v>20.2</v>
      </c>
      <c r="AP25" s="95">
        <f>CN25/'Weighting Factors'!$Q$5</f>
        <v>0</v>
      </c>
      <c r="AQ25" s="95">
        <v>0</v>
      </c>
      <c r="AR25" s="95">
        <f>CS25/'Weighting Factors'!$Q$5</f>
        <v>0</v>
      </c>
      <c r="AS25" s="99">
        <v>1291871</v>
      </c>
      <c r="AT25" s="95">
        <f>AS25/'Weighting Factors'!$Q$5</f>
        <v>310.2</v>
      </c>
      <c r="AU25" s="95">
        <f>IF(ISNA(VLOOKUP($CZ25,'Audit Values'!$A$2:$BU$353,2,FALSE)),'Preliminary SO66'!X24,VLOOKUP($CZ25,'Audit Values'!$A$2:$BU$353,47,FALSE))</f>
        <v>0</v>
      </c>
      <c r="AV25" s="95">
        <f t="shared" si="15"/>
        <v>2264.5</v>
      </c>
      <c r="AW25" s="95">
        <f t="shared" si="16"/>
        <v>1954.3</v>
      </c>
      <c r="AX25" s="95">
        <f>IF(ISNA(VLOOKUP($CZ25,'Audit Values'!$A$2:$BU$353,2,FALSE)),'Preliminary SO66'!AA24,VLOOKUP($CZ25,'Audit Values'!$A$2:$BU$353,41,FALSE))</f>
        <v>0</v>
      </c>
      <c r="AY25" s="95">
        <f>IF(ISNA(VLOOKUP($CZ25,'Audit Values'!$A$2:$BU$353,2,FALSE)),'Preliminary SO66'!AB24,VLOOKUP($CZ25,'Audit Values'!$A$2:$BU$353,42,FALSE))</f>
        <v>0</v>
      </c>
      <c r="AZ25" s="114">
        <v>0</v>
      </c>
      <c r="BA25" s="99">
        <f>SUM(AX25*'Weighting Factors'!$T$10)+('2019 Legal Max'!AY25*'Weighting Factors'!$T$11)+('2019 Legal Max'!AZ25*'Weighting Factors'!$T$12)</f>
        <v>0</v>
      </c>
      <c r="BB25" s="158">
        <v>0</v>
      </c>
      <c r="BC25" s="88">
        <f>IF(ISNA(VLOOKUP($CZ25,'Audit Values'!$A$2:$BU$353,2,FALSE)),"",IF(AND('Weighting Factors'!H25&gt;0,VLOOKUP($CZ25,'Audit Values'!$A$2:$BU$353,51,FALSE)&lt;'Weighting Factors'!H25),'Weighting Factors'!H25,VLOOKUP($CZ25,'Audit Values'!$A$2:$BU$353,50,FALSE)))</f>
        <v>19</v>
      </c>
      <c r="BD25" s="88" t="str">
        <f>IF(ISNA(VLOOKUP($CZ25,'Audit Values'!$A$2:$BV$353,2,FALSE)),"",VLOOKUP($CZ25,'Audit Values'!$A$2:$BV$353,51,FALSE))</f>
        <v>A</v>
      </c>
      <c r="BE25" s="88" t="str">
        <f>IF('Weighting Factors'!H25="","",IF('Weighting Factors'!J25="Pending","PX","R"))</f>
        <v/>
      </c>
      <c r="BF25" s="97">
        <f>SUM((S25+T25+Y25+AA25+AE25+AH25+AJ25++AO25+AP25+AQ25+AU25+AR25)*'Weighting Factors'!$Q$5)+'2019 Legal Max'!BA25+'2019 Legal Max'!BB25</f>
        <v>8139660</v>
      </c>
      <c r="BG25" s="99">
        <f>SUM((AV25+AR25)*'Weighting Factors'!$Q$5)+BA25+'2019 Legal Max'!BB25</f>
        <v>9431643</v>
      </c>
      <c r="BH25" s="108">
        <f>IF('Weighting Factors'!H25&gt;0,'Weighting Factors'!H25,'Preliminary SO66'!AV24)</f>
        <v>10005580</v>
      </c>
      <c r="BI25" s="99">
        <f t="shared" si="40"/>
        <v>9431643</v>
      </c>
      <c r="BJ25" s="112"/>
      <c r="BK25" s="112">
        <f>'Weighting Factors'!F25</f>
        <v>0</v>
      </c>
      <c r="BL25" s="112">
        <f>'Weighting Factors'!E25</f>
        <v>0</v>
      </c>
      <c r="BM25" s="99">
        <f t="shared" si="17"/>
        <v>0</v>
      </c>
      <c r="BN25" s="99">
        <f t="shared" si="18"/>
        <v>9431643</v>
      </c>
      <c r="BO25" s="99">
        <f>SUM((S25+T25+Y25+AA25+AE25+AH25+AJ25++AO25+AP25+AQ25+AR25)*'Weighting Factors'!Q$12)+(MAX(AS25,'Weighting Factors'!B25))</f>
        <v>10066678</v>
      </c>
      <c r="BP25" s="122">
        <v>0.33</v>
      </c>
      <c r="BQ25" s="99">
        <f t="shared" si="19"/>
        <v>3322004</v>
      </c>
      <c r="BR25" s="163">
        <v>3515381</v>
      </c>
      <c r="BS25" s="99">
        <f t="shared" si="20"/>
        <v>3322004</v>
      </c>
      <c r="BT25" s="167">
        <f t="shared" si="21"/>
        <v>0.33</v>
      </c>
      <c r="BU25" s="95">
        <f t="shared" si="22"/>
        <v>0</v>
      </c>
      <c r="BV25" s="87" t="b">
        <f t="shared" si="23"/>
        <v>0</v>
      </c>
      <c r="BW25" s="117">
        <f t="shared" si="24"/>
        <v>0</v>
      </c>
      <c r="BX25" s="116">
        <f t="shared" si="25"/>
        <v>0</v>
      </c>
      <c r="BY25" s="95">
        <f t="shared" si="26"/>
        <v>0</v>
      </c>
      <c r="BZ25" s="87" t="b">
        <f t="shared" si="27"/>
        <v>0</v>
      </c>
      <c r="CA25" s="87">
        <f t="shared" si="28"/>
        <v>0</v>
      </c>
      <c r="CB25" s="116">
        <f t="shared" si="29"/>
        <v>0</v>
      </c>
      <c r="CC25" s="95">
        <f t="shared" si="30"/>
        <v>0</v>
      </c>
      <c r="CD25" s="95">
        <f t="shared" si="31"/>
        <v>63.9</v>
      </c>
      <c r="CE25" s="98">
        <v>8.5</v>
      </c>
      <c r="CF25" s="250">
        <f t="shared" si="32"/>
        <v>0</v>
      </c>
      <c r="CG25" s="274">
        <f>IF(CF25&lt;0.06,1,IF(CF25&gt;=18.29,52,MATCH(CF25-0.001,'Weighting Factors'!$Y$5:$Y$156)+1))</f>
        <v>1</v>
      </c>
      <c r="CH25" s="243">
        <f>VLOOKUP(CG25, 'Weighting Factors'!$W$5:$Z$56,4)</f>
        <v>1620</v>
      </c>
      <c r="CI25" s="118">
        <f>('Weighting Factors'!$Q$5/'Weighting Factors'!$Q$14)</f>
        <v>1</v>
      </c>
      <c r="CJ25" s="245">
        <f t="shared" si="33"/>
        <v>0</v>
      </c>
      <c r="CK25" s="245">
        <f>CJ25*'Weighting Factors'!$S$7</f>
        <v>0</v>
      </c>
      <c r="CL25" s="245">
        <f t="shared" si="34"/>
        <v>0</v>
      </c>
      <c r="CM25" s="95">
        <f>AM25/'Weighting Factors'!$Q$5</f>
        <v>0</v>
      </c>
      <c r="CN25" s="163">
        <v>0</v>
      </c>
      <c r="CO25" s="148">
        <v>0</v>
      </c>
      <c r="CP25" s="164">
        <v>0</v>
      </c>
      <c r="CQ25" s="165">
        <v>0</v>
      </c>
      <c r="CR25" s="99">
        <f>SUM((AV25*'Weighting Factors'!$Q$5)+'2019 Legal Max'!BA25)*CQ25</f>
        <v>0</v>
      </c>
      <c r="CS25" s="99">
        <f t="shared" si="35"/>
        <v>0</v>
      </c>
      <c r="CT25" s="106">
        <f t="shared" si="36"/>
        <v>3.8399999999999997E-2</v>
      </c>
      <c r="CU25" s="95">
        <f t="shared" si="37"/>
        <v>0</v>
      </c>
      <c r="CV25" s="95">
        <f t="shared" si="38"/>
        <v>0</v>
      </c>
      <c r="CW25" s="95">
        <f t="shared" si="39"/>
        <v>2264.5</v>
      </c>
      <c r="CX25" s="99">
        <f>'LOB Transfers'!G24</f>
        <v>48169</v>
      </c>
      <c r="CY25" s="99">
        <f>'LOB Transfers'!J24</f>
        <v>19932</v>
      </c>
      <c r="CZ25" s="87" t="s">
        <v>217</v>
      </c>
    </row>
    <row r="26" spans="1:104" ht="15" customHeight="1">
      <c r="A26" s="88">
        <v>208</v>
      </c>
      <c r="B26" s="87" t="s">
        <v>12</v>
      </c>
      <c r="C26" s="87" t="s">
        <v>539</v>
      </c>
      <c r="D26" s="95">
        <v>367</v>
      </c>
      <c r="E26" s="95">
        <v>0</v>
      </c>
      <c r="F26" s="95">
        <f t="shared" si="5"/>
        <v>367</v>
      </c>
      <c r="G26" s="95">
        <v>381.5</v>
      </c>
      <c r="H26" s="95">
        <v>0</v>
      </c>
      <c r="I26" s="95">
        <f t="shared" si="6"/>
        <v>381.5</v>
      </c>
      <c r="J26" s="95">
        <v>385.3</v>
      </c>
      <c r="K26" s="95">
        <v>0</v>
      </c>
      <c r="L26" s="95">
        <f t="shared" si="7"/>
        <v>385.3</v>
      </c>
      <c r="M26" s="95">
        <f>IF(ISNA(VLOOKUP($CZ26,'Audit Values'!$A$2:$BW$365,2,FALSE)),'Preliminary SO66'!C25,VLOOKUP($CZ26,'Audit Values'!$A$2:$BW$365,73,FALSE))</f>
        <v>375.5</v>
      </c>
      <c r="N26" s="95">
        <f>IF(ISNA(VLOOKUP($CZ26,'Audit Values'!$A$2:$BW$365,2,FALSE)),'Preliminary SO66'!F25,VLOOKUP($CZ26,'Audit Values'!$A$2:$BW$365,4,FALSE))</f>
        <v>0</v>
      </c>
      <c r="O26" s="95">
        <f t="shared" si="8"/>
        <v>375.5</v>
      </c>
      <c r="P26" s="95">
        <f>IF('Military Provision'!J27="YES", MAX('2019 Legal Max'!L26,'2019 Legal Max'!I26,AVERAGE('2019 Legal Max'!F26,'2019 Legal Max'!I26,'2019 Legal Max'!L26)), MAX(L26, I26))</f>
        <v>385.3</v>
      </c>
      <c r="Q26" s="95">
        <f>IF(ISNA(VLOOKUP($CZ26,'Audit Values'!$A$2:$BU$353,2,FALSE)),'Preliminary SO66'!AL25,VLOOKUP($CZ26,'Audit Values'!$A$2:$BU$3955,58,FALSE))</f>
        <v>0</v>
      </c>
      <c r="R26" s="95">
        <v>0</v>
      </c>
      <c r="S26" s="95">
        <f t="shared" si="41"/>
        <v>385.3</v>
      </c>
      <c r="T26" s="95">
        <f t="shared" si="10"/>
        <v>175.4</v>
      </c>
      <c r="U26" s="95">
        <f>IF(ISNA(VLOOKUP($CZ26,'Audit Values'!$A$2:$BW$317,2,FALSE)),'Preliminary SO66'!AM25,VLOOKUP($CZ26,'Audit Values'!$A$2:$BW$317,62,FALSE))</f>
        <v>0</v>
      </c>
      <c r="V26" s="95">
        <f>(U26/6)*'Weighting Factors'!$Q$7</f>
        <v>0</v>
      </c>
      <c r="W26" s="132">
        <f>IF(ISNA(VLOOKUP($CZ26,'Audit Values'!$A$2:$BW$353,2,FALSE)),'Preliminary SO66'!AN25,VLOOKUP($CZ26,'Audit Values'!$A$2:$BW$353,61,FALSE))</f>
        <v>0</v>
      </c>
      <c r="X26" s="95">
        <f>W26*'Weighting Factors'!$Q$8</f>
        <v>0</v>
      </c>
      <c r="Y26" s="95">
        <f t="shared" si="11"/>
        <v>0</v>
      </c>
      <c r="Z26" s="276">
        <f>IF(ISNA(VLOOKUP($CZ26,'Audit Values'!$A$2:$BW$317,2,FALSE)),'Preliminary SO66'!AO25,VLOOKUP($CZ26,'Audit Values'!$A$2:$BW$317,60,FALSE))</f>
        <v>77.2</v>
      </c>
      <c r="AA26" s="95">
        <f>Z26/6*'Weighting Factors'!$Q$6</f>
        <v>6.4</v>
      </c>
      <c r="AB26" s="99">
        <f>IF(ISNA(VLOOKUP($CZ26,'Audit Values'!$A$2:$BU$353,2,FALSE)),'Preliminary SO66'!AS25,VLOOKUP($CZ26,'Audit Values'!$A$2:$BU$353,63,FALSE))</f>
        <v>380</v>
      </c>
      <c r="AC26" s="99">
        <v>0</v>
      </c>
      <c r="AD26" s="99">
        <f>IF(ISNA(VLOOKUP($CZ26,'Audit Values'!$A$2:$BU$353,2,FALSE)),'Preliminary SO66'!AP25,VLOOKUP($CZ26,'Audit Values'!$A$2:$BU$353,64,FALSE))</f>
        <v>102</v>
      </c>
      <c r="AE26" s="95">
        <f>IF(A26=207, AD26,MAX(AC26,AD26))*'Weighting Factors'!$Q$9</f>
        <v>49.4</v>
      </c>
      <c r="AF26" s="95">
        <f t="shared" si="12"/>
        <v>0</v>
      </c>
      <c r="AG26" s="95">
        <f>IF(ISNA(VLOOKUP($CZ26,'Audit Values'!$A$2:$BW$353,2,FALSE)),'Preliminary SO66'!AG25,VLOOKUP($CZ26,'Audit Values'!$A$2:$BW$353,70,FALSE))</f>
        <v>0</v>
      </c>
      <c r="AH26" s="95">
        <f t="shared" si="13"/>
        <v>0</v>
      </c>
      <c r="AI26" s="95">
        <f>IF(ISNA(VLOOKUP($CZ26,'Audit Values'!$A$2:$BU$353,2,FALSE)),'Preliminary SO66'!AQ25,VLOOKUP($CZ26,'Audit Values'!$A$2:$BU$353,65,FALSE))</f>
        <v>0</v>
      </c>
      <c r="AJ26" s="95">
        <f>AI26*'Weighting Factors'!$Q$10</f>
        <v>0</v>
      </c>
      <c r="AK26" s="95">
        <f>IF(ISNA(VLOOKUP($CZ26,'Audit Values'!$A$2:$BU$353,2,FALSE)),'Preliminary SO66'!AR25,VLOOKUP($CZ26,'Audit Values'!$A$2:$BU$353,66,FALSE))</f>
        <v>78</v>
      </c>
      <c r="AL26" s="95"/>
      <c r="AM26" s="99">
        <f t="shared" si="14"/>
        <v>111540</v>
      </c>
      <c r="AN26" s="99">
        <v>131353</v>
      </c>
      <c r="AO26" s="95">
        <f>MAX(AN26, AM26)/'Weighting Factors'!$Q$5</f>
        <v>31.5</v>
      </c>
      <c r="AP26" s="95">
        <f>CN26/'Weighting Factors'!$Q$5</f>
        <v>0</v>
      </c>
      <c r="AQ26" s="95">
        <v>0</v>
      </c>
      <c r="AR26" s="95">
        <f>CS26/'Weighting Factors'!$Q$5</f>
        <v>0</v>
      </c>
      <c r="AS26" s="99">
        <v>472861</v>
      </c>
      <c r="AT26" s="95">
        <f>AS26/'Weighting Factors'!$Q$5</f>
        <v>113.5</v>
      </c>
      <c r="AU26" s="95">
        <f>IF(ISNA(VLOOKUP($CZ26,'Audit Values'!$A$2:$BU$353,2,FALSE)),'Preliminary SO66'!X25,VLOOKUP($CZ26,'Audit Values'!$A$2:$BU$353,47,FALSE))</f>
        <v>0</v>
      </c>
      <c r="AV26" s="95">
        <f t="shared" si="15"/>
        <v>761.5</v>
      </c>
      <c r="AW26" s="95">
        <f t="shared" si="16"/>
        <v>648</v>
      </c>
      <c r="AX26" s="95">
        <f>IF(ISNA(VLOOKUP($CZ26,'Audit Values'!$A$2:$BU$353,2,FALSE)),'Preliminary SO66'!AA25,VLOOKUP($CZ26,'Audit Values'!$A$2:$BU$353,41,FALSE))</f>
        <v>0</v>
      </c>
      <c r="AY26" s="95">
        <f>IF(ISNA(VLOOKUP($CZ26,'Audit Values'!$A$2:$BU$353,2,FALSE)),'Preliminary SO66'!AB25,VLOOKUP($CZ26,'Audit Values'!$A$2:$BU$353,42,FALSE))</f>
        <v>0</v>
      </c>
      <c r="AZ26" s="114">
        <v>0</v>
      </c>
      <c r="BA26" s="99">
        <f>SUM(AX26*'Weighting Factors'!$T$10)+('2019 Legal Max'!AY26*'Weighting Factors'!$T$11)+('2019 Legal Max'!AZ26*'Weighting Factors'!$T$12)</f>
        <v>0</v>
      </c>
      <c r="BB26" s="158">
        <v>0</v>
      </c>
      <c r="BC26" s="88">
        <f>IF(ISNA(VLOOKUP($CZ26,'Audit Values'!$A$2:$BU$353,2,FALSE)),"",IF(AND('Weighting Factors'!H26&gt;0,VLOOKUP($CZ26,'Audit Values'!$A$2:$BU$353,51,FALSE)&lt;'Weighting Factors'!H26),'Weighting Factors'!H26,VLOOKUP($CZ26,'Audit Values'!$A$2:$BU$353,50,FALSE)))</f>
        <v>19</v>
      </c>
      <c r="BD26" s="88" t="str">
        <f>IF(ISNA(VLOOKUP($CZ26,'Audit Values'!$A$2:$BV$353,2,FALSE)),"",VLOOKUP($CZ26,'Audit Values'!$A$2:$BV$353,51,FALSE))</f>
        <v>A</v>
      </c>
      <c r="BE26" s="88" t="str">
        <f>IF('Weighting Factors'!H26="","",IF('Weighting Factors'!J26="Pending","PX","R"))</f>
        <v/>
      </c>
      <c r="BF26" s="97">
        <f>SUM((S26+T26+Y26+AA26+AE26+AH26+AJ26++AO26+AP26+AQ26+AU26+AR26)*'Weighting Factors'!$Q$5)+'2019 Legal Max'!BA26+'2019 Legal Max'!BB26</f>
        <v>2698920</v>
      </c>
      <c r="BG26" s="99">
        <f>SUM((AV26+AR26)*'Weighting Factors'!$Q$5)+BA26+'2019 Legal Max'!BB26</f>
        <v>3171648</v>
      </c>
      <c r="BH26" s="108">
        <f>IF('Weighting Factors'!H26&gt;0,'Weighting Factors'!H26,'Preliminary SO66'!AV25)</f>
        <v>3231624</v>
      </c>
      <c r="BI26" s="99">
        <f t="shared" si="40"/>
        <v>3171648</v>
      </c>
      <c r="BJ26" s="112"/>
      <c r="BK26" s="112">
        <f>'Weighting Factors'!F26</f>
        <v>0</v>
      </c>
      <c r="BL26" s="112">
        <f>'Weighting Factors'!E26</f>
        <v>0</v>
      </c>
      <c r="BM26" s="99">
        <f t="shared" si="17"/>
        <v>0</v>
      </c>
      <c r="BN26" s="99">
        <f t="shared" si="18"/>
        <v>3171648</v>
      </c>
      <c r="BO26" s="99">
        <f>SUM((S26+T26+Y26+AA26+AE26+AH26+AJ26++AO26+AP26+AQ26+AR26)*'Weighting Factors'!Q$12)+(MAX(AS26,'Weighting Factors'!B26))</f>
        <v>3419518</v>
      </c>
      <c r="BP26" s="122">
        <v>0.3</v>
      </c>
      <c r="BQ26" s="99">
        <f t="shared" si="19"/>
        <v>1025855</v>
      </c>
      <c r="BR26" s="108">
        <v>1032937</v>
      </c>
      <c r="BS26" s="99">
        <f t="shared" si="20"/>
        <v>1025855</v>
      </c>
      <c r="BT26" s="167">
        <f t="shared" si="21"/>
        <v>0.3</v>
      </c>
      <c r="BU26" s="95">
        <f t="shared" si="22"/>
        <v>0</v>
      </c>
      <c r="BV26" s="87" t="b">
        <f t="shared" si="23"/>
        <v>0</v>
      </c>
      <c r="BW26" s="117">
        <f t="shared" si="24"/>
        <v>0</v>
      </c>
      <c r="BX26" s="116">
        <f t="shared" si="25"/>
        <v>0</v>
      </c>
      <c r="BY26" s="95">
        <f t="shared" si="26"/>
        <v>0</v>
      </c>
      <c r="BZ26" s="87" t="b">
        <f t="shared" si="27"/>
        <v>1</v>
      </c>
      <c r="CA26" s="87">
        <f t="shared" si="28"/>
        <v>105.55880000000001</v>
      </c>
      <c r="CB26" s="116">
        <f t="shared" si="29"/>
        <v>0.455206</v>
      </c>
      <c r="CC26" s="95">
        <f t="shared" si="30"/>
        <v>175.4</v>
      </c>
      <c r="CD26" s="95">
        <f t="shared" si="31"/>
        <v>0</v>
      </c>
      <c r="CE26" s="98">
        <v>706.7</v>
      </c>
      <c r="CF26" s="250">
        <f t="shared" si="32"/>
        <v>0.11</v>
      </c>
      <c r="CG26" s="274">
        <f>IF(CF26&lt;0.06,1,IF(CF26&gt;=18.29,52,MATCH(CF26-0.001,'Weighting Factors'!$Y$5:$Y$156)+1))</f>
        <v>7</v>
      </c>
      <c r="CH26" s="243">
        <f>VLOOKUP(CG26, 'Weighting Factors'!$W$5:$Z$56,4)</f>
        <v>1430</v>
      </c>
      <c r="CI26" s="118">
        <f>('Weighting Factors'!$Q$5/'Weighting Factors'!$Q$14)</f>
        <v>1</v>
      </c>
      <c r="CJ26" s="245">
        <f t="shared" si="33"/>
        <v>111540</v>
      </c>
      <c r="CK26" s="245">
        <f>CJ26*'Weighting Factors'!$S$7</f>
        <v>111540</v>
      </c>
      <c r="CL26" s="245">
        <f t="shared" si="34"/>
        <v>111540</v>
      </c>
      <c r="CM26" s="95">
        <f>AM26/'Weighting Factors'!$Q$5</f>
        <v>26.8</v>
      </c>
      <c r="CN26" s="148">
        <v>0</v>
      </c>
      <c r="CO26" s="148">
        <v>0</v>
      </c>
      <c r="CP26" s="149">
        <v>0</v>
      </c>
      <c r="CQ26" s="151">
        <v>0</v>
      </c>
      <c r="CR26" s="99">
        <f>SUM((AV26*'Weighting Factors'!$Q$5)+'2019 Legal Max'!BA26)*CQ26</f>
        <v>0</v>
      </c>
      <c r="CS26" s="99">
        <f t="shared" si="35"/>
        <v>0</v>
      </c>
      <c r="CT26" s="106">
        <f t="shared" si="36"/>
        <v>0.26840000000000003</v>
      </c>
      <c r="CU26" s="95">
        <f t="shared" si="37"/>
        <v>0</v>
      </c>
      <c r="CV26" s="95">
        <f t="shared" si="38"/>
        <v>0</v>
      </c>
      <c r="CW26" s="95">
        <f t="shared" si="39"/>
        <v>761.5</v>
      </c>
      <c r="CX26" s="99">
        <f>'LOB Transfers'!G25</f>
        <v>66578</v>
      </c>
      <c r="CY26" s="99">
        <f>'LOB Transfers'!J25</f>
        <v>0</v>
      </c>
      <c r="CZ26" s="87" t="s">
        <v>218</v>
      </c>
    </row>
    <row r="27" spans="1:104" ht="15" customHeight="1">
      <c r="A27" s="88">
        <v>209</v>
      </c>
      <c r="B27" s="87" t="s">
        <v>13</v>
      </c>
      <c r="C27" s="87" t="s">
        <v>540</v>
      </c>
      <c r="D27" s="95">
        <v>163.19999999999999</v>
      </c>
      <c r="E27" s="95">
        <v>0</v>
      </c>
      <c r="F27" s="95">
        <f t="shared" si="5"/>
        <v>163.19999999999999</v>
      </c>
      <c r="G27" s="95">
        <v>171</v>
      </c>
      <c r="H27" s="95">
        <v>0</v>
      </c>
      <c r="I27" s="95">
        <f t="shared" si="6"/>
        <v>171</v>
      </c>
      <c r="J27" s="95">
        <v>176</v>
      </c>
      <c r="K27" s="95">
        <v>0</v>
      </c>
      <c r="L27" s="95">
        <f t="shared" si="7"/>
        <v>176</v>
      </c>
      <c r="M27" s="95">
        <f>IF(ISNA(VLOOKUP($CZ27,'Audit Values'!$A$2:$BW$365,2,FALSE)),'Preliminary SO66'!C26,VLOOKUP($CZ27,'Audit Values'!$A$2:$BW$365,73,FALSE))</f>
        <v>159.19999999999999</v>
      </c>
      <c r="N27" s="95">
        <f>IF(ISNA(VLOOKUP($CZ27,'Audit Values'!$A$2:$BW$365,2,FALSE)),'Preliminary SO66'!F26,VLOOKUP($CZ27,'Audit Values'!$A$2:$BW$365,4,FALSE))</f>
        <v>0</v>
      </c>
      <c r="O27" s="95">
        <f t="shared" si="8"/>
        <v>159.19999999999999</v>
      </c>
      <c r="P27" s="95">
        <f>IF('Military Provision'!J28="YES", MAX('2019 Legal Max'!L27,'2019 Legal Max'!I27,AVERAGE('2019 Legal Max'!F27,'2019 Legal Max'!I27,'2019 Legal Max'!L27)), MAX(L27, I27))</f>
        <v>176</v>
      </c>
      <c r="Q27" s="95">
        <f>IF(ISNA(VLOOKUP($CZ27,'Audit Values'!$A$2:$BU$353,2,FALSE)),'Preliminary SO66'!AL26,VLOOKUP($CZ27,'Audit Values'!$A$2:$BU$3955,58,FALSE))</f>
        <v>3.5</v>
      </c>
      <c r="R27" s="95">
        <v>0</v>
      </c>
      <c r="S27" s="95">
        <f t="shared" si="41"/>
        <v>179.5</v>
      </c>
      <c r="T27" s="95">
        <f t="shared" si="10"/>
        <v>144.19999999999999</v>
      </c>
      <c r="U27" s="95">
        <f>IF(ISNA(VLOOKUP($CZ27,'Audit Values'!$A$2:$BW$317,2,FALSE)),'Preliminary SO66'!AM26,VLOOKUP($CZ27,'Audit Values'!$A$2:$BW$317,62,FALSE))</f>
        <v>256.2</v>
      </c>
      <c r="V27" s="95">
        <f>(U27/6)*'Weighting Factors'!$Q$7</f>
        <v>16.899999999999999</v>
      </c>
      <c r="W27" s="132">
        <f>IF(ISNA(VLOOKUP($CZ27,'Audit Values'!$A$2:$BW$353,2,FALSE)),'Preliminary SO66'!AN26,VLOOKUP($CZ27,'Audit Values'!$A$2:$BW$353,61,FALSE))</f>
        <v>53</v>
      </c>
      <c r="X27" s="95">
        <f>W27*'Weighting Factors'!$Q$8</f>
        <v>9.8000000000000007</v>
      </c>
      <c r="Y27" s="95">
        <f t="shared" si="11"/>
        <v>16.899999999999999</v>
      </c>
      <c r="Z27" s="276">
        <f>IF(ISNA(VLOOKUP($CZ27,'Audit Values'!$A$2:$BW$317,2,FALSE)),'Preliminary SO66'!AO26,VLOOKUP($CZ27,'Audit Values'!$A$2:$BW$317,60,FALSE))</f>
        <v>0</v>
      </c>
      <c r="AA27" s="95">
        <f>Z27/6*'Weighting Factors'!$Q$6</f>
        <v>0</v>
      </c>
      <c r="AB27" s="99">
        <f>IF(ISNA(VLOOKUP($CZ27,'Audit Values'!$A$2:$BU$353,2,FALSE)),'Preliminary SO66'!AS26,VLOOKUP($CZ27,'Audit Values'!$A$2:$BU$353,63,FALSE))</f>
        <v>167</v>
      </c>
      <c r="AC27" s="99">
        <v>0</v>
      </c>
      <c r="AD27" s="99">
        <f>IF(ISNA(VLOOKUP($CZ27,'Audit Values'!$A$2:$BU$353,2,FALSE)),'Preliminary SO66'!AP26,VLOOKUP($CZ27,'Audit Values'!$A$2:$BU$353,64,FALSE))</f>
        <v>84</v>
      </c>
      <c r="AE27" s="95">
        <f>IF(A27=207, AD27,MAX(AC27,AD27))*'Weighting Factors'!$Q$9</f>
        <v>40.700000000000003</v>
      </c>
      <c r="AF27" s="95">
        <f t="shared" si="12"/>
        <v>8.8000000000000007</v>
      </c>
      <c r="AG27" s="95">
        <f>IF(ISNA(VLOOKUP($CZ27,'Audit Values'!$A$2:$BW$353,2,FALSE)),'Preliminary SO66'!AG26,VLOOKUP($CZ27,'Audit Values'!$A$2:$BW$353,70,FALSE))</f>
        <v>8.8000000000000007</v>
      </c>
      <c r="AH27" s="95">
        <f t="shared" si="13"/>
        <v>8.8000000000000007</v>
      </c>
      <c r="AI27" s="95">
        <f>IF(ISNA(VLOOKUP($CZ27,'Audit Values'!$A$2:$BU$353,2,FALSE)),'Preliminary SO66'!AQ26,VLOOKUP($CZ27,'Audit Values'!$A$2:$BU$353,65,FALSE))</f>
        <v>0</v>
      </c>
      <c r="AJ27" s="95">
        <f>AI27*'Weighting Factors'!$Q$10</f>
        <v>0</v>
      </c>
      <c r="AK27" s="95">
        <f>IF(ISNA(VLOOKUP($CZ27,'Audit Values'!$A$2:$BU$353,2,FALSE)),'Preliminary SO66'!AR26,VLOOKUP($CZ27,'Audit Values'!$A$2:$BU$353,66,FALSE))</f>
        <v>39</v>
      </c>
      <c r="AL27" s="95"/>
      <c r="AM27" s="99">
        <f t="shared" si="14"/>
        <v>51480</v>
      </c>
      <c r="AN27" s="99">
        <v>69721</v>
      </c>
      <c r="AO27" s="95">
        <f>MAX(AN27, AM27)/'Weighting Factors'!$Q$5</f>
        <v>16.7</v>
      </c>
      <c r="AP27" s="95">
        <f>CN27/'Weighting Factors'!$Q$5</f>
        <v>0</v>
      </c>
      <c r="AQ27" s="95">
        <v>0</v>
      </c>
      <c r="AR27" s="95">
        <f>CS27/'Weighting Factors'!$Q$5</f>
        <v>0</v>
      </c>
      <c r="AS27" s="99">
        <v>119666</v>
      </c>
      <c r="AT27" s="95">
        <f>AS27/'Weighting Factors'!$Q$5</f>
        <v>28.7</v>
      </c>
      <c r="AU27" s="95">
        <f>IF(ISNA(VLOOKUP($CZ27,'Audit Values'!$A$2:$BU$353,2,FALSE)),'Preliminary SO66'!X26,VLOOKUP($CZ27,'Audit Values'!$A$2:$BU$353,47,FALSE))</f>
        <v>0</v>
      </c>
      <c r="AV27" s="95">
        <f t="shared" si="15"/>
        <v>435.5</v>
      </c>
      <c r="AW27" s="95">
        <f t="shared" si="16"/>
        <v>406.8</v>
      </c>
      <c r="AX27" s="95">
        <f>IF(ISNA(VLOOKUP($CZ27,'Audit Values'!$A$2:$BU$353,2,FALSE)),'Preliminary SO66'!AA26,VLOOKUP($CZ27,'Audit Values'!$A$2:$BU$353,41,FALSE))</f>
        <v>0</v>
      </c>
      <c r="AY27" s="95">
        <f>IF(ISNA(VLOOKUP($CZ27,'Audit Values'!$A$2:$BU$353,2,FALSE)),'Preliminary SO66'!AB26,VLOOKUP($CZ27,'Audit Values'!$A$2:$BU$353,42,FALSE))</f>
        <v>0</v>
      </c>
      <c r="AZ27" s="114">
        <v>0</v>
      </c>
      <c r="BA27" s="99">
        <f>SUM(AX27*'Weighting Factors'!$T$10)+('2019 Legal Max'!AY27*'Weighting Factors'!$T$11)+('2019 Legal Max'!AZ27*'Weighting Factors'!$T$12)</f>
        <v>0</v>
      </c>
      <c r="BB27" s="158">
        <v>0</v>
      </c>
      <c r="BC27" s="88">
        <f>IF(ISNA(VLOOKUP($CZ27,'Audit Values'!$A$2:$BU$353,2,FALSE)),"",IF(AND('Weighting Factors'!H27&gt;0,VLOOKUP($CZ27,'Audit Values'!$A$2:$BU$353,51,FALSE)&lt;'Weighting Factors'!H27),'Weighting Factors'!H27,VLOOKUP($CZ27,'Audit Values'!$A$2:$BU$353,50,FALSE)))</f>
        <v>15</v>
      </c>
      <c r="BD27" s="88" t="str">
        <f>IF(ISNA(VLOOKUP($CZ27,'Audit Values'!$A$2:$BV$353,2,FALSE)),"",VLOOKUP($CZ27,'Audit Values'!$A$2:$BV$353,51,FALSE))</f>
        <v>A</v>
      </c>
      <c r="BE27" s="88" t="str">
        <f>IF('Weighting Factors'!H27="","",IF('Weighting Factors'!J27="Pending","PX","R"))</f>
        <v/>
      </c>
      <c r="BF27" s="97">
        <f>SUM((S27+T27+Y27+AA27+AE27+AH27+AJ27++AO27+AP27+AQ27+AU27+AR27)*'Weighting Factors'!$Q$5)+'2019 Legal Max'!BA27+'2019 Legal Max'!BB27</f>
        <v>1694322</v>
      </c>
      <c r="BG27" s="99">
        <f>SUM((AV27+AR27)*'Weighting Factors'!$Q$5)+BA27+'2019 Legal Max'!BB27</f>
        <v>1813858</v>
      </c>
      <c r="BH27" s="108">
        <f>IF('Weighting Factors'!H27&gt;0,'Weighting Factors'!H27,'Preliminary SO66'!AV26)</f>
        <v>1862172</v>
      </c>
      <c r="BI27" s="99">
        <f t="shared" si="40"/>
        <v>1813858</v>
      </c>
      <c r="BJ27" s="112"/>
      <c r="BK27" s="112">
        <f>'Weighting Factors'!F27</f>
        <v>0</v>
      </c>
      <c r="BL27" s="112">
        <f>'Weighting Factors'!E27</f>
        <v>0</v>
      </c>
      <c r="BM27" s="99">
        <f t="shared" si="17"/>
        <v>0</v>
      </c>
      <c r="BN27" s="99">
        <f t="shared" si="18"/>
        <v>1813858</v>
      </c>
      <c r="BO27" s="99">
        <f>SUM((S27+T27+Y27+AA27+AE27+AH27+AJ27++AO27+AP27+AQ27+AR27)*'Weighting Factors'!Q$12)+(MAX(AS27,'Weighting Factors'!B27))</f>
        <v>1964693</v>
      </c>
      <c r="BP27" s="122">
        <v>0.33</v>
      </c>
      <c r="BQ27" s="99">
        <f t="shared" si="19"/>
        <v>648349</v>
      </c>
      <c r="BR27" s="108">
        <v>658901</v>
      </c>
      <c r="BS27" s="99">
        <f t="shared" si="20"/>
        <v>648349</v>
      </c>
      <c r="BT27" s="167">
        <f t="shared" si="21"/>
        <v>0.33</v>
      </c>
      <c r="BU27" s="95">
        <f t="shared" si="22"/>
        <v>0</v>
      </c>
      <c r="BV27" s="87" t="b">
        <f t="shared" si="23"/>
        <v>1</v>
      </c>
      <c r="BW27" s="117">
        <f t="shared" si="24"/>
        <v>767.57299999999998</v>
      </c>
      <c r="BX27" s="116">
        <f t="shared" si="25"/>
        <v>0.80359800000000003</v>
      </c>
      <c r="BY27" s="95">
        <f t="shared" si="26"/>
        <v>144.19999999999999</v>
      </c>
      <c r="BZ27" s="87" t="b">
        <f t="shared" si="27"/>
        <v>0</v>
      </c>
      <c r="CA27" s="87">
        <f t="shared" si="28"/>
        <v>0</v>
      </c>
      <c r="CB27" s="116">
        <f t="shared" si="29"/>
        <v>0</v>
      </c>
      <c r="CC27" s="95">
        <f t="shared" si="30"/>
        <v>0</v>
      </c>
      <c r="CD27" s="95">
        <f t="shared" si="31"/>
        <v>0</v>
      </c>
      <c r="CE27" s="98">
        <v>223</v>
      </c>
      <c r="CF27" s="250">
        <f t="shared" si="32"/>
        <v>0.17499999999999999</v>
      </c>
      <c r="CG27" s="274">
        <f>IF(CF27&lt;0.06,1,IF(CF27&gt;=18.29,52,MATCH(CF27-0.001,'Weighting Factors'!$Y$5:$Y$156)+1))</f>
        <v>13</v>
      </c>
      <c r="CH27" s="243">
        <f>VLOOKUP(CG27, 'Weighting Factors'!$W$5:$Z$56,4)</f>
        <v>1320</v>
      </c>
      <c r="CI27" s="118">
        <f>('Weighting Factors'!$Q$5/'Weighting Factors'!$Q$14)</f>
        <v>1</v>
      </c>
      <c r="CJ27" s="245">
        <f t="shared" si="33"/>
        <v>51480</v>
      </c>
      <c r="CK27" s="245">
        <f>CJ27*'Weighting Factors'!$S$7</f>
        <v>51480</v>
      </c>
      <c r="CL27" s="245">
        <f t="shared" si="34"/>
        <v>51480</v>
      </c>
      <c r="CM27" s="95">
        <f>AM27/'Weighting Factors'!$Q$5</f>
        <v>12.4</v>
      </c>
      <c r="CN27" s="148">
        <v>0</v>
      </c>
      <c r="CO27" s="148">
        <v>0</v>
      </c>
      <c r="CP27" s="149">
        <v>0</v>
      </c>
      <c r="CQ27" s="151">
        <v>0</v>
      </c>
      <c r="CR27" s="99">
        <f>SUM((AV27*'Weighting Factors'!$Q$5)+'2019 Legal Max'!BA27)*CQ27</f>
        <v>0</v>
      </c>
      <c r="CS27" s="99">
        <f t="shared" si="35"/>
        <v>0</v>
      </c>
      <c r="CT27" s="106">
        <f t="shared" si="36"/>
        <v>0.503</v>
      </c>
      <c r="CU27" s="95">
        <f t="shared" si="37"/>
        <v>8.8000000000000007</v>
      </c>
      <c r="CV27" s="95">
        <f t="shared" si="38"/>
        <v>0</v>
      </c>
      <c r="CW27" s="95">
        <f t="shared" si="39"/>
        <v>435.5</v>
      </c>
      <c r="CX27" s="99">
        <f>'LOB Transfers'!G26</f>
        <v>61074</v>
      </c>
      <c r="CY27" s="99">
        <f>'LOB Transfers'!J26</f>
        <v>25350</v>
      </c>
      <c r="CZ27" s="87" t="s">
        <v>219</v>
      </c>
    </row>
    <row r="28" spans="1:104" ht="15" customHeight="1">
      <c r="A28" s="88">
        <v>210</v>
      </c>
      <c r="B28" s="87" t="s">
        <v>13</v>
      </c>
      <c r="C28" s="87" t="s">
        <v>541</v>
      </c>
      <c r="D28" s="95">
        <v>1010.4</v>
      </c>
      <c r="E28" s="95">
        <v>0</v>
      </c>
      <c r="F28" s="95">
        <f t="shared" si="5"/>
        <v>1010.4</v>
      </c>
      <c r="G28" s="95">
        <v>995.6</v>
      </c>
      <c r="H28" s="95">
        <v>0</v>
      </c>
      <c r="I28" s="95">
        <f t="shared" si="6"/>
        <v>995.6</v>
      </c>
      <c r="J28" s="95">
        <v>959.1</v>
      </c>
      <c r="K28" s="95">
        <v>0</v>
      </c>
      <c r="L28" s="95">
        <f t="shared" si="7"/>
        <v>959.1</v>
      </c>
      <c r="M28" s="95">
        <f>IF(ISNA(VLOOKUP($CZ28,'Audit Values'!$A$2:$BW$365,2,FALSE)),'Preliminary SO66'!C27,VLOOKUP($CZ28,'Audit Values'!$A$2:$BW$365,73,FALSE))</f>
        <v>999.8</v>
      </c>
      <c r="N28" s="95">
        <f>IF(ISNA(VLOOKUP($CZ28,'Audit Values'!$A$2:$BW$365,2,FALSE)),'Preliminary SO66'!F27,VLOOKUP($CZ28,'Audit Values'!$A$2:$BW$365,4,FALSE))</f>
        <v>0</v>
      </c>
      <c r="O28" s="95">
        <f t="shared" si="8"/>
        <v>999.8</v>
      </c>
      <c r="P28" s="95">
        <f>IF('Military Provision'!J29="YES", MAX('2019 Legal Max'!L28,'2019 Legal Max'!I28,AVERAGE('2019 Legal Max'!F28,'2019 Legal Max'!I28,'2019 Legal Max'!L28)), MAX(L28, I28))</f>
        <v>995.6</v>
      </c>
      <c r="Q28" s="95">
        <f>IF(ISNA(VLOOKUP($CZ28,'Audit Values'!$A$2:$BU$353,2,FALSE)),'Preliminary SO66'!AL27,VLOOKUP($CZ28,'Audit Values'!$A$2:$BU$3955,58,FALSE))</f>
        <v>13</v>
      </c>
      <c r="R28" s="95">
        <v>0</v>
      </c>
      <c r="S28" s="95">
        <f t="shared" si="41"/>
        <v>1008.6</v>
      </c>
      <c r="T28" s="95">
        <f t="shared" si="10"/>
        <v>245.5</v>
      </c>
      <c r="U28" s="95">
        <f>IF(ISNA(VLOOKUP($CZ28,'Audit Values'!$A$2:$BW$317,2,FALSE)),'Preliminary SO66'!AM27,VLOOKUP($CZ28,'Audit Values'!$A$2:$BW$317,62,FALSE))</f>
        <v>1300.7</v>
      </c>
      <c r="V28" s="95">
        <f>(U28/6)*'Weighting Factors'!$Q$7</f>
        <v>85.6</v>
      </c>
      <c r="W28" s="132">
        <f>IF(ISNA(VLOOKUP($CZ28,'Audit Values'!$A$2:$BW$353,2,FALSE)),'Preliminary SO66'!AN27,VLOOKUP($CZ28,'Audit Values'!$A$2:$BW$353,61,FALSE))</f>
        <v>346</v>
      </c>
      <c r="X28" s="95">
        <f>W28*'Weighting Factors'!$Q$8</f>
        <v>64</v>
      </c>
      <c r="Y28" s="95">
        <f t="shared" si="11"/>
        <v>85.6</v>
      </c>
      <c r="Z28" s="276">
        <f>IF(ISNA(VLOOKUP($CZ28,'Audit Values'!$A$2:$BW$317,2,FALSE)),'Preliminary SO66'!AO27,VLOOKUP($CZ28,'Audit Values'!$A$2:$BW$317,60,FALSE))</f>
        <v>242.4</v>
      </c>
      <c r="AA28" s="95">
        <f>Z28/6*'Weighting Factors'!$Q$6</f>
        <v>20.2</v>
      </c>
      <c r="AB28" s="99">
        <f>IF(ISNA(VLOOKUP($CZ28,'Audit Values'!$A$2:$BU$353,2,FALSE)),'Preliminary SO66'!AS27,VLOOKUP($CZ28,'Audit Values'!$A$2:$BU$353,63,FALSE))</f>
        <v>1036</v>
      </c>
      <c r="AC28" s="99">
        <v>0</v>
      </c>
      <c r="AD28" s="99">
        <f>IF(ISNA(VLOOKUP($CZ28,'Audit Values'!$A$2:$BU$353,2,FALSE)),'Preliminary SO66'!AP27,VLOOKUP($CZ28,'Audit Values'!$A$2:$BU$353,64,FALSE))</f>
        <v>461</v>
      </c>
      <c r="AE28" s="95">
        <f>IF(A28=207, AD28,MAX(AC28,AD28))*'Weighting Factors'!$Q$9</f>
        <v>223.1</v>
      </c>
      <c r="AF28" s="95">
        <f t="shared" si="12"/>
        <v>30.7</v>
      </c>
      <c r="AG28" s="95">
        <f>IF(ISNA(VLOOKUP($CZ28,'Audit Values'!$A$2:$BW$353,2,FALSE)),'Preliminary SO66'!AG27,VLOOKUP($CZ28,'Audit Values'!$A$2:$BW$353,70,FALSE))</f>
        <v>34</v>
      </c>
      <c r="AH28" s="95">
        <f t="shared" si="13"/>
        <v>34</v>
      </c>
      <c r="AI28" s="95">
        <f>IF(ISNA(VLOOKUP($CZ28,'Audit Values'!$A$2:$BU$353,2,FALSE)),'Preliminary SO66'!AQ27,VLOOKUP($CZ28,'Audit Values'!$A$2:$BU$353,65,FALSE))</f>
        <v>0</v>
      </c>
      <c r="AJ28" s="95">
        <f>AI28*'Weighting Factors'!$Q$10</f>
        <v>0</v>
      </c>
      <c r="AK28" s="95">
        <f>IF(ISNA(VLOOKUP($CZ28,'Audit Values'!$A$2:$BU$353,2,FALSE)),'Preliminary SO66'!AR27,VLOOKUP($CZ28,'Audit Values'!$A$2:$BU$353,66,FALSE))</f>
        <v>137</v>
      </c>
      <c r="AL28" s="95"/>
      <c r="AM28" s="99">
        <f t="shared" si="14"/>
        <v>171250</v>
      </c>
      <c r="AN28" s="99">
        <v>245372</v>
      </c>
      <c r="AO28" s="95">
        <f>MAX(AN28, AM28)/'Weighting Factors'!$Q$5</f>
        <v>58.9</v>
      </c>
      <c r="AP28" s="95">
        <f>CN28/'Weighting Factors'!$Q$5</f>
        <v>0</v>
      </c>
      <c r="AQ28" s="95">
        <v>0</v>
      </c>
      <c r="AR28" s="95">
        <f>CS28/'Weighting Factors'!$Q$5</f>
        <v>0</v>
      </c>
      <c r="AS28" s="99">
        <v>595152</v>
      </c>
      <c r="AT28" s="95">
        <f>AS28/'Weighting Factors'!$Q$5</f>
        <v>142.9</v>
      </c>
      <c r="AU28" s="95">
        <f>IF(ISNA(VLOOKUP($CZ28,'Audit Values'!$A$2:$BU$353,2,FALSE)),'Preliminary SO66'!X27,VLOOKUP($CZ28,'Audit Values'!$A$2:$BU$353,47,FALSE))</f>
        <v>0</v>
      </c>
      <c r="AV28" s="95">
        <f t="shared" si="15"/>
        <v>1818.8</v>
      </c>
      <c r="AW28" s="95">
        <f t="shared" si="16"/>
        <v>1675.9</v>
      </c>
      <c r="AX28" s="95">
        <f>IF(ISNA(VLOOKUP($CZ28,'Audit Values'!$A$2:$BU$353,2,FALSE)),'Preliminary SO66'!AA27,VLOOKUP($CZ28,'Audit Values'!$A$2:$BU$353,41,FALSE))</f>
        <v>4</v>
      </c>
      <c r="AY28" s="95">
        <f>IF(ISNA(VLOOKUP($CZ28,'Audit Values'!$A$2:$BU$353,2,FALSE)),'Preliminary SO66'!AB27,VLOOKUP($CZ28,'Audit Values'!$A$2:$BU$353,42,FALSE))</f>
        <v>0</v>
      </c>
      <c r="AZ28" s="114">
        <v>41</v>
      </c>
      <c r="BA28" s="99">
        <f>SUM(AX28*'Weighting Factors'!$T$10)+('2019 Legal Max'!AY28*'Weighting Factors'!$T$11)+('2019 Legal Max'!AZ28*'Weighting Factors'!$T$12)</f>
        <v>49069</v>
      </c>
      <c r="BB28" s="158">
        <v>0</v>
      </c>
      <c r="BC28" s="88">
        <f>IF(ISNA(VLOOKUP($CZ28,'Audit Values'!$A$2:$BU$353,2,FALSE)),"",IF(AND('Weighting Factors'!H28&gt;0,VLOOKUP($CZ28,'Audit Values'!$A$2:$BU$353,51,FALSE)&lt;'Weighting Factors'!H28),'Weighting Factors'!H28,VLOOKUP($CZ28,'Audit Values'!$A$2:$BU$353,50,FALSE)))</f>
        <v>17</v>
      </c>
      <c r="BD28" s="88" t="str">
        <f>IF(ISNA(VLOOKUP($CZ28,'Audit Values'!$A$2:$BV$353,2,FALSE)),"",VLOOKUP($CZ28,'Audit Values'!$A$2:$BV$353,51,FALSE))</f>
        <v>A</v>
      </c>
      <c r="BE28" s="88" t="str">
        <f>IF('Weighting Factors'!H28="","",IF('Weighting Factors'!J28="Pending","PX","R"))</f>
        <v/>
      </c>
      <c r="BF28" s="97">
        <f>SUM((S28+T28+Y28+AA28+AE28+AH28+AJ28++AO28+AP28+AQ28+AU28+AR28)*'Weighting Factors'!$Q$5)+'2019 Legal Max'!BA28+'2019 Legal Max'!BB28</f>
        <v>7029193</v>
      </c>
      <c r="BG28" s="99">
        <f>SUM((AV28+AR28)*'Weighting Factors'!$Q$5)+BA28+'2019 Legal Max'!BB28</f>
        <v>7624371</v>
      </c>
      <c r="BH28" s="108">
        <f>IF('Weighting Factors'!H28&gt;0,'Weighting Factors'!H28,'Preliminary SO66'!AV27)</f>
        <v>7846670</v>
      </c>
      <c r="BI28" s="99">
        <f t="shared" si="40"/>
        <v>7624371</v>
      </c>
      <c r="BJ28" s="112"/>
      <c r="BK28" s="112">
        <f>'Weighting Factors'!F28</f>
        <v>0</v>
      </c>
      <c r="BL28" s="112">
        <f>'Weighting Factors'!E28</f>
        <v>0</v>
      </c>
      <c r="BM28" s="99">
        <f t="shared" si="17"/>
        <v>0</v>
      </c>
      <c r="BN28" s="99">
        <f t="shared" si="18"/>
        <v>7624371</v>
      </c>
      <c r="BO28" s="99">
        <f>SUM((S28+T28+Y28+AA28+AE28+AH28+AJ28++AO28+AP28+AQ28+AR28)*'Weighting Factors'!Q$12)+(MAX(AS28,'Weighting Factors'!B28))</f>
        <v>8147570</v>
      </c>
      <c r="BP28" s="122">
        <v>0.3</v>
      </c>
      <c r="BQ28" s="99">
        <f t="shared" si="19"/>
        <v>2444271</v>
      </c>
      <c r="BR28" s="108">
        <v>2515057</v>
      </c>
      <c r="BS28" s="99">
        <f t="shared" si="20"/>
        <v>2444271</v>
      </c>
      <c r="BT28" s="167">
        <f t="shared" si="21"/>
        <v>0.3</v>
      </c>
      <c r="BU28" s="95">
        <f t="shared" si="22"/>
        <v>0</v>
      </c>
      <c r="BV28" s="87" t="b">
        <f t="shared" si="23"/>
        <v>0</v>
      </c>
      <c r="BW28" s="117">
        <f t="shared" si="24"/>
        <v>0</v>
      </c>
      <c r="BX28" s="116">
        <f t="shared" si="25"/>
        <v>0</v>
      </c>
      <c r="BY28" s="95">
        <f t="shared" si="26"/>
        <v>0</v>
      </c>
      <c r="BZ28" s="87" t="b">
        <f t="shared" si="27"/>
        <v>1</v>
      </c>
      <c r="CA28" s="87">
        <f t="shared" si="28"/>
        <v>876.89250000000004</v>
      </c>
      <c r="CB28" s="116">
        <f t="shared" si="29"/>
        <v>0.24343999999999999</v>
      </c>
      <c r="CC28" s="95">
        <f t="shared" si="30"/>
        <v>245.5</v>
      </c>
      <c r="CD28" s="95">
        <f t="shared" si="31"/>
        <v>0</v>
      </c>
      <c r="CE28" s="98">
        <v>575</v>
      </c>
      <c r="CF28" s="250">
        <f t="shared" si="32"/>
        <v>0.23799999999999999</v>
      </c>
      <c r="CG28" s="274">
        <f>IF(CF28&lt;0.06,1,IF(CF28&gt;=18.29,52,MATCH(CF28-0.001,'Weighting Factors'!$Y$5:$Y$156)+1))</f>
        <v>17</v>
      </c>
      <c r="CH28" s="243">
        <f>VLOOKUP(CG28, 'Weighting Factors'!$W$5:$Z$56,4)</f>
        <v>1250</v>
      </c>
      <c r="CI28" s="118">
        <f>('Weighting Factors'!$Q$5/'Weighting Factors'!$Q$14)</f>
        <v>1</v>
      </c>
      <c r="CJ28" s="245">
        <f t="shared" si="33"/>
        <v>171250</v>
      </c>
      <c r="CK28" s="245">
        <f>CJ28*'Weighting Factors'!$S$7</f>
        <v>171250</v>
      </c>
      <c r="CL28" s="245">
        <f t="shared" si="34"/>
        <v>171250</v>
      </c>
      <c r="CM28" s="95">
        <f>AM28/'Weighting Factors'!$Q$5</f>
        <v>41.1</v>
      </c>
      <c r="CN28" s="148">
        <v>0</v>
      </c>
      <c r="CO28" s="148">
        <v>0</v>
      </c>
      <c r="CP28" s="149">
        <v>0</v>
      </c>
      <c r="CQ28" s="151">
        <v>0</v>
      </c>
      <c r="CR28" s="99">
        <f>SUM((AV28*'Weighting Factors'!$Q$5)+'2019 Legal Max'!BA28)*CQ28</f>
        <v>0</v>
      </c>
      <c r="CS28" s="99">
        <f t="shared" si="35"/>
        <v>0</v>
      </c>
      <c r="CT28" s="106">
        <f t="shared" si="36"/>
        <v>0.44500000000000001</v>
      </c>
      <c r="CU28" s="95">
        <f t="shared" si="37"/>
        <v>0</v>
      </c>
      <c r="CV28" s="95">
        <f t="shared" si="38"/>
        <v>30.7</v>
      </c>
      <c r="CW28" s="95">
        <f t="shared" si="39"/>
        <v>1818.8</v>
      </c>
      <c r="CX28" s="99">
        <f>'LOB Transfers'!G27</f>
        <v>301867</v>
      </c>
      <c r="CY28" s="99">
        <f>'LOB Transfers'!J27</f>
        <v>115858</v>
      </c>
      <c r="CZ28" s="87" t="s">
        <v>220</v>
      </c>
    </row>
    <row r="29" spans="1:104" ht="15" customHeight="1">
      <c r="A29" s="88">
        <v>211</v>
      </c>
      <c r="B29" s="87" t="s">
        <v>14</v>
      </c>
      <c r="C29" s="87" t="s">
        <v>542</v>
      </c>
      <c r="D29" s="95">
        <v>677.7</v>
      </c>
      <c r="E29" s="95">
        <v>0</v>
      </c>
      <c r="F29" s="95">
        <f t="shared" si="5"/>
        <v>677.7</v>
      </c>
      <c r="G29" s="95">
        <v>659</v>
      </c>
      <c r="H29" s="95">
        <v>0</v>
      </c>
      <c r="I29" s="95">
        <f t="shared" si="6"/>
        <v>659</v>
      </c>
      <c r="J29" s="95">
        <v>675.1</v>
      </c>
      <c r="K29" s="95">
        <v>0</v>
      </c>
      <c r="L29" s="95">
        <f t="shared" si="7"/>
        <v>675.1</v>
      </c>
      <c r="M29" s="95">
        <f>IF(ISNA(VLOOKUP($CZ29,'Audit Values'!$A$2:$BW$365,2,FALSE)),'Preliminary SO66'!C28,VLOOKUP($CZ29,'Audit Values'!$A$2:$BW$365,73,FALSE))</f>
        <v>672</v>
      </c>
      <c r="N29" s="95">
        <f>IF(ISNA(VLOOKUP($CZ29,'Audit Values'!$A$2:$BW$365,2,FALSE)),'Preliminary SO66'!F28,VLOOKUP($CZ29,'Audit Values'!$A$2:$BW$365,4,FALSE))</f>
        <v>0</v>
      </c>
      <c r="O29" s="95">
        <f t="shared" si="8"/>
        <v>672</v>
      </c>
      <c r="P29" s="95">
        <f>IF('Military Provision'!J30="YES", MAX('2019 Legal Max'!L29,'2019 Legal Max'!I29,AVERAGE('2019 Legal Max'!F29,'2019 Legal Max'!I29,'2019 Legal Max'!L29)), MAX(L29, I29))</f>
        <v>675.1</v>
      </c>
      <c r="Q29" s="95">
        <f>IF(ISNA(VLOOKUP($CZ29,'Audit Values'!$A$2:$BU$353,2,FALSE)),'Preliminary SO66'!AL28,VLOOKUP($CZ29,'Audit Values'!$A$2:$BU$3955,58,FALSE))</f>
        <v>0</v>
      </c>
      <c r="R29" s="95">
        <v>0</v>
      </c>
      <c r="S29" s="95">
        <f t="shared" si="41"/>
        <v>675.1</v>
      </c>
      <c r="T29" s="95">
        <f t="shared" si="10"/>
        <v>240.8</v>
      </c>
      <c r="U29" s="95">
        <f>IF(ISNA(VLOOKUP($CZ29,'Audit Values'!$A$2:$BW$317,2,FALSE)),'Preliminary SO66'!AM28,VLOOKUP($CZ29,'Audit Values'!$A$2:$BW$317,62,FALSE))</f>
        <v>0</v>
      </c>
      <c r="V29" s="95">
        <f>(U29/6)*'Weighting Factors'!$Q$7</f>
        <v>0</v>
      </c>
      <c r="W29" s="132">
        <f>IF(ISNA(VLOOKUP($CZ29,'Audit Values'!$A$2:$BW$353,2,FALSE)),'Preliminary SO66'!AN28,VLOOKUP($CZ29,'Audit Values'!$A$2:$BW$353,61,FALSE))</f>
        <v>3</v>
      </c>
      <c r="X29" s="95">
        <f>W29*'Weighting Factors'!$Q$8</f>
        <v>0.6</v>
      </c>
      <c r="Y29" s="95">
        <f t="shared" si="11"/>
        <v>0.6</v>
      </c>
      <c r="Z29" s="276">
        <f>IF(ISNA(VLOOKUP($CZ29,'Audit Values'!$A$2:$BW$317,2,FALSE)),'Preliminary SO66'!AO28,VLOOKUP($CZ29,'Audit Values'!$A$2:$BW$317,60,FALSE))</f>
        <v>100.2</v>
      </c>
      <c r="AA29" s="95">
        <f>Z29/6*'Weighting Factors'!$Q$6</f>
        <v>8.4</v>
      </c>
      <c r="AB29" s="99">
        <f>IF(ISNA(VLOOKUP($CZ29,'Audit Values'!$A$2:$BU$353,2,FALSE)),'Preliminary SO66'!AS28,VLOOKUP($CZ29,'Audit Values'!$A$2:$BU$353,63,FALSE))</f>
        <v>680</v>
      </c>
      <c r="AC29" s="99">
        <v>0</v>
      </c>
      <c r="AD29" s="99">
        <f>IF(ISNA(VLOOKUP($CZ29,'Audit Values'!$A$2:$BU$353,2,FALSE)),'Preliminary SO66'!AP28,VLOOKUP($CZ29,'Audit Values'!$A$2:$BU$353,64,FALSE))</f>
        <v>218</v>
      </c>
      <c r="AE29" s="95">
        <f>IF(A29=207, AD29,MAX(AC29,AD29))*'Weighting Factors'!$Q$9</f>
        <v>105.5</v>
      </c>
      <c r="AF29" s="95">
        <f t="shared" si="12"/>
        <v>0</v>
      </c>
      <c r="AG29" s="95">
        <f>IF(ISNA(VLOOKUP($CZ29,'Audit Values'!$A$2:$BW$353,2,FALSE)),'Preliminary SO66'!AG28,VLOOKUP($CZ29,'Audit Values'!$A$2:$BW$353,70,FALSE))</f>
        <v>3.3</v>
      </c>
      <c r="AH29" s="95">
        <f t="shared" si="13"/>
        <v>3.3</v>
      </c>
      <c r="AI29" s="95">
        <f>IF(ISNA(VLOOKUP($CZ29,'Audit Values'!$A$2:$BU$353,2,FALSE)),'Preliminary SO66'!AQ28,VLOOKUP($CZ29,'Audit Values'!$A$2:$BU$353,65,FALSE))</f>
        <v>25.1</v>
      </c>
      <c r="AJ29" s="95">
        <f>AI29*'Weighting Factors'!$Q$10</f>
        <v>6.3</v>
      </c>
      <c r="AK29" s="95">
        <f>IF(ISNA(VLOOKUP($CZ29,'Audit Values'!$A$2:$BU$353,2,FALSE)),'Preliminary SO66'!AR28,VLOOKUP($CZ29,'Audit Values'!$A$2:$BU$353,66,FALSE))</f>
        <v>136.5</v>
      </c>
      <c r="AL29" s="95"/>
      <c r="AM29" s="99">
        <f t="shared" si="14"/>
        <v>176085</v>
      </c>
      <c r="AN29" s="99">
        <v>220334</v>
      </c>
      <c r="AO29" s="95">
        <f>MAX(AN29, AM29)/'Weighting Factors'!$Q$5</f>
        <v>52.9</v>
      </c>
      <c r="AP29" s="95">
        <f>CN29/'Weighting Factors'!$Q$5</f>
        <v>0</v>
      </c>
      <c r="AQ29" s="95">
        <v>0</v>
      </c>
      <c r="AR29" s="95">
        <f>CS29/'Weighting Factors'!$Q$5</f>
        <v>0</v>
      </c>
      <c r="AS29" s="99">
        <v>815960</v>
      </c>
      <c r="AT29" s="95">
        <f>AS29/'Weighting Factors'!$Q$5</f>
        <v>195.9</v>
      </c>
      <c r="AU29" s="95">
        <f>IF(ISNA(VLOOKUP($CZ29,'Audit Values'!$A$2:$BU$353,2,FALSE)),'Preliminary SO66'!X28,VLOOKUP($CZ29,'Audit Values'!$A$2:$BU$353,47,FALSE))</f>
        <v>0</v>
      </c>
      <c r="AV29" s="95">
        <f t="shared" si="15"/>
        <v>1288.8</v>
      </c>
      <c r="AW29" s="95">
        <f t="shared" si="16"/>
        <v>1092.9000000000001</v>
      </c>
      <c r="AX29" s="95">
        <f>IF(ISNA(VLOOKUP($CZ29,'Audit Values'!$A$2:$BU$353,2,FALSE)),'Preliminary SO66'!AA28,VLOOKUP($CZ29,'Audit Values'!$A$2:$BU$353,41,FALSE))</f>
        <v>0</v>
      </c>
      <c r="AY29" s="95">
        <f>IF(ISNA(VLOOKUP($CZ29,'Audit Values'!$A$2:$BU$353,2,FALSE)),'Preliminary SO66'!AB28,VLOOKUP($CZ29,'Audit Values'!$A$2:$BU$353,42,FALSE))</f>
        <v>0</v>
      </c>
      <c r="AZ29" s="114">
        <v>0</v>
      </c>
      <c r="BA29" s="99">
        <f>SUM(AX29*'Weighting Factors'!$T$10)+('2019 Legal Max'!AY29*'Weighting Factors'!$T$11)+('2019 Legal Max'!AZ29*'Weighting Factors'!$T$12)</f>
        <v>0</v>
      </c>
      <c r="BB29" s="158">
        <v>0</v>
      </c>
      <c r="BC29" s="88">
        <f>IF(ISNA(VLOOKUP($CZ29,'Audit Values'!$A$2:$BU$353,2,FALSE)),"",IF(AND('Weighting Factors'!H29&gt;0,VLOOKUP($CZ29,'Audit Values'!$A$2:$BU$353,51,FALSE)&lt;'Weighting Factors'!H29),'Weighting Factors'!H29,VLOOKUP($CZ29,'Audit Values'!$A$2:$BU$353,50,FALSE)))</f>
        <v>18</v>
      </c>
      <c r="BD29" s="88" t="str">
        <f>IF(ISNA(VLOOKUP($CZ29,'Audit Values'!$A$2:$BV$353,2,FALSE)),"",VLOOKUP($CZ29,'Audit Values'!$A$2:$BV$353,51,FALSE))</f>
        <v>A</v>
      </c>
      <c r="BE29" s="88" t="str">
        <f>IF('Weighting Factors'!H29="","",IF('Weighting Factors'!J29="Pending","PX","R"))</f>
        <v/>
      </c>
      <c r="BF29" s="97">
        <f>SUM((S29+T29+Y29+AA29+AE29+AH29+AJ29++AO29+AP29+AQ29+AU29+AR29)*'Weighting Factors'!$Q$5)+'2019 Legal Max'!BA29+'2019 Legal Max'!BB29</f>
        <v>4551929</v>
      </c>
      <c r="BG29" s="99">
        <f>SUM((AV29+AR29)*'Weighting Factors'!$Q$5)+BA29+'2019 Legal Max'!BB29</f>
        <v>5367852</v>
      </c>
      <c r="BH29" s="108">
        <f>IF('Weighting Factors'!H29&gt;0,'Weighting Factors'!H29,'Preliminary SO66'!AV28)</f>
        <v>5535285</v>
      </c>
      <c r="BI29" s="99">
        <f t="shared" si="40"/>
        <v>5367852</v>
      </c>
      <c r="BJ29" s="112"/>
      <c r="BK29" s="112">
        <f>'Weighting Factors'!F29</f>
        <v>0</v>
      </c>
      <c r="BL29" s="112">
        <f>'Weighting Factors'!E29</f>
        <v>0</v>
      </c>
      <c r="BM29" s="99">
        <f t="shared" si="17"/>
        <v>0</v>
      </c>
      <c r="BN29" s="99">
        <f t="shared" si="18"/>
        <v>5367852</v>
      </c>
      <c r="BO29" s="99">
        <f>SUM((S29+T29+Y29+AA29+AE29+AH29+AJ29++AO29+AP29+AQ29+AR29)*'Weighting Factors'!Q$12)+(MAX(AS29,'Weighting Factors'!B29))</f>
        <v>5773655</v>
      </c>
      <c r="BP29" s="122">
        <v>0.3</v>
      </c>
      <c r="BQ29" s="99">
        <f t="shared" si="19"/>
        <v>1732097</v>
      </c>
      <c r="BR29" s="108">
        <v>1767880</v>
      </c>
      <c r="BS29" s="99">
        <f t="shared" si="20"/>
        <v>1732097</v>
      </c>
      <c r="BT29" s="167">
        <f t="shared" si="21"/>
        <v>0.3</v>
      </c>
      <c r="BU29" s="95">
        <f t="shared" si="22"/>
        <v>0</v>
      </c>
      <c r="BV29" s="87" t="b">
        <f t="shared" si="23"/>
        <v>0</v>
      </c>
      <c r="BW29" s="117">
        <f t="shared" si="24"/>
        <v>0</v>
      </c>
      <c r="BX29" s="116">
        <f t="shared" si="25"/>
        <v>0</v>
      </c>
      <c r="BY29" s="95">
        <f t="shared" si="26"/>
        <v>0</v>
      </c>
      <c r="BZ29" s="87" t="b">
        <f t="shared" si="27"/>
        <v>1</v>
      </c>
      <c r="CA29" s="87">
        <f t="shared" si="28"/>
        <v>464.18630000000002</v>
      </c>
      <c r="CB29" s="116">
        <f t="shared" si="29"/>
        <v>0.35674699999999998</v>
      </c>
      <c r="CC29" s="95">
        <f t="shared" si="30"/>
        <v>240.8</v>
      </c>
      <c r="CD29" s="95">
        <f t="shared" si="31"/>
        <v>0</v>
      </c>
      <c r="CE29" s="98">
        <v>678</v>
      </c>
      <c r="CF29" s="250">
        <f t="shared" si="32"/>
        <v>0.20100000000000001</v>
      </c>
      <c r="CG29" s="274">
        <f>IF(CF29&lt;0.06,1,IF(CF29&gt;=18.29,52,MATCH(CF29-0.001,'Weighting Factors'!$Y$5:$Y$156)+1))</f>
        <v>15</v>
      </c>
      <c r="CH29" s="243">
        <f>VLOOKUP(CG29, 'Weighting Factors'!$W$5:$Z$56,4)</f>
        <v>1290</v>
      </c>
      <c r="CI29" s="118">
        <f>('Weighting Factors'!$Q$5/'Weighting Factors'!$Q$14)</f>
        <v>1</v>
      </c>
      <c r="CJ29" s="245">
        <f t="shared" si="33"/>
        <v>176085</v>
      </c>
      <c r="CK29" s="245">
        <f>CJ29*'Weighting Factors'!$S$7</f>
        <v>176085</v>
      </c>
      <c r="CL29" s="245">
        <f t="shared" si="34"/>
        <v>176085</v>
      </c>
      <c r="CM29" s="95">
        <f>AM29/'Weighting Factors'!$Q$5</f>
        <v>42.3</v>
      </c>
      <c r="CN29" s="148">
        <v>0</v>
      </c>
      <c r="CO29" s="148">
        <v>0</v>
      </c>
      <c r="CP29" s="149">
        <v>0</v>
      </c>
      <c r="CQ29" s="151">
        <v>0</v>
      </c>
      <c r="CR29" s="99">
        <f>SUM((AV29*'Weighting Factors'!$Q$5)+'2019 Legal Max'!BA29)*CQ29</f>
        <v>0</v>
      </c>
      <c r="CS29" s="99">
        <f t="shared" si="35"/>
        <v>0</v>
      </c>
      <c r="CT29" s="106">
        <f t="shared" si="36"/>
        <v>0.3206</v>
      </c>
      <c r="CU29" s="95">
        <f t="shared" si="37"/>
        <v>0</v>
      </c>
      <c r="CV29" s="95">
        <f t="shared" si="38"/>
        <v>0</v>
      </c>
      <c r="CW29" s="95">
        <f t="shared" si="39"/>
        <v>1288.8</v>
      </c>
      <c r="CX29" s="99">
        <f>'LOB Transfers'!G28</f>
        <v>141859</v>
      </c>
      <c r="CY29" s="99">
        <f>'LOB Transfers'!J28</f>
        <v>866</v>
      </c>
      <c r="CZ29" s="87" t="s">
        <v>221</v>
      </c>
    </row>
    <row r="30" spans="1:104" ht="15" customHeight="1">
      <c r="A30" s="88">
        <v>212</v>
      </c>
      <c r="B30" s="87" t="s">
        <v>14</v>
      </c>
      <c r="C30" s="87" t="s">
        <v>543</v>
      </c>
      <c r="D30" s="95">
        <v>163</v>
      </c>
      <c r="E30" s="95">
        <v>0</v>
      </c>
      <c r="F30" s="95">
        <f t="shared" si="5"/>
        <v>163</v>
      </c>
      <c r="G30" s="95">
        <v>145</v>
      </c>
      <c r="H30" s="95">
        <v>0</v>
      </c>
      <c r="I30" s="95">
        <f t="shared" si="6"/>
        <v>145</v>
      </c>
      <c r="J30" s="95">
        <v>150.5</v>
      </c>
      <c r="K30" s="95">
        <v>0</v>
      </c>
      <c r="L30" s="95">
        <f t="shared" si="7"/>
        <v>150.5</v>
      </c>
      <c r="M30" s="95">
        <f>IF(ISNA(VLOOKUP($CZ30,'Audit Values'!$A$2:$BW$365,2,FALSE)),'Preliminary SO66'!C29,VLOOKUP($CZ30,'Audit Values'!$A$2:$BW$365,73,FALSE))</f>
        <v>144</v>
      </c>
      <c r="N30" s="95">
        <f>IF(ISNA(VLOOKUP($CZ30,'Audit Values'!$A$2:$BW$365,2,FALSE)),'Preliminary SO66'!F29,VLOOKUP($CZ30,'Audit Values'!$A$2:$BW$365,4,FALSE))</f>
        <v>0</v>
      </c>
      <c r="O30" s="95">
        <f t="shared" si="8"/>
        <v>144</v>
      </c>
      <c r="P30" s="95">
        <f>IF('Military Provision'!J31="YES", MAX('2019 Legal Max'!L30,'2019 Legal Max'!I30,AVERAGE('2019 Legal Max'!F30,'2019 Legal Max'!I30,'2019 Legal Max'!L30)), MAX(L30, I30))</f>
        <v>150.5</v>
      </c>
      <c r="Q30" s="95">
        <f>IF(ISNA(VLOOKUP($CZ30,'Audit Values'!$A$2:$BU$353,2,FALSE)),'Preliminary SO66'!AL29,VLOOKUP($CZ30,'Audit Values'!$A$2:$BU$3955,58,FALSE))</f>
        <v>2</v>
      </c>
      <c r="R30" s="95">
        <v>0</v>
      </c>
      <c r="S30" s="95">
        <f t="shared" si="41"/>
        <v>152.5</v>
      </c>
      <c r="T30" s="95">
        <f t="shared" si="10"/>
        <v>133.5</v>
      </c>
      <c r="U30" s="95">
        <f>IF(ISNA(VLOOKUP($CZ30,'Audit Values'!$A$2:$BW$317,2,FALSE)),'Preliminary SO66'!AM29,VLOOKUP($CZ30,'Audit Values'!$A$2:$BW$317,62,FALSE))</f>
        <v>0</v>
      </c>
      <c r="V30" s="95">
        <f>(U30/6)*'Weighting Factors'!$Q$7</f>
        <v>0</v>
      </c>
      <c r="W30" s="132">
        <f>IF(ISNA(VLOOKUP($CZ30,'Audit Values'!$A$2:$BW$353,2,FALSE)),'Preliminary SO66'!AN29,VLOOKUP($CZ30,'Audit Values'!$A$2:$BW$353,61,FALSE))</f>
        <v>0</v>
      </c>
      <c r="X30" s="95">
        <f>W30*'Weighting Factors'!$Q$8</f>
        <v>0</v>
      </c>
      <c r="Y30" s="95">
        <f t="shared" si="11"/>
        <v>0</v>
      </c>
      <c r="Z30" s="276">
        <f>IF(ISNA(VLOOKUP($CZ30,'Audit Values'!$A$2:$BW$317,2,FALSE)),'Preliminary SO66'!AO29,VLOOKUP($CZ30,'Audit Values'!$A$2:$BW$317,60,FALSE))</f>
        <v>77.2</v>
      </c>
      <c r="AA30" s="95">
        <f>Z30/6*'Weighting Factors'!$Q$6</f>
        <v>6.4</v>
      </c>
      <c r="AB30" s="99">
        <f>IF(ISNA(VLOOKUP($CZ30,'Audit Values'!$A$2:$BU$353,2,FALSE)),'Preliminary SO66'!AS29,VLOOKUP($CZ30,'Audit Values'!$A$2:$BU$353,63,FALSE))</f>
        <v>149</v>
      </c>
      <c r="AC30" s="99">
        <v>0</v>
      </c>
      <c r="AD30" s="99">
        <f>IF(ISNA(VLOOKUP($CZ30,'Audit Values'!$A$2:$BU$353,2,FALSE)),'Preliminary SO66'!AP29,VLOOKUP($CZ30,'Audit Values'!$A$2:$BU$353,64,FALSE))</f>
        <v>65</v>
      </c>
      <c r="AE30" s="95">
        <f>IF(A30=207, AD30,MAX(AC30,AD30))*'Weighting Factors'!$Q$9</f>
        <v>31.5</v>
      </c>
      <c r="AF30" s="95">
        <f t="shared" si="12"/>
        <v>3.9</v>
      </c>
      <c r="AG30" s="95">
        <f>IF(ISNA(VLOOKUP($CZ30,'Audit Values'!$A$2:$BW$353,2,FALSE)),'Preliminary SO66'!AG29,VLOOKUP($CZ30,'Audit Values'!$A$2:$BW$353,70,FALSE))</f>
        <v>4.3</v>
      </c>
      <c r="AH30" s="95">
        <f t="shared" si="13"/>
        <v>4.3</v>
      </c>
      <c r="AI30" s="95">
        <f>IF(ISNA(VLOOKUP($CZ30,'Audit Values'!$A$2:$BU$353,2,FALSE)),'Preliminary SO66'!AQ29,VLOOKUP($CZ30,'Audit Values'!$A$2:$BU$353,65,FALSE))</f>
        <v>0</v>
      </c>
      <c r="AJ30" s="95">
        <f>AI30*'Weighting Factors'!$Q$10</f>
        <v>0</v>
      </c>
      <c r="AK30" s="95">
        <f>IF(ISNA(VLOOKUP($CZ30,'Audit Values'!$A$2:$BU$353,2,FALSE)),'Preliminary SO66'!AR29,VLOOKUP($CZ30,'Audit Values'!$A$2:$BU$353,66,FALSE))</f>
        <v>31</v>
      </c>
      <c r="AL30" s="95"/>
      <c r="AM30" s="99">
        <f t="shared" si="14"/>
        <v>44330</v>
      </c>
      <c r="AN30" s="99">
        <v>124805</v>
      </c>
      <c r="AO30" s="95">
        <f>MAX(AN30, AM30)/'Weighting Factors'!$Q$5</f>
        <v>30</v>
      </c>
      <c r="AP30" s="95">
        <f>CN30/'Weighting Factors'!$Q$5</f>
        <v>0</v>
      </c>
      <c r="AQ30" s="95">
        <v>0</v>
      </c>
      <c r="AR30" s="95">
        <f>CS30/'Weighting Factors'!$Q$5</f>
        <v>0</v>
      </c>
      <c r="AS30" s="99">
        <v>180157</v>
      </c>
      <c r="AT30" s="95">
        <f>AS30/'Weighting Factors'!$Q$5</f>
        <v>43.3</v>
      </c>
      <c r="AU30" s="95">
        <f>IF(ISNA(VLOOKUP($CZ30,'Audit Values'!$A$2:$BU$353,2,FALSE)),'Preliminary SO66'!X29,VLOOKUP($CZ30,'Audit Values'!$A$2:$BU$353,47,FALSE))</f>
        <v>0</v>
      </c>
      <c r="AV30" s="95">
        <f t="shared" si="15"/>
        <v>401.5</v>
      </c>
      <c r="AW30" s="95">
        <f t="shared" si="16"/>
        <v>358.2</v>
      </c>
      <c r="AX30" s="95">
        <f>IF(ISNA(VLOOKUP($CZ30,'Audit Values'!$A$2:$BU$353,2,FALSE)),'Preliminary SO66'!AA29,VLOOKUP($CZ30,'Audit Values'!$A$2:$BU$353,41,FALSE))</f>
        <v>0</v>
      </c>
      <c r="AY30" s="95">
        <f>IF(ISNA(VLOOKUP($CZ30,'Audit Values'!$A$2:$BU$353,2,FALSE)),'Preliminary SO66'!AB29,VLOOKUP($CZ30,'Audit Values'!$A$2:$BU$353,42,FALSE))</f>
        <v>0</v>
      </c>
      <c r="AZ30" s="114">
        <v>0</v>
      </c>
      <c r="BA30" s="99">
        <f>SUM(AX30*'Weighting Factors'!$T$10)+('2019 Legal Max'!AY30*'Weighting Factors'!$T$11)+('2019 Legal Max'!AZ30*'Weighting Factors'!$T$12)</f>
        <v>0</v>
      </c>
      <c r="BB30" s="158">
        <v>0</v>
      </c>
      <c r="BC30" s="88">
        <f>IF(ISNA(VLOOKUP($CZ30,'Audit Values'!$A$2:$BU$353,2,FALSE)),"",IF(AND('Weighting Factors'!H30&gt;0,VLOOKUP($CZ30,'Audit Values'!$A$2:$BU$353,51,FALSE)&lt;'Weighting Factors'!H30),'Weighting Factors'!H30,VLOOKUP($CZ30,'Audit Values'!$A$2:$BU$353,50,FALSE)))</f>
        <v>17</v>
      </c>
      <c r="BD30" s="88" t="str">
        <f>IF(ISNA(VLOOKUP($CZ30,'Audit Values'!$A$2:$BV$353,2,FALSE)),"",VLOOKUP($CZ30,'Audit Values'!$A$2:$BV$353,51,FALSE))</f>
        <v>A</v>
      </c>
      <c r="BE30" s="88" t="str">
        <f>IF('Weighting Factors'!H30="","",IF('Weighting Factors'!J30="Pending","PX","R"))</f>
        <v/>
      </c>
      <c r="BF30" s="97">
        <f>SUM((S30+T30+Y30+AA30+AE30+AH30+AJ30++AO30+AP30+AQ30+AU30+AR30)*'Weighting Factors'!$Q$5)+'2019 Legal Max'!BA30+'2019 Legal Max'!BB30</f>
        <v>1491903</v>
      </c>
      <c r="BG30" s="99">
        <f>SUM((AV30+AR30)*'Weighting Factors'!$Q$5)+BA30+'2019 Legal Max'!BB30</f>
        <v>1672248</v>
      </c>
      <c r="BH30" s="108">
        <f>IF('Weighting Factors'!H30&gt;0,'Weighting Factors'!H30,'Preliminary SO66'!AV29)</f>
        <v>1741173</v>
      </c>
      <c r="BI30" s="99">
        <f t="shared" si="40"/>
        <v>1672248</v>
      </c>
      <c r="BJ30" s="112"/>
      <c r="BK30" s="112">
        <f>'Weighting Factors'!F30</f>
        <v>-3988</v>
      </c>
      <c r="BL30" s="112">
        <f>'Weighting Factors'!E30</f>
        <v>-2127</v>
      </c>
      <c r="BM30" s="99">
        <f t="shared" si="17"/>
        <v>-6115</v>
      </c>
      <c r="BN30" s="99">
        <f t="shared" si="18"/>
        <v>1666133</v>
      </c>
      <c r="BO30" s="99">
        <f>SUM((S30+T30+Y30+AA30+AE30+AH30+AJ30++AO30+AP30+AQ30+AR30)*'Weighting Factors'!Q$12)+(MAX(AS30,'Weighting Factors'!B30))</f>
        <v>1855418</v>
      </c>
      <c r="BP30" s="122">
        <v>0.3</v>
      </c>
      <c r="BQ30" s="99">
        <f t="shared" si="19"/>
        <v>556625</v>
      </c>
      <c r="BR30" s="108">
        <v>569287</v>
      </c>
      <c r="BS30" s="99">
        <f t="shared" si="20"/>
        <v>556625</v>
      </c>
      <c r="BT30" s="167">
        <f t="shared" si="21"/>
        <v>0.3</v>
      </c>
      <c r="BU30" s="95">
        <f t="shared" si="22"/>
        <v>0</v>
      </c>
      <c r="BV30" s="87" t="b">
        <f t="shared" si="23"/>
        <v>1</v>
      </c>
      <c r="BW30" s="117">
        <f t="shared" si="24"/>
        <v>506.88799999999998</v>
      </c>
      <c r="BX30" s="116">
        <f t="shared" si="25"/>
        <v>0.87516799999999995</v>
      </c>
      <c r="BY30" s="95">
        <f t="shared" si="26"/>
        <v>133.5</v>
      </c>
      <c r="BZ30" s="87" t="b">
        <f t="shared" si="27"/>
        <v>0</v>
      </c>
      <c r="CA30" s="87">
        <f t="shared" si="28"/>
        <v>0</v>
      </c>
      <c r="CB30" s="116">
        <f t="shared" si="29"/>
        <v>0</v>
      </c>
      <c r="CC30" s="95">
        <f t="shared" si="30"/>
        <v>0</v>
      </c>
      <c r="CD30" s="95">
        <f t="shared" si="31"/>
        <v>0</v>
      </c>
      <c r="CE30" s="98">
        <v>263</v>
      </c>
      <c r="CF30" s="250">
        <f t="shared" si="32"/>
        <v>0.11799999999999999</v>
      </c>
      <c r="CG30" s="274">
        <f>IF(CF30&lt;0.06,1,IF(CF30&gt;=18.29,52,MATCH(CF30-0.001,'Weighting Factors'!$Y$5:$Y$156)+1))</f>
        <v>7</v>
      </c>
      <c r="CH30" s="243">
        <f>VLOOKUP(CG30, 'Weighting Factors'!$W$5:$Z$56,4)</f>
        <v>1430</v>
      </c>
      <c r="CI30" s="118">
        <f>('Weighting Factors'!$Q$5/'Weighting Factors'!$Q$14)</f>
        <v>1</v>
      </c>
      <c r="CJ30" s="245">
        <f t="shared" si="33"/>
        <v>44330</v>
      </c>
      <c r="CK30" s="245">
        <f>CJ30*'Weighting Factors'!$S$7</f>
        <v>44330</v>
      </c>
      <c r="CL30" s="245">
        <f t="shared" si="34"/>
        <v>44330</v>
      </c>
      <c r="CM30" s="95">
        <f>AM30/'Weighting Factors'!$Q$5</f>
        <v>10.6</v>
      </c>
      <c r="CN30" s="148">
        <v>0</v>
      </c>
      <c r="CO30" s="148">
        <v>0</v>
      </c>
      <c r="CP30" s="149">
        <v>0</v>
      </c>
      <c r="CQ30" s="151">
        <v>0</v>
      </c>
      <c r="CR30" s="99">
        <f>SUM((AV30*'Weighting Factors'!$Q$5)+'2019 Legal Max'!BA30)*CQ30</f>
        <v>0</v>
      </c>
      <c r="CS30" s="99">
        <f t="shared" si="35"/>
        <v>0</v>
      </c>
      <c r="CT30" s="106">
        <f t="shared" si="36"/>
        <v>0.43619999999999998</v>
      </c>
      <c r="CU30" s="95">
        <f t="shared" si="37"/>
        <v>0</v>
      </c>
      <c r="CV30" s="95">
        <f t="shared" si="38"/>
        <v>3.9</v>
      </c>
      <c r="CW30" s="95">
        <f t="shared" si="39"/>
        <v>401.5</v>
      </c>
      <c r="CX30" s="99">
        <f>'LOB Transfers'!G29</f>
        <v>43862</v>
      </c>
      <c r="CY30" s="99">
        <f>'LOB Transfers'!J29</f>
        <v>0</v>
      </c>
      <c r="CZ30" s="87" t="s">
        <v>222</v>
      </c>
    </row>
    <row r="31" spans="1:104" ht="15" customHeight="1">
      <c r="A31" s="88">
        <v>214</v>
      </c>
      <c r="B31" s="87" t="s">
        <v>15</v>
      </c>
      <c r="C31" s="87" t="s">
        <v>544</v>
      </c>
      <c r="D31" s="95">
        <v>1626</v>
      </c>
      <c r="E31" s="95">
        <v>0</v>
      </c>
      <c r="F31" s="95">
        <f t="shared" si="5"/>
        <v>1626</v>
      </c>
      <c r="G31" s="95">
        <v>1633</v>
      </c>
      <c r="H31" s="95">
        <v>0</v>
      </c>
      <c r="I31" s="95">
        <f t="shared" si="6"/>
        <v>1633</v>
      </c>
      <c r="J31" s="95">
        <v>1599.7</v>
      </c>
      <c r="K31" s="95">
        <v>0</v>
      </c>
      <c r="L31" s="95">
        <f t="shared" si="7"/>
        <v>1599.7</v>
      </c>
      <c r="M31" s="95">
        <f>IF(ISNA(VLOOKUP($CZ31,'Audit Values'!$A$2:$BW$365,2,FALSE)),'Preliminary SO66'!C30,VLOOKUP($CZ31,'Audit Values'!$A$2:$BW$365,73,FALSE))</f>
        <v>1545</v>
      </c>
      <c r="N31" s="95">
        <f>IF(ISNA(VLOOKUP($CZ31,'Audit Values'!$A$2:$BW$365,2,FALSE)),'Preliminary SO66'!F30,VLOOKUP($CZ31,'Audit Values'!$A$2:$BW$365,4,FALSE))</f>
        <v>0</v>
      </c>
      <c r="O31" s="95">
        <f t="shared" si="8"/>
        <v>1545</v>
      </c>
      <c r="P31" s="95">
        <f>IF('Military Provision'!J32="YES", MAX('2019 Legal Max'!L31,'2019 Legal Max'!I31,AVERAGE('2019 Legal Max'!F31,'2019 Legal Max'!I31,'2019 Legal Max'!L31)), MAX(L31, I31))</f>
        <v>1633</v>
      </c>
      <c r="Q31" s="95">
        <f>IF(ISNA(VLOOKUP($CZ31,'Audit Values'!$A$2:$BU$353,2,FALSE)),'Preliminary SO66'!AL30,VLOOKUP($CZ31,'Audit Values'!$A$2:$BU$3955,58,FALSE))</f>
        <v>16.5</v>
      </c>
      <c r="R31" s="95">
        <v>0</v>
      </c>
      <c r="S31" s="95">
        <f t="shared" si="41"/>
        <v>1649.5</v>
      </c>
      <c r="T31" s="95">
        <f t="shared" si="10"/>
        <v>57.8</v>
      </c>
      <c r="U31" s="95">
        <f>IF(ISNA(VLOOKUP($CZ31,'Audit Values'!$A$2:$BW$317,2,FALSE)),'Preliminary SO66'!AM30,VLOOKUP($CZ31,'Audit Values'!$A$2:$BW$317,62,FALSE))</f>
        <v>1612.6</v>
      </c>
      <c r="V31" s="95">
        <f>(U31/6)*'Weighting Factors'!$Q$7</f>
        <v>106.2</v>
      </c>
      <c r="W31" s="132">
        <f>IF(ISNA(VLOOKUP($CZ31,'Audit Values'!$A$2:$BW$353,2,FALSE)),'Preliminary SO66'!AN30,VLOOKUP($CZ31,'Audit Values'!$A$2:$BW$353,61,FALSE))</f>
        <v>522</v>
      </c>
      <c r="X31" s="95">
        <f>W31*'Weighting Factors'!$Q$8</f>
        <v>96.6</v>
      </c>
      <c r="Y31" s="95">
        <f t="shared" si="11"/>
        <v>106.2</v>
      </c>
      <c r="Z31" s="276">
        <f>IF(ISNA(VLOOKUP($CZ31,'Audit Values'!$A$2:$BW$317,2,FALSE)),'Preliminary SO66'!AO30,VLOOKUP($CZ31,'Audit Values'!$A$2:$BW$317,60,FALSE))</f>
        <v>518.79999999999995</v>
      </c>
      <c r="AA31" s="95">
        <f>Z31/6*'Weighting Factors'!$Q$6</f>
        <v>43.2</v>
      </c>
      <c r="AB31" s="99">
        <f>IF(ISNA(VLOOKUP($CZ31,'Audit Values'!$A$2:$BU$353,2,FALSE)),'Preliminary SO66'!AS30,VLOOKUP($CZ31,'Audit Values'!$A$2:$BU$353,63,FALSE))</f>
        <v>1591</v>
      </c>
      <c r="AC31" s="99">
        <v>0</v>
      </c>
      <c r="AD31" s="99">
        <f>IF(ISNA(VLOOKUP($CZ31,'Audit Values'!$A$2:$BU$353,2,FALSE)),'Preliminary SO66'!AP30,VLOOKUP($CZ31,'Audit Values'!$A$2:$BU$353,64,FALSE))</f>
        <v>796</v>
      </c>
      <c r="AE31" s="95">
        <f>IF(A31=207, AD31,MAX(AC31,AD31))*'Weighting Factors'!$Q$9</f>
        <v>385.3</v>
      </c>
      <c r="AF31" s="95">
        <f t="shared" si="12"/>
        <v>83.6</v>
      </c>
      <c r="AG31" s="95">
        <f>IF(ISNA(VLOOKUP($CZ31,'Audit Values'!$A$2:$BW$353,2,FALSE)),'Preliminary SO66'!AG30,VLOOKUP($CZ31,'Audit Values'!$A$2:$BW$353,70,FALSE))</f>
        <v>72.8</v>
      </c>
      <c r="AH31" s="95">
        <f t="shared" si="13"/>
        <v>83.6</v>
      </c>
      <c r="AI31" s="95">
        <f>IF(ISNA(VLOOKUP($CZ31,'Audit Values'!$A$2:$BU$353,2,FALSE)),'Preliminary SO66'!AQ30,VLOOKUP($CZ31,'Audit Values'!$A$2:$BU$353,65,FALSE))</f>
        <v>0</v>
      </c>
      <c r="AJ31" s="95">
        <f>AI31*'Weighting Factors'!$Q$10</f>
        <v>0</v>
      </c>
      <c r="AK31" s="95">
        <f>IF(ISNA(VLOOKUP($CZ31,'Audit Values'!$A$2:$BU$353,2,FALSE)),'Preliminary SO66'!AR30,VLOOKUP($CZ31,'Audit Values'!$A$2:$BU$353,66,FALSE))</f>
        <v>219</v>
      </c>
      <c r="AL31" s="95"/>
      <c r="AM31" s="99">
        <f t="shared" si="14"/>
        <v>247470</v>
      </c>
      <c r="AN31" s="99">
        <v>263477</v>
      </c>
      <c r="AO31" s="95">
        <f>MAX(AN31, AM31)/'Weighting Factors'!$Q$5</f>
        <v>63.3</v>
      </c>
      <c r="AP31" s="95">
        <f>CN31/'Weighting Factors'!$Q$5</f>
        <v>0</v>
      </c>
      <c r="AQ31" s="95">
        <v>0</v>
      </c>
      <c r="AR31" s="95">
        <f>CS31/'Weighting Factors'!$Q$5</f>
        <v>0</v>
      </c>
      <c r="AS31" s="99">
        <v>959062</v>
      </c>
      <c r="AT31" s="95">
        <f>AS31/'Weighting Factors'!$Q$5</f>
        <v>230.3</v>
      </c>
      <c r="AU31" s="95">
        <f>IF(ISNA(VLOOKUP($CZ31,'Audit Values'!$A$2:$BU$353,2,FALSE)),'Preliminary SO66'!X30,VLOOKUP($CZ31,'Audit Values'!$A$2:$BU$353,47,FALSE))</f>
        <v>0</v>
      </c>
      <c r="AV31" s="95">
        <f t="shared" si="15"/>
        <v>2619.1999999999998</v>
      </c>
      <c r="AW31" s="95">
        <f t="shared" si="16"/>
        <v>2388.9</v>
      </c>
      <c r="AX31" s="95">
        <f>IF(ISNA(VLOOKUP($CZ31,'Audit Values'!$A$2:$BU$353,2,FALSE)),'Preliminary SO66'!AA30,VLOOKUP($CZ31,'Audit Values'!$A$2:$BU$353,41,FALSE))</f>
        <v>6</v>
      </c>
      <c r="AY31" s="95">
        <f>IF(ISNA(VLOOKUP($CZ31,'Audit Values'!$A$2:$BU$353,2,FALSE)),'Preliminary SO66'!AB30,VLOOKUP($CZ31,'Audit Values'!$A$2:$BU$353,42,FALSE))</f>
        <v>3</v>
      </c>
      <c r="AZ31" s="114">
        <v>75</v>
      </c>
      <c r="BA31" s="99">
        <f>SUM(AX31*'Weighting Factors'!$T$10)+('2019 Legal Max'!AY31*'Weighting Factors'!$T$11)+('2019 Legal Max'!AZ31*'Weighting Factors'!$T$12)</f>
        <v>88275</v>
      </c>
      <c r="BB31" s="158">
        <v>0</v>
      </c>
      <c r="BC31" s="88">
        <f>IF(ISNA(VLOOKUP($CZ31,'Audit Values'!$A$2:$BU$353,2,FALSE)),"",IF(AND('Weighting Factors'!H31&gt;0,VLOOKUP($CZ31,'Audit Values'!$A$2:$BU$353,51,FALSE)&lt;'Weighting Factors'!H31),'Weighting Factors'!H31,VLOOKUP($CZ31,'Audit Values'!$A$2:$BU$353,50,FALSE)))</f>
        <v>19</v>
      </c>
      <c r="BD31" s="88" t="str">
        <f>IF(ISNA(VLOOKUP($CZ31,'Audit Values'!$A$2:$BV$353,2,FALSE)),"",VLOOKUP($CZ31,'Audit Values'!$A$2:$BV$353,51,FALSE))</f>
        <v>A</v>
      </c>
      <c r="BE31" s="88" t="str">
        <f>IF('Weighting Factors'!H31="","",IF('Weighting Factors'!J31="Pending","PX","R"))</f>
        <v/>
      </c>
      <c r="BF31" s="97">
        <f>SUM((S31+T31+Y31+AA31+AE31+AH31+AJ31++AO31+AP31+AQ31+AU31+AR31)*'Weighting Factors'!$Q$5)+'2019 Legal Max'!BA31+'2019 Legal Max'!BB31</f>
        <v>10038044</v>
      </c>
      <c r="BG31" s="99">
        <f>SUM((AV31+AR31)*'Weighting Factors'!$Q$5)+BA31+'2019 Legal Max'!BB31</f>
        <v>10997243</v>
      </c>
      <c r="BH31" s="108">
        <f>IF('Weighting Factors'!H31&gt;0,'Weighting Factors'!H31,'Preliminary SO66'!AV30)</f>
        <v>11222142</v>
      </c>
      <c r="BI31" s="99">
        <f t="shared" si="40"/>
        <v>10997243</v>
      </c>
      <c r="BJ31" s="112"/>
      <c r="BK31" s="112">
        <f>'Weighting Factors'!F31</f>
        <v>0</v>
      </c>
      <c r="BL31" s="112">
        <f>'Weighting Factors'!E31</f>
        <v>0</v>
      </c>
      <c r="BM31" s="99">
        <f t="shared" si="17"/>
        <v>0</v>
      </c>
      <c r="BN31" s="99">
        <f t="shared" si="18"/>
        <v>10997243</v>
      </c>
      <c r="BO31" s="99">
        <f>SUM((S31+T31+Y31+AA31+AE31+AH31+AJ31++AO31+AP31+AQ31+AR31)*'Weighting Factors'!Q$12)+(MAX(AS31,'Weighting Factors'!B31))</f>
        <v>11720391</v>
      </c>
      <c r="BP31" s="122">
        <v>0.3</v>
      </c>
      <c r="BQ31" s="99">
        <f t="shared" si="19"/>
        <v>3516117</v>
      </c>
      <c r="BR31" s="108">
        <v>3580947</v>
      </c>
      <c r="BS31" s="99">
        <f t="shared" si="20"/>
        <v>3516117</v>
      </c>
      <c r="BT31" s="167">
        <f t="shared" si="21"/>
        <v>0.3</v>
      </c>
      <c r="BU31" s="95">
        <f t="shared" si="22"/>
        <v>0</v>
      </c>
      <c r="BV31" s="87" t="b">
        <f t="shared" si="23"/>
        <v>0</v>
      </c>
      <c r="BW31" s="117">
        <f t="shared" si="24"/>
        <v>0</v>
      </c>
      <c r="BX31" s="116">
        <f t="shared" si="25"/>
        <v>0</v>
      </c>
      <c r="BY31" s="95">
        <f t="shared" si="26"/>
        <v>0</v>
      </c>
      <c r="BZ31" s="87" t="b">
        <f t="shared" si="27"/>
        <v>0</v>
      </c>
      <c r="CA31" s="87">
        <f t="shared" si="28"/>
        <v>0</v>
      </c>
      <c r="CB31" s="116">
        <f t="shared" si="29"/>
        <v>0</v>
      </c>
      <c r="CC31" s="95">
        <f t="shared" si="30"/>
        <v>0</v>
      </c>
      <c r="CD31" s="95">
        <f t="shared" si="31"/>
        <v>57.8</v>
      </c>
      <c r="CE31" s="98">
        <v>517</v>
      </c>
      <c r="CF31" s="250">
        <f t="shared" si="32"/>
        <v>0.42399999999999999</v>
      </c>
      <c r="CG31" s="274">
        <f>IF(CF31&lt;0.06,1,IF(CF31&gt;=18.29,52,MATCH(CF31-0.001,'Weighting Factors'!$Y$5:$Y$156)+1))</f>
        <v>23</v>
      </c>
      <c r="CH31" s="243">
        <f>VLOOKUP(CG31, 'Weighting Factors'!$W$5:$Z$56,4)</f>
        <v>1130</v>
      </c>
      <c r="CI31" s="118">
        <f>('Weighting Factors'!$Q$5/'Weighting Factors'!$Q$14)</f>
        <v>1</v>
      </c>
      <c r="CJ31" s="245">
        <f t="shared" si="33"/>
        <v>247470</v>
      </c>
      <c r="CK31" s="245">
        <f>CJ31*'Weighting Factors'!$S$7</f>
        <v>247470</v>
      </c>
      <c r="CL31" s="245">
        <f t="shared" si="34"/>
        <v>247470</v>
      </c>
      <c r="CM31" s="95">
        <f>AM31/'Weighting Factors'!$Q$5</f>
        <v>59.4</v>
      </c>
      <c r="CN31" s="148">
        <v>0</v>
      </c>
      <c r="CO31" s="148">
        <v>0</v>
      </c>
      <c r="CP31" s="149">
        <v>0</v>
      </c>
      <c r="CQ31" s="151">
        <v>0</v>
      </c>
      <c r="CR31" s="99">
        <f>SUM((AV31*'Weighting Factors'!$Q$5)+'2019 Legal Max'!BA31)*CQ31</f>
        <v>0</v>
      </c>
      <c r="CS31" s="99">
        <f t="shared" si="35"/>
        <v>0</v>
      </c>
      <c r="CT31" s="106">
        <f t="shared" si="36"/>
        <v>0.50029999999999997</v>
      </c>
      <c r="CU31" s="95">
        <f t="shared" si="37"/>
        <v>83.6</v>
      </c>
      <c r="CV31" s="95">
        <f t="shared" si="38"/>
        <v>0</v>
      </c>
      <c r="CW31" s="95">
        <f t="shared" si="39"/>
        <v>2619.1999999999998</v>
      </c>
      <c r="CX31" s="99">
        <f>'LOB Transfers'!G30</f>
        <v>520385</v>
      </c>
      <c r="CY31" s="99">
        <f>'LOB Transfers'!J30</f>
        <v>143458</v>
      </c>
      <c r="CZ31" s="87" t="s">
        <v>223</v>
      </c>
    </row>
    <row r="32" spans="1:104" ht="15" customHeight="1">
      <c r="A32" s="88">
        <v>215</v>
      </c>
      <c r="B32" s="87" t="s">
        <v>16</v>
      </c>
      <c r="C32" s="87" t="s">
        <v>545</v>
      </c>
      <c r="D32" s="95">
        <v>586</v>
      </c>
      <c r="E32" s="95">
        <v>0</v>
      </c>
      <c r="F32" s="95">
        <f t="shared" si="5"/>
        <v>586</v>
      </c>
      <c r="G32" s="95">
        <v>617</v>
      </c>
      <c r="H32" s="95">
        <v>0</v>
      </c>
      <c r="I32" s="95">
        <f t="shared" si="6"/>
        <v>617</v>
      </c>
      <c r="J32" s="95">
        <v>639</v>
      </c>
      <c r="K32" s="95">
        <v>0</v>
      </c>
      <c r="L32" s="95">
        <f t="shared" si="7"/>
        <v>639</v>
      </c>
      <c r="M32" s="95">
        <f>IF(ISNA(VLOOKUP($CZ32,'Audit Values'!$A$2:$BW$365,2,FALSE)),'Preliminary SO66'!C31,VLOOKUP($CZ32,'Audit Values'!$A$2:$BW$365,73,FALSE))</f>
        <v>641</v>
      </c>
      <c r="N32" s="95">
        <f>IF(ISNA(VLOOKUP($CZ32,'Audit Values'!$A$2:$BW$365,2,FALSE)),'Preliminary SO66'!F31,VLOOKUP($CZ32,'Audit Values'!$A$2:$BW$365,4,FALSE))</f>
        <v>0</v>
      </c>
      <c r="O32" s="95">
        <f t="shared" si="8"/>
        <v>641</v>
      </c>
      <c r="P32" s="95">
        <f>IF('Military Provision'!J33="YES", MAX('2019 Legal Max'!L32,'2019 Legal Max'!I32,AVERAGE('2019 Legal Max'!F32,'2019 Legal Max'!I32,'2019 Legal Max'!L32)), MAX(L32, I32))</f>
        <v>639</v>
      </c>
      <c r="Q32" s="95">
        <f>IF(ISNA(VLOOKUP($CZ32,'Audit Values'!$A$2:$BU$353,2,FALSE)),'Preliminary SO66'!AL31,VLOOKUP($CZ32,'Audit Values'!$A$2:$BU$3955,58,FALSE))</f>
        <v>7.5</v>
      </c>
      <c r="R32" s="95">
        <v>0</v>
      </c>
      <c r="S32" s="95">
        <f t="shared" si="41"/>
        <v>646.5</v>
      </c>
      <c r="T32" s="95">
        <f t="shared" si="10"/>
        <v>236.9</v>
      </c>
      <c r="U32" s="95">
        <f>IF(ISNA(VLOOKUP($CZ32,'Audit Values'!$A$2:$BW$317,2,FALSE)),'Preliminary SO66'!AM31,VLOOKUP($CZ32,'Audit Values'!$A$2:$BW$317,62,FALSE))</f>
        <v>381.2</v>
      </c>
      <c r="V32" s="95">
        <f>(U32/6)*'Weighting Factors'!$Q$7</f>
        <v>25.1</v>
      </c>
      <c r="W32" s="132">
        <f>IF(ISNA(VLOOKUP($CZ32,'Audit Values'!$A$2:$BW$353,2,FALSE)),'Preliminary SO66'!AN31,VLOOKUP($CZ32,'Audit Values'!$A$2:$BW$353,61,FALSE))</f>
        <v>152</v>
      </c>
      <c r="X32" s="95">
        <f>W32*'Weighting Factors'!$Q$8</f>
        <v>28.1</v>
      </c>
      <c r="Y32" s="95">
        <f t="shared" si="11"/>
        <v>28.1</v>
      </c>
      <c r="Z32" s="276">
        <f>IF(ISNA(VLOOKUP($CZ32,'Audit Values'!$A$2:$BW$317,2,FALSE)),'Preliminary SO66'!AO31,VLOOKUP($CZ32,'Audit Values'!$A$2:$BW$317,60,FALSE))</f>
        <v>93.9</v>
      </c>
      <c r="AA32" s="95">
        <f>Z32/6*'Weighting Factors'!$Q$6</f>
        <v>7.8</v>
      </c>
      <c r="AB32" s="99">
        <f>IF(ISNA(VLOOKUP($CZ32,'Audit Values'!$A$2:$BU$353,2,FALSE)),'Preliminary SO66'!AS31,VLOOKUP($CZ32,'Audit Values'!$A$2:$BU$353,63,FALSE))</f>
        <v>659</v>
      </c>
      <c r="AC32" s="99">
        <v>0</v>
      </c>
      <c r="AD32" s="99">
        <f>IF(ISNA(VLOOKUP($CZ32,'Audit Values'!$A$2:$BU$353,2,FALSE)),'Preliminary SO66'!AP31,VLOOKUP($CZ32,'Audit Values'!$A$2:$BU$353,64,FALSE))</f>
        <v>283</v>
      </c>
      <c r="AE32" s="95">
        <f>IF(A32=207, AD32,MAX(AC32,AD32))*'Weighting Factors'!$Q$9</f>
        <v>137</v>
      </c>
      <c r="AF32" s="95">
        <f t="shared" si="12"/>
        <v>15.7</v>
      </c>
      <c r="AG32" s="95">
        <f>IF(ISNA(VLOOKUP($CZ32,'Audit Values'!$A$2:$BW$353,2,FALSE)),'Preliminary SO66'!AG31,VLOOKUP($CZ32,'Audit Values'!$A$2:$BW$353,70,FALSE))</f>
        <v>19.7</v>
      </c>
      <c r="AH32" s="95">
        <f t="shared" si="13"/>
        <v>19.7</v>
      </c>
      <c r="AI32" s="95">
        <f>IF(ISNA(VLOOKUP($CZ32,'Audit Values'!$A$2:$BU$353,2,FALSE)),'Preliminary SO66'!AQ31,VLOOKUP($CZ32,'Audit Values'!$A$2:$BU$353,65,FALSE))</f>
        <v>0</v>
      </c>
      <c r="AJ32" s="95">
        <f>AI32*'Weighting Factors'!$Q$10</f>
        <v>0</v>
      </c>
      <c r="AK32" s="95">
        <f>IF(ISNA(VLOOKUP($CZ32,'Audit Values'!$A$2:$BU$353,2,FALSE)),'Preliminary SO66'!AR31,VLOOKUP($CZ32,'Audit Values'!$A$2:$BU$353,66,FALSE))</f>
        <v>85</v>
      </c>
      <c r="AL32" s="95"/>
      <c r="AM32" s="99">
        <f t="shared" si="14"/>
        <v>118150</v>
      </c>
      <c r="AN32" s="99">
        <v>141754</v>
      </c>
      <c r="AO32" s="95">
        <f>MAX(AN32, AM32)/'Weighting Factors'!$Q$5</f>
        <v>34</v>
      </c>
      <c r="AP32" s="95">
        <f>CN32/'Weighting Factors'!$Q$5</f>
        <v>0</v>
      </c>
      <c r="AQ32" s="95">
        <v>0</v>
      </c>
      <c r="AR32" s="95">
        <f>CS32/'Weighting Factors'!$Q$5</f>
        <v>0</v>
      </c>
      <c r="AS32" s="99">
        <v>373997</v>
      </c>
      <c r="AT32" s="95">
        <f>AS32/'Weighting Factors'!$Q$5</f>
        <v>89.8</v>
      </c>
      <c r="AU32" s="95">
        <f>IF(ISNA(VLOOKUP($CZ32,'Audit Values'!$A$2:$BU$353,2,FALSE)),'Preliminary SO66'!X31,VLOOKUP($CZ32,'Audit Values'!$A$2:$BU$353,47,FALSE))</f>
        <v>0</v>
      </c>
      <c r="AV32" s="95">
        <f t="shared" si="15"/>
        <v>1199.8</v>
      </c>
      <c r="AW32" s="95">
        <f t="shared" si="16"/>
        <v>1110</v>
      </c>
      <c r="AX32" s="95">
        <f>IF(ISNA(VLOOKUP($CZ32,'Audit Values'!$A$2:$BU$353,2,FALSE)),'Preliminary SO66'!AA31,VLOOKUP($CZ32,'Audit Values'!$A$2:$BU$353,41,FALSE))</f>
        <v>0</v>
      </c>
      <c r="AY32" s="95">
        <f>IF(ISNA(VLOOKUP($CZ32,'Audit Values'!$A$2:$BU$353,2,FALSE)),'Preliminary SO66'!AB31,VLOOKUP($CZ32,'Audit Values'!$A$2:$BU$353,42,FALSE))</f>
        <v>0</v>
      </c>
      <c r="AZ32" s="114">
        <v>0</v>
      </c>
      <c r="BA32" s="99">
        <f>SUM(AX32*'Weighting Factors'!$T$10)+('2019 Legal Max'!AY32*'Weighting Factors'!$T$11)+('2019 Legal Max'!AZ32*'Weighting Factors'!$T$12)</f>
        <v>0</v>
      </c>
      <c r="BB32" s="158">
        <v>0</v>
      </c>
      <c r="BC32" s="88">
        <f>IF(ISNA(VLOOKUP($CZ32,'Audit Values'!$A$2:$BU$353,2,FALSE)),"",IF(AND('Weighting Factors'!H32&gt;0,VLOOKUP($CZ32,'Audit Values'!$A$2:$BU$353,51,FALSE)&lt;'Weighting Factors'!H32),'Weighting Factors'!H32,VLOOKUP($CZ32,'Audit Values'!$A$2:$BU$353,50,FALSE)))</f>
        <v>15</v>
      </c>
      <c r="BD32" s="88" t="str">
        <f>IF(ISNA(VLOOKUP($CZ32,'Audit Values'!$A$2:$BV$353,2,FALSE)),"",VLOOKUP($CZ32,'Audit Values'!$A$2:$BV$353,51,FALSE))</f>
        <v>A</v>
      </c>
      <c r="BE32" s="88" t="str">
        <f>IF('Weighting Factors'!H32="","",IF('Weighting Factors'!J32="Pending","PX","R"))</f>
        <v/>
      </c>
      <c r="BF32" s="97">
        <f>SUM((S32+T32+Y32+AA32+AE32+AH32+AJ32++AO32+AP32+AQ32+AU32+AR32)*'Weighting Factors'!$Q$5)+'2019 Legal Max'!BA32+'2019 Legal Max'!BB32</f>
        <v>4623150</v>
      </c>
      <c r="BG32" s="99">
        <f>SUM((AV32+AR32)*'Weighting Factors'!$Q$5)+BA32+'2019 Legal Max'!BB32</f>
        <v>4997167</v>
      </c>
      <c r="BH32" s="108">
        <f>IF('Weighting Factors'!H32&gt;0,'Weighting Factors'!H32,'Preliminary SO66'!AV31)</f>
        <v>5213747</v>
      </c>
      <c r="BI32" s="99">
        <f t="shared" si="40"/>
        <v>4997167</v>
      </c>
      <c r="BJ32" s="112"/>
      <c r="BK32" s="112">
        <f>'Weighting Factors'!F32</f>
        <v>0</v>
      </c>
      <c r="BL32" s="112">
        <f>'Weighting Factors'!E32</f>
        <v>-3191</v>
      </c>
      <c r="BM32" s="99">
        <f t="shared" si="17"/>
        <v>-3191</v>
      </c>
      <c r="BN32" s="99">
        <f t="shared" si="18"/>
        <v>4993976</v>
      </c>
      <c r="BO32" s="99">
        <f>SUM((S32+T32+Y32+AA32+AE32+AH32+AJ32++AO32+AP32+AQ32+AR32)*'Weighting Factors'!Q$12)+(MAX(AS32,'Weighting Factors'!B32))</f>
        <v>5380451</v>
      </c>
      <c r="BP32" s="122">
        <v>0.3</v>
      </c>
      <c r="BQ32" s="99">
        <f t="shared" si="19"/>
        <v>1614135</v>
      </c>
      <c r="BR32" s="108">
        <v>1676353</v>
      </c>
      <c r="BS32" s="99">
        <f t="shared" si="20"/>
        <v>1614135</v>
      </c>
      <c r="BT32" s="167">
        <f t="shared" si="21"/>
        <v>0.3</v>
      </c>
      <c r="BU32" s="95">
        <f t="shared" si="22"/>
        <v>0</v>
      </c>
      <c r="BV32" s="87" t="b">
        <f t="shared" si="23"/>
        <v>0</v>
      </c>
      <c r="BW32" s="117">
        <f t="shared" si="24"/>
        <v>0</v>
      </c>
      <c r="BX32" s="116">
        <f t="shared" si="25"/>
        <v>0</v>
      </c>
      <c r="BY32" s="95">
        <f t="shared" si="26"/>
        <v>0</v>
      </c>
      <c r="BZ32" s="87" t="b">
        <f t="shared" si="27"/>
        <v>1</v>
      </c>
      <c r="CA32" s="87">
        <f t="shared" si="28"/>
        <v>428.79379999999998</v>
      </c>
      <c r="CB32" s="116">
        <f t="shared" si="29"/>
        <v>0.36646299999999998</v>
      </c>
      <c r="CC32" s="95">
        <f t="shared" si="30"/>
        <v>236.9</v>
      </c>
      <c r="CD32" s="95">
        <f t="shared" si="31"/>
        <v>0</v>
      </c>
      <c r="CE32" s="98">
        <v>646</v>
      </c>
      <c r="CF32" s="250">
        <f t="shared" si="32"/>
        <v>0.13200000000000001</v>
      </c>
      <c r="CG32" s="274">
        <f>IF(CF32&lt;0.06,1,IF(CF32&gt;=18.29,52,MATCH(CF32-0.001,'Weighting Factors'!$Y$5:$Y$156)+1))</f>
        <v>9</v>
      </c>
      <c r="CH32" s="243">
        <f>VLOOKUP(CG32, 'Weighting Factors'!$W$5:$Z$56,4)</f>
        <v>1390</v>
      </c>
      <c r="CI32" s="118">
        <f>('Weighting Factors'!$Q$5/'Weighting Factors'!$Q$14)</f>
        <v>1</v>
      </c>
      <c r="CJ32" s="245">
        <f t="shared" si="33"/>
        <v>118150</v>
      </c>
      <c r="CK32" s="245">
        <f>CJ32*'Weighting Factors'!$S$7</f>
        <v>118150</v>
      </c>
      <c r="CL32" s="245">
        <f t="shared" si="34"/>
        <v>118150</v>
      </c>
      <c r="CM32" s="95">
        <f>AM32/'Weighting Factors'!$Q$5</f>
        <v>28.4</v>
      </c>
      <c r="CN32" s="148">
        <v>0</v>
      </c>
      <c r="CO32" s="148">
        <v>0</v>
      </c>
      <c r="CP32" s="149">
        <v>0</v>
      </c>
      <c r="CQ32" s="151">
        <v>0</v>
      </c>
      <c r="CR32" s="99">
        <f>SUM((AV32*'Weighting Factors'!$Q$5)+'2019 Legal Max'!BA32)*CQ32</f>
        <v>0</v>
      </c>
      <c r="CS32" s="99">
        <f t="shared" si="35"/>
        <v>0</v>
      </c>
      <c r="CT32" s="106">
        <f t="shared" si="36"/>
        <v>0.4294</v>
      </c>
      <c r="CU32" s="95">
        <f t="shared" si="37"/>
        <v>0</v>
      </c>
      <c r="CV32" s="95">
        <f t="shared" si="38"/>
        <v>15.7</v>
      </c>
      <c r="CW32" s="95">
        <f t="shared" si="39"/>
        <v>1199.8</v>
      </c>
      <c r="CX32" s="99">
        <f>'LOB Transfers'!G31</f>
        <v>185464</v>
      </c>
      <c r="CY32" s="99">
        <f>'LOB Transfers'!J31</f>
        <v>38094</v>
      </c>
      <c r="CZ32" s="87" t="s">
        <v>224</v>
      </c>
    </row>
    <row r="33" spans="1:104" ht="15" customHeight="1">
      <c r="A33" s="88">
        <v>216</v>
      </c>
      <c r="B33" s="87" t="s">
        <v>16</v>
      </c>
      <c r="C33" s="87" t="s">
        <v>546</v>
      </c>
      <c r="D33" s="95">
        <v>184.5</v>
      </c>
      <c r="E33" s="95">
        <v>0</v>
      </c>
      <c r="F33" s="95">
        <f t="shared" si="5"/>
        <v>184.5</v>
      </c>
      <c r="G33" s="95">
        <v>196.5</v>
      </c>
      <c r="H33" s="95">
        <v>0</v>
      </c>
      <c r="I33" s="95">
        <f t="shared" si="6"/>
        <v>196.5</v>
      </c>
      <c r="J33" s="95">
        <v>180</v>
      </c>
      <c r="K33" s="95">
        <v>0</v>
      </c>
      <c r="L33" s="95">
        <f t="shared" si="7"/>
        <v>180</v>
      </c>
      <c r="M33" s="95">
        <f>IF(ISNA(VLOOKUP($CZ33,'Audit Values'!$A$2:$BW$365,2,FALSE)),'Preliminary SO66'!C32,VLOOKUP($CZ33,'Audit Values'!$A$2:$BW$365,73,FALSE))</f>
        <v>182</v>
      </c>
      <c r="N33" s="95">
        <f>IF(ISNA(VLOOKUP($CZ33,'Audit Values'!$A$2:$BW$365,2,FALSE)),'Preliminary SO66'!F32,VLOOKUP($CZ33,'Audit Values'!$A$2:$BW$365,4,FALSE))</f>
        <v>0</v>
      </c>
      <c r="O33" s="95">
        <f t="shared" si="8"/>
        <v>182</v>
      </c>
      <c r="P33" s="95">
        <f>IF('Military Provision'!J34="YES", MAX('2019 Legal Max'!L33,'2019 Legal Max'!I33,AVERAGE('2019 Legal Max'!F33,'2019 Legal Max'!I33,'2019 Legal Max'!L33)), MAX(L33, I33))</f>
        <v>196.5</v>
      </c>
      <c r="Q33" s="95">
        <f>IF(ISNA(VLOOKUP($CZ33,'Audit Values'!$A$2:$BU$353,2,FALSE)),'Preliminary SO66'!AL32,VLOOKUP($CZ33,'Audit Values'!$A$2:$BU$3955,58,FALSE))</f>
        <v>4.5</v>
      </c>
      <c r="R33" s="95">
        <v>0</v>
      </c>
      <c r="S33" s="95">
        <f t="shared" si="41"/>
        <v>201</v>
      </c>
      <c r="T33" s="95">
        <f t="shared" si="10"/>
        <v>150.1</v>
      </c>
      <c r="U33" s="95">
        <f>IF(ISNA(VLOOKUP($CZ33,'Audit Values'!$A$2:$BW$317,2,FALSE)),'Preliminary SO66'!AM32,VLOOKUP($CZ33,'Audit Values'!$A$2:$BW$317,62,FALSE))</f>
        <v>425</v>
      </c>
      <c r="V33" s="95">
        <f>(U33/6)*'Weighting Factors'!$Q$7</f>
        <v>28</v>
      </c>
      <c r="W33" s="132">
        <f>IF(ISNA(VLOOKUP($CZ33,'Audit Values'!$A$2:$BW$353,2,FALSE)),'Preliminary SO66'!AN32,VLOOKUP($CZ33,'Audit Values'!$A$2:$BW$353,61,FALSE))</f>
        <v>74</v>
      </c>
      <c r="X33" s="95">
        <f>W33*'Weighting Factors'!$Q$8</f>
        <v>13.7</v>
      </c>
      <c r="Y33" s="95">
        <f t="shared" si="11"/>
        <v>28</v>
      </c>
      <c r="Z33" s="276">
        <f>IF(ISNA(VLOOKUP($CZ33,'Audit Values'!$A$2:$BW$317,2,FALSE)),'Preliminary SO66'!AO32,VLOOKUP($CZ33,'Audit Values'!$A$2:$BW$317,60,FALSE))</f>
        <v>60.4</v>
      </c>
      <c r="AA33" s="95">
        <f>Z33/6*'Weighting Factors'!$Q$6</f>
        <v>5</v>
      </c>
      <c r="AB33" s="99">
        <f>IF(ISNA(VLOOKUP($CZ33,'Audit Values'!$A$2:$BU$353,2,FALSE)),'Preliminary SO66'!AS32,VLOOKUP($CZ33,'Audit Values'!$A$2:$BU$353,63,FALSE))</f>
        <v>193</v>
      </c>
      <c r="AC33" s="99">
        <v>0</v>
      </c>
      <c r="AD33" s="99">
        <f>IF(ISNA(VLOOKUP($CZ33,'Audit Values'!$A$2:$BU$353,2,FALSE)),'Preliminary SO66'!AP32,VLOOKUP($CZ33,'Audit Values'!$A$2:$BU$353,64,FALSE))</f>
        <v>114</v>
      </c>
      <c r="AE33" s="95">
        <f>IF(A33=207, AD33,MAX(AC33,AD33))*'Weighting Factors'!$Q$9</f>
        <v>55.2</v>
      </c>
      <c r="AF33" s="95">
        <f t="shared" si="12"/>
        <v>12</v>
      </c>
      <c r="AG33" s="95">
        <f>IF(ISNA(VLOOKUP($CZ33,'Audit Values'!$A$2:$BW$353,2,FALSE)),'Preliminary SO66'!AG32,VLOOKUP($CZ33,'Audit Values'!$A$2:$BW$353,70,FALSE))</f>
        <v>11.9</v>
      </c>
      <c r="AH33" s="95">
        <f t="shared" si="13"/>
        <v>12</v>
      </c>
      <c r="AI33" s="95">
        <f>IF(ISNA(VLOOKUP($CZ33,'Audit Values'!$A$2:$BU$353,2,FALSE)),'Preliminary SO66'!AQ32,VLOOKUP($CZ33,'Audit Values'!$A$2:$BU$353,65,FALSE))</f>
        <v>0</v>
      </c>
      <c r="AJ33" s="95">
        <f>AI33*'Weighting Factors'!$Q$10</f>
        <v>0</v>
      </c>
      <c r="AK33" s="95">
        <f>IF(ISNA(VLOOKUP($CZ33,'Audit Values'!$A$2:$BU$353,2,FALSE)),'Preliminary SO66'!AR32,VLOOKUP($CZ33,'Audit Values'!$A$2:$BU$353,66,FALSE))</f>
        <v>12</v>
      </c>
      <c r="AL33" s="95"/>
      <c r="AM33" s="99">
        <f t="shared" si="14"/>
        <v>19440</v>
      </c>
      <c r="AN33" s="99">
        <v>24268</v>
      </c>
      <c r="AO33" s="95">
        <f>MAX(AN33, AM33)/'Weighting Factors'!$Q$5</f>
        <v>5.8</v>
      </c>
      <c r="AP33" s="95">
        <f>CN33/'Weighting Factors'!$Q$5</f>
        <v>0</v>
      </c>
      <c r="AQ33" s="95">
        <v>0</v>
      </c>
      <c r="AR33" s="95">
        <f>CS33/'Weighting Factors'!$Q$5</f>
        <v>0</v>
      </c>
      <c r="AS33" s="99">
        <v>142734</v>
      </c>
      <c r="AT33" s="95">
        <f>AS33/'Weighting Factors'!$Q$5</f>
        <v>34.299999999999997</v>
      </c>
      <c r="AU33" s="95">
        <f>IF(ISNA(VLOOKUP($CZ33,'Audit Values'!$A$2:$BU$353,2,FALSE)),'Preliminary SO66'!X32,VLOOKUP($CZ33,'Audit Values'!$A$2:$BU$353,47,FALSE))</f>
        <v>0</v>
      </c>
      <c r="AV33" s="95">
        <f t="shared" si="15"/>
        <v>491.4</v>
      </c>
      <c r="AW33" s="95">
        <f t="shared" si="16"/>
        <v>457.1</v>
      </c>
      <c r="AX33" s="95">
        <f>IF(ISNA(VLOOKUP($CZ33,'Audit Values'!$A$2:$BU$353,2,FALSE)),'Preliminary SO66'!AA32,VLOOKUP($CZ33,'Audit Values'!$A$2:$BU$353,41,FALSE))</f>
        <v>0</v>
      </c>
      <c r="AY33" s="95">
        <f>IF(ISNA(VLOOKUP($CZ33,'Audit Values'!$A$2:$BU$353,2,FALSE)),'Preliminary SO66'!AB32,VLOOKUP($CZ33,'Audit Values'!$A$2:$BU$353,42,FALSE))</f>
        <v>0</v>
      </c>
      <c r="AZ33" s="114">
        <v>0</v>
      </c>
      <c r="BA33" s="99">
        <f>SUM(AX33*'Weighting Factors'!$T$10)+('2019 Legal Max'!AY33*'Weighting Factors'!$T$11)+('2019 Legal Max'!AZ33*'Weighting Factors'!$T$12)</f>
        <v>0</v>
      </c>
      <c r="BB33" s="158">
        <v>0</v>
      </c>
      <c r="BC33" s="88">
        <f>IF(ISNA(VLOOKUP($CZ33,'Audit Values'!$A$2:$BU$353,2,FALSE)),"",IF(AND('Weighting Factors'!H33&gt;0,VLOOKUP($CZ33,'Audit Values'!$A$2:$BU$353,51,FALSE)&lt;'Weighting Factors'!H33),'Weighting Factors'!H33,VLOOKUP($CZ33,'Audit Values'!$A$2:$BU$353,50,FALSE)))</f>
        <v>6</v>
      </c>
      <c r="BD33" s="88" t="str">
        <f>IF(ISNA(VLOOKUP($CZ33,'Audit Values'!$A$2:$BV$353,2,FALSE)),"",VLOOKUP($CZ33,'Audit Values'!$A$2:$BV$353,51,FALSE))</f>
        <v>A</v>
      </c>
      <c r="BE33" s="88" t="str">
        <f>IF('Weighting Factors'!H33="","",IF('Weighting Factors'!J33="Pending","PX","R"))</f>
        <v/>
      </c>
      <c r="BF33" s="97">
        <f>SUM((S33+T33+Y33+AA33+AE33+AH33+AJ33++AO33+AP33+AQ33+AU33+AR33)*'Weighting Factors'!$Q$5)+'2019 Legal Max'!BA33+'2019 Legal Max'!BB33</f>
        <v>1903822</v>
      </c>
      <c r="BG33" s="99">
        <f>SUM((AV33+AR33)*'Weighting Factors'!$Q$5)+BA33+'2019 Legal Max'!BB33</f>
        <v>2046681</v>
      </c>
      <c r="BH33" s="108">
        <f>IF('Weighting Factors'!H33&gt;0,'Weighting Factors'!H33,'Preliminary SO66'!AV32)</f>
        <v>2214114</v>
      </c>
      <c r="BI33" s="99">
        <f t="shared" si="40"/>
        <v>2046681</v>
      </c>
      <c r="BJ33" s="112"/>
      <c r="BK33" s="112">
        <f>'Weighting Factors'!F33</f>
        <v>0</v>
      </c>
      <c r="BL33" s="112">
        <f>'Weighting Factors'!E33</f>
        <v>0</v>
      </c>
      <c r="BM33" s="99">
        <f t="shared" si="17"/>
        <v>0</v>
      </c>
      <c r="BN33" s="99">
        <f t="shared" si="18"/>
        <v>2046681</v>
      </c>
      <c r="BO33" s="99">
        <f>SUM((S33+T33+Y33+AA33+AE33+AH33+AJ33++AO33+AP33+AQ33+AR33)*'Weighting Factors'!Q$12)+(MAX(AS33,'Weighting Factors'!B33))</f>
        <v>2258268</v>
      </c>
      <c r="BP33" s="122">
        <v>0.3</v>
      </c>
      <c r="BQ33" s="99">
        <f t="shared" si="19"/>
        <v>677480</v>
      </c>
      <c r="BR33" s="108">
        <v>725972</v>
      </c>
      <c r="BS33" s="99">
        <f t="shared" si="20"/>
        <v>677480</v>
      </c>
      <c r="BT33" s="167">
        <f t="shared" si="21"/>
        <v>0.3</v>
      </c>
      <c r="BU33" s="95">
        <f t="shared" si="22"/>
        <v>0</v>
      </c>
      <c r="BV33" s="87" t="b">
        <f t="shared" si="23"/>
        <v>1</v>
      </c>
      <c r="BW33" s="117">
        <f t="shared" si="24"/>
        <v>975.15499999999997</v>
      </c>
      <c r="BX33" s="116">
        <f t="shared" si="25"/>
        <v>0.74660800000000005</v>
      </c>
      <c r="BY33" s="95">
        <f t="shared" si="26"/>
        <v>150.1</v>
      </c>
      <c r="BZ33" s="87" t="b">
        <f t="shared" si="27"/>
        <v>0</v>
      </c>
      <c r="CA33" s="87">
        <f t="shared" si="28"/>
        <v>0</v>
      </c>
      <c r="CB33" s="116">
        <f t="shared" si="29"/>
        <v>0</v>
      </c>
      <c r="CC33" s="95">
        <f t="shared" si="30"/>
        <v>0</v>
      </c>
      <c r="CD33" s="95">
        <f t="shared" si="31"/>
        <v>0</v>
      </c>
      <c r="CE33" s="98">
        <v>216</v>
      </c>
      <c r="CF33" s="250">
        <f t="shared" si="32"/>
        <v>5.6000000000000001E-2</v>
      </c>
      <c r="CG33" s="274">
        <f>IF(CF33&lt;0.06,1,IF(CF33&gt;=18.29,52,MATCH(CF33-0.001,'Weighting Factors'!$Y$5:$Y$156)+1))</f>
        <v>1</v>
      </c>
      <c r="CH33" s="243">
        <f>VLOOKUP(CG33, 'Weighting Factors'!$W$5:$Z$56,4)</f>
        <v>1620</v>
      </c>
      <c r="CI33" s="118">
        <f>('Weighting Factors'!$Q$5/'Weighting Factors'!$Q$14)</f>
        <v>1</v>
      </c>
      <c r="CJ33" s="245">
        <f t="shared" si="33"/>
        <v>19440</v>
      </c>
      <c r="CK33" s="245">
        <f>CJ33*'Weighting Factors'!$S$7</f>
        <v>19440</v>
      </c>
      <c r="CL33" s="245">
        <f t="shared" si="34"/>
        <v>19440</v>
      </c>
      <c r="CM33" s="95">
        <f>AM33/'Weighting Factors'!$Q$5</f>
        <v>4.7</v>
      </c>
      <c r="CN33" s="148">
        <v>0</v>
      </c>
      <c r="CO33" s="148">
        <v>0</v>
      </c>
      <c r="CP33" s="149">
        <v>0</v>
      </c>
      <c r="CQ33" s="151">
        <v>0</v>
      </c>
      <c r="CR33" s="99">
        <f>SUM((AV33*'Weighting Factors'!$Q$5)+'2019 Legal Max'!BA33)*CQ33</f>
        <v>0</v>
      </c>
      <c r="CS33" s="99">
        <f t="shared" si="35"/>
        <v>0</v>
      </c>
      <c r="CT33" s="106">
        <f t="shared" si="36"/>
        <v>0.5907</v>
      </c>
      <c r="CU33" s="95">
        <f t="shared" si="37"/>
        <v>12</v>
      </c>
      <c r="CV33" s="95">
        <f t="shared" si="38"/>
        <v>0</v>
      </c>
      <c r="CW33" s="95">
        <f t="shared" si="39"/>
        <v>491.4</v>
      </c>
      <c r="CX33" s="99">
        <f>'LOB Transfers'!G32</f>
        <v>76826</v>
      </c>
      <c r="CY33" s="99">
        <f>'LOB Transfers'!J32</f>
        <v>38955</v>
      </c>
      <c r="CZ33" s="87" t="s">
        <v>225</v>
      </c>
    </row>
    <row r="34" spans="1:104" ht="15" customHeight="1">
      <c r="A34" s="88">
        <v>217</v>
      </c>
      <c r="B34" s="87" t="s">
        <v>17</v>
      </c>
      <c r="C34" s="87" t="s">
        <v>547</v>
      </c>
      <c r="D34" s="95">
        <v>164</v>
      </c>
      <c r="E34" s="95">
        <v>0</v>
      </c>
      <c r="F34" s="95">
        <f t="shared" si="5"/>
        <v>164</v>
      </c>
      <c r="G34" s="95">
        <v>132.5</v>
      </c>
      <c r="H34" s="95">
        <v>0</v>
      </c>
      <c r="I34" s="95">
        <f t="shared" si="6"/>
        <v>132.5</v>
      </c>
      <c r="J34" s="95">
        <v>115</v>
      </c>
      <c r="K34" s="95">
        <v>0</v>
      </c>
      <c r="L34" s="95">
        <f t="shared" si="7"/>
        <v>115</v>
      </c>
      <c r="M34" s="95">
        <f>IF(ISNA(VLOOKUP($CZ34,'Audit Values'!$A$2:$BW$365,2,FALSE)),'Preliminary SO66'!C33,VLOOKUP($CZ34,'Audit Values'!$A$2:$BW$365,73,FALSE))</f>
        <v>113</v>
      </c>
      <c r="N34" s="95">
        <f>IF(ISNA(VLOOKUP($CZ34,'Audit Values'!$A$2:$BW$365,2,FALSE)),'Preliminary SO66'!F33,VLOOKUP($CZ34,'Audit Values'!$A$2:$BW$365,4,FALSE))</f>
        <v>0</v>
      </c>
      <c r="O34" s="95">
        <f t="shared" si="8"/>
        <v>113</v>
      </c>
      <c r="P34" s="95">
        <f>IF('Military Provision'!J35="YES", MAX('2019 Legal Max'!L34,'2019 Legal Max'!I34,AVERAGE('2019 Legal Max'!F34,'2019 Legal Max'!I34,'2019 Legal Max'!L34)), MAX(L34, I34))</f>
        <v>132.5</v>
      </c>
      <c r="Q34" s="95">
        <f>IF(ISNA(VLOOKUP($CZ34,'Audit Values'!$A$2:$BU$353,2,FALSE)),'Preliminary SO66'!AL33,VLOOKUP($CZ34,'Audit Values'!$A$2:$BU$3955,58,FALSE))</f>
        <v>0</v>
      </c>
      <c r="R34" s="95">
        <v>0</v>
      </c>
      <c r="S34" s="95">
        <f t="shared" si="41"/>
        <v>132.5</v>
      </c>
      <c r="T34" s="95">
        <f t="shared" si="10"/>
        <v>123</v>
      </c>
      <c r="U34" s="95">
        <f>IF(ISNA(VLOOKUP($CZ34,'Audit Values'!$A$2:$BW$317,2,FALSE)),'Preliminary SO66'!AM33,VLOOKUP($CZ34,'Audit Values'!$A$2:$BW$317,62,FALSE))</f>
        <v>115.7</v>
      </c>
      <c r="V34" s="95">
        <f>(U34/6)*'Weighting Factors'!$Q$7</f>
        <v>7.6</v>
      </c>
      <c r="W34" s="132">
        <f>IF(ISNA(VLOOKUP($CZ34,'Audit Values'!$A$2:$BW$353,2,FALSE)),'Preliminary SO66'!AN33,VLOOKUP($CZ34,'Audit Values'!$A$2:$BW$353,61,FALSE))</f>
        <v>33</v>
      </c>
      <c r="X34" s="95">
        <f>W34*'Weighting Factors'!$Q$8</f>
        <v>6.1</v>
      </c>
      <c r="Y34" s="95">
        <f t="shared" si="11"/>
        <v>7.6</v>
      </c>
      <c r="Z34" s="276">
        <f>IF(ISNA(VLOOKUP($CZ34,'Audit Values'!$A$2:$BW$317,2,FALSE)),'Preliminary SO66'!AO33,VLOOKUP($CZ34,'Audit Values'!$A$2:$BW$317,60,FALSE))</f>
        <v>62.4</v>
      </c>
      <c r="AA34" s="95">
        <f>Z34/6*'Weighting Factors'!$Q$6</f>
        <v>5.2</v>
      </c>
      <c r="AB34" s="99">
        <f>IF(ISNA(VLOOKUP($CZ34,'Audit Values'!$A$2:$BU$353,2,FALSE)),'Preliminary SO66'!AS33,VLOOKUP($CZ34,'Audit Values'!$A$2:$BU$353,63,FALSE))</f>
        <v>113</v>
      </c>
      <c r="AC34" s="99">
        <v>0</v>
      </c>
      <c r="AD34" s="99">
        <f>IF(ISNA(VLOOKUP($CZ34,'Audit Values'!$A$2:$BU$353,2,FALSE)),'Preliminary SO66'!AP33,VLOOKUP($CZ34,'Audit Values'!$A$2:$BU$353,64,FALSE))</f>
        <v>40</v>
      </c>
      <c r="AE34" s="95">
        <f>IF(A34=207, AD34,MAX(AC34,AD34))*'Weighting Factors'!$Q$9</f>
        <v>19.399999999999999</v>
      </c>
      <c r="AF34" s="95">
        <f t="shared" si="12"/>
        <v>0.1</v>
      </c>
      <c r="AG34" s="95">
        <f>IF(ISNA(VLOOKUP($CZ34,'Audit Values'!$A$2:$BW$353,2,FALSE)),'Preliminary SO66'!AG33,VLOOKUP($CZ34,'Audit Values'!$A$2:$BW$353,70,FALSE))</f>
        <v>1.8</v>
      </c>
      <c r="AH34" s="95">
        <f t="shared" si="13"/>
        <v>1.8</v>
      </c>
      <c r="AI34" s="95">
        <f>IF(ISNA(VLOOKUP($CZ34,'Audit Values'!$A$2:$BU$353,2,FALSE)),'Preliminary SO66'!AQ33,VLOOKUP($CZ34,'Audit Values'!$A$2:$BU$353,65,FALSE))</f>
        <v>0</v>
      </c>
      <c r="AJ34" s="95">
        <f>AI34*'Weighting Factors'!$Q$10</f>
        <v>0</v>
      </c>
      <c r="AK34" s="95">
        <f>IF(ISNA(VLOOKUP($CZ34,'Audit Values'!$A$2:$BU$353,2,FALSE)),'Preliminary SO66'!AR33,VLOOKUP($CZ34,'Audit Values'!$A$2:$BU$353,66,FALSE))</f>
        <v>20</v>
      </c>
      <c r="AL34" s="95"/>
      <c r="AM34" s="99">
        <f t="shared" si="14"/>
        <v>30800</v>
      </c>
      <c r="AN34" s="99">
        <v>51617</v>
      </c>
      <c r="AO34" s="95">
        <f>MAX(AN34, AM34)/'Weighting Factors'!$Q$5</f>
        <v>12.4</v>
      </c>
      <c r="AP34" s="95">
        <f>CN34/'Weighting Factors'!$Q$5</f>
        <v>0</v>
      </c>
      <c r="AQ34" s="95">
        <v>0</v>
      </c>
      <c r="AR34" s="95">
        <f>CS34/'Weighting Factors'!$Q$5</f>
        <v>0</v>
      </c>
      <c r="AS34" s="99">
        <v>98449</v>
      </c>
      <c r="AT34" s="95">
        <f>AS34/'Weighting Factors'!$Q$5</f>
        <v>23.6</v>
      </c>
      <c r="AU34" s="95">
        <f>IF(ISNA(VLOOKUP($CZ34,'Audit Values'!$A$2:$BU$353,2,FALSE)),'Preliminary SO66'!X33,VLOOKUP($CZ34,'Audit Values'!$A$2:$BU$353,47,FALSE))</f>
        <v>0</v>
      </c>
      <c r="AV34" s="95">
        <f t="shared" si="15"/>
        <v>325.5</v>
      </c>
      <c r="AW34" s="95">
        <f t="shared" si="16"/>
        <v>301.89999999999998</v>
      </c>
      <c r="AX34" s="95">
        <f>IF(ISNA(VLOOKUP($CZ34,'Audit Values'!$A$2:$BU$353,2,FALSE)),'Preliminary SO66'!AA33,VLOOKUP($CZ34,'Audit Values'!$A$2:$BU$353,41,FALSE))</f>
        <v>0</v>
      </c>
      <c r="AY34" s="95">
        <f>IF(ISNA(VLOOKUP($CZ34,'Audit Values'!$A$2:$BU$353,2,FALSE)),'Preliminary SO66'!AB33,VLOOKUP($CZ34,'Audit Values'!$A$2:$BU$353,42,FALSE))</f>
        <v>0</v>
      </c>
      <c r="AZ34" s="114">
        <v>0</v>
      </c>
      <c r="BA34" s="99">
        <f>SUM(AX34*'Weighting Factors'!$T$10)+('2019 Legal Max'!AY34*'Weighting Factors'!$T$11)+('2019 Legal Max'!AZ34*'Weighting Factors'!$T$12)</f>
        <v>0</v>
      </c>
      <c r="BB34" s="158">
        <v>0</v>
      </c>
      <c r="BC34" s="88">
        <f>IF(ISNA(VLOOKUP($CZ34,'Audit Values'!$A$2:$BU$353,2,FALSE)),"",IF(AND('Weighting Factors'!H34&gt;0,VLOOKUP($CZ34,'Audit Values'!$A$2:$BU$353,51,FALSE)&lt;'Weighting Factors'!H34),'Weighting Factors'!H34,VLOOKUP($CZ34,'Audit Values'!$A$2:$BU$353,50,FALSE)))</f>
        <v>2</v>
      </c>
      <c r="BD34" s="88" t="str">
        <f>IF(ISNA(VLOOKUP($CZ34,'Audit Values'!$A$2:$BV$353,2,FALSE)),"",VLOOKUP($CZ34,'Audit Values'!$A$2:$BV$353,51,FALSE))</f>
        <v>A</v>
      </c>
      <c r="BE34" s="88" t="str">
        <f>IF('Weighting Factors'!H34="","",IF('Weighting Factors'!J34="Pending","PX","R"))</f>
        <v/>
      </c>
      <c r="BF34" s="97">
        <f>SUM((S34+T34+Y34+AA34+AE34+AH34+AJ34++AO34+AP34+AQ34+AU34+AR34)*'Weighting Factors'!$Q$5)+'2019 Legal Max'!BA34+'2019 Legal Max'!BB34</f>
        <v>1257414</v>
      </c>
      <c r="BG34" s="99">
        <f>SUM((AV34+AR34)*'Weighting Factors'!$Q$5)+BA34+'2019 Legal Max'!BB34</f>
        <v>1355708</v>
      </c>
      <c r="BH34" s="108">
        <f>IF('Weighting Factors'!H34&gt;0,'Weighting Factors'!H34,'Preliminary SO66'!AV33)</f>
        <v>1379448</v>
      </c>
      <c r="BI34" s="99">
        <f t="shared" si="40"/>
        <v>1355708</v>
      </c>
      <c r="BJ34" s="112"/>
      <c r="BK34" s="112">
        <f>'Weighting Factors'!F34</f>
        <v>-2672</v>
      </c>
      <c r="BL34" s="112">
        <f>'Weighting Factors'!E34</f>
        <v>0</v>
      </c>
      <c r="BM34" s="99">
        <f t="shared" si="17"/>
        <v>-2672</v>
      </c>
      <c r="BN34" s="99">
        <f t="shared" si="18"/>
        <v>1353036</v>
      </c>
      <c r="BO34" s="99">
        <f>SUM((S34+T34+Y34+AA34+AE34+AH34+AJ34++AO34+AP34+AQ34+AR34)*'Weighting Factors'!Q$12)+(MAX(AS34,'Weighting Factors'!B34))</f>
        <v>1501871</v>
      </c>
      <c r="BP34" s="122">
        <v>0.33</v>
      </c>
      <c r="BQ34" s="99">
        <f t="shared" si="19"/>
        <v>495617</v>
      </c>
      <c r="BR34" s="108">
        <v>499618</v>
      </c>
      <c r="BS34" s="99">
        <f t="shared" si="20"/>
        <v>495617</v>
      </c>
      <c r="BT34" s="167">
        <f t="shared" si="21"/>
        <v>0.33</v>
      </c>
      <c r="BU34" s="95">
        <f t="shared" si="22"/>
        <v>0</v>
      </c>
      <c r="BV34" s="87" t="b">
        <f t="shared" si="23"/>
        <v>1</v>
      </c>
      <c r="BW34" s="117">
        <f t="shared" si="24"/>
        <v>313.78800000000001</v>
      </c>
      <c r="BX34" s="116">
        <f t="shared" si="25"/>
        <v>0.92818299999999998</v>
      </c>
      <c r="BY34" s="95">
        <f t="shared" si="26"/>
        <v>123</v>
      </c>
      <c r="BZ34" s="87" t="b">
        <f t="shared" si="27"/>
        <v>0</v>
      </c>
      <c r="CA34" s="87">
        <f t="shared" si="28"/>
        <v>0</v>
      </c>
      <c r="CB34" s="116">
        <f t="shared" si="29"/>
        <v>0</v>
      </c>
      <c r="CC34" s="95">
        <f t="shared" si="30"/>
        <v>0</v>
      </c>
      <c r="CD34" s="95">
        <f t="shared" si="31"/>
        <v>0</v>
      </c>
      <c r="CE34" s="98">
        <v>252</v>
      </c>
      <c r="CF34" s="250">
        <f t="shared" si="32"/>
        <v>7.9000000000000001E-2</v>
      </c>
      <c r="CG34" s="274">
        <f>IF(CF34&lt;0.06,1,IF(CF34&gt;=18.29,52,MATCH(CF34-0.001,'Weighting Factors'!$Y$5:$Y$156)+1))</f>
        <v>3</v>
      </c>
      <c r="CH34" s="243">
        <f>VLOOKUP(CG34, 'Weighting Factors'!$W$5:$Z$56,4)</f>
        <v>1540</v>
      </c>
      <c r="CI34" s="118">
        <f>('Weighting Factors'!$Q$5/'Weighting Factors'!$Q$14)</f>
        <v>1</v>
      </c>
      <c r="CJ34" s="245">
        <f t="shared" si="33"/>
        <v>30800</v>
      </c>
      <c r="CK34" s="245">
        <f>CJ34*'Weighting Factors'!$S$7</f>
        <v>30800</v>
      </c>
      <c r="CL34" s="245">
        <f t="shared" si="34"/>
        <v>30800</v>
      </c>
      <c r="CM34" s="95">
        <f>AM34/'Weighting Factors'!$Q$5</f>
        <v>7.4</v>
      </c>
      <c r="CN34" s="148">
        <v>0</v>
      </c>
      <c r="CO34" s="148">
        <v>0</v>
      </c>
      <c r="CP34" s="149">
        <v>0</v>
      </c>
      <c r="CQ34" s="151">
        <v>0</v>
      </c>
      <c r="CR34" s="99">
        <f>SUM((AV34*'Weighting Factors'!$Q$5)+'2019 Legal Max'!BA34)*CQ34</f>
        <v>0</v>
      </c>
      <c r="CS34" s="99">
        <f t="shared" si="35"/>
        <v>0</v>
      </c>
      <c r="CT34" s="106">
        <f t="shared" si="36"/>
        <v>0.35399999999999998</v>
      </c>
      <c r="CU34" s="95">
        <f t="shared" si="37"/>
        <v>0</v>
      </c>
      <c r="CV34" s="95">
        <f t="shared" si="38"/>
        <v>0.1</v>
      </c>
      <c r="CW34" s="95">
        <f t="shared" si="39"/>
        <v>325.5</v>
      </c>
      <c r="CX34" s="99">
        <f>'LOB Transfers'!G33</f>
        <v>29539</v>
      </c>
      <c r="CY34" s="99">
        <f>'LOB Transfers'!J33</f>
        <v>11548</v>
      </c>
      <c r="CZ34" s="87" t="s">
        <v>226</v>
      </c>
    </row>
    <row r="35" spans="1:104" ht="15" customHeight="1">
      <c r="A35" s="88">
        <v>218</v>
      </c>
      <c r="B35" s="87" t="s">
        <v>17</v>
      </c>
      <c r="C35" s="87" t="s">
        <v>548</v>
      </c>
      <c r="D35" s="95">
        <v>450.4</v>
      </c>
      <c r="E35" s="95">
        <v>0</v>
      </c>
      <c r="F35" s="95">
        <f t="shared" si="5"/>
        <v>450.4</v>
      </c>
      <c r="G35" s="95">
        <v>453.9</v>
      </c>
      <c r="H35" s="95">
        <v>0</v>
      </c>
      <c r="I35" s="95">
        <f t="shared" si="6"/>
        <v>453.9</v>
      </c>
      <c r="J35" s="95">
        <v>420.2</v>
      </c>
      <c r="K35" s="95">
        <v>0</v>
      </c>
      <c r="L35" s="95">
        <f t="shared" si="7"/>
        <v>420.2</v>
      </c>
      <c r="M35" s="95">
        <f>IF(ISNA(VLOOKUP($CZ35,'Audit Values'!$A$2:$BW$365,2,FALSE)),'Preliminary SO66'!C34,VLOOKUP($CZ35,'Audit Values'!$A$2:$BW$365,73,FALSE))</f>
        <v>407.2</v>
      </c>
      <c r="N35" s="95">
        <f>IF(ISNA(VLOOKUP($CZ35,'Audit Values'!$A$2:$BW$365,2,FALSE)),'Preliminary SO66'!F34,VLOOKUP($CZ35,'Audit Values'!$A$2:$BW$365,4,FALSE))</f>
        <v>0</v>
      </c>
      <c r="O35" s="95">
        <f t="shared" si="8"/>
        <v>407.2</v>
      </c>
      <c r="P35" s="95">
        <f>IF('Military Provision'!J36="YES", MAX('2019 Legal Max'!L35,'2019 Legal Max'!I35,AVERAGE('2019 Legal Max'!F35,'2019 Legal Max'!I35,'2019 Legal Max'!L35)), MAX(L35, I35))</f>
        <v>453.9</v>
      </c>
      <c r="Q35" s="95">
        <f>IF(ISNA(VLOOKUP($CZ35,'Audit Values'!$A$2:$BU$353,2,FALSE)),'Preliminary SO66'!AL34,VLOOKUP($CZ35,'Audit Values'!$A$2:$BU$3955,58,FALSE))</f>
        <v>4.5</v>
      </c>
      <c r="R35" s="95">
        <v>0</v>
      </c>
      <c r="S35" s="95">
        <f t="shared" si="41"/>
        <v>458.4</v>
      </c>
      <c r="T35" s="95">
        <f t="shared" si="10"/>
        <v>197.3</v>
      </c>
      <c r="U35" s="95">
        <f>IF(ISNA(VLOOKUP($CZ35,'Audit Values'!$A$2:$BW$317,2,FALSE)),'Preliminary SO66'!AM34,VLOOKUP($CZ35,'Audit Values'!$A$2:$BW$317,62,FALSE))</f>
        <v>265.39999999999998</v>
      </c>
      <c r="V35" s="95">
        <f>(U35/6)*'Weighting Factors'!$Q$7</f>
        <v>17.5</v>
      </c>
      <c r="W35" s="132">
        <f>IF(ISNA(VLOOKUP($CZ35,'Audit Values'!$A$2:$BW$353,2,FALSE)),'Preliminary SO66'!AN34,VLOOKUP($CZ35,'Audit Values'!$A$2:$BW$353,61,FALSE))</f>
        <v>73</v>
      </c>
      <c r="X35" s="95">
        <f>W35*'Weighting Factors'!$Q$8</f>
        <v>13.5</v>
      </c>
      <c r="Y35" s="95">
        <f t="shared" si="11"/>
        <v>17.5</v>
      </c>
      <c r="Z35" s="276">
        <f>IF(ISNA(VLOOKUP($CZ35,'Audit Values'!$A$2:$BW$317,2,FALSE)),'Preliminary SO66'!AO34,VLOOKUP($CZ35,'Audit Values'!$A$2:$BW$317,60,FALSE))</f>
        <v>95.3</v>
      </c>
      <c r="AA35" s="95">
        <f>Z35/6*'Weighting Factors'!$Q$6</f>
        <v>7.9</v>
      </c>
      <c r="AB35" s="99">
        <f>IF(ISNA(VLOOKUP($CZ35,'Audit Values'!$A$2:$BU$353,2,FALSE)),'Preliminary SO66'!AS34,VLOOKUP($CZ35,'Audit Values'!$A$2:$BU$353,63,FALSE))</f>
        <v>431</v>
      </c>
      <c r="AC35" s="99">
        <v>0</v>
      </c>
      <c r="AD35" s="99">
        <f>IF(ISNA(VLOOKUP($CZ35,'Audit Values'!$A$2:$BU$353,2,FALSE)),'Preliminary SO66'!AP34,VLOOKUP($CZ35,'Audit Values'!$A$2:$BU$353,64,FALSE))</f>
        <v>169</v>
      </c>
      <c r="AE35" s="95">
        <f>IF(A35=207, AD35,MAX(AC35,AD35))*'Weighting Factors'!$Q$9</f>
        <v>81.8</v>
      </c>
      <c r="AF35" s="95">
        <f t="shared" si="12"/>
        <v>5</v>
      </c>
      <c r="AG35" s="95">
        <f>IF(ISNA(VLOOKUP($CZ35,'Audit Values'!$A$2:$BW$353,2,FALSE)),'Preliminary SO66'!AG34,VLOOKUP($CZ35,'Audit Values'!$A$2:$BW$353,70,FALSE))</f>
        <v>9.1</v>
      </c>
      <c r="AH35" s="95">
        <f t="shared" si="13"/>
        <v>9.1</v>
      </c>
      <c r="AI35" s="95">
        <f>IF(ISNA(VLOOKUP($CZ35,'Audit Values'!$A$2:$BU$353,2,FALSE)),'Preliminary SO66'!AQ34,VLOOKUP($CZ35,'Audit Values'!$A$2:$BU$353,65,FALSE))</f>
        <v>0</v>
      </c>
      <c r="AJ35" s="95">
        <f>AI35*'Weighting Factors'!$Q$10</f>
        <v>0</v>
      </c>
      <c r="AK35" s="95">
        <f>IF(ISNA(VLOOKUP($CZ35,'Audit Values'!$A$2:$BU$353,2,FALSE)),'Preliminary SO66'!AR34,VLOOKUP($CZ35,'Audit Values'!$A$2:$BU$353,66,FALSE))</f>
        <v>24</v>
      </c>
      <c r="AL35" s="95"/>
      <c r="AM35" s="99">
        <f t="shared" si="14"/>
        <v>37920</v>
      </c>
      <c r="AN35" s="99">
        <v>68180</v>
      </c>
      <c r="AO35" s="95">
        <f>MAX(AN35, AM35)/'Weighting Factors'!$Q$5</f>
        <v>16.399999999999999</v>
      </c>
      <c r="AP35" s="95">
        <f>CN35/'Weighting Factors'!$Q$5</f>
        <v>0</v>
      </c>
      <c r="AQ35" s="95">
        <v>0</v>
      </c>
      <c r="AR35" s="95">
        <f>CS35/'Weighting Factors'!$Q$5</f>
        <v>0</v>
      </c>
      <c r="AS35" s="99">
        <v>278721</v>
      </c>
      <c r="AT35" s="95">
        <f>AS35/'Weighting Factors'!$Q$5</f>
        <v>66.900000000000006</v>
      </c>
      <c r="AU35" s="95">
        <f>IF(ISNA(VLOOKUP($CZ35,'Audit Values'!$A$2:$BU$353,2,FALSE)),'Preliminary SO66'!X34,VLOOKUP($CZ35,'Audit Values'!$A$2:$BU$353,47,FALSE))</f>
        <v>0</v>
      </c>
      <c r="AV35" s="95">
        <f t="shared" si="15"/>
        <v>855.3</v>
      </c>
      <c r="AW35" s="95">
        <f t="shared" si="16"/>
        <v>788.4</v>
      </c>
      <c r="AX35" s="95">
        <f>IF(ISNA(VLOOKUP($CZ35,'Audit Values'!$A$2:$BU$353,2,FALSE)),'Preliminary SO66'!AA34,VLOOKUP($CZ35,'Audit Values'!$A$2:$BU$353,41,FALSE))</f>
        <v>767</v>
      </c>
      <c r="AY35" s="95">
        <f>IF(ISNA(VLOOKUP($CZ35,'Audit Values'!$A$2:$BU$353,2,FALSE)),'Preliminary SO66'!AB34,VLOOKUP($CZ35,'Audit Values'!$A$2:$BU$353,42,FALSE))</f>
        <v>25.3</v>
      </c>
      <c r="AZ35" s="114">
        <v>6.5</v>
      </c>
      <c r="BA35" s="99">
        <f>SUM(AX35*'Weighting Factors'!$T$10)+('2019 Legal Max'!AY35*'Weighting Factors'!$T$11)+('2019 Legal Max'!AZ35*'Weighting Factors'!$T$12)</f>
        <v>3882619</v>
      </c>
      <c r="BB35" s="158">
        <v>0</v>
      </c>
      <c r="BC35" s="88">
        <f>IF(ISNA(VLOOKUP($CZ35,'Audit Values'!$A$2:$BU$353,2,FALSE)),"",IF(AND('Weighting Factors'!H35&gt;0,VLOOKUP($CZ35,'Audit Values'!$A$2:$BU$353,51,FALSE)&lt;'Weighting Factors'!H35),'Weighting Factors'!H35,VLOOKUP($CZ35,'Audit Values'!$A$2:$BU$353,50,FALSE)))</f>
        <v>19</v>
      </c>
      <c r="BD35" s="88" t="str">
        <f>IF(ISNA(VLOOKUP($CZ35,'Audit Values'!$A$2:$BV$353,2,FALSE)),"",VLOOKUP($CZ35,'Audit Values'!$A$2:$BV$353,51,FALSE))</f>
        <v>A</v>
      </c>
      <c r="BE35" s="88" t="str">
        <f>IF('Weighting Factors'!H35="","",IF('Weighting Factors'!J35="Pending","PX","R"))</f>
        <v/>
      </c>
      <c r="BF35" s="97">
        <f>SUM((S35+T35+Y35+AA35+AE35+AH35+AJ35++AO35+AP35+AQ35+AU35+AR35)*'Weighting Factors'!$Q$5)+'2019 Legal Max'!BA35+'2019 Legal Max'!BB35</f>
        <v>7166305</v>
      </c>
      <c r="BG35" s="99">
        <f>SUM((AV35+AR35)*'Weighting Factors'!$Q$5)+BA35+'2019 Legal Max'!BB35</f>
        <v>7444944</v>
      </c>
      <c r="BH35" s="108">
        <f>IF('Weighting Factors'!H35&gt;0,'Weighting Factors'!H35,'Preliminary SO66'!AV34)</f>
        <v>8378838</v>
      </c>
      <c r="BI35" s="99">
        <f t="shared" si="40"/>
        <v>7444944</v>
      </c>
      <c r="BJ35" s="112"/>
      <c r="BK35" s="112">
        <f>'Weighting Factors'!F35</f>
        <v>0</v>
      </c>
      <c r="BL35" s="112">
        <f>'Weighting Factors'!E35</f>
        <v>-355</v>
      </c>
      <c r="BM35" s="99">
        <f t="shared" si="17"/>
        <v>-355</v>
      </c>
      <c r="BN35" s="99">
        <f t="shared" si="18"/>
        <v>7444589</v>
      </c>
      <c r="BO35" s="99">
        <f>SUM((S35+T35+Y35+AA35+AE35+AH35+AJ35++AO35+AP35+AQ35+AR35)*'Weighting Factors'!Q$12)+(MAX(AS35,'Weighting Factors'!B35))</f>
        <v>3930705</v>
      </c>
      <c r="BP35" s="122">
        <v>0.3</v>
      </c>
      <c r="BQ35" s="99">
        <f t="shared" si="19"/>
        <v>1179212</v>
      </c>
      <c r="BR35" s="108">
        <v>1228377</v>
      </c>
      <c r="BS35" s="99">
        <f t="shared" si="20"/>
        <v>1179212</v>
      </c>
      <c r="BT35" s="167">
        <f t="shared" si="21"/>
        <v>0.3</v>
      </c>
      <c r="BU35" s="95">
        <f t="shared" si="22"/>
        <v>0</v>
      </c>
      <c r="BV35" s="87" t="b">
        <f t="shared" si="23"/>
        <v>0</v>
      </c>
      <c r="BW35" s="117">
        <f t="shared" si="24"/>
        <v>0</v>
      </c>
      <c r="BX35" s="116">
        <f t="shared" si="25"/>
        <v>0</v>
      </c>
      <c r="BY35" s="95">
        <f t="shared" si="26"/>
        <v>0</v>
      </c>
      <c r="BZ35" s="87" t="b">
        <f t="shared" si="27"/>
        <v>1</v>
      </c>
      <c r="CA35" s="87">
        <f t="shared" si="28"/>
        <v>196.02</v>
      </c>
      <c r="CB35" s="116">
        <f t="shared" si="29"/>
        <v>0.43036999999999997</v>
      </c>
      <c r="CC35" s="95">
        <f t="shared" si="30"/>
        <v>197.3</v>
      </c>
      <c r="CD35" s="95">
        <f t="shared" si="31"/>
        <v>0</v>
      </c>
      <c r="CE35" s="98">
        <v>376</v>
      </c>
      <c r="CF35" s="250">
        <f t="shared" si="32"/>
        <v>6.4000000000000001E-2</v>
      </c>
      <c r="CG35" s="274">
        <f>IF(CF35&lt;0.06,1,IF(CF35&gt;=18.29,52,MATCH(CF35-0.001,'Weighting Factors'!$Y$5:$Y$156)+1))</f>
        <v>2</v>
      </c>
      <c r="CH35" s="243">
        <f>VLOOKUP(CG35, 'Weighting Factors'!$W$5:$Z$56,4)</f>
        <v>1580</v>
      </c>
      <c r="CI35" s="118">
        <f>('Weighting Factors'!$Q$5/'Weighting Factors'!$Q$14)</f>
        <v>1</v>
      </c>
      <c r="CJ35" s="245">
        <f t="shared" si="33"/>
        <v>37920</v>
      </c>
      <c r="CK35" s="245">
        <f>CJ35*'Weighting Factors'!$S$7</f>
        <v>37920</v>
      </c>
      <c r="CL35" s="245">
        <f t="shared" si="34"/>
        <v>37920</v>
      </c>
      <c r="CM35" s="95">
        <f>AM35/'Weighting Factors'!$Q$5</f>
        <v>9.1</v>
      </c>
      <c r="CN35" s="148">
        <v>0</v>
      </c>
      <c r="CO35" s="148">
        <v>0</v>
      </c>
      <c r="CP35" s="149">
        <v>0</v>
      </c>
      <c r="CQ35" s="151">
        <v>0</v>
      </c>
      <c r="CR35" s="99">
        <f>SUM((AV35*'Weighting Factors'!$Q$5)+'2019 Legal Max'!BA35)*CQ35</f>
        <v>0</v>
      </c>
      <c r="CS35" s="99">
        <f t="shared" si="35"/>
        <v>0</v>
      </c>
      <c r="CT35" s="106">
        <f t="shared" si="36"/>
        <v>0.3921</v>
      </c>
      <c r="CU35" s="95">
        <f t="shared" si="37"/>
        <v>0</v>
      </c>
      <c r="CV35" s="95">
        <f t="shared" si="38"/>
        <v>5</v>
      </c>
      <c r="CW35" s="95">
        <f t="shared" si="39"/>
        <v>855.3</v>
      </c>
      <c r="CX35" s="99">
        <f>'LOB Transfers'!G34</f>
        <v>113322</v>
      </c>
      <c r="CY35" s="99">
        <f>'LOB Transfers'!J34</f>
        <v>24292</v>
      </c>
      <c r="CZ35" s="87" t="s">
        <v>227</v>
      </c>
    </row>
    <row r="36" spans="1:104" ht="15" customHeight="1">
      <c r="A36" s="88">
        <v>219</v>
      </c>
      <c r="B36" s="87" t="s">
        <v>18</v>
      </c>
      <c r="C36" s="87" t="s">
        <v>549</v>
      </c>
      <c r="D36" s="95">
        <v>233.7</v>
      </c>
      <c r="E36" s="95">
        <v>0</v>
      </c>
      <c r="F36" s="95">
        <f t="shared" si="5"/>
        <v>233.7</v>
      </c>
      <c r="G36" s="95">
        <v>243.5</v>
      </c>
      <c r="H36" s="95">
        <v>0</v>
      </c>
      <c r="I36" s="95">
        <f t="shared" si="6"/>
        <v>243.5</v>
      </c>
      <c r="J36" s="95">
        <v>236.5</v>
      </c>
      <c r="K36" s="95">
        <v>0</v>
      </c>
      <c r="L36" s="95">
        <f t="shared" si="7"/>
        <v>236.5</v>
      </c>
      <c r="M36" s="95">
        <f>IF(ISNA(VLOOKUP($CZ36,'Audit Values'!$A$2:$BW$365,2,FALSE)),'Preliminary SO66'!C35,VLOOKUP($CZ36,'Audit Values'!$A$2:$BW$365,73,FALSE))</f>
        <v>237.5</v>
      </c>
      <c r="N36" s="95">
        <f>IF(ISNA(VLOOKUP($CZ36,'Audit Values'!$A$2:$BW$365,2,FALSE)),'Preliminary SO66'!F35,VLOOKUP($CZ36,'Audit Values'!$A$2:$BW$365,4,FALSE))</f>
        <v>0</v>
      </c>
      <c r="O36" s="95">
        <f t="shared" si="8"/>
        <v>237.5</v>
      </c>
      <c r="P36" s="95">
        <f>IF('Military Provision'!J37="YES", MAX('2019 Legal Max'!L36,'2019 Legal Max'!I36,AVERAGE('2019 Legal Max'!F36,'2019 Legal Max'!I36,'2019 Legal Max'!L36)), MAX(L36, I36))</f>
        <v>243.5</v>
      </c>
      <c r="Q36" s="95">
        <f>IF(ISNA(VLOOKUP($CZ36,'Audit Values'!$A$2:$BU$353,2,FALSE)),'Preliminary SO66'!AL35,VLOOKUP($CZ36,'Audit Values'!$A$2:$BU$3955,58,FALSE))</f>
        <v>0</v>
      </c>
      <c r="R36" s="95">
        <v>0</v>
      </c>
      <c r="S36" s="95">
        <f t="shared" si="41"/>
        <v>243.5</v>
      </c>
      <c r="T36" s="95">
        <f t="shared" si="10"/>
        <v>154.4</v>
      </c>
      <c r="U36" s="95">
        <f>IF(ISNA(VLOOKUP($CZ36,'Audit Values'!$A$2:$BW$317,2,FALSE)),'Preliminary SO66'!AM35,VLOOKUP($CZ36,'Audit Values'!$A$2:$BW$317,62,FALSE))</f>
        <v>0</v>
      </c>
      <c r="V36" s="95">
        <f>(U36/6)*'Weighting Factors'!$Q$7</f>
        <v>0</v>
      </c>
      <c r="W36" s="132">
        <f>IF(ISNA(VLOOKUP($CZ36,'Audit Values'!$A$2:$BW$353,2,FALSE)),'Preliminary SO66'!AN35,VLOOKUP($CZ36,'Audit Values'!$A$2:$BW$353,61,FALSE))</f>
        <v>7</v>
      </c>
      <c r="X36" s="95">
        <f>W36*'Weighting Factors'!$Q$8</f>
        <v>1.3</v>
      </c>
      <c r="Y36" s="95">
        <f t="shared" si="11"/>
        <v>1.3</v>
      </c>
      <c r="Z36" s="276">
        <f>IF(ISNA(VLOOKUP($CZ36,'Audit Values'!$A$2:$BW$317,2,FALSE)),'Preliminary SO66'!AO35,VLOOKUP($CZ36,'Audit Values'!$A$2:$BW$317,60,FALSE))</f>
        <v>0</v>
      </c>
      <c r="AA36" s="95">
        <f>Z36/6*'Weighting Factors'!$Q$6</f>
        <v>0</v>
      </c>
      <c r="AB36" s="99">
        <f>IF(ISNA(VLOOKUP($CZ36,'Audit Values'!$A$2:$BU$353,2,FALSE)),'Preliminary SO66'!AS35,VLOOKUP($CZ36,'Audit Values'!$A$2:$BU$353,63,FALSE))</f>
        <v>240</v>
      </c>
      <c r="AC36" s="99">
        <v>0</v>
      </c>
      <c r="AD36" s="99">
        <f>IF(ISNA(VLOOKUP($CZ36,'Audit Values'!$A$2:$BU$353,2,FALSE)),'Preliminary SO66'!AP35,VLOOKUP($CZ36,'Audit Values'!$A$2:$BU$353,64,FALSE))</f>
        <v>81</v>
      </c>
      <c r="AE36" s="95">
        <f>IF(A36=207, AD36,MAX(AC36,AD36))*'Weighting Factors'!$Q$9</f>
        <v>39.200000000000003</v>
      </c>
      <c r="AF36" s="95">
        <f t="shared" si="12"/>
        <v>0</v>
      </c>
      <c r="AG36" s="95">
        <f>IF(ISNA(VLOOKUP($CZ36,'Audit Values'!$A$2:$BW$353,2,FALSE)),'Preliminary SO66'!AG35,VLOOKUP($CZ36,'Audit Values'!$A$2:$BW$353,70,FALSE))</f>
        <v>0.3</v>
      </c>
      <c r="AH36" s="95">
        <f t="shared" si="13"/>
        <v>0.3</v>
      </c>
      <c r="AI36" s="95">
        <f>IF(ISNA(VLOOKUP($CZ36,'Audit Values'!$A$2:$BU$353,2,FALSE)),'Preliminary SO66'!AQ35,VLOOKUP($CZ36,'Audit Values'!$A$2:$BU$353,65,FALSE))</f>
        <v>0</v>
      </c>
      <c r="AJ36" s="95">
        <f>AI36*'Weighting Factors'!$Q$10</f>
        <v>0</v>
      </c>
      <c r="AK36" s="95">
        <f>IF(ISNA(VLOOKUP($CZ36,'Audit Values'!$A$2:$BU$353,2,FALSE)),'Preliminary SO66'!AR35,VLOOKUP($CZ36,'Audit Values'!$A$2:$BU$353,66,FALSE))</f>
        <v>32</v>
      </c>
      <c r="AL36" s="95"/>
      <c r="AM36" s="99">
        <f t="shared" si="14"/>
        <v>45760</v>
      </c>
      <c r="AN36" s="99">
        <v>70106</v>
      </c>
      <c r="AO36" s="95">
        <f>MAX(AN36, AM36)/'Weighting Factors'!$Q$5</f>
        <v>16.8</v>
      </c>
      <c r="AP36" s="95">
        <f>CN36/'Weighting Factors'!$Q$5</f>
        <v>0</v>
      </c>
      <c r="AQ36" s="95">
        <v>0</v>
      </c>
      <c r="AR36" s="95">
        <f>CS36/'Weighting Factors'!$Q$5</f>
        <v>0</v>
      </c>
      <c r="AS36" s="99">
        <v>167449</v>
      </c>
      <c r="AT36" s="95">
        <f>AS36/'Weighting Factors'!$Q$5</f>
        <v>40.200000000000003</v>
      </c>
      <c r="AU36" s="95">
        <f>IF(ISNA(VLOOKUP($CZ36,'Audit Values'!$A$2:$BU$353,2,FALSE)),'Preliminary SO66'!X35,VLOOKUP($CZ36,'Audit Values'!$A$2:$BU$353,47,FALSE))</f>
        <v>0</v>
      </c>
      <c r="AV36" s="95">
        <f t="shared" si="15"/>
        <v>495.7</v>
      </c>
      <c r="AW36" s="95">
        <f t="shared" si="16"/>
        <v>455.5</v>
      </c>
      <c r="AX36" s="95">
        <f>IF(ISNA(VLOOKUP($CZ36,'Audit Values'!$A$2:$BU$353,2,FALSE)),'Preliminary SO66'!AA35,VLOOKUP($CZ36,'Audit Values'!$A$2:$BU$353,41,FALSE))</f>
        <v>0</v>
      </c>
      <c r="AY36" s="95">
        <f>IF(ISNA(VLOOKUP($CZ36,'Audit Values'!$A$2:$BU$353,2,FALSE)),'Preliminary SO66'!AB35,VLOOKUP($CZ36,'Audit Values'!$A$2:$BU$353,42,FALSE))</f>
        <v>0</v>
      </c>
      <c r="AZ36" s="114">
        <v>0</v>
      </c>
      <c r="BA36" s="99">
        <f>SUM(AX36*'Weighting Factors'!$T$10)+('2019 Legal Max'!AY36*'Weighting Factors'!$T$11)+('2019 Legal Max'!AZ36*'Weighting Factors'!$T$12)</f>
        <v>0</v>
      </c>
      <c r="BB36" s="158">
        <v>0</v>
      </c>
      <c r="BC36" s="88">
        <f>IF(ISNA(VLOOKUP($CZ36,'Audit Values'!$A$2:$BU$353,2,FALSE)),"",IF(AND('Weighting Factors'!H36&gt;0,VLOOKUP($CZ36,'Audit Values'!$A$2:$BU$353,51,FALSE)&lt;'Weighting Factors'!H36),'Weighting Factors'!H36,VLOOKUP($CZ36,'Audit Values'!$A$2:$BU$353,50,FALSE)))</f>
        <v>11</v>
      </c>
      <c r="BD36" s="88" t="str">
        <f>IF(ISNA(VLOOKUP($CZ36,'Audit Values'!$A$2:$BV$353,2,FALSE)),"",VLOOKUP($CZ36,'Audit Values'!$A$2:$BV$353,51,FALSE))</f>
        <v>A</v>
      </c>
      <c r="BE36" s="88" t="str">
        <f>IF('Weighting Factors'!H36="","",IF('Weighting Factors'!J36="Pending","PX","R"))</f>
        <v/>
      </c>
      <c r="BF36" s="97">
        <f>SUM((S36+T36+Y36+AA36+AE36+AH36+AJ36++AO36+AP36+AQ36+AU36+AR36)*'Weighting Factors'!$Q$5)+'2019 Legal Max'!BA36+'2019 Legal Max'!BB36</f>
        <v>1897158</v>
      </c>
      <c r="BG36" s="99">
        <f>SUM((AV36+AR36)*'Weighting Factors'!$Q$5)+BA36+'2019 Legal Max'!BB36</f>
        <v>2064591</v>
      </c>
      <c r="BH36" s="108">
        <f>IF('Weighting Factors'!H36&gt;0,'Weighting Factors'!H36,'Preliminary SO66'!AV35)</f>
        <v>2164967</v>
      </c>
      <c r="BI36" s="99">
        <f t="shared" si="40"/>
        <v>2064591</v>
      </c>
      <c r="BJ36" s="112"/>
      <c r="BK36" s="112">
        <f>'Weighting Factors'!F36</f>
        <v>0</v>
      </c>
      <c r="BL36" s="112">
        <f>'Weighting Factors'!E36</f>
        <v>0</v>
      </c>
      <c r="BM36" s="99">
        <f t="shared" si="17"/>
        <v>0</v>
      </c>
      <c r="BN36" s="99">
        <f t="shared" si="18"/>
        <v>2064591</v>
      </c>
      <c r="BO36" s="99">
        <f>SUM((S36+T36+Y36+AA36+AE36+AH36+AJ36++AO36+AP36+AQ36+AR36)*'Weighting Factors'!Q$12)+(MAX(AS36,'Weighting Factors'!B36))</f>
        <v>2293018</v>
      </c>
      <c r="BP36" s="122">
        <v>0.3</v>
      </c>
      <c r="BQ36" s="99">
        <f t="shared" si="19"/>
        <v>687905</v>
      </c>
      <c r="BR36" s="108">
        <v>698277</v>
      </c>
      <c r="BS36" s="99">
        <f t="shared" si="20"/>
        <v>687905</v>
      </c>
      <c r="BT36" s="167">
        <f t="shared" si="21"/>
        <v>0.3</v>
      </c>
      <c r="BU36" s="95">
        <f t="shared" si="22"/>
        <v>0</v>
      </c>
      <c r="BV36" s="87" t="b">
        <f t="shared" si="23"/>
        <v>1</v>
      </c>
      <c r="BW36" s="117">
        <f t="shared" si="24"/>
        <v>1385.4929999999999</v>
      </c>
      <c r="BX36" s="116">
        <f t="shared" si="25"/>
        <v>0.63395199999999996</v>
      </c>
      <c r="BY36" s="95">
        <f t="shared" si="26"/>
        <v>154.4</v>
      </c>
      <c r="BZ36" s="87" t="b">
        <f t="shared" si="27"/>
        <v>0</v>
      </c>
      <c r="CA36" s="87">
        <f t="shared" si="28"/>
        <v>0</v>
      </c>
      <c r="CB36" s="116">
        <f t="shared" si="29"/>
        <v>0</v>
      </c>
      <c r="CC36" s="95">
        <f t="shared" si="30"/>
        <v>0</v>
      </c>
      <c r="CD36" s="95">
        <f t="shared" si="31"/>
        <v>0</v>
      </c>
      <c r="CE36" s="98">
        <v>292</v>
      </c>
      <c r="CF36" s="250">
        <f t="shared" si="32"/>
        <v>0.11</v>
      </c>
      <c r="CG36" s="274">
        <f>IF(CF36&lt;0.06,1,IF(CF36&gt;=18.29,52,MATCH(CF36-0.001,'Weighting Factors'!$Y$5:$Y$156)+1))</f>
        <v>7</v>
      </c>
      <c r="CH36" s="243">
        <f>VLOOKUP(CG36, 'Weighting Factors'!$W$5:$Z$56,4)</f>
        <v>1430</v>
      </c>
      <c r="CI36" s="118">
        <f>('Weighting Factors'!$Q$5/'Weighting Factors'!$Q$14)</f>
        <v>1</v>
      </c>
      <c r="CJ36" s="245">
        <f t="shared" si="33"/>
        <v>45760</v>
      </c>
      <c r="CK36" s="245">
        <f>CJ36*'Weighting Factors'!$S$7</f>
        <v>45760</v>
      </c>
      <c r="CL36" s="245">
        <f t="shared" si="34"/>
        <v>45760</v>
      </c>
      <c r="CM36" s="95">
        <f>AM36/'Weighting Factors'!$Q$5</f>
        <v>11</v>
      </c>
      <c r="CN36" s="148">
        <v>0</v>
      </c>
      <c r="CO36" s="148">
        <v>0</v>
      </c>
      <c r="CP36" s="149">
        <v>0</v>
      </c>
      <c r="CQ36" s="151">
        <v>0</v>
      </c>
      <c r="CR36" s="99">
        <f>SUM((AV36*'Weighting Factors'!$Q$5)+'2019 Legal Max'!BA36)*CQ36</f>
        <v>0</v>
      </c>
      <c r="CS36" s="99">
        <f t="shared" si="35"/>
        <v>0</v>
      </c>
      <c r="CT36" s="106">
        <f t="shared" si="36"/>
        <v>0.33750000000000002</v>
      </c>
      <c r="CU36" s="95">
        <f t="shared" si="37"/>
        <v>0</v>
      </c>
      <c r="CV36" s="95">
        <f t="shared" si="38"/>
        <v>0</v>
      </c>
      <c r="CW36" s="95">
        <f t="shared" si="39"/>
        <v>495.7</v>
      </c>
      <c r="CX36" s="99">
        <f>'LOB Transfers'!G35</f>
        <v>54413</v>
      </c>
      <c r="CY36" s="99">
        <f>'LOB Transfers'!J35</f>
        <v>1789</v>
      </c>
      <c r="CZ36" s="87" t="s">
        <v>228</v>
      </c>
    </row>
    <row r="37" spans="1:104" ht="15" customHeight="1">
      <c r="A37" s="88">
        <v>220</v>
      </c>
      <c r="B37" s="87" t="s">
        <v>18</v>
      </c>
      <c r="C37" s="87" t="s">
        <v>550</v>
      </c>
      <c r="D37" s="95">
        <v>189.9</v>
      </c>
      <c r="E37" s="95">
        <v>0</v>
      </c>
      <c r="F37" s="95">
        <f t="shared" si="5"/>
        <v>189.9</v>
      </c>
      <c r="G37" s="95">
        <v>191.6</v>
      </c>
      <c r="H37" s="95">
        <v>0</v>
      </c>
      <c r="I37" s="95">
        <f t="shared" si="6"/>
        <v>191.6</v>
      </c>
      <c r="J37" s="95">
        <v>208</v>
      </c>
      <c r="K37" s="95">
        <v>0</v>
      </c>
      <c r="L37" s="95">
        <f t="shared" si="7"/>
        <v>208</v>
      </c>
      <c r="M37" s="95">
        <f>IF(ISNA(VLOOKUP($CZ37,'Audit Values'!$A$2:$BW$365,2,FALSE)),'Preliminary SO66'!C36,VLOOKUP($CZ37,'Audit Values'!$A$2:$BW$365,73,FALSE))</f>
        <v>207.3</v>
      </c>
      <c r="N37" s="95">
        <f>IF(ISNA(VLOOKUP($CZ37,'Audit Values'!$A$2:$BW$365,2,FALSE)),'Preliminary SO66'!F36,VLOOKUP($CZ37,'Audit Values'!$A$2:$BW$365,4,FALSE))</f>
        <v>0</v>
      </c>
      <c r="O37" s="95">
        <f t="shared" si="8"/>
        <v>207.3</v>
      </c>
      <c r="P37" s="95">
        <f>IF('Military Provision'!J38="YES", MAX('2019 Legal Max'!L37,'2019 Legal Max'!I37,AVERAGE('2019 Legal Max'!F37,'2019 Legal Max'!I37,'2019 Legal Max'!L37)), MAX(L37, I37))</f>
        <v>208</v>
      </c>
      <c r="Q37" s="95">
        <f>IF(ISNA(VLOOKUP($CZ37,'Audit Values'!$A$2:$BU$353,2,FALSE)),'Preliminary SO66'!AL36,VLOOKUP($CZ37,'Audit Values'!$A$2:$BU$3955,58,FALSE))</f>
        <v>1.5</v>
      </c>
      <c r="R37" s="95">
        <v>0</v>
      </c>
      <c r="S37" s="95">
        <f t="shared" si="41"/>
        <v>209.5</v>
      </c>
      <c r="T37" s="95">
        <f t="shared" si="10"/>
        <v>151.69999999999999</v>
      </c>
      <c r="U37" s="95">
        <f>IF(ISNA(VLOOKUP($CZ37,'Audit Values'!$A$2:$BW$317,2,FALSE)),'Preliminary SO66'!AM36,VLOOKUP($CZ37,'Audit Values'!$A$2:$BW$317,62,FALSE))</f>
        <v>40.700000000000003</v>
      </c>
      <c r="V37" s="95">
        <f>(U37/6)*'Weighting Factors'!$Q$7</f>
        <v>2.7</v>
      </c>
      <c r="W37" s="132">
        <f>IF(ISNA(VLOOKUP($CZ37,'Audit Values'!$A$2:$BW$353,2,FALSE)),'Preliminary SO66'!AN36,VLOOKUP($CZ37,'Audit Values'!$A$2:$BW$353,61,FALSE))</f>
        <v>22</v>
      </c>
      <c r="X37" s="95">
        <f>W37*'Weighting Factors'!$Q$8</f>
        <v>4.0999999999999996</v>
      </c>
      <c r="Y37" s="95">
        <f t="shared" si="11"/>
        <v>4.0999999999999996</v>
      </c>
      <c r="Z37" s="276">
        <f>IF(ISNA(VLOOKUP($CZ37,'Audit Values'!$A$2:$BW$317,2,FALSE)),'Preliminary SO66'!AO36,VLOOKUP($CZ37,'Audit Values'!$A$2:$BW$317,60,FALSE))</f>
        <v>51</v>
      </c>
      <c r="AA37" s="95">
        <f>Z37/6*'Weighting Factors'!$Q$6</f>
        <v>4.3</v>
      </c>
      <c r="AB37" s="99">
        <f>IF(ISNA(VLOOKUP($CZ37,'Audit Values'!$A$2:$BU$353,2,FALSE)),'Preliminary SO66'!AS36,VLOOKUP($CZ37,'Audit Values'!$A$2:$BU$353,63,FALSE))</f>
        <v>211</v>
      </c>
      <c r="AC37" s="99">
        <v>0</v>
      </c>
      <c r="AD37" s="99">
        <f>IF(ISNA(VLOOKUP($CZ37,'Audit Values'!$A$2:$BU$353,2,FALSE)),'Preliminary SO66'!AP36,VLOOKUP($CZ37,'Audit Values'!$A$2:$BU$353,64,FALSE))</f>
        <v>82</v>
      </c>
      <c r="AE37" s="95">
        <f>IF(A37=207, AD37,MAX(AC37,AD37))*'Weighting Factors'!$Q$9</f>
        <v>39.700000000000003</v>
      </c>
      <c r="AF37" s="95">
        <f t="shared" si="12"/>
        <v>2.2000000000000002</v>
      </c>
      <c r="AG37" s="95">
        <f>IF(ISNA(VLOOKUP($CZ37,'Audit Values'!$A$2:$BW$353,2,FALSE)),'Preliminary SO66'!AG36,VLOOKUP($CZ37,'Audit Values'!$A$2:$BW$353,70,FALSE))</f>
        <v>5.4</v>
      </c>
      <c r="AH37" s="95">
        <f t="shared" si="13"/>
        <v>5.4</v>
      </c>
      <c r="AI37" s="95">
        <f>IF(ISNA(VLOOKUP($CZ37,'Audit Values'!$A$2:$BU$353,2,FALSE)),'Preliminary SO66'!AQ36,VLOOKUP($CZ37,'Audit Values'!$A$2:$BU$353,65,FALSE))</f>
        <v>0</v>
      </c>
      <c r="AJ37" s="95">
        <f>AI37*'Weighting Factors'!$Q$10</f>
        <v>0</v>
      </c>
      <c r="AK37" s="95">
        <f>IF(ISNA(VLOOKUP($CZ37,'Audit Values'!$A$2:$BU$353,2,FALSE)),'Preliminary SO66'!AR36,VLOOKUP($CZ37,'Audit Values'!$A$2:$BU$353,66,FALSE))</f>
        <v>46</v>
      </c>
      <c r="AL37" s="95"/>
      <c r="AM37" s="99">
        <f t="shared" si="14"/>
        <v>70840</v>
      </c>
      <c r="AN37" s="99">
        <v>91292</v>
      </c>
      <c r="AO37" s="95">
        <f>MAX(AN37, AM37)/'Weighting Factors'!$Q$5</f>
        <v>21.9</v>
      </c>
      <c r="AP37" s="95">
        <f>CN37/'Weighting Factors'!$Q$5</f>
        <v>0</v>
      </c>
      <c r="AQ37" s="95">
        <v>0</v>
      </c>
      <c r="AR37" s="95">
        <f>CS37/'Weighting Factors'!$Q$5</f>
        <v>0</v>
      </c>
      <c r="AS37" s="99">
        <v>155674</v>
      </c>
      <c r="AT37" s="95">
        <f>AS37/'Weighting Factors'!$Q$5</f>
        <v>37.4</v>
      </c>
      <c r="AU37" s="95">
        <f>IF(ISNA(VLOOKUP($CZ37,'Audit Values'!$A$2:$BU$353,2,FALSE)),'Preliminary SO66'!X36,VLOOKUP($CZ37,'Audit Values'!$A$2:$BU$353,47,FALSE))</f>
        <v>0</v>
      </c>
      <c r="AV37" s="95">
        <f t="shared" si="15"/>
        <v>474</v>
      </c>
      <c r="AW37" s="95">
        <f t="shared" si="16"/>
        <v>436.6</v>
      </c>
      <c r="AX37" s="95">
        <f>IF(ISNA(VLOOKUP($CZ37,'Audit Values'!$A$2:$BU$353,2,FALSE)),'Preliminary SO66'!AA36,VLOOKUP($CZ37,'Audit Values'!$A$2:$BU$353,41,FALSE))</f>
        <v>0</v>
      </c>
      <c r="AY37" s="95">
        <f>IF(ISNA(VLOOKUP($CZ37,'Audit Values'!$A$2:$BU$353,2,FALSE)),'Preliminary SO66'!AB36,VLOOKUP($CZ37,'Audit Values'!$A$2:$BU$353,42,FALSE))</f>
        <v>0</v>
      </c>
      <c r="AZ37" s="114">
        <v>0</v>
      </c>
      <c r="BA37" s="99">
        <f>SUM(AX37*'Weighting Factors'!$T$10)+('2019 Legal Max'!AY37*'Weighting Factors'!$T$11)+('2019 Legal Max'!AZ37*'Weighting Factors'!$T$12)</f>
        <v>0</v>
      </c>
      <c r="BB37" s="158">
        <v>0</v>
      </c>
      <c r="BC37" s="88">
        <f>IF(ISNA(VLOOKUP($CZ37,'Audit Values'!$A$2:$BU$353,2,FALSE)),"",IF(AND('Weighting Factors'!H37&gt;0,VLOOKUP($CZ37,'Audit Values'!$A$2:$BU$353,51,FALSE)&lt;'Weighting Factors'!H37),'Weighting Factors'!H37,VLOOKUP($CZ37,'Audit Values'!$A$2:$BU$353,50,FALSE)))</f>
        <v>17</v>
      </c>
      <c r="BD37" s="88" t="str">
        <f>IF(ISNA(VLOOKUP($CZ37,'Audit Values'!$A$2:$BV$353,2,FALSE)),"",VLOOKUP($CZ37,'Audit Values'!$A$2:$BV$353,51,FALSE))</f>
        <v>A</v>
      </c>
      <c r="BE37" s="88" t="str">
        <f>IF('Weighting Factors'!H37="","",IF('Weighting Factors'!J37="Pending","PX","R"))</f>
        <v/>
      </c>
      <c r="BF37" s="97">
        <f>SUM((S37+T37+Y37+AA37+AE37+AH37+AJ37++AO37+AP37+AQ37+AU37+AR37)*'Weighting Factors'!$Q$5)+'2019 Legal Max'!BA37+'2019 Legal Max'!BB37</f>
        <v>1818439</v>
      </c>
      <c r="BG37" s="99">
        <f>SUM((AV37+AR37)*'Weighting Factors'!$Q$5)+BA37+'2019 Legal Max'!BB37</f>
        <v>1974210</v>
      </c>
      <c r="BH37" s="108">
        <f>IF('Weighting Factors'!H37&gt;0,'Weighting Factors'!H37,'Preliminary SO66'!AV36)</f>
        <v>2018776</v>
      </c>
      <c r="BI37" s="99">
        <f t="shared" si="40"/>
        <v>1974210</v>
      </c>
      <c r="BJ37" s="112"/>
      <c r="BK37" s="112">
        <f>'Weighting Factors'!F37</f>
        <v>0</v>
      </c>
      <c r="BL37" s="112">
        <f>'Weighting Factors'!E37</f>
        <v>0</v>
      </c>
      <c r="BM37" s="99">
        <f t="shared" si="17"/>
        <v>0</v>
      </c>
      <c r="BN37" s="99">
        <f t="shared" si="18"/>
        <v>1974210</v>
      </c>
      <c r="BO37" s="99">
        <f>SUM((S37+T37+Y37+AA37+AE37+AH37+AJ37++AO37+AP37+AQ37+AR37)*'Weighting Factors'!Q$12)+(MAX(AS37,'Weighting Factors'!B37))</f>
        <v>2159015</v>
      </c>
      <c r="BP37" s="122">
        <v>0.3</v>
      </c>
      <c r="BQ37" s="99">
        <f t="shared" si="19"/>
        <v>647705</v>
      </c>
      <c r="BR37" s="108">
        <v>648011</v>
      </c>
      <c r="BS37" s="99">
        <f t="shared" si="20"/>
        <v>647705</v>
      </c>
      <c r="BT37" s="167">
        <f t="shared" si="21"/>
        <v>0.3</v>
      </c>
      <c r="BU37" s="95">
        <f t="shared" si="22"/>
        <v>0</v>
      </c>
      <c r="BV37" s="87" t="b">
        <f t="shared" si="23"/>
        <v>1</v>
      </c>
      <c r="BW37" s="117">
        <f t="shared" si="24"/>
        <v>1057.223</v>
      </c>
      <c r="BX37" s="116">
        <f t="shared" si="25"/>
        <v>0.72407699999999997</v>
      </c>
      <c r="BY37" s="95">
        <f t="shared" si="26"/>
        <v>151.69999999999999</v>
      </c>
      <c r="BZ37" s="87" t="b">
        <f t="shared" si="27"/>
        <v>0</v>
      </c>
      <c r="CA37" s="87">
        <f t="shared" si="28"/>
        <v>0</v>
      </c>
      <c r="CB37" s="116">
        <f t="shared" si="29"/>
        <v>0</v>
      </c>
      <c r="CC37" s="95">
        <f t="shared" si="30"/>
        <v>0</v>
      </c>
      <c r="CD37" s="95">
        <f t="shared" si="31"/>
        <v>0</v>
      </c>
      <c r="CE37" s="98">
        <v>660</v>
      </c>
      <c r="CF37" s="250">
        <f t="shared" si="32"/>
        <v>7.0000000000000007E-2</v>
      </c>
      <c r="CG37" s="274">
        <f>IF(CF37&lt;0.06,1,IF(CF37&gt;=18.29,52,MATCH(CF37-0.001,'Weighting Factors'!$Y$5:$Y$156)+1))</f>
        <v>3</v>
      </c>
      <c r="CH37" s="243">
        <f>VLOOKUP(CG37, 'Weighting Factors'!$W$5:$Z$56,4)</f>
        <v>1540</v>
      </c>
      <c r="CI37" s="118">
        <f>('Weighting Factors'!$Q$5/'Weighting Factors'!$Q$14)</f>
        <v>1</v>
      </c>
      <c r="CJ37" s="245">
        <f t="shared" si="33"/>
        <v>70840</v>
      </c>
      <c r="CK37" s="245">
        <f>CJ37*'Weighting Factors'!$S$7</f>
        <v>70840</v>
      </c>
      <c r="CL37" s="245">
        <f t="shared" si="34"/>
        <v>70840</v>
      </c>
      <c r="CM37" s="95">
        <f>AM37/'Weighting Factors'!$Q$5</f>
        <v>17</v>
      </c>
      <c r="CN37" s="148">
        <v>0</v>
      </c>
      <c r="CO37" s="148">
        <v>0</v>
      </c>
      <c r="CP37" s="149">
        <v>0</v>
      </c>
      <c r="CQ37" s="151">
        <v>0</v>
      </c>
      <c r="CR37" s="99">
        <f>SUM((AV37*'Weighting Factors'!$Q$5)+'2019 Legal Max'!BA37)*CQ37</f>
        <v>0</v>
      </c>
      <c r="CS37" s="99">
        <f t="shared" si="35"/>
        <v>0</v>
      </c>
      <c r="CT37" s="106">
        <f t="shared" si="36"/>
        <v>0.3886</v>
      </c>
      <c r="CU37" s="95">
        <f t="shared" si="37"/>
        <v>0</v>
      </c>
      <c r="CV37" s="95">
        <f t="shared" si="38"/>
        <v>2.2000000000000002</v>
      </c>
      <c r="CW37" s="95">
        <f t="shared" si="39"/>
        <v>474</v>
      </c>
      <c r="CX37" s="99">
        <f>'LOB Transfers'!G36</f>
        <v>54407</v>
      </c>
      <c r="CY37" s="99">
        <f>'LOB Transfers'!J36</f>
        <v>5635</v>
      </c>
      <c r="CZ37" s="87" t="s">
        <v>229</v>
      </c>
    </row>
    <row r="38" spans="1:104" ht="15" customHeight="1">
      <c r="A38" s="88">
        <v>223</v>
      </c>
      <c r="B38" s="87" t="s">
        <v>19</v>
      </c>
      <c r="C38" s="87" t="s">
        <v>551</v>
      </c>
      <c r="D38" s="95">
        <v>347.4</v>
      </c>
      <c r="E38" s="95">
        <v>0</v>
      </c>
      <c r="F38" s="95">
        <f t="shared" si="5"/>
        <v>347.4</v>
      </c>
      <c r="G38" s="95">
        <v>367.4</v>
      </c>
      <c r="H38" s="95">
        <v>0</v>
      </c>
      <c r="I38" s="95">
        <f t="shared" si="6"/>
        <v>367.4</v>
      </c>
      <c r="J38" s="95">
        <v>368.8</v>
      </c>
      <c r="K38" s="95">
        <v>0</v>
      </c>
      <c r="L38" s="95">
        <f t="shared" si="7"/>
        <v>368.8</v>
      </c>
      <c r="M38" s="95">
        <f>IF(ISNA(VLOOKUP($CZ38,'Audit Values'!$A$2:$BW$365,2,FALSE)),'Preliminary SO66'!C37,VLOOKUP($CZ38,'Audit Values'!$A$2:$BW$365,73,FALSE))</f>
        <v>365</v>
      </c>
      <c r="N38" s="95">
        <f>IF(ISNA(VLOOKUP($CZ38,'Audit Values'!$A$2:$BW$365,2,FALSE)),'Preliminary SO66'!F37,VLOOKUP($CZ38,'Audit Values'!$A$2:$BW$365,4,FALSE))</f>
        <v>0</v>
      </c>
      <c r="O38" s="95">
        <f t="shared" si="8"/>
        <v>365</v>
      </c>
      <c r="P38" s="95">
        <f>IF('Military Provision'!J39="YES", MAX('2019 Legal Max'!L38,'2019 Legal Max'!I38,AVERAGE('2019 Legal Max'!F38,'2019 Legal Max'!I38,'2019 Legal Max'!L38)), MAX(L38, I38))</f>
        <v>368.8</v>
      </c>
      <c r="Q38" s="95">
        <f>IF(ISNA(VLOOKUP($CZ38,'Audit Values'!$A$2:$BU$353,2,FALSE)),'Preliminary SO66'!AL37,VLOOKUP($CZ38,'Audit Values'!$A$2:$BU$3955,58,FALSE))</f>
        <v>0</v>
      </c>
      <c r="R38" s="95">
        <v>0</v>
      </c>
      <c r="S38" s="95">
        <f t="shared" si="41"/>
        <v>368.8</v>
      </c>
      <c r="T38" s="95">
        <f t="shared" si="10"/>
        <v>169.9</v>
      </c>
      <c r="U38" s="95">
        <f>IF(ISNA(VLOOKUP($CZ38,'Audit Values'!$A$2:$BW$317,2,FALSE)),'Preliminary SO66'!AM37,VLOOKUP($CZ38,'Audit Values'!$A$2:$BW$317,62,FALSE))</f>
        <v>97.5</v>
      </c>
      <c r="V38" s="95">
        <f>(U38/6)*'Weighting Factors'!$Q$7</f>
        <v>6.4</v>
      </c>
      <c r="W38" s="132">
        <f>IF(ISNA(VLOOKUP($CZ38,'Audit Values'!$A$2:$BW$353,2,FALSE)),'Preliminary SO66'!AN37,VLOOKUP($CZ38,'Audit Values'!$A$2:$BW$353,61,FALSE))</f>
        <v>38</v>
      </c>
      <c r="X38" s="95">
        <f>W38*'Weighting Factors'!$Q$8</f>
        <v>7</v>
      </c>
      <c r="Y38" s="95">
        <f t="shared" si="11"/>
        <v>7</v>
      </c>
      <c r="Z38" s="276">
        <f>IF(ISNA(VLOOKUP($CZ38,'Audit Values'!$A$2:$BW$317,2,FALSE)),'Preliminary SO66'!AO37,VLOOKUP($CZ38,'Audit Values'!$A$2:$BW$317,60,FALSE))</f>
        <v>145.9</v>
      </c>
      <c r="AA38" s="95">
        <f>Z38/6*'Weighting Factors'!$Q$6</f>
        <v>12.2</v>
      </c>
      <c r="AB38" s="99">
        <f>IF(ISNA(VLOOKUP($CZ38,'Audit Values'!$A$2:$BU$353,2,FALSE)),'Preliminary SO66'!AS37,VLOOKUP($CZ38,'Audit Values'!$A$2:$BU$353,63,FALSE))</f>
        <v>445</v>
      </c>
      <c r="AC38" s="99">
        <v>0</v>
      </c>
      <c r="AD38" s="99">
        <f>IF(ISNA(VLOOKUP($CZ38,'Audit Values'!$A$2:$BU$353,2,FALSE)),'Preliminary SO66'!AP37,VLOOKUP($CZ38,'Audit Values'!$A$2:$BU$353,64,FALSE))</f>
        <v>85</v>
      </c>
      <c r="AE38" s="95">
        <f>IF(A38=207, AD38,MAX(AC38,AD38))*'Weighting Factors'!$Q$9</f>
        <v>41.1</v>
      </c>
      <c r="AF38" s="95">
        <f t="shared" si="12"/>
        <v>0</v>
      </c>
      <c r="AG38" s="95">
        <f>IF(ISNA(VLOOKUP($CZ38,'Audit Values'!$A$2:$BW$353,2,FALSE)),'Preliminary SO66'!AG37,VLOOKUP($CZ38,'Audit Values'!$A$2:$BW$353,70,FALSE))</f>
        <v>0</v>
      </c>
      <c r="AH38" s="95">
        <f t="shared" si="13"/>
        <v>0</v>
      </c>
      <c r="AI38" s="95">
        <f>IF(ISNA(VLOOKUP($CZ38,'Audit Values'!$A$2:$BU$353,2,FALSE)),'Preliminary SO66'!AQ37,VLOOKUP($CZ38,'Audit Values'!$A$2:$BU$353,65,FALSE))</f>
        <v>0</v>
      </c>
      <c r="AJ38" s="95">
        <f>AI38*'Weighting Factors'!$Q$10</f>
        <v>0</v>
      </c>
      <c r="AK38" s="95">
        <f>IF(ISNA(VLOOKUP($CZ38,'Audit Values'!$A$2:$BU$353,2,FALSE)),'Preliminary SO66'!AR37,VLOOKUP($CZ38,'Audit Values'!$A$2:$BU$353,66,FALSE))</f>
        <v>145.19999999999999</v>
      </c>
      <c r="AL38" s="95"/>
      <c r="AM38" s="99">
        <f t="shared" si="14"/>
        <v>166980</v>
      </c>
      <c r="AN38" s="99">
        <v>178348</v>
      </c>
      <c r="AO38" s="95">
        <f>MAX(AN38, AM38)/'Weighting Factors'!$Q$5</f>
        <v>42.8</v>
      </c>
      <c r="AP38" s="95">
        <f>CN38/'Weighting Factors'!$Q$5</f>
        <v>0</v>
      </c>
      <c r="AQ38" s="95">
        <v>0</v>
      </c>
      <c r="AR38" s="95">
        <f>CS38/'Weighting Factors'!$Q$5</f>
        <v>0</v>
      </c>
      <c r="AS38" s="99">
        <v>491780</v>
      </c>
      <c r="AT38" s="95">
        <f>AS38/'Weighting Factors'!$Q$5</f>
        <v>118.1</v>
      </c>
      <c r="AU38" s="95">
        <f>IF(ISNA(VLOOKUP($CZ38,'Audit Values'!$A$2:$BU$353,2,FALSE)),'Preliminary SO66'!X37,VLOOKUP($CZ38,'Audit Values'!$A$2:$BU$353,47,FALSE))</f>
        <v>0</v>
      </c>
      <c r="AV38" s="95">
        <f t="shared" si="15"/>
        <v>759.9</v>
      </c>
      <c r="AW38" s="95">
        <f t="shared" si="16"/>
        <v>641.79999999999995</v>
      </c>
      <c r="AX38" s="95">
        <f>IF(ISNA(VLOOKUP($CZ38,'Audit Values'!$A$2:$BU$353,2,FALSE)),'Preliminary SO66'!AA37,VLOOKUP($CZ38,'Audit Values'!$A$2:$BU$353,41,FALSE))</f>
        <v>0</v>
      </c>
      <c r="AY38" s="95">
        <f>IF(ISNA(VLOOKUP($CZ38,'Audit Values'!$A$2:$BU$353,2,FALSE)),'Preliminary SO66'!AB37,VLOOKUP($CZ38,'Audit Values'!$A$2:$BU$353,42,FALSE))</f>
        <v>0</v>
      </c>
      <c r="AZ38" s="114">
        <v>0</v>
      </c>
      <c r="BA38" s="99">
        <f>SUM(AX38*'Weighting Factors'!$T$10)+('2019 Legal Max'!AY38*'Weighting Factors'!$T$11)+('2019 Legal Max'!AZ38*'Weighting Factors'!$T$12)</f>
        <v>0</v>
      </c>
      <c r="BB38" s="158">
        <v>0</v>
      </c>
      <c r="BC38" s="88">
        <f>IF(ISNA(VLOOKUP($CZ38,'Audit Values'!$A$2:$BU$353,2,FALSE)),"",IF(AND('Weighting Factors'!H38&gt;0,VLOOKUP($CZ38,'Audit Values'!$A$2:$BU$353,51,FALSE)&lt;'Weighting Factors'!H38),'Weighting Factors'!H38,VLOOKUP($CZ38,'Audit Values'!$A$2:$BU$353,50,FALSE)))</f>
        <v>17</v>
      </c>
      <c r="BD38" s="88" t="str">
        <f>IF(ISNA(VLOOKUP($CZ38,'Audit Values'!$A$2:$BV$353,2,FALSE)),"",VLOOKUP($CZ38,'Audit Values'!$A$2:$BV$353,51,FALSE))</f>
        <v>A</v>
      </c>
      <c r="BE38" s="88" t="str">
        <f>IF('Weighting Factors'!H38="","",IF('Weighting Factors'!J38="Pending","PX","R"))</f>
        <v/>
      </c>
      <c r="BF38" s="97">
        <f>SUM((S38+T38+Y38+AA38+AE38+AH38+AJ38++AO38+AP38+AQ38+AU38+AR38)*'Weighting Factors'!$Q$5)+'2019 Legal Max'!BA38+'2019 Legal Max'!BB38</f>
        <v>2673097</v>
      </c>
      <c r="BG38" s="99">
        <f>SUM((AV38+AR38)*'Weighting Factors'!$Q$5)+BA38+'2019 Legal Max'!BB38</f>
        <v>3164984</v>
      </c>
      <c r="BH38" s="108">
        <f>IF('Weighting Factors'!H38&gt;0,'Weighting Factors'!H38,'Preliminary SO66'!AV37)</f>
        <v>3261612</v>
      </c>
      <c r="BI38" s="99">
        <f t="shared" si="40"/>
        <v>3164984</v>
      </c>
      <c r="BJ38" s="112"/>
      <c r="BK38" s="112">
        <f>'Weighting Factors'!F38</f>
        <v>0</v>
      </c>
      <c r="BL38" s="112">
        <f>'Weighting Factors'!E38</f>
        <v>0</v>
      </c>
      <c r="BM38" s="99">
        <f t="shared" si="17"/>
        <v>0</v>
      </c>
      <c r="BN38" s="99">
        <f t="shared" si="18"/>
        <v>3164984</v>
      </c>
      <c r="BO38" s="99">
        <f>SUM((S38+T38+Y38+AA38+AE38+AH38+AJ38++AO38+AP38+AQ38+AR38)*'Weighting Factors'!Q$12)+(MAX(AS38,'Weighting Factors'!B38))</f>
        <v>3373462</v>
      </c>
      <c r="BP38" s="122">
        <v>0.3</v>
      </c>
      <c r="BQ38" s="99">
        <f t="shared" si="19"/>
        <v>1012039</v>
      </c>
      <c r="BR38" s="108">
        <v>1041353</v>
      </c>
      <c r="BS38" s="99">
        <f t="shared" si="20"/>
        <v>1012039</v>
      </c>
      <c r="BT38" s="167">
        <f t="shared" si="21"/>
        <v>0.3</v>
      </c>
      <c r="BU38" s="95">
        <f t="shared" si="22"/>
        <v>0</v>
      </c>
      <c r="BV38" s="87" t="b">
        <f t="shared" si="23"/>
        <v>0</v>
      </c>
      <c r="BW38" s="117">
        <f t="shared" si="24"/>
        <v>0</v>
      </c>
      <c r="BX38" s="116">
        <f t="shared" si="25"/>
        <v>0</v>
      </c>
      <c r="BY38" s="95">
        <f t="shared" si="26"/>
        <v>0</v>
      </c>
      <c r="BZ38" s="87" t="b">
        <f t="shared" si="27"/>
        <v>1</v>
      </c>
      <c r="CA38" s="87">
        <f t="shared" si="28"/>
        <v>85.14</v>
      </c>
      <c r="CB38" s="116">
        <f t="shared" si="29"/>
        <v>0.460812</v>
      </c>
      <c r="CC38" s="95">
        <f t="shared" si="30"/>
        <v>169.9</v>
      </c>
      <c r="CD38" s="95">
        <f t="shared" si="31"/>
        <v>0</v>
      </c>
      <c r="CE38" s="98">
        <v>378</v>
      </c>
      <c r="CF38" s="250">
        <f t="shared" si="32"/>
        <v>0.38400000000000001</v>
      </c>
      <c r="CG38" s="274">
        <f>IF(CF38&lt;0.06,1,IF(CF38&gt;=18.29,52,MATCH(CF38-0.001,'Weighting Factors'!$Y$5:$Y$156)+1))</f>
        <v>22</v>
      </c>
      <c r="CH38" s="243">
        <f>VLOOKUP(CG38, 'Weighting Factors'!$W$5:$Z$56,4)</f>
        <v>1150</v>
      </c>
      <c r="CI38" s="118">
        <f>('Weighting Factors'!$Q$5/'Weighting Factors'!$Q$14)</f>
        <v>1</v>
      </c>
      <c r="CJ38" s="245">
        <f t="shared" si="33"/>
        <v>166980</v>
      </c>
      <c r="CK38" s="245">
        <f>CJ38*'Weighting Factors'!$S$7</f>
        <v>166980</v>
      </c>
      <c r="CL38" s="245">
        <f t="shared" si="34"/>
        <v>166980</v>
      </c>
      <c r="CM38" s="95">
        <f>AM38/'Weighting Factors'!$Q$5</f>
        <v>40.1</v>
      </c>
      <c r="CN38" s="148">
        <v>0</v>
      </c>
      <c r="CO38" s="148">
        <v>0</v>
      </c>
      <c r="CP38" s="149">
        <v>0</v>
      </c>
      <c r="CQ38" s="151">
        <v>0</v>
      </c>
      <c r="CR38" s="99">
        <f>SUM((AV38*'Weighting Factors'!$Q$5)+'2019 Legal Max'!BA38)*CQ38</f>
        <v>0</v>
      </c>
      <c r="CS38" s="99">
        <f t="shared" si="35"/>
        <v>0</v>
      </c>
      <c r="CT38" s="106">
        <f t="shared" si="36"/>
        <v>0.191</v>
      </c>
      <c r="CU38" s="95">
        <f t="shared" si="37"/>
        <v>0</v>
      </c>
      <c r="CV38" s="95">
        <f t="shared" si="38"/>
        <v>0</v>
      </c>
      <c r="CW38" s="95">
        <f t="shared" si="39"/>
        <v>759.9</v>
      </c>
      <c r="CX38" s="99">
        <f>'LOB Transfers'!G37</f>
        <v>54751</v>
      </c>
      <c r="CY38" s="99">
        <f>'LOB Transfers'!J37</f>
        <v>9311</v>
      </c>
      <c r="CZ38" s="87" t="s">
        <v>230</v>
      </c>
    </row>
    <row r="39" spans="1:104" ht="15" customHeight="1">
      <c r="A39" s="88">
        <v>224</v>
      </c>
      <c r="B39" s="87" t="s">
        <v>19</v>
      </c>
      <c r="C39" s="87" t="s">
        <v>552</v>
      </c>
      <c r="D39" s="95">
        <v>309</v>
      </c>
      <c r="E39" s="95">
        <v>0</v>
      </c>
      <c r="F39" s="95">
        <f t="shared" si="5"/>
        <v>309</v>
      </c>
      <c r="G39" s="95">
        <v>313.5</v>
      </c>
      <c r="H39" s="95">
        <v>0</v>
      </c>
      <c r="I39" s="95">
        <f t="shared" si="6"/>
        <v>313.5</v>
      </c>
      <c r="J39" s="95">
        <v>300</v>
      </c>
      <c r="K39" s="95">
        <v>0</v>
      </c>
      <c r="L39" s="95">
        <f t="shared" si="7"/>
        <v>300</v>
      </c>
      <c r="M39" s="95">
        <f>IF(ISNA(VLOOKUP($CZ39,'Audit Values'!$A$2:$BW$365,2,FALSE)),'Preliminary SO66'!C38,VLOOKUP($CZ39,'Audit Values'!$A$2:$BW$365,73,FALSE))</f>
        <v>311.5</v>
      </c>
      <c r="N39" s="95">
        <f>IF(ISNA(VLOOKUP($CZ39,'Audit Values'!$A$2:$BW$365,2,FALSE)),'Preliminary SO66'!F38,VLOOKUP($CZ39,'Audit Values'!$A$2:$BW$365,4,FALSE))</f>
        <v>0</v>
      </c>
      <c r="O39" s="95">
        <f t="shared" si="8"/>
        <v>311.5</v>
      </c>
      <c r="P39" s="95">
        <f>IF('Military Provision'!J40="YES", MAX('2019 Legal Max'!L39,'2019 Legal Max'!I39,AVERAGE('2019 Legal Max'!F39,'2019 Legal Max'!I39,'2019 Legal Max'!L39)), MAX(L39, I39))</f>
        <v>313.5</v>
      </c>
      <c r="Q39" s="95">
        <f>IF(ISNA(VLOOKUP($CZ39,'Audit Values'!$A$2:$BU$353,2,FALSE)),'Preliminary SO66'!AL38,VLOOKUP($CZ39,'Audit Values'!$A$2:$BU$3955,58,FALSE))</f>
        <v>4</v>
      </c>
      <c r="R39" s="95">
        <v>0</v>
      </c>
      <c r="S39" s="95">
        <f t="shared" si="41"/>
        <v>317.5</v>
      </c>
      <c r="T39" s="95">
        <f t="shared" si="10"/>
        <v>151.80000000000001</v>
      </c>
      <c r="U39" s="95">
        <f>IF(ISNA(VLOOKUP($CZ39,'Audit Values'!$A$2:$BW$317,2,FALSE)),'Preliminary SO66'!AM38,VLOOKUP($CZ39,'Audit Values'!$A$2:$BW$317,62,FALSE))</f>
        <v>0</v>
      </c>
      <c r="V39" s="95">
        <f>(U39/6)*'Weighting Factors'!$Q$7</f>
        <v>0</v>
      </c>
      <c r="W39" s="132">
        <f>IF(ISNA(VLOOKUP($CZ39,'Audit Values'!$A$2:$BW$353,2,FALSE)),'Preliminary SO66'!AN38,VLOOKUP($CZ39,'Audit Values'!$A$2:$BW$353,61,FALSE))</f>
        <v>0</v>
      </c>
      <c r="X39" s="95">
        <f>W39*'Weighting Factors'!$Q$8</f>
        <v>0</v>
      </c>
      <c r="Y39" s="95">
        <f t="shared" si="11"/>
        <v>0</v>
      </c>
      <c r="Z39" s="276">
        <f>IF(ISNA(VLOOKUP($CZ39,'Audit Values'!$A$2:$BW$317,2,FALSE)),'Preliminary SO66'!AO38,VLOOKUP($CZ39,'Audit Values'!$A$2:$BW$317,60,FALSE))</f>
        <v>162.5</v>
      </c>
      <c r="AA39" s="95">
        <f>Z39/6*'Weighting Factors'!$Q$6</f>
        <v>13.5</v>
      </c>
      <c r="AB39" s="99">
        <f>IF(ISNA(VLOOKUP($CZ39,'Audit Values'!$A$2:$BU$353,2,FALSE)),'Preliminary SO66'!AS38,VLOOKUP($CZ39,'Audit Values'!$A$2:$BU$353,63,FALSE))</f>
        <v>322</v>
      </c>
      <c r="AC39" s="99">
        <v>0</v>
      </c>
      <c r="AD39" s="99">
        <f>IF(ISNA(VLOOKUP($CZ39,'Audit Values'!$A$2:$BU$353,2,FALSE)),'Preliminary SO66'!AP38,VLOOKUP($CZ39,'Audit Values'!$A$2:$BU$353,64,FALSE))</f>
        <v>90</v>
      </c>
      <c r="AE39" s="95">
        <f>IF(A39=207, AD39,MAX(AC39,AD39))*'Weighting Factors'!$Q$9</f>
        <v>43.6</v>
      </c>
      <c r="AF39" s="95">
        <f t="shared" si="12"/>
        <v>0</v>
      </c>
      <c r="AG39" s="95">
        <f>IF(ISNA(VLOOKUP($CZ39,'Audit Values'!$A$2:$BW$353,2,FALSE)),'Preliminary SO66'!AG38,VLOOKUP($CZ39,'Audit Values'!$A$2:$BW$353,70,FALSE))</f>
        <v>0</v>
      </c>
      <c r="AH39" s="95">
        <f t="shared" si="13"/>
        <v>0</v>
      </c>
      <c r="AI39" s="95">
        <f>IF(ISNA(VLOOKUP($CZ39,'Audit Values'!$A$2:$BU$353,2,FALSE)),'Preliminary SO66'!AQ38,VLOOKUP($CZ39,'Audit Values'!$A$2:$BU$353,65,FALSE))</f>
        <v>0</v>
      </c>
      <c r="AJ39" s="95">
        <f>AI39*'Weighting Factors'!$Q$10</f>
        <v>0</v>
      </c>
      <c r="AK39" s="95">
        <f>IF(ISNA(VLOOKUP($CZ39,'Audit Values'!$A$2:$BU$353,2,FALSE)),'Preliminary SO66'!AR38,VLOOKUP($CZ39,'Audit Values'!$A$2:$BU$353,66,FALSE))</f>
        <v>164</v>
      </c>
      <c r="AL39" s="95"/>
      <c r="AM39" s="99">
        <f t="shared" si="14"/>
        <v>168920</v>
      </c>
      <c r="AN39" s="99">
        <v>211475</v>
      </c>
      <c r="AO39" s="95">
        <f>MAX(AN39, AM39)/'Weighting Factors'!$Q$5</f>
        <v>50.8</v>
      </c>
      <c r="AP39" s="95">
        <f>CN39/'Weighting Factors'!$Q$5</f>
        <v>0</v>
      </c>
      <c r="AQ39" s="95">
        <v>0</v>
      </c>
      <c r="AR39" s="95">
        <f>CS39/'Weighting Factors'!$Q$5</f>
        <v>0</v>
      </c>
      <c r="AS39" s="99">
        <v>325123</v>
      </c>
      <c r="AT39" s="95">
        <f>AS39/'Weighting Factors'!$Q$5</f>
        <v>78.099999999999994</v>
      </c>
      <c r="AU39" s="95">
        <f>IF(ISNA(VLOOKUP($CZ39,'Audit Values'!$A$2:$BU$353,2,FALSE)),'Preliminary SO66'!X38,VLOOKUP($CZ39,'Audit Values'!$A$2:$BU$353,47,FALSE))</f>
        <v>0</v>
      </c>
      <c r="AV39" s="95">
        <f t="shared" si="15"/>
        <v>655.29999999999995</v>
      </c>
      <c r="AW39" s="95">
        <f t="shared" si="16"/>
        <v>577.20000000000005</v>
      </c>
      <c r="AX39" s="95">
        <f>IF(ISNA(VLOOKUP($CZ39,'Audit Values'!$A$2:$BU$353,2,FALSE)),'Preliminary SO66'!AA38,VLOOKUP($CZ39,'Audit Values'!$A$2:$BU$353,41,FALSE))</f>
        <v>0</v>
      </c>
      <c r="AY39" s="95">
        <f>IF(ISNA(VLOOKUP($CZ39,'Audit Values'!$A$2:$BU$353,2,FALSE)),'Preliminary SO66'!AB38,VLOOKUP($CZ39,'Audit Values'!$A$2:$BU$353,42,FALSE))</f>
        <v>0</v>
      </c>
      <c r="AZ39" s="114">
        <v>0</v>
      </c>
      <c r="BA39" s="99">
        <f>SUM(AX39*'Weighting Factors'!$T$10)+('2019 Legal Max'!AY39*'Weighting Factors'!$T$11)+('2019 Legal Max'!AZ39*'Weighting Factors'!$T$12)</f>
        <v>0</v>
      </c>
      <c r="BB39" s="158">
        <v>0</v>
      </c>
      <c r="BC39" s="88">
        <f>IF(ISNA(VLOOKUP($CZ39,'Audit Values'!$A$2:$BU$353,2,FALSE)),"",IF(AND('Weighting Factors'!H39&gt;0,VLOOKUP($CZ39,'Audit Values'!$A$2:$BU$353,51,FALSE)&lt;'Weighting Factors'!H39),'Weighting Factors'!H39,VLOOKUP($CZ39,'Audit Values'!$A$2:$BU$353,50,FALSE)))</f>
        <v>5</v>
      </c>
      <c r="BD39" s="88" t="str">
        <f>IF(ISNA(VLOOKUP($CZ39,'Audit Values'!$A$2:$BV$353,2,FALSE)),"",VLOOKUP($CZ39,'Audit Values'!$A$2:$BV$353,51,FALSE))</f>
        <v>A</v>
      </c>
      <c r="BE39" s="88" t="str">
        <f>IF('Weighting Factors'!H39="","",IF('Weighting Factors'!J39="Pending","PX","R"))</f>
        <v/>
      </c>
      <c r="BF39" s="97">
        <f>SUM((S39+T39+Y39+AA39+AE39+AH39+AJ39++AO39+AP39+AQ39+AU39+AR39)*'Weighting Factors'!$Q$5)+'2019 Legal Max'!BA39+'2019 Legal Max'!BB39</f>
        <v>2404038</v>
      </c>
      <c r="BG39" s="99">
        <f>SUM((AV39+AR39)*'Weighting Factors'!$Q$5)+BA39+'2019 Legal Max'!BB39</f>
        <v>2729325</v>
      </c>
      <c r="BH39" s="108">
        <f>IF('Weighting Factors'!H39&gt;0,'Weighting Factors'!H39,'Preliminary SO66'!AV38)</f>
        <v>2762645</v>
      </c>
      <c r="BI39" s="99">
        <f t="shared" si="40"/>
        <v>2729325</v>
      </c>
      <c r="BJ39" s="112"/>
      <c r="BK39" s="112">
        <f>'Weighting Factors'!F39</f>
        <v>0</v>
      </c>
      <c r="BL39" s="112">
        <f>'Weighting Factors'!E39</f>
        <v>0</v>
      </c>
      <c r="BM39" s="99">
        <f t="shared" si="17"/>
        <v>0</v>
      </c>
      <c r="BN39" s="99">
        <f t="shared" si="18"/>
        <v>2729325</v>
      </c>
      <c r="BO39" s="99">
        <f>SUM((S39+T39+Y39+AA39+AE39+AH39+AJ39++AO39+AP39+AQ39+AR39)*'Weighting Factors'!Q$12)+(MAX(AS39,'Weighting Factors'!B39))</f>
        <v>2939486</v>
      </c>
      <c r="BP39" s="122">
        <v>0.3</v>
      </c>
      <c r="BQ39" s="99">
        <f t="shared" si="19"/>
        <v>881846</v>
      </c>
      <c r="BR39" s="108">
        <v>885149</v>
      </c>
      <c r="BS39" s="99">
        <f t="shared" si="20"/>
        <v>881846</v>
      </c>
      <c r="BT39" s="167">
        <f t="shared" si="21"/>
        <v>0.3</v>
      </c>
      <c r="BU39" s="95">
        <f t="shared" si="22"/>
        <v>0</v>
      </c>
      <c r="BV39" s="87" t="b">
        <f t="shared" si="23"/>
        <v>0</v>
      </c>
      <c r="BW39" s="117">
        <f t="shared" si="24"/>
        <v>0</v>
      </c>
      <c r="BX39" s="116">
        <f t="shared" si="25"/>
        <v>0</v>
      </c>
      <c r="BY39" s="95">
        <f t="shared" si="26"/>
        <v>0</v>
      </c>
      <c r="BZ39" s="87" t="b">
        <f t="shared" si="27"/>
        <v>1</v>
      </c>
      <c r="CA39" s="87">
        <f t="shared" si="28"/>
        <v>21.656300000000002</v>
      </c>
      <c r="CB39" s="116">
        <f t="shared" si="29"/>
        <v>0.47824100000000003</v>
      </c>
      <c r="CC39" s="95">
        <f t="shared" si="30"/>
        <v>151.80000000000001</v>
      </c>
      <c r="CD39" s="95">
        <f t="shared" si="31"/>
        <v>0</v>
      </c>
      <c r="CE39" s="98">
        <v>255</v>
      </c>
      <c r="CF39" s="250">
        <f t="shared" si="32"/>
        <v>0.64300000000000002</v>
      </c>
      <c r="CG39" s="274">
        <f>IF(CF39&lt;0.06,1,IF(CF39&gt;=18.29,52,MATCH(CF39-0.001,'Weighting Factors'!$Y$5:$Y$156)+1))</f>
        <v>28</v>
      </c>
      <c r="CH39" s="243">
        <f>VLOOKUP(CG39, 'Weighting Factors'!$W$5:$Z$56,4)</f>
        <v>1030</v>
      </c>
      <c r="CI39" s="118">
        <f>('Weighting Factors'!$Q$5/'Weighting Factors'!$Q$14)</f>
        <v>1</v>
      </c>
      <c r="CJ39" s="245">
        <f t="shared" si="33"/>
        <v>168920</v>
      </c>
      <c r="CK39" s="245">
        <f>CJ39*'Weighting Factors'!$S$7</f>
        <v>168920</v>
      </c>
      <c r="CL39" s="245">
        <f t="shared" si="34"/>
        <v>168920</v>
      </c>
      <c r="CM39" s="95">
        <f>AM39/'Weighting Factors'!$Q$5</f>
        <v>40.6</v>
      </c>
      <c r="CN39" s="148">
        <v>0</v>
      </c>
      <c r="CO39" s="148">
        <v>0</v>
      </c>
      <c r="CP39" s="149">
        <v>0</v>
      </c>
      <c r="CQ39" s="151">
        <v>0</v>
      </c>
      <c r="CR39" s="99">
        <f>SUM((AV39*'Weighting Factors'!$Q$5)+'2019 Legal Max'!BA39)*CQ39</f>
        <v>0</v>
      </c>
      <c r="CS39" s="99">
        <f t="shared" si="35"/>
        <v>0</v>
      </c>
      <c r="CT39" s="106">
        <f t="shared" si="36"/>
        <v>0.27950000000000003</v>
      </c>
      <c r="CU39" s="95">
        <f t="shared" si="37"/>
        <v>0</v>
      </c>
      <c r="CV39" s="95">
        <f t="shared" si="38"/>
        <v>0</v>
      </c>
      <c r="CW39" s="95">
        <f t="shared" si="39"/>
        <v>655.29999999999995</v>
      </c>
      <c r="CX39" s="99">
        <f>'LOB Transfers'!G38</f>
        <v>58995</v>
      </c>
      <c r="CY39" s="99">
        <f>'LOB Transfers'!J38</f>
        <v>0</v>
      </c>
      <c r="CZ39" s="87" t="s">
        <v>231</v>
      </c>
    </row>
    <row r="40" spans="1:104" ht="15" customHeight="1">
      <c r="A40" s="88">
        <v>225</v>
      </c>
      <c r="B40" s="87" t="s">
        <v>20</v>
      </c>
      <c r="C40" s="87" t="s">
        <v>553</v>
      </c>
      <c r="D40" s="95">
        <v>133</v>
      </c>
      <c r="E40" s="95">
        <v>0</v>
      </c>
      <c r="F40" s="95">
        <f t="shared" si="5"/>
        <v>133</v>
      </c>
      <c r="G40" s="95">
        <v>141.5</v>
      </c>
      <c r="H40" s="95">
        <v>0</v>
      </c>
      <c r="I40" s="95">
        <f t="shared" si="6"/>
        <v>141.5</v>
      </c>
      <c r="J40" s="95">
        <v>132</v>
      </c>
      <c r="K40" s="95">
        <v>0</v>
      </c>
      <c r="L40" s="95">
        <f t="shared" si="7"/>
        <v>132</v>
      </c>
      <c r="M40" s="95">
        <f>IF(ISNA(VLOOKUP($CZ40,'Audit Values'!$A$2:$BW$365,2,FALSE)),'Preliminary SO66'!C39,VLOOKUP($CZ40,'Audit Values'!$A$2:$BW$365,73,FALSE))</f>
        <v>132.5</v>
      </c>
      <c r="N40" s="95">
        <f>IF(ISNA(VLOOKUP($CZ40,'Audit Values'!$A$2:$BW$365,2,FALSE)),'Preliminary SO66'!F39,VLOOKUP($CZ40,'Audit Values'!$A$2:$BW$365,4,FALSE))</f>
        <v>0</v>
      </c>
      <c r="O40" s="95">
        <f t="shared" si="8"/>
        <v>132.5</v>
      </c>
      <c r="P40" s="95">
        <f>IF('Military Provision'!J41="YES", MAX('2019 Legal Max'!L40,'2019 Legal Max'!I40,AVERAGE('2019 Legal Max'!F40,'2019 Legal Max'!I40,'2019 Legal Max'!L40)), MAX(L40, I40))</f>
        <v>141.5</v>
      </c>
      <c r="Q40" s="95">
        <f>IF(ISNA(VLOOKUP($CZ40,'Audit Values'!$A$2:$BU$353,2,FALSE)),'Preliminary SO66'!AL39,VLOOKUP($CZ40,'Audit Values'!$A$2:$BU$3955,58,FALSE))</f>
        <v>2</v>
      </c>
      <c r="R40" s="95">
        <v>0</v>
      </c>
      <c r="S40" s="95">
        <f t="shared" si="41"/>
        <v>143.5</v>
      </c>
      <c r="T40" s="95">
        <f t="shared" si="10"/>
        <v>129</v>
      </c>
      <c r="U40" s="95">
        <f>IF(ISNA(VLOOKUP($CZ40,'Audit Values'!$A$2:$BW$317,2,FALSE)),'Preliminary SO66'!AM39,VLOOKUP($CZ40,'Audit Values'!$A$2:$BW$317,62,FALSE))</f>
        <v>19.100000000000001</v>
      </c>
      <c r="V40" s="95">
        <f>(U40/6)*'Weighting Factors'!$Q$7</f>
        <v>1.3</v>
      </c>
      <c r="W40" s="132">
        <f>IF(ISNA(VLOOKUP($CZ40,'Audit Values'!$A$2:$BW$353,2,FALSE)),'Preliminary SO66'!AN39,VLOOKUP($CZ40,'Audit Values'!$A$2:$BW$353,61,FALSE))</f>
        <v>15</v>
      </c>
      <c r="X40" s="95">
        <f>W40*'Weighting Factors'!$Q$8</f>
        <v>2.8</v>
      </c>
      <c r="Y40" s="95">
        <f t="shared" si="11"/>
        <v>2.8</v>
      </c>
      <c r="Z40" s="276">
        <f>IF(ISNA(VLOOKUP($CZ40,'Audit Values'!$A$2:$BW$317,2,FALSE)),'Preliminary SO66'!AO39,VLOOKUP($CZ40,'Audit Values'!$A$2:$BW$317,60,FALSE))</f>
        <v>21.4</v>
      </c>
      <c r="AA40" s="95">
        <f>Z40/6*'Weighting Factors'!$Q$6</f>
        <v>1.8</v>
      </c>
      <c r="AB40" s="99">
        <f>IF(ISNA(VLOOKUP($CZ40,'Audit Values'!$A$2:$BU$353,2,FALSE)),'Preliminary SO66'!AS39,VLOOKUP($CZ40,'Audit Values'!$A$2:$BU$353,63,FALSE))</f>
        <v>137</v>
      </c>
      <c r="AC40" s="99">
        <v>0</v>
      </c>
      <c r="AD40" s="99">
        <f>IF(ISNA(VLOOKUP($CZ40,'Audit Values'!$A$2:$BU$353,2,FALSE)),'Preliminary SO66'!AP39,VLOOKUP($CZ40,'Audit Values'!$A$2:$BU$353,64,FALSE))</f>
        <v>73</v>
      </c>
      <c r="AE40" s="95">
        <f>IF(A40=207, AD40,MAX(AC40,AD40))*'Weighting Factors'!$Q$9</f>
        <v>35.299999999999997</v>
      </c>
      <c r="AF40" s="95">
        <f t="shared" si="12"/>
        <v>7.7</v>
      </c>
      <c r="AG40" s="95">
        <f>IF(ISNA(VLOOKUP($CZ40,'Audit Values'!$A$2:$BW$353,2,FALSE)),'Preliminary SO66'!AG39,VLOOKUP($CZ40,'Audit Values'!$A$2:$BW$353,70,FALSE))</f>
        <v>7.3</v>
      </c>
      <c r="AH40" s="95">
        <f t="shared" si="13"/>
        <v>7.7</v>
      </c>
      <c r="AI40" s="95">
        <f>IF(ISNA(VLOOKUP($CZ40,'Audit Values'!$A$2:$BU$353,2,FALSE)),'Preliminary SO66'!AQ39,VLOOKUP($CZ40,'Audit Values'!$A$2:$BU$353,65,FALSE))</f>
        <v>0</v>
      </c>
      <c r="AJ40" s="95">
        <f>AI40*'Weighting Factors'!$Q$10</f>
        <v>0</v>
      </c>
      <c r="AK40" s="95">
        <f>IF(ISNA(VLOOKUP($CZ40,'Audit Values'!$A$2:$BU$353,2,FALSE)),'Preliminary SO66'!AR39,VLOOKUP($CZ40,'Audit Values'!$A$2:$BU$353,66,FALSE))</f>
        <v>20</v>
      </c>
      <c r="AL40" s="95"/>
      <c r="AM40" s="99">
        <f t="shared" si="14"/>
        <v>30800</v>
      </c>
      <c r="AN40" s="99">
        <v>40831</v>
      </c>
      <c r="AO40" s="95">
        <f>MAX(AN40, AM40)/'Weighting Factors'!$Q$5</f>
        <v>9.8000000000000007</v>
      </c>
      <c r="AP40" s="95">
        <f>CN40/'Weighting Factors'!$Q$5</f>
        <v>0</v>
      </c>
      <c r="AQ40" s="95">
        <v>0</v>
      </c>
      <c r="AR40" s="95">
        <f>CS40/'Weighting Factors'!$Q$5</f>
        <v>0</v>
      </c>
      <c r="AS40" s="99">
        <v>89617</v>
      </c>
      <c r="AT40" s="95">
        <f>AS40/'Weighting Factors'!$Q$5</f>
        <v>21.5</v>
      </c>
      <c r="AU40" s="95">
        <f>IF(ISNA(VLOOKUP($CZ40,'Audit Values'!$A$2:$BU$353,2,FALSE)),'Preliminary SO66'!X39,VLOOKUP($CZ40,'Audit Values'!$A$2:$BU$353,47,FALSE))</f>
        <v>0</v>
      </c>
      <c r="AV40" s="95">
        <f t="shared" si="15"/>
        <v>351.4</v>
      </c>
      <c r="AW40" s="95">
        <f t="shared" si="16"/>
        <v>329.9</v>
      </c>
      <c r="AX40" s="95">
        <f>IF(ISNA(VLOOKUP($CZ40,'Audit Values'!$A$2:$BU$353,2,FALSE)),'Preliminary SO66'!AA39,VLOOKUP($CZ40,'Audit Values'!$A$2:$BU$353,41,FALSE))</f>
        <v>0</v>
      </c>
      <c r="AY40" s="95">
        <f>IF(ISNA(VLOOKUP($CZ40,'Audit Values'!$A$2:$BU$353,2,FALSE)),'Preliminary SO66'!AB39,VLOOKUP($CZ40,'Audit Values'!$A$2:$BU$353,42,FALSE))</f>
        <v>0</v>
      </c>
      <c r="AZ40" s="114">
        <v>0</v>
      </c>
      <c r="BA40" s="99">
        <f>SUM(AX40*'Weighting Factors'!$T$10)+('2019 Legal Max'!AY40*'Weighting Factors'!$T$11)+('2019 Legal Max'!AZ40*'Weighting Factors'!$T$12)</f>
        <v>0</v>
      </c>
      <c r="BB40" s="158">
        <v>0</v>
      </c>
      <c r="BC40" s="88">
        <f>IF(ISNA(VLOOKUP($CZ40,'Audit Values'!$A$2:$BU$353,2,FALSE)),"",IF(AND('Weighting Factors'!H40&gt;0,VLOOKUP($CZ40,'Audit Values'!$A$2:$BU$353,51,FALSE)&lt;'Weighting Factors'!H40),'Weighting Factors'!H40,VLOOKUP($CZ40,'Audit Values'!$A$2:$BU$353,50,FALSE)))</f>
        <v>11</v>
      </c>
      <c r="BD40" s="88" t="str">
        <f>IF(ISNA(VLOOKUP($CZ40,'Audit Values'!$A$2:$BV$353,2,FALSE)),"",VLOOKUP($CZ40,'Audit Values'!$A$2:$BV$353,51,FALSE))</f>
        <v>A</v>
      </c>
      <c r="BE40" s="88" t="str">
        <f>IF('Weighting Factors'!H40="","",IF('Weighting Factors'!J40="Pending","PX","R"))</f>
        <v>R</v>
      </c>
      <c r="BF40" s="97">
        <f>SUM((S40+T40+Y40+AA40+AE40+AH40+AJ40++AO40+AP40+AQ40+AU40+AR40)*'Weighting Factors'!$Q$5)+'2019 Legal Max'!BA40+'2019 Legal Max'!BB40</f>
        <v>1374034</v>
      </c>
      <c r="BG40" s="99">
        <f>SUM((AV40+AR40)*'Weighting Factors'!$Q$5)+BA40+'2019 Legal Max'!BB40</f>
        <v>1463581</v>
      </c>
      <c r="BH40" s="108">
        <f>IF('Weighting Factors'!H40&gt;0,'Weighting Factors'!H40,'Preliminary SO66'!AV39)</f>
        <v>1485656</v>
      </c>
      <c r="BI40" s="99">
        <f t="shared" si="40"/>
        <v>1463581</v>
      </c>
      <c r="BJ40" s="112"/>
      <c r="BK40" s="112">
        <f>'Weighting Factors'!F40</f>
        <v>-21324</v>
      </c>
      <c r="BL40" s="112">
        <f>'Weighting Factors'!E40</f>
        <v>0</v>
      </c>
      <c r="BM40" s="99">
        <f t="shared" si="17"/>
        <v>-21324</v>
      </c>
      <c r="BN40" s="99">
        <f t="shared" si="18"/>
        <v>1442257</v>
      </c>
      <c r="BO40" s="99">
        <f>SUM((S40+T40+Y40+AA40+AE40+AH40+AJ40++AO40+AP40+AQ40+AR40)*'Weighting Factors'!Q$12)+(MAX(AS40,'Weighting Factors'!B40))</f>
        <v>1634038</v>
      </c>
      <c r="BP40" s="122">
        <v>0.33</v>
      </c>
      <c r="BQ40" s="99">
        <f t="shared" si="19"/>
        <v>539233</v>
      </c>
      <c r="BR40" s="108">
        <v>519526</v>
      </c>
      <c r="BS40" s="99">
        <f t="shared" si="20"/>
        <v>519526</v>
      </c>
      <c r="BT40" s="167">
        <f t="shared" si="21"/>
        <v>0.31790000000000002</v>
      </c>
      <c r="BU40" s="95">
        <f t="shared" si="22"/>
        <v>0</v>
      </c>
      <c r="BV40" s="87" t="b">
        <f t="shared" si="23"/>
        <v>1</v>
      </c>
      <c r="BW40" s="117">
        <f t="shared" si="24"/>
        <v>419.99299999999999</v>
      </c>
      <c r="BX40" s="116">
        <f t="shared" si="25"/>
        <v>0.89902499999999996</v>
      </c>
      <c r="BY40" s="95">
        <f t="shared" si="26"/>
        <v>129</v>
      </c>
      <c r="BZ40" s="87" t="b">
        <f t="shared" si="27"/>
        <v>0</v>
      </c>
      <c r="CA40" s="87">
        <f t="shared" si="28"/>
        <v>0</v>
      </c>
      <c r="CB40" s="116">
        <f t="shared" si="29"/>
        <v>0</v>
      </c>
      <c r="CC40" s="95">
        <f t="shared" si="30"/>
        <v>0</v>
      </c>
      <c r="CD40" s="95">
        <f t="shared" si="31"/>
        <v>0</v>
      </c>
      <c r="CE40" s="98">
        <v>281</v>
      </c>
      <c r="CF40" s="250">
        <f t="shared" si="32"/>
        <v>7.0999999999999994E-2</v>
      </c>
      <c r="CG40" s="274">
        <f>IF(CF40&lt;0.06,1,IF(CF40&gt;=18.29,52,MATCH(CF40-0.001,'Weighting Factors'!$Y$5:$Y$156)+1))</f>
        <v>3</v>
      </c>
      <c r="CH40" s="243">
        <f>VLOOKUP(CG40, 'Weighting Factors'!$W$5:$Z$56,4)</f>
        <v>1540</v>
      </c>
      <c r="CI40" s="118">
        <f>('Weighting Factors'!$Q$5/'Weighting Factors'!$Q$14)</f>
        <v>1</v>
      </c>
      <c r="CJ40" s="245">
        <f t="shared" si="33"/>
        <v>30800</v>
      </c>
      <c r="CK40" s="245">
        <f>CJ40*'Weighting Factors'!$S$7</f>
        <v>30800</v>
      </c>
      <c r="CL40" s="245">
        <f t="shared" si="34"/>
        <v>30800</v>
      </c>
      <c r="CM40" s="95">
        <f>AM40/'Weighting Factors'!$Q$5</f>
        <v>7.4</v>
      </c>
      <c r="CN40" s="148">
        <v>0</v>
      </c>
      <c r="CO40" s="148">
        <v>0</v>
      </c>
      <c r="CP40" s="149">
        <v>0</v>
      </c>
      <c r="CQ40" s="151">
        <v>0</v>
      </c>
      <c r="CR40" s="99">
        <f>SUM((AV40*'Weighting Factors'!$Q$5)+'2019 Legal Max'!BA40)*CQ40</f>
        <v>0</v>
      </c>
      <c r="CS40" s="99">
        <f t="shared" si="35"/>
        <v>0</v>
      </c>
      <c r="CT40" s="106">
        <f t="shared" si="36"/>
        <v>0.53280000000000005</v>
      </c>
      <c r="CU40" s="95">
        <f t="shared" si="37"/>
        <v>7.7</v>
      </c>
      <c r="CV40" s="95">
        <f t="shared" si="38"/>
        <v>0</v>
      </c>
      <c r="CW40" s="95">
        <f t="shared" si="39"/>
        <v>351.4</v>
      </c>
      <c r="CX40" s="99">
        <f>'LOB Transfers'!G39</f>
        <v>52472</v>
      </c>
      <c r="CY40" s="99">
        <f>'LOB Transfers'!J39</f>
        <v>4156</v>
      </c>
      <c r="CZ40" s="87" t="s">
        <v>232</v>
      </c>
    </row>
    <row r="41" spans="1:104" ht="15" customHeight="1">
      <c r="A41" s="88">
        <v>226</v>
      </c>
      <c r="B41" s="87" t="s">
        <v>20</v>
      </c>
      <c r="C41" s="87" t="s">
        <v>554</v>
      </c>
      <c r="D41" s="95">
        <v>372.5</v>
      </c>
      <c r="E41" s="95">
        <v>0</v>
      </c>
      <c r="F41" s="95">
        <f t="shared" si="5"/>
        <v>372.5</v>
      </c>
      <c r="G41" s="95">
        <v>388.9</v>
      </c>
      <c r="H41" s="95">
        <v>0</v>
      </c>
      <c r="I41" s="95">
        <f t="shared" si="6"/>
        <v>388.9</v>
      </c>
      <c r="J41" s="95">
        <v>412.1</v>
      </c>
      <c r="K41" s="95">
        <v>0</v>
      </c>
      <c r="L41" s="95">
        <f t="shared" si="7"/>
        <v>412.1</v>
      </c>
      <c r="M41" s="95">
        <f>IF(ISNA(VLOOKUP($CZ41,'Audit Values'!$A$2:$BW$365,2,FALSE)),'Preliminary SO66'!C40,VLOOKUP($CZ41,'Audit Values'!$A$2:$BW$365,73,FALSE))</f>
        <v>379</v>
      </c>
      <c r="N41" s="95">
        <f>IF(ISNA(VLOOKUP($CZ41,'Audit Values'!$A$2:$BW$365,2,FALSE)),'Preliminary SO66'!F40,VLOOKUP($CZ41,'Audit Values'!$A$2:$BW$365,4,FALSE))</f>
        <v>0</v>
      </c>
      <c r="O41" s="95">
        <f t="shared" si="8"/>
        <v>379</v>
      </c>
      <c r="P41" s="95">
        <f>IF('Military Provision'!J42="YES", MAX('2019 Legal Max'!L41,'2019 Legal Max'!I41,AVERAGE('2019 Legal Max'!F41,'2019 Legal Max'!I41,'2019 Legal Max'!L41)), MAX(L41, I41))</f>
        <v>412.1</v>
      </c>
      <c r="Q41" s="95">
        <f>IF(ISNA(VLOOKUP($CZ41,'Audit Values'!$A$2:$BU$353,2,FALSE)),'Preliminary SO66'!AL40,VLOOKUP($CZ41,'Audit Values'!$A$2:$BU$3955,58,FALSE))</f>
        <v>4.5</v>
      </c>
      <c r="R41" s="95">
        <v>0</v>
      </c>
      <c r="S41" s="95">
        <f t="shared" si="41"/>
        <v>416.6</v>
      </c>
      <c r="T41" s="95">
        <f t="shared" si="10"/>
        <v>185.2</v>
      </c>
      <c r="U41" s="95">
        <f>IF(ISNA(VLOOKUP($CZ41,'Audit Values'!$A$2:$BW$317,2,FALSE)),'Preliminary SO66'!AM40,VLOOKUP($CZ41,'Audit Values'!$A$2:$BW$317,62,FALSE))</f>
        <v>47.6</v>
      </c>
      <c r="V41" s="95">
        <f>(U41/6)*'Weighting Factors'!$Q$7</f>
        <v>3.1</v>
      </c>
      <c r="W41" s="132">
        <f>IF(ISNA(VLOOKUP($CZ41,'Audit Values'!$A$2:$BW$353,2,FALSE)),'Preliminary SO66'!AN40,VLOOKUP($CZ41,'Audit Values'!$A$2:$BW$353,61,FALSE))</f>
        <v>13</v>
      </c>
      <c r="X41" s="95">
        <f>W41*'Weighting Factors'!$Q$8</f>
        <v>2.4</v>
      </c>
      <c r="Y41" s="95">
        <f t="shared" si="11"/>
        <v>3.1</v>
      </c>
      <c r="Z41" s="276">
        <f>IF(ISNA(VLOOKUP($CZ41,'Audit Values'!$A$2:$BW$317,2,FALSE)),'Preliminary SO66'!AO40,VLOOKUP($CZ41,'Audit Values'!$A$2:$BW$317,60,FALSE))</f>
        <v>37.200000000000003</v>
      </c>
      <c r="AA41" s="95">
        <f>Z41/6*'Weighting Factors'!$Q$6</f>
        <v>3.1</v>
      </c>
      <c r="AB41" s="99">
        <f>IF(ISNA(VLOOKUP($CZ41,'Audit Values'!$A$2:$BU$353,2,FALSE)),'Preliminary SO66'!AS40,VLOOKUP($CZ41,'Audit Values'!$A$2:$BU$353,63,FALSE))</f>
        <v>402</v>
      </c>
      <c r="AC41" s="99">
        <v>0</v>
      </c>
      <c r="AD41" s="99">
        <f>IF(ISNA(VLOOKUP($CZ41,'Audit Values'!$A$2:$BU$353,2,FALSE)),'Preliminary SO66'!AP40,VLOOKUP($CZ41,'Audit Values'!$A$2:$BU$353,64,FALSE))</f>
        <v>165</v>
      </c>
      <c r="AE41" s="95">
        <f>IF(A41=207, AD41,MAX(AC41,AD41))*'Weighting Factors'!$Q$9</f>
        <v>79.900000000000006</v>
      </c>
      <c r="AF41" s="95">
        <f t="shared" si="12"/>
        <v>7</v>
      </c>
      <c r="AG41" s="95">
        <f>IF(ISNA(VLOOKUP($CZ41,'Audit Values'!$A$2:$BW$353,2,FALSE)),'Preliminary SO66'!AG40,VLOOKUP($CZ41,'Audit Values'!$A$2:$BW$353,70,FALSE))</f>
        <v>12.7</v>
      </c>
      <c r="AH41" s="95">
        <f t="shared" si="13"/>
        <v>12.7</v>
      </c>
      <c r="AI41" s="95">
        <f>IF(ISNA(VLOOKUP($CZ41,'Audit Values'!$A$2:$BU$353,2,FALSE)),'Preliminary SO66'!AQ40,VLOOKUP($CZ41,'Audit Values'!$A$2:$BU$353,65,FALSE))</f>
        <v>0</v>
      </c>
      <c r="AJ41" s="95">
        <f>AI41*'Weighting Factors'!$Q$10</f>
        <v>0</v>
      </c>
      <c r="AK41" s="95">
        <f>IF(ISNA(VLOOKUP($CZ41,'Audit Values'!$A$2:$BU$353,2,FALSE)),'Preliminary SO66'!AR40,VLOOKUP($CZ41,'Audit Values'!$A$2:$BU$353,66,FALSE))</f>
        <v>46</v>
      </c>
      <c r="AL41" s="95"/>
      <c r="AM41" s="99">
        <f t="shared" si="14"/>
        <v>66700</v>
      </c>
      <c r="AN41" s="99">
        <v>103619</v>
      </c>
      <c r="AO41" s="95">
        <f>MAX(AN41, AM41)/'Weighting Factors'!$Q$5</f>
        <v>24.9</v>
      </c>
      <c r="AP41" s="95">
        <f>CN41/'Weighting Factors'!$Q$5</f>
        <v>0</v>
      </c>
      <c r="AQ41" s="95">
        <v>0</v>
      </c>
      <c r="AR41" s="95">
        <f>CS41/'Weighting Factors'!$Q$5</f>
        <v>0</v>
      </c>
      <c r="AS41" s="99">
        <v>286979</v>
      </c>
      <c r="AT41" s="95">
        <f>AS41/'Weighting Factors'!$Q$5</f>
        <v>68.900000000000006</v>
      </c>
      <c r="AU41" s="95">
        <f>IF(ISNA(VLOOKUP($CZ41,'Audit Values'!$A$2:$BU$353,2,FALSE)),'Preliminary SO66'!X40,VLOOKUP($CZ41,'Audit Values'!$A$2:$BU$353,47,FALSE))</f>
        <v>0</v>
      </c>
      <c r="AV41" s="95">
        <f t="shared" si="15"/>
        <v>794.4</v>
      </c>
      <c r="AW41" s="95">
        <f t="shared" si="16"/>
        <v>725.5</v>
      </c>
      <c r="AX41" s="95">
        <f>IF(ISNA(VLOOKUP($CZ41,'Audit Values'!$A$2:$BU$353,2,FALSE)),'Preliminary SO66'!AA40,VLOOKUP($CZ41,'Audit Values'!$A$2:$BU$353,41,FALSE))</f>
        <v>0</v>
      </c>
      <c r="AY41" s="95">
        <f>IF(ISNA(VLOOKUP($CZ41,'Audit Values'!$A$2:$BU$353,2,FALSE)),'Preliminary SO66'!AB40,VLOOKUP($CZ41,'Audit Values'!$A$2:$BU$353,42,FALSE))</f>
        <v>0</v>
      </c>
      <c r="AZ41" s="114">
        <v>0</v>
      </c>
      <c r="BA41" s="99">
        <f>SUM(AX41*'Weighting Factors'!$T$10)+('2019 Legal Max'!AY41*'Weighting Factors'!$T$11)+('2019 Legal Max'!AZ41*'Weighting Factors'!$T$12)</f>
        <v>0</v>
      </c>
      <c r="BB41" s="158">
        <v>0</v>
      </c>
      <c r="BC41" s="88">
        <f>IF(ISNA(VLOOKUP($CZ41,'Audit Values'!$A$2:$BU$353,2,FALSE)),"",IF(AND('Weighting Factors'!H41&gt;0,VLOOKUP($CZ41,'Audit Values'!$A$2:$BU$353,51,FALSE)&lt;'Weighting Factors'!H41),'Weighting Factors'!H41,VLOOKUP($CZ41,'Audit Values'!$A$2:$BU$353,50,FALSE)))</f>
        <v>6</v>
      </c>
      <c r="BD41" s="88" t="str">
        <f>IF(ISNA(VLOOKUP($CZ41,'Audit Values'!$A$2:$BV$353,2,FALSE)),"",VLOOKUP($CZ41,'Audit Values'!$A$2:$BV$353,51,FALSE))</f>
        <v>A</v>
      </c>
      <c r="BE41" s="88" t="str">
        <f>IF('Weighting Factors'!H41="","",IF('Weighting Factors'!J41="Pending","PX","R"))</f>
        <v>R</v>
      </c>
      <c r="BF41" s="97">
        <f>SUM((S41+T41+Y41+AA41+AE41+AH41+AJ41++AO41+AP41+AQ41+AU41+AR41)*'Weighting Factors'!$Q$5)+'2019 Legal Max'!BA41+'2019 Legal Max'!BB41</f>
        <v>3021708</v>
      </c>
      <c r="BG41" s="99">
        <f>SUM((AV41+AR41)*'Weighting Factors'!$Q$5)+BA41+'2019 Legal Max'!BB41</f>
        <v>3308676</v>
      </c>
      <c r="BH41" s="108">
        <f>IF('Weighting Factors'!H41&gt;0,'Weighting Factors'!H41,'Preliminary SO66'!AV40)</f>
        <v>3353242</v>
      </c>
      <c r="BI41" s="99">
        <f t="shared" si="40"/>
        <v>3308676</v>
      </c>
      <c r="BJ41" s="112"/>
      <c r="BK41" s="112">
        <f>'Weighting Factors'!F41</f>
        <v>-24056</v>
      </c>
      <c r="BL41" s="112">
        <f>'Weighting Factors'!E41</f>
        <v>0</v>
      </c>
      <c r="BM41" s="99">
        <f t="shared" si="17"/>
        <v>-24056</v>
      </c>
      <c r="BN41" s="99">
        <f t="shared" si="18"/>
        <v>3284620</v>
      </c>
      <c r="BO41" s="99">
        <f>SUM((S41+T41+Y41+AA41+AE41+AH41+AJ41++AO41+AP41+AQ41+AR41)*'Weighting Factors'!Q$12)+(MAX(AS41,'Weighting Factors'!B41))</f>
        <v>3651089</v>
      </c>
      <c r="BP41" s="122">
        <v>0.33</v>
      </c>
      <c r="BQ41" s="99">
        <f t="shared" si="19"/>
        <v>1204859</v>
      </c>
      <c r="BR41" s="108">
        <v>1184708</v>
      </c>
      <c r="BS41" s="99">
        <f t="shared" si="20"/>
        <v>1184708</v>
      </c>
      <c r="BT41" s="167">
        <f t="shared" si="21"/>
        <v>0.32450000000000001</v>
      </c>
      <c r="BU41" s="95">
        <f t="shared" si="22"/>
        <v>0</v>
      </c>
      <c r="BV41" s="87" t="b">
        <f t="shared" si="23"/>
        <v>0</v>
      </c>
      <c r="BW41" s="117">
        <f t="shared" si="24"/>
        <v>0</v>
      </c>
      <c r="BX41" s="116">
        <f t="shared" si="25"/>
        <v>0</v>
      </c>
      <c r="BY41" s="95">
        <f t="shared" si="26"/>
        <v>0</v>
      </c>
      <c r="BZ41" s="87" t="b">
        <f t="shared" si="27"/>
        <v>1</v>
      </c>
      <c r="CA41" s="87">
        <f t="shared" si="28"/>
        <v>144.29249999999999</v>
      </c>
      <c r="CB41" s="116">
        <f t="shared" si="29"/>
        <v>0.44457200000000002</v>
      </c>
      <c r="CC41" s="95">
        <f t="shared" si="30"/>
        <v>185.2</v>
      </c>
      <c r="CD41" s="95">
        <f t="shared" si="31"/>
        <v>0</v>
      </c>
      <c r="CE41" s="98">
        <v>440</v>
      </c>
      <c r="CF41" s="250">
        <f t="shared" si="32"/>
        <v>0.105</v>
      </c>
      <c r="CG41" s="274">
        <f>IF(CF41&lt;0.06,1,IF(CF41&gt;=18.29,52,MATCH(CF41-0.001,'Weighting Factors'!$Y$5:$Y$156)+1))</f>
        <v>6</v>
      </c>
      <c r="CH41" s="243">
        <f>VLOOKUP(CG41, 'Weighting Factors'!$W$5:$Z$56,4)</f>
        <v>1450</v>
      </c>
      <c r="CI41" s="118">
        <f>('Weighting Factors'!$Q$5/'Weighting Factors'!$Q$14)</f>
        <v>1</v>
      </c>
      <c r="CJ41" s="245">
        <f t="shared" si="33"/>
        <v>66700</v>
      </c>
      <c r="CK41" s="245">
        <f>CJ41*'Weighting Factors'!$S$7</f>
        <v>66700</v>
      </c>
      <c r="CL41" s="245">
        <f t="shared" si="34"/>
        <v>66700</v>
      </c>
      <c r="CM41" s="95">
        <f>AM41/'Weighting Factors'!$Q$5</f>
        <v>16</v>
      </c>
      <c r="CN41" s="148">
        <v>0</v>
      </c>
      <c r="CO41" s="148">
        <v>0</v>
      </c>
      <c r="CP41" s="149">
        <v>0</v>
      </c>
      <c r="CQ41" s="151">
        <v>0</v>
      </c>
      <c r="CR41" s="99">
        <f>SUM((AV41*'Weighting Factors'!$Q$5)+'2019 Legal Max'!BA41)*CQ41</f>
        <v>0</v>
      </c>
      <c r="CS41" s="99">
        <f t="shared" si="35"/>
        <v>0</v>
      </c>
      <c r="CT41" s="106">
        <f t="shared" si="36"/>
        <v>0.41039999999999999</v>
      </c>
      <c r="CU41" s="95">
        <f t="shared" si="37"/>
        <v>0</v>
      </c>
      <c r="CV41" s="95">
        <f t="shared" si="38"/>
        <v>7</v>
      </c>
      <c r="CW41" s="95">
        <f t="shared" si="39"/>
        <v>794.4</v>
      </c>
      <c r="CX41" s="99">
        <f>'LOB Transfers'!G40</f>
        <v>119892</v>
      </c>
      <c r="CY41" s="99">
        <f>'LOB Transfers'!J40</f>
        <v>4620</v>
      </c>
      <c r="CZ41" s="87" t="s">
        <v>233</v>
      </c>
    </row>
    <row r="42" spans="1:104" ht="15" customHeight="1">
      <c r="A42" s="88">
        <v>227</v>
      </c>
      <c r="B42" s="87" t="s">
        <v>21</v>
      </c>
      <c r="C42" s="87" t="s">
        <v>555</v>
      </c>
      <c r="D42" s="95">
        <v>286.5</v>
      </c>
      <c r="E42" s="95">
        <v>0</v>
      </c>
      <c r="F42" s="95">
        <f t="shared" si="5"/>
        <v>286.5</v>
      </c>
      <c r="G42" s="95">
        <v>287</v>
      </c>
      <c r="H42" s="95">
        <v>0</v>
      </c>
      <c r="I42" s="95">
        <f t="shared" si="6"/>
        <v>287</v>
      </c>
      <c r="J42" s="95">
        <v>296.5</v>
      </c>
      <c r="K42" s="95">
        <v>0</v>
      </c>
      <c r="L42" s="95">
        <f t="shared" si="7"/>
        <v>296.5</v>
      </c>
      <c r="M42" s="95">
        <f>IF(ISNA(VLOOKUP($CZ42,'Audit Values'!$A$2:$BW$365,2,FALSE)),'Preliminary SO66'!C41,VLOOKUP($CZ42,'Audit Values'!$A$2:$BW$365,73,FALSE))</f>
        <v>280.5</v>
      </c>
      <c r="N42" s="95">
        <f>IF(ISNA(VLOOKUP($CZ42,'Audit Values'!$A$2:$BW$365,2,FALSE)),'Preliminary SO66'!F41,VLOOKUP($CZ42,'Audit Values'!$A$2:$BW$365,4,FALSE))</f>
        <v>0</v>
      </c>
      <c r="O42" s="95">
        <f t="shared" si="8"/>
        <v>280.5</v>
      </c>
      <c r="P42" s="95">
        <f>IF('Military Provision'!J43="YES", MAX('2019 Legal Max'!L42,'2019 Legal Max'!I42,AVERAGE('2019 Legal Max'!F42,'2019 Legal Max'!I42,'2019 Legal Max'!L42)), MAX(L42, I42))</f>
        <v>296.5</v>
      </c>
      <c r="Q42" s="95">
        <f>IF(ISNA(VLOOKUP($CZ42,'Audit Values'!$A$2:$BU$353,2,FALSE)),'Preliminary SO66'!AL41,VLOOKUP($CZ42,'Audit Values'!$A$2:$BU$3955,58,FALSE))</f>
        <v>0</v>
      </c>
      <c r="R42" s="95">
        <v>0</v>
      </c>
      <c r="S42" s="95">
        <f t="shared" si="41"/>
        <v>296.5</v>
      </c>
      <c r="T42" s="95">
        <f t="shared" si="10"/>
        <v>146.30000000000001</v>
      </c>
      <c r="U42" s="95">
        <f>IF(ISNA(VLOOKUP($CZ42,'Audit Values'!$A$2:$BW$317,2,FALSE)),'Preliminary SO66'!AM41,VLOOKUP($CZ42,'Audit Values'!$A$2:$BW$317,62,FALSE))</f>
        <v>7.7</v>
      </c>
      <c r="V42" s="95">
        <f>(U42/6)*'Weighting Factors'!$Q$7</f>
        <v>0.5</v>
      </c>
      <c r="W42" s="132">
        <f>IF(ISNA(VLOOKUP($CZ42,'Audit Values'!$A$2:$BW$353,2,FALSE)),'Preliminary SO66'!AN41,VLOOKUP($CZ42,'Audit Values'!$A$2:$BW$353,61,FALSE))</f>
        <v>8</v>
      </c>
      <c r="X42" s="95">
        <f>W42*'Weighting Factors'!$Q$8</f>
        <v>1.5</v>
      </c>
      <c r="Y42" s="95">
        <f t="shared" si="11"/>
        <v>1.5</v>
      </c>
      <c r="Z42" s="276">
        <f>IF(ISNA(VLOOKUP($CZ42,'Audit Values'!$A$2:$BW$317,2,FALSE)),'Preliminary SO66'!AO41,VLOOKUP($CZ42,'Audit Values'!$A$2:$BW$317,60,FALSE))</f>
        <v>44.9</v>
      </c>
      <c r="AA42" s="95">
        <f>Z42/6*'Weighting Factors'!$Q$6</f>
        <v>3.7</v>
      </c>
      <c r="AB42" s="99">
        <f>IF(ISNA(VLOOKUP($CZ42,'Audit Values'!$A$2:$BU$353,2,FALSE)),'Preliminary SO66'!AS41,VLOOKUP($CZ42,'Audit Values'!$A$2:$BU$353,63,FALSE))</f>
        <v>284</v>
      </c>
      <c r="AC42" s="99">
        <v>0</v>
      </c>
      <c r="AD42" s="99">
        <f>IF(ISNA(VLOOKUP($CZ42,'Audit Values'!$A$2:$BU$353,2,FALSE)),'Preliminary SO66'!AP41,VLOOKUP($CZ42,'Audit Values'!$A$2:$BU$353,64,FALSE))</f>
        <v>72</v>
      </c>
      <c r="AE42" s="95">
        <f>IF(A42=207, AD42,MAX(AC42,AD42))*'Weighting Factors'!$Q$9</f>
        <v>34.799999999999997</v>
      </c>
      <c r="AF42" s="95">
        <f t="shared" si="12"/>
        <v>0</v>
      </c>
      <c r="AG42" s="95">
        <f>IF(ISNA(VLOOKUP($CZ42,'Audit Values'!$A$2:$BW$353,2,FALSE)),'Preliminary SO66'!AG41,VLOOKUP($CZ42,'Audit Values'!$A$2:$BW$353,70,FALSE))</f>
        <v>0</v>
      </c>
      <c r="AH42" s="95">
        <f t="shared" si="13"/>
        <v>0</v>
      </c>
      <c r="AI42" s="95">
        <f>IF(ISNA(VLOOKUP($CZ42,'Audit Values'!$A$2:$BU$353,2,FALSE)),'Preliminary SO66'!AQ41,VLOOKUP($CZ42,'Audit Values'!$A$2:$BU$353,65,FALSE))</f>
        <v>0</v>
      </c>
      <c r="AJ42" s="95">
        <f>AI42*'Weighting Factors'!$Q$10</f>
        <v>0</v>
      </c>
      <c r="AK42" s="95">
        <f>IF(ISNA(VLOOKUP($CZ42,'Audit Values'!$A$2:$BU$353,2,FALSE)),'Preliminary SO66'!AR41,VLOOKUP($CZ42,'Audit Values'!$A$2:$BU$353,66,FALSE))</f>
        <v>126.5</v>
      </c>
      <c r="AL42" s="95"/>
      <c r="AM42" s="99">
        <f t="shared" si="14"/>
        <v>170775</v>
      </c>
      <c r="AN42" s="99">
        <v>203771</v>
      </c>
      <c r="AO42" s="95">
        <f>MAX(AN42, AM42)/'Weighting Factors'!$Q$5</f>
        <v>48.9</v>
      </c>
      <c r="AP42" s="95">
        <f>CN42/'Weighting Factors'!$Q$5</f>
        <v>0</v>
      </c>
      <c r="AQ42" s="95">
        <v>0</v>
      </c>
      <c r="AR42" s="95">
        <f>CS42/'Weighting Factors'!$Q$5</f>
        <v>0</v>
      </c>
      <c r="AS42" s="99">
        <v>198749</v>
      </c>
      <c r="AT42" s="95">
        <f>AS42/'Weighting Factors'!$Q$5</f>
        <v>47.7</v>
      </c>
      <c r="AU42" s="95">
        <f>IF(ISNA(VLOOKUP($CZ42,'Audit Values'!$A$2:$BU$353,2,FALSE)),'Preliminary SO66'!X41,VLOOKUP($CZ42,'Audit Values'!$A$2:$BU$353,47,FALSE))</f>
        <v>0</v>
      </c>
      <c r="AV42" s="95">
        <f t="shared" si="15"/>
        <v>579.4</v>
      </c>
      <c r="AW42" s="95">
        <f t="shared" si="16"/>
        <v>531.70000000000005</v>
      </c>
      <c r="AX42" s="95">
        <f>IF(ISNA(VLOOKUP($CZ42,'Audit Values'!$A$2:$BU$353,2,FALSE)),'Preliminary SO66'!AA41,VLOOKUP($CZ42,'Audit Values'!$A$2:$BU$353,41,FALSE))</f>
        <v>0</v>
      </c>
      <c r="AY42" s="95">
        <f>IF(ISNA(VLOOKUP($CZ42,'Audit Values'!$A$2:$BU$353,2,FALSE)),'Preliminary SO66'!AB41,VLOOKUP($CZ42,'Audit Values'!$A$2:$BU$353,42,FALSE))</f>
        <v>0</v>
      </c>
      <c r="AZ42" s="114">
        <v>0</v>
      </c>
      <c r="BA42" s="99">
        <f>SUM(AX42*'Weighting Factors'!$T$10)+('2019 Legal Max'!AY42*'Weighting Factors'!$T$11)+('2019 Legal Max'!AZ42*'Weighting Factors'!$T$12)</f>
        <v>0</v>
      </c>
      <c r="BB42" s="158">
        <v>0</v>
      </c>
      <c r="BC42" s="88">
        <f>IF(ISNA(VLOOKUP($CZ42,'Audit Values'!$A$2:$BU$353,2,FALSE)),"",IF(AND('Weighting Factors'!H42&gt;0,VLOOKUP($CZ42,'Audit Values'!$A$2:$BU$353,51,FALSE)&lt;'Weighting Factors'!H42),'Weighting Factors'!H42,VLOOKUP($CZ42,'Audit Values'!$A$2:$BU$353,50,FALSE)))</f>
        <v>19</v>
      </c>
      <c r="BD42" s="88" t="str">
        <f>IF(ISNA(VLOOKUP($CZ42,'Audit Values'!$A$2:$BV$353,2,FALSE)),"",VLOOKUP($CZ42,'Audit Values'!$A$2:$BV$353,51,FALSE))</f>
        <v>A</v>
      </c>
      <c r="BE42" s="88" t="str">
        <f>IF('Weighting Factors'!H42="","",IF('Weighting Factors'!J42="Pending","PX","R"))</f>
        <v/>
      </c>
      <c r="BF42" s="97">
        <f>SUM((S42+T42+Y42+AA42+AE42+AH42+AJ42++AO42+AP42+AQ42+AU42+AR42)*'Weighting Factors'!$Q$5)+'2019 Legal Max'!BA42+'2019 Legal Max'!BB42</f>
        <v>2214531</v>
      </c>
      <c r="BG42" s="99">
        <f>SUM((AV42+AR42)*'Weighting Factors'!$Q$5)+BA42+'2019 Legal Max'!BB42</f>
        <v>2413201</v>
      </c>
      <c r="BH42" s="108">
        <f>IF('Weighting Factors'!H42&gt;0,'Weighting Factors'!H42,'Preliminary SO66'!AV41)</f>
        <v>2479008</v>
      </c>
      <c r="BI42" s="99">
        <f t="shared" si="40"/>
        <v>2413201</v>
      </c>
      <c r="BJ42" s="112"/>
      <c r="BK42" s="112">
        <f>'Weighting Factors'!F42</f>
        <v>0</v>
      </c>
      <c r="BL42" s="112">
        <f>'Weighting Factors'!E42</f>
        <v>0</v>
      </c>
      <c r="BM42" s="99">
        <f t="shared" si="17"/>
        <v>0</v>
      </c>
      <c r="BN42" s="99">
        <f t="shared" si="18"/>
        <v>2413201</v>
      </c>
      <c r="BO42" s="99">
        <f>SUM((S42+T42+Y42+AA42+AE42+AH42+AJ42++AO42+AP42+AQ42+AR42)*'Weighting Factors'!Q$12)+(MAX(AS42,'Weighting Factors'!B42))</f>
        <v>2707985</v>
      </c>
      <c r="BP42" s="122">
        <v>0.3</v>
      </c>
      <c r="BQ42" s="99">
        <f t="shared" si="19"/>
        <v>812396</v>
      </c>
      <c r="BR42" s="108">
        <v>791517</v>
      </c>
      <c r="BS42" s="99">
        <f t="shared" si="20"/>
        <v>791517</v>
      </c>
      <c r="BT42" s="167">
        <f t="shared" si="21"/>
        <v>0.2923</v>
      </c>
      <c r="BU42" s="95">
        <f t="shared" si="22"/>
        <v>0</v>
      </c>
      <c r="BV42" s="87" t="b">
        <f t="shared" si="23"/>
        <v>1</v>
      </c>
      <c r="BW42" s="117">
        <f t="shared" si="24"/>
        <v>1897.2080000000001</v>
      </c>
      <c r="BX42" s="116">
        <f t="shared" si="25"/>
        <v>0.49346400000000001</v>
      </c>
      <c r="BY42" s="95">
        <f t="shared" si="26"/>
        <v>146.30000000000001</v>
      </c>
      <c r="BZ42" s="87" t="b">
        <f t="shared" si="27"/>
        <v>0</v>
      </c>
      <c r="CA42" s="87">
        <f t="shared" si="28"/>
        <v>0</v>
      </c>
      <c r="CB42" s="116">
        <f t="shared" si="29"/>
        <v>0</v>
      </c>
      <c r="CC42" s="95">
        <f t="shared" si="30"/>
        <v>0</v>
      </c>
      <c r="CD42" s="95">
        <f t="shared" si="31"/>
        <v>0</v>
      </c>
      <c r="CE42" s="98">
        <v>807.5</v>
      </c>
      <c r="CF42" s="250">
        <f t="shared" si="32"/>
        <v>0.157</v>
      </c>
      <c r="CG42" s="274">
        <f>IF(CF42&lt;0.06,1,IF(CF42&gt;=18.29,52,MATCH(CF42-0.001,'Weighting Factors'!$Y$5:$Y$156)+1))</f>
        <v>11</v>
      </c>
      <c r="CH42" s="243">
        <f>VLOOKUP(CG42, 'Weighting Factors'!$W$5:$Z$56,4)</f>
        <v>1350</v>
      </c>
      <c r="CI42" s="118">
        <f>('Weighting Factors'!$Q$5/'Weighting Factors'!$Q$14)</f>
        <v>1</v>
      </c>
      <c r="CJ42" s="245">
        <f t="shared" si="33"/>
        <v>170775</v>
      </c>
      <c r="CK42" s="245">
        <f>CJ42*'Weighting Factors'!$S$7</f>
        <v>170775</v>
      </c>
      <c r="CL42" s="245">
        <f t="shared" si="34"/>
        <v>170775</v>
      </c>
      <c r="CM42" s="95">
        <f>AM42/'Weighting Factors'!$Q$5</f>
        <v>41</v>
      </c>
      <c r="CN42" s="148">
        <v>0</v>
      </c>
      <c r="CO42" s="148">
        <v>0</v>
      </c>
      <c r="CP42" s="149">
        <v>0</v>
      </c>
      <c r="CQ42" s="151">
        <v>0</v>
      </c>
      <c r="CR42" s="99">
        <f>SUM((AV42*'Weighting Factors'!$Q$5)+'2019 Legal Max'!BA42)*CQ42</f>
        <v>0</v>
      </c>
      <c r="CS42" s="99">
        <f t="shared" si="35"/>
        <v>0</v>
      </c>
      <c r="CT42" s="106">
        <f t="shared" si="36"/>
        <v>0.2535</v>
      </c>
      <c r="CU42" s="95">
        <f t="shared" si="37"/>
        <v>0</v>
      </c>
      <c r="CV42" s="95">
        <f t="shared" si="38"/>
        <v>0</v>
      </c>
      <c r="CW42" s="95">
        <f t="shared" si="39"/>
        <v>579.4</v>
      </c>
      <c r="CX42" s="99">
        <f>'LOB Transfers'!G41</f>
        <v>47570</v>
      </c>
      <c r="CY42" s="99">
        <f>'LOB Transfers'!J41</f>
        <v>2058</v>
      </c>
      <c r="CZ42" s="87" t="s">
        <v>234</v>
      </c>
    </row>
    <row r="43" spans="1:104" ht="15" customHeight="1">
      <c r="A43" s="88">
        <v>229</v>
      </c>
      <c r="B43" s="87" t="s">
        <v>22</v>
      </c>
      <c r="C43" s="87" t="s">
        <v>556</v>
      </c>
      <c r="D43" s="95">
        <v>21563.7</v>
      </c>
      <c r="E43" s="95">
        <v>0</v>
      </c>
      <c r="F43" s="95">
        <f t="shared" si="5"/>
        <v>21563.7</v>
      </c>
      <c r="G43" s="95">
        <v>22241.3</v>
      </c>
      <c r="H43" s="95">
        <v>0</v>
      </c>
      <c r="I43" s="95">
        <f t="shared" si="6"/>
        <v>22241.3</v>
      </c>
      <c r="J43" s="95">
        <v>22315.9</v>
      </c>
      <c r="K43" s="95">
        <v>0</v>
      </c>
      <c r="L43" s="95">
        <f t="shared" si="7"/>
        <v>22315.9</v>
      </c>
      <c r="M43" s="95">
        <f>IF(ISNA(VLOOKUP($CZ43,'Audit Values'!$A$2:$BW$365,2,FALSE)),'Preliminary SO66'!C42,VLOOKUP($CZ43,'Audit Values'!$A$2:$BW$365,73,FALSE))</f>
        <v>22329.200000000001</v>
      </c>
      <c r="N43" s="95">
        <f>IF(ISNA(VLOOKUP($CZ43,'Audit Values'!$A$2:$BW$365,2,FALSE)),'Preliminary SO66'!F42,VLOOKUP($CZ43,'Audit Values'!$A$2:$BW$365,4,FALSE))</f>
        <v>0</v>
      </c>
      <c r="O43" s="95">
        <f t="shared" si="8"/>
        <v>22329.200000000001</v>
      </c>
      <c r="P43" s="95">
        <f>IF('Military Provision'!J44="YES", MAX('2019 Legal Max'!L43,'2019 Legal Max'!I43,AVERAGE('2019 Legal Max'!F43,'2019 Legal Max'!I43,'2019 Legal Max'!L43)), MAX(L43, I43))</f>
        <v>22315.9</v>
      </c>
      <c r="Q43" s="95">
        <f>IF(ISNA(VLOOKUP($CZ43,'Audit Values'!$A$2:$BU$353,2,FALSE)),'Preliminary SO66'!AL42,VLOOKUP($CZ43,'Audit Values'!$A$2:$BU$3955,58,FALSE))</f>
        <v>0</v>
      </c>
      <c r="R43" s="95">
        <v>0</v>
      </c>
      <c r="S43" s="95">
        <f t="shared" si="41"/>
        <v>22315.9</v>
      </c>
      <c r="T43" s="95">
        <f t="shared" si="10"/>
        <v>781.9</v>
      </c>
      <c r="U43" s="95">
        <f>IF(ISNA(VLOOKUP($CZ43,'Audit Values'!$A$2:$BW$317,2,FALSE)),'Preliminary SO66'!AM42,VLOOKUP($CZ43,'Audit Values'!$A$2:$BW$317,62,FALSE))</f>
        <v>1018.8</v>
      </c>
      <c r="V43" s="95">
        <f>(U43/6)*'Weighting Factors'!$Q$7</f>
        <v>67.099999999999994</v>
      </c>
      <c r="W43" s="132">
        <f>IF(ISNA(VLOOKUP($CZ43,'Audit Values'!$A$2:$BW$353,2,FALSE)),'Preliminary SO66'!AN42,VLOOKUP($CZ43,'Audit Values'!$A$2:$BW$353,61,FALSE))</f>
        <v>510</v>
      </c>
      <c r="X43" s="95">
        <f>W43*'Weighting Factors'!$Q$8</f>
        <v>94.4</v>
      </c>
      <c r="Y43" s="95">
        <f t="shared" si="11"/>
        <v>94.4</v>
      </c>
      <c r="Z43" s="276">
        <f>IF(ISNA(VLOOKUP($CZ43,'Audit Values'!$A$2:$BW$317,2,FALSE)),'Preliminary SO66'!AO42,VLOOKUP($CZ43,'Audit Values'!$A$2:$BW$317,60,FALSE))</f>
        <v>5231</v>
      </c>
      <c r="AA43" s="95">
        <f>Z43/6*'Weighting Factors'!$Q$6</f>
        <v>435.9</v>
      </c>
      <c r="AB43" s="99">
        <f>IF(ISNA(VLOOKUP($CZ43,'Audit Values'!$A$2:$BU$353,2,FALSE)),'Preliminary SO66'!AS42,VLOOKUP($CZ43,'Audit Values'!$A$2:$BU$353,63,FALSE))</f>
        <v>22559</v>
      </c>
      <c r="AC43" s="99">
        <v>0</v>
      </c>
      <c r="AD43" s="99">
        <f>IF(ISNA(VLOOKUP($CZ43,'Audit Values'!$A$2:$BU$353,2,FALSE)),'Preliminary SO66'!AP42,VLOOKUP($CZ43,'Audit Values'!$A$2:$BU$353,64,FALSE))</f>
        <v>1070</v>
      </c>
      <c r="AE43" s="95">
        <f>IF(A43=207, AD43,MAX(AC43,AD43))*'Weighting Factors'!$Q$9</f>
        <v>517.9</v>
      </c>
      <c r="AF43" s="95">
        <f t="shared" si="12"/>
        <v>0</v>
      </c>
      <c r="AG43" s="95">
        <f>IF(ISNA(VLOOKUP($CZ43,'Audit Values'!$A$2:$BW$353,2,FALSE)),'Preliminary SO66'!AG42,VLOOKUP($CZ43,'Audit Values'!$A$2:$BW$353,70,FALSE))</f>
        <v>0</v>
      </c>
      <c r="AH43" s="95">
        <f t="shared" si="13"/>
        <v>0</v>
      </c>
      <c r="AI43" s="95">
        <f>IF(ISNA(VLOOKUP($CZ43,'Audit Values'!$A$2:$BU$353,2,FALSE)),'Preliminary SO66'!AQ42,VLOOKUP($CZ43,'Audit Values'!$A$2:$BU$353,65,FALSE))</f>
        <v>636.70000000000005</v>
      </c>
      <c r="AJ43" s="95">
        <f>AI43*'Weighting Factors'!$Q$10</f>
        <v>159.19999999999999</v>
      </c>
      <c r="AK43" s="95">
        <f>IF(ISNA(VLOOKUP($CZ43,'Audit Values'!$A$2:$BU$353,2,FALSE)),'Preliminary SO66'!AR42,VLOOKUP($CZ43,'Audit Values'!$A$2:$BU$353,66,FALSE))</f>
        <v>4595</v>
      </c>
      <c r="AL43" s="95"/>
      <c r="AM43" s="99">
        <f t="shared" si="14"/>
        <v>2527250</v>
      </c>
      <c r="AN43" s="99">
        <v>2553876</v>
      </c>
      <c r="AO43" s="95">
        <f>MAX(AN43, AM43)/'Weighting Factors'!$Q$5</f>
        <v>613.20000000000005</v>
      </c>
      <c r="AP43" s="95">
        <f>CN43/'Weighting Factors'!$Q$5</f>
        <v>1891.4</v>
      </c>
      <c r="AQ43" s="95">
        <v>0</v>
      </c>
      <c r="AR43" s="95">
        <f>CS43/'Weighting Factors'!$Q$5</f>
        <v>1632</v>
      </c>
      <c r="AS43" s="99">
        <v>24231974</v>
      </c>
      <c r="AT43" s="95">
        <f>AS43/'Weighting Factors'!$Q$5</f>
        <v>5818</v>
      </c>
      <c r="AU43" s="95">
        <f>IF(ISNA(VLOOKUP($CZ43,'Audit Values'!$A$2:$BU$353,2,FALSE)),'Preliminary SO66'!X42,VLOOKUP($CZ43,'Audit Values'!$A$2:$BU$353,47,FALSE))</f>
        <v>0</v>
      </c>
      <c r="AV43" s="95">
        <f t="shared" si="15"/>
        <v>32627.8</v>
      </c>
      <c r="AW43" s="95">
        <f t="shared" si="16"/>
        <v>28441.8</v>
      </c>
      <c r="AX43" s="95">
        <f>IF(ISNA(VLOOKUP($CZ43,'Audit Values'!$A$2:$BU$353,2,FALSE)),'Preliminary SO66'!AA42,VLOOKUP($CZ43,'Audit Values'!$A$2:$BU$353,41,FALSE))</f>
        <v>0</v>
      </c>
      <c r="AY43" s="95">
        <f>IF(ISNA(VLOOKUP($CZ43,'Audit Values'!$A$2:$BU$353,2,FALSE)),'Preliminary SO66'!AB42,VLOOKUP($CZ43,'Audit Values'!$A$2:$BU$353,42,FALSE))</f>
        <v>28.3</v>
      </c>
      <c r="AZ43" s="114">
        <v>0</v>
      </c>
      <c r="BA43" s="99">
        <f>SUM(AX43*'Weighting Factors'!$T$10)+('2019 Legal Max'!AY43*'Weighting Factors'!$T$11)+('2019 Legal Max'!AZ43*'Weighting Factors'!$T$12)</f>
        <v>48110</v>
      </c>
      <c r="BB43" s="158">
        <v>0</v>
      </c>
      <c r="BC43" s="88">
        <f>IF(ISNA(VLOOKUP($CZ43,'Audit Values'!$A$2:$BU$353,2,FALSE)),"",IF(AND('Weighting Factors'!H43&gt;0,VLOOKUP($CZ43,'Audit Values'!$A$2:$BU$353,51,FALSE)&lt;'Weighting Factors'!H43),'Weighting Factors'!H43,VLOOKUP($CZ43,'Audit Values'!$A$2:$BU$353,50,FALSE)))</f>
        <v>25</v>
      </c>
      <c r="BD43" s="88" t="str">
        <f>IF(ISNA(VLOOKUP($CZ43,'Audit Values'!$A$2:$BV$353,2,FALSE)),"",VLOOKUP($CZ43,'Audit Values'!$A$2:$BV$353,51,FALSE))</f>
        <v>A</v>
      </c>
      <c r="BE43" s="88" t="str">
        <f>IF('Weighting Factors'!H43="","",IF('Weighting Factors'!J43="Pending","PX","R"))</f>
        <v/>
      </c>
      <c r="BF43" s="97">
        <f>SUM((S43+T43+Y43+AA43+AE43+AH43+AJ43++AO43+AP43+AQ43+AU43+AR43)*'Weighting Factors'!$Q$5)+'2019 Legal Max'!BA43+'2019 Legal Max'!BB43</f>
        <v>118508207</v>
      </c>
      <c r="BG43" s="99">
        <f>SUM((AV43+AR43)*'Weighting Factors'!$Q$5)+BA43+'2019 Legal Max'!BB43</f>
        <v>142740177</v>
      </c>
      <c r="BH43" s="108">
        <f>IF('Weighting Factors'!H43&gt;0,'Weighting Factors'!H43,'Preliminary SO66'!AV42)</f>
        <v>142862237</v>
      </c>
      <c r="BI43" s="99">
        <f t="shared" si="40"/>
        <v>142740177</v>
      </c>
      <c r="BJ43" s="112"/>
      <c r="BK43" s="112">
        <f>'Weighting Factors'!F43</f>
        <v>-216311</v>
      </c>
      <c r="BL43" s="112">
        <f>'Weighting Factors'!E43</f>
        <v>0</v>
      </c>
      <c r="BM43" s="99">
        <f t="shared" si="17"/>
        <v>-216311</v>
      </c>
      <c r="BN43" s="99">
        <f t="shared" si="18"/>
        <v>142523866</v>
      </c>
      <c r="BO43" s="99">
        <f>SUM((S43+T43+Y43+AA43+AE43+AH43+AJ43++AO43+AP43+AQ43+AR43)*'Weighting Factors'!Q$12)+(MAX(AS43,'Weighting Factors'!B43))</f>
        <v>151935656</v>
      </c>
      <c r="BP43" s="122">
        <v>0.33</v>
      </c>
      <c r="BQ43" s="99">
        <f t="shared" si="19"/>
        <v>50138766</v>
      </c>
      <c r="BR43" s="108">
        <v>50180953</v>
      </c>
      <c r="BS43" s="99">
        <f t="shared" si="20"/>
        <v>50138766</v>
      </c>
      <c r="BT43" s="167">
        <f t="shared" si="21"/>
        <v>0.33</v>
      </c>
      <c r="BU43" s="95">
        <f t="shared" si="22"/>
        <v>0</v>
      </c>
      <c r="BV43" s="87" t="b">
        <f t="shared" si="23"/>
        <v>0</v>
      </c>
      <c r="BW43" s="117">
        <f t="shared" si="24"/>
        <v>0</v>
      </c>
      <c r="BX43" s="116">
        <f t="shared" si="25"/>
        <v>0</v>
      </c>
      <c r="BY43" s="95">
        <f t="shared" si="26"/>
        <v>0</v>
      </c>
      <c r="BZ43" s="87" t="b">
        <f t="shared" si="27"/>
        <v>0</v>
      </c>
      <c r="CA43" s="87">
        <f t="shared" si="28"/>
        <v>0</v>
      </c>
      <c r="CB43" s="116">
        <f t="shared" si="29"/>
        <v>0</v>
      </c>
      <c r="CC43" s="95">
        <f t="shared" si="30"/>
        <v>0</v>
      </c>
      <c r="CD43" s="95">
        <f t="shared" si="31"/>
        <v>781.9</v>
      </c>
      <c r="CE43" s="98">
        <v>91</v>
      </c>
      <c r="CF43" s="250">
        <f t="shared" si="32"/>
        <v>50.494999999999997</v>
      </c>
      <c r="CG43" s="274">
        <f>IF(CF43&lt;0.06,1,IF(CF43&gt;=18.29,52,MATCH(CF43-0.001,'Weighting Factors'!$Y$5:$Y$156)+1))</f>
        <v>52</v>
      </c>
      <c r="CH43" s="243">
        <f>VLOOKUP(CG43, 'Weighting Factors'!$W$5:$Z$56,4)</f>
        <v>550</v>
      </c>
      <c r="CI43" s="118">
        <f>('Weighting Factors'!$Q$5/'Weighting Factors'!$Q$14)</f>
        <v>1</v>
      </c>
      <c r="CJ43" s="245">
        <f t="shared" si="33"/>
        <v>2527250</v>
      </c>
      <c r="CK43" s="245">
        <f>CJ43*'Weighting Factors'!$S$7</f>
        <v>2527250</v>
      </c>
      <c r="CL43" s="245">
        <f t="shared" si="34"/>
        <v>2527250</v>
      </c>
      <c r="CM43" s="95">
        <f>AM43/'Weighting Factors'!$Q$5</f>
        <v>606.79999999999995</v>
      </c>
      <c r="CN43" s="148">
        <v>7877562</v>
      </c>
      <c r="CO43" s="148">
        <v>0</v>
      </c>
      <c r="CP43" s="149">
        <v>6802956</v>
      </c>
      <c r="CQ43" s="151">
        <v>0.05</v>
      </c>
      <c r="CR43" s="99">
        <f>SUM((AV43*'Weighting Factors'!$Q$5)+'2019 Legal Max'!BA43)*CQ43</f>
        <v>6797145</v>
      </c>
      <c r="CS43" s="99">
        <f t="shared" si="35"/>
        <v>6797145</v>
      </c>
      <c r="CT43" s="106">
        <f t="shared" si="36"/>
        <v>4.7399999999999998E-2</v>
      </c>
      <c r="CU43" s="95">
        <f t="shared" si="37"/>
        <v>0</v>
      </c>
      <c r="CV43" s="95">
        <f t="shared" si="38"/>
        <v>0</v>
      </c>
      <c r="CW43" s="95">
        <f t="shared" si="39"/>
        <v>34259.800000000003</v>
      </c>
      <c r="CX43" s="99">
        <f>'LOB Transfers'!G42</f>
        <v>757095</v>
      </c>
      <c r="CY43" s="99">
        <f>'LOB Transfers'!J42</f>
        <v>140389</v>
      </c>
      <c r="CZ43" s="87" t="s">
        <v>235</v>
      </c>
    </row>
    <row r="44" spans="1:104" ht="15" customHeight="1">
      <c r="A44" s="88">
        <v>230</v>
      </c>
      <c r="B44" s="87" t="s">
        <v>22</v>
      </c>
      <c r="C44" s="87" t="s">
        <v>557</v>
      </c>
      <c r="D44" s="95">
        <v>2490.4</v>
      </c>
      <c r="E44" s="95">
        <v>0</v>
      </c>
      <c r="F44" s="95">
        <f t="shared" si="5"/>
        <v>2490.4</v>
      </c>
      <c r="G44" s="95">
        <v>2735.6</v>
      </c>
      <c r="H44" s="95">
        <v>0</v>
      </c>
      <c r="I44" s="95">
        <f t="shared" si="6"/>
        <v>2735.6</v>
      </c>
      <c r="J44" s="95">
        <v>2882.9</v>
      </c>
      <c r="K44" s="95">
        <v>0</v>
      </c>
      <c r="L44" s="95">
        <f t="shared" si="7"/>
        <v>2882.9</v>
      </c>
      <c r="M44" s="95">
        <f>IF(ISNA(VLOOKUP($CZ44,'Audit Values'!$A$2:$BW$365,2,FALSE)),'Preliminary SO66'!C43,VLOOKUP($CZ44,'Audit Values'!$A$2:$BW$365,73,FALSE))</f>
        <v>3073.4</v>
      </c>
      <c r="N44" s="95">
        <f>IF(ISNA(VLOOKUP($CZ44,'Audit Values'!$A$2:$BW$365,2,FALSE)),'Preliminary SO66'!F43,VLOOKUP($CZ44,'Audit Values'!$A$2:$BW$365,4,FALSE))</f>
        <v>0</v>
      </c>
      <c r="O44" s="95">
        <f t="shared" si="8"/>
        <v>3073.4</v>
      </c>
      <c r="P44" s="95">
        <f>IF('Military Provision'!J45="YES", MAX('2019 Legal Max'!L44,'2019 Legal Max'!I44,AVERAGE('2019 Legal Max'!F44,'2019 Legal Max'!I44,'2019 Legal Max'!L44)), MAX(L44, I44))</f>
        <v>2882.9</v>
      </c>
      <c r="Q44" s="95">
        <f>IF(ISNA(VLOOKUP($CZ44,'Audit Values'!$A$2:$BU$353,2,FALSE)),'Preliminary SO66'!AL43,VLOOKUP($CZ44,'Audit Values'!$A$2:$BU$3955,58,FALSE))</f>
        <v>7.5</v>
      </c>
      <c r="R44" s="95">
        <v>0</v>
      </c>
      <c r="S44" s="95">
        <f t="shared" si="41"/>
        <v>2890.4</v>
      </c>
      <c r="T44" s="95">
        <f t="shared" si="10"/>
        <v>101.3</v>
      </c>
      <c r="U44" s="95">
        <f>IF(ISNA(VLOOKUP($CZ44,'Audit Values'!$A$2:$BW$317,2,FALSE)),'Preliminary SO66'!AM43,VLOOKUP($CZ44,'Audit Values'!$A$2:$BW$317,62,FALSE))</f>
        <v>31</v>
      </c>
      <c r="V44" s="95">
        <f>(U44/6)*'Weighting Factors'!$Q$7</f>
        <v>2</v>
      </c>
      <c r="W44" s="132">
        <f>IF(ISNA(VLOOKUP($CZ44,'Audit Values'!$A$2:$BW$353,2,FALSE)),'Preliminary SO66'!AN43,VLOOKUP($CZ44,'Audit Values'!$A$2:$BW$353,61,FALSE))</f>
        <v>36</v>
      </c>
      <c r="X44" s="95">
        <f>W44*'Weighting Factors'!$Q$8</f>
        <v>6.7</v>
      </c>
      <c r="Y44" s="95">
        <f t="shared" si="11"/>
        <v>6.7</v>
      </c>
      <c r="Z44" s="276">
        <f>IF(ISNA(VLOOKUP($CZ44,'Audit Values'!$A$2:$BW$317,2,FALSE)),'Preliminary SO66'!AO43,VLOOKUP($CZ44,'Audit Values'!$A$2:$BW$317,60,FALSE))</f>
        <v>471</v>
      </c>
      <c r="AA44" s="95">
        <f>Z44/6*'Weighting Factors'!$Q$6</f>
        <v>39.299999999999997</v>
      </c>
      <c r="AB44" s="99">
        <f>IF(ISNA(VLOOKUP($CZ44,'Audit Values'!$A$2:$BU$353,2,FALSE)),'Preliminary SO66'!AS43,VLOOKUP($CZ44,'Audit Values'!$A$2:$BU$353,63,FALSE))</f>
        <v>3114</v>
      </c>
      <c r="AC44" s="99">
        <v>0</v>
      </c>
      <c r="AD44" s="99">
        <f>IF(ISNA(VLOOKUP($CZ44,'Audit Values'!$A$2:$BU$353,2,FALSE)),'Preliminary SO66'!AP43,VLOOKUP($CZ44,'Audit Values'!$A$2:$BU$353,64,FALSE))</f>
        <v>374</v>
      </c>
      <c r="AE44" s="95">
        <f>IF(A44=207, AD44,MAX(AC44,AD44))*'Weighting Factors'!$Q$9</f>
        <v>181</v>
      </c>
      <c r="AF44" s="95">
        <f t="shared" si="12"/>
        <v>0</v>
      </c>
      <c r="AG44" s="95">
        <f>IF(ISNA(VLOOKUP($CZ44,'Audit Values'!$A$2:$BW$353,2,FALSE)),'Preliminary SO66'!AG43,VLOOKUP($CZ44,'Audit Values'!$A$2:$BW$353,70,FALSE))</f>
        <v>0</v>
      </c>
      <c r="AH44" s="95">
        <f t="shared" si="13"/>
        <v>0</v>
      </c>
      <c r="AI44" s="95">
        <f>IF(ISNA(VLOOKUP($CZ44,'Audit Values'!$A$2:$BU$353,2,FALSE)),'Preliminary SO66'!AQ43,VLOOKUP($CZ44,'Audit Values'!$A$2:$BU$353,65,FALSE))</f>
        <v>0</v>
      </c>
      <c r="AJ44" s="95">
        <f>AI44*'Weighting Factors'!$Q$10</f>
        <v>0</v>
      </c>
      <c r="AK44" s="95">
        <f>IF(ISNA(VLOOKUP($CZ44,'Audit Values'!$A$2:$BU$353,2,FALSE)),'Preliminary SO66'!AR43,VLOOKUP($CZ44,'Audit Values'!$A$2:$BU$353,66,FALSE))</f>
        <v>1397</v>
      </c>
      <c r="AL44" s="95"/>
      <c r="AM44" s="99">
        <f t="shared" si="14"/>
        <v>768350</v>
      </c>
      <c r="AN44" s="99">
        <v>689123</v>
      </c>
      <c r="AO44" s="95">
        <f>MAX(AN44, AM44)/'Weighting Factors'!$Q$5</f>
        <v>184.5</v>
      </c>
      <c r="AP44" s="95">
        <f>CN44/'Weighting Factors'!$Q$5</f>
        <v>507.9</v>
      </c>
      <c r="AQ44" s="95">
        <v>0</v>
      </c>
      <c r="AR44" s="95">
        <f>CS44/'Weighting Factors'!$Q$5</f>
        <v>0</v>
      </c>
      <c r="AS44" s="99">
        <v>3421047</v>
      </c>
      <c r="AT44" s="95">
        <f>AS44/'Weighting Factors'!$Q$5</f>
        <v>821.4</v>
      </c>
      <c r="AU44" s="95">
        <f>IF(ISNA(VLOOKUP($CZ44,'Audit Values'!$A$2:$BU$353,2,FALSE)),'Preliminary SO66'!X43,VLOOKUP($CZ44,'Audit Values'!$A$2:$BU$353,47,FALSE))</f>
        <v>1</v>
      </c>
      <c r="AV44" s="95">
        <f t="shared" si="15"/>
        <v>4733.5</v>
      </c>
      <c r="AW44" s="95">
        <f t="shared" si="16"/>
        <v>3912.1</v>
      </c>
      <c r="AX44" s="95">
        <f>IF(ISNA(VLOOKUP($CZ44,'Audit Values'!$A$2:$BU$353,2,FALSE)),'Preliminary SO66'!AA43,VLOOKUP($CZ44,'Audit Values'!$A$2:$BU$353,41,FALSE))</f>
        <v>1110</v>
      </c>
      <c r="AY44" s="95">
        <f>IF(ISNA(VLOOKUP($CZ44,'Audit Values'!$A$2:$BU$353,2,FALSE)),'Preliminary SO66'!AB43,VLOOKUP($CZ44,'Audit Values'!$A$2:$BU$353,42,FALSE))</f>
        <v>28.5</v>
      </c>
      <c r="AZ44" s="114">
        <v>210</v>
      </c>
      <c r="BA44" s="99">
        <f>SUM(AX44*'Weighting Factors'!$T$10)+('2019 Legal Max'!AY44*'Weighting Factors'!$T$11)+('2019 Legal Max'!AZ44*'Weighting Factors'!$T$12)</f>
        <v>5747340</v>
      </c>
      <c r="BB44" s="158">
        <v>0</v>
      </c>
      <c r="BC44" s="88">
        <f>IF(ISNA(VLOOKUP($CZ44,'Audit Values'!$A$2:$BU$353,2,FALSE)),"",IF(AND('Weighting Factors'!H44&gt;0,VLOOKUP($CZ44,'Audit Values'!$A$2:$BU$353,51,FALSE)&lt;'Weighting Factors'!H44),'Weighting Factors'!H44,VLOOKUP($CZ44,'Audit Values'!$A$2:$BU$353,50,FALSE)))</f>
        <v>27</v>
      </c>
      <c r="BD44" s="88" t="str">
        <f>IF(ISNA(VLOOKUP($CZ44,'Audit Values'!$A$2:$BV$353,2,FALSE)),"",VLOOKUP($CZ44,'Audit Values'!$A$2:$BV$353,51,FALSE))</f>
        <v>A</v>
      </c>
      <c r="BE44" s="88" t="str">
        <f>IF('Weighting Factors'!H44="","",IF('Weighting Factors'!J44="Pending","PX","R"))</f>
        <v/>
      </c>
      <c r="BF44" s="97">
        <f>SUM((S44+T44+Y44+AA44+AE44+AH44+AJ44++AO44+AP44+AQ44+AU44+AR44)*'Weighting Factors'!$Q$5)+'2019 Legal Max'!BA44+'2019 Legal Max'!BB44</f>
        <v>22041237</v>
      </c>
      <c r="BG44" s="99">
        <f>SUM((AV44+AR44)*'Weighting Factors'!$Q$5)+BA44+'2019 Legal Max'!BB44</f>
        <v>25462368</v>
      </c>
      <c r="BH44" s="108">
        <f>IF('Weighting Factors'!H44&gt;0,'Weighting Factors'!H44,'Preliminary SO66'!AV43)</f>
        <v>25632559</v>
      </c>
      <c r="BI44" s="99">
        <f t="shared" si="40"/>
        <v>25462368</v>
      </c>
      <c r="BJ44" s="112"/>
      <c r="BK44" s="112">
        <f>'Weighting Factors'!F44</f>
        <v>0</v>
      </c>
      <c r="BL44" s="112">
        <f>'Weighting Factors'!E44</f>
        <v>-5318</v>
      </c>
      <c r="BM44" s="99">
        <f t="shared" si="17"/>
        <v>-5318</v>
      </c>
      <c r="BN44" s="99">
        <f t="shared" si="18"/>
        <v>25457050</v>
      </c>
      <c r="BO44" s="99">
        <f>SUM((S44+T44+Y44+AA44+AE44+AH44+AJ44++AO44+AP44+AQ44+AR44)*'Weighting Factors'!Q$12)+(MAX(AS44,'Weighting Factors'!B44))</f>
        <v>20981886</v>
      </c>
      <c r="BP44" s="122">
        <v>0.33</v>
      </c>
      <c r="BQ44" s="99">
        <f t="shared" si="19"/>
        <v>6924022</v>
      </c>
      <c r="BR44" s="108">
        <v>7116357</v>
      </c>
      <c r="BS44" s="99">
        <f t="shared" si="20"/>
        <v>6924022</v>
      </c>
      <c r="BT44" s="167">
        <f t="shared" si="21"/>
        <v>0.33</v>
      </c>
      <c r="BU44" s="95">
        <f t="shared" si="22"/>
        <v>0</v>
      </c>
      <c r="BV44" s="87" t="b">
        <f t="shared" si="23"/>
        <v>0</v>
      </c>
      <c r="BW44" s="117">
        <f t="shared" si="24"/>
        <v>0</v>
      </c>
      <c r="BX44" s="116">
        <f t="shared" si="25"/>
        <v>0</v>
      </c>
      <c r="BY44" s="95">
        <f t="shared" si="26"/>
        <v>0</v>
      </c>
      <c r="BZ44" s="87" t="b">
        <f t="shared" si="27"/>
        <v>0</v>
      </c>
      <c r="CA44" s="87">
        <f t="shared" si="28"/>
        <v>0</v>
      </c>
      <c r="CB44" s="116">
        <f t="shared" si="29"/>
        <v>0</v>
      </c>
      <c r="CC44" s="95">
        <f t="shared" si="30"/>
        <v>0</v>
      </c>
      <c r="CD44" s="95">
        <f t="shared" si="31"/>
        <v>101.3</v>
      </c>
      <c r="CE44" s="98">
        <v>71</v>
      </c>
      <c r="CF44" s="250">
        <f t="shared" si="32"/>
        <v>19.675999999999998</v>
      </c>
      <c r="CG44" s="274">
        <f>IF(CF44&lt;0.06,1,IF(CF44&gt;=18.29,52,MATCH(CF44-0.001,'Weighting Factors'!$Y$5:$Y$156)+1))</f>
        <v>52</v>
      </c>
      <c r="CH44" s="243">
        <f>VLOOKUP(CG44, 'Weighting Factors'!$W$5:$Z$56,4)</f>
        <v>550</v>
      </c>
      <c r="CI44" s="118">
        <f>('Weighting Factors'!$Q$5/'Weighting Factors'!$Q$14)</f>
        <v>1</v>
      </c>
      <c r="CJ44" s="245">
        <f t="shared" si="33"/>
        <v>768350</v>
      </c>
      <c r="CK44" s="245">
        <f>CJ44*'Weighting Factors'!$S$7</f>
        <v>768350</v>
      </c>
      <c r="CL44" s="245">
        <f t="shared" si="34"/>
        <v>768350</v>
      </c>
      <c r="CM44" s="95">
        <f>AM44/'Weighting Factors'!$Q$5</f>
        <v>184.5</v>
      </c>
      <c r="CN44" s="148">
        <v>2115330</v>
      </c>
      <c r="CO44" s="148">
        <v>0</v>
      </c>
      <c r="CP44" s="149">
        <v>0</v>
      </c>
      <c r="CQ44" s="151">
        <v>4.7500000000000001E-2</v>
      </c>
      <c r="CR44" s="99">
        <f>SUM((AV44*'Weighting Factors'!$Q$5)+'2019 Legal Max'!BA44)*CQ44</f>
        <v>1209462</v>
      </c>
      <c r="CS44" s="99">
        <f t="shared" si="35"/>
        <v>0</v>
      </c>
      <c r="CT44" s="106">
        <f t="shared" si="36"/>
        <v>0.1201</v>
      </c>
      <c r="CU44" s="95">
        <f t="shared" si="37"/>
        <v>0</v>
      </c>
      <c r="CV44" s="95">
        <f t="shared" si="38"/>
        <v>0</v>
      </c>
      <c r="CW44" s="95">
        <f t="shared" si="39"/>
        <v>4733.5</v>
      </c>
      <c r="CX44" s="99">
        <f>'LOB Transfers'!G43</f>
        <v>265190</v>
      </c>
      <c r="CY44" s="99">
        <f>'LOB Transfers'!J43</f>
        <v>9694</v>
      </c>
      <c r="CZ44" s="87" t="s">
        <v>236</v>
      </c>
    </row>
    <row r="45" spans="1:104" ht="15" customHeight="1">
      <c r="A45" s="88">
        <v>231</v>
      </c>
      <c r="B45" s="87" t="s">
        <v>22</v>
      </c>
      <c r="C45" s="87" t="s">
        <v>558</v>
      </c>
      <c r="D45" s="95">
        <v>5443.7</v>
      </c>
      <c r="E45" s="95">
        <v>0</v>
      </c>
      <c r="F45" s="95">
        <f t="shared" si="5"/>
        <v>5443.7</v>
      </c>
      <c r="G45" s="95">
        <v>5809.5</v>
      </c>
      <c r="H45" s="95">
        <v>0</v>
      </c>
      <c r="I45" s="95">
        <f t="shared" si="6"/>
        <v>5809.5</v>
      </c>
      <c r="J45" s="95">
        <v>5888.9</v>
      </c>
      <c r="K45" s="95">
        <v>0</v>
      </c>
      <c r="L45" s="95">
        <f t="shared" si="7"/>
        <v>5888.9</v>
      </c>
      <c r="M45" s="95">
        <f>IF(ISNA(VLOOKUP($CZ45,'Audit Values'!$A$2:$BW$365,2,FALSE)),'Preliminary SO66'!C44,VLOOKUP($CZ45,'Audit Values'!$A$2:$BW$365,73,FALSE))</f>
        <v>5882.1</v>
      </c>
      <c r="N45" s="95">
        <f>IF(ISNA(VLOOKUP($CZ45,'Audit Values'!$A$2:$BW$365,2,FALSE)),'Preliminary SO66'!F44,VLOOKUP($CZ45,'Audit Values'!$A$2:$BW$365,4,FALSE))</f>
        <v>0</v>
      </c>
      <c r="O45" s="95">
        <f t="shared" si="8"/>
        <v>5882.1</v>
      </c>
      <c r="P45" s="95">
        <f>IF('Military Provision'!J46="YES", MAX('2019 Legal Max'!L45,'2019 Legal Max'!I45,AVERAGE('2019 Legal Max'!F45,'2019 Legal Max'!I45,'2019 Legal Max'!L45)), MAX(L45, I45))</f>
        <v>5888.9</v>
      </c>
      <c r="Q45" s="95">
        <f>IF(ISNA(VLOOKUP($CZ45,'Audit Values'!$A$2:$BU$353,2,FALSE)),'Preliminary SO66'!AL44,VLOOKUP($CZ45,'Audit Values'!$A$2:$BU$3955,58,FALSE))</f>
        <v>0</v>
      </c>
      <c r="R45" s="95">
        <v>0</v>
      </c>
      <c r="S45" s="95">
        <f t="shared" si="41"/>
        <v>5888.9</v>
      </c>
      <c r="T45" s="95">
        <f t="shared" si="10"/>
        <v>206.3</v>
      </c>
      <c r="U45" s="95">
        <f>IF(ISNA(VLOOKUP($CZ45,'Audit Values'!$A$2:$BW$317,2,FALSE)),'Preliminary SO66'!AM44,VLOOKUP($CZ45,'Audit Values'!$A$2:$BW$317,62,FALSE))</f>
        <v>359.6</v>
      </c>
      <c r="V45" s="95">
        <f>(U45/6)*'Weighting Factors'!$Q$7</f>
        <v>23.7</v>
      </c>
      <c r="W45" s="132">
        <f>IF(ISNA(VLOOKUP($CZ45,'Audit Values'!$A$2:$BW$353,2,FALSE)),'Preliminary SO66'!AN44,VLOOKUP($CZ45,'Audit Values'!$A$2:$BW$353,61,FALSE))</f>
        <v>140</v>
      </c>
      <c r="X45" s="95">
        <f>W45*'Weighting Factors'!$Q$8</f>
        <v>25.9</v>
      </c>
      <c r="Y45" s="95">
        <f t="shared" si="11"/>
        <v>25.9</v>
      </c>
      <c r="Z45" s="276">
        <f>IF(ISNA(VLOOKUP($CZ45,'Audit Values'!$A$2:$BW$317,2,FALSE)),'Preliminary SO66'!AO44,VLOOKUP($CZ45,'Audit Values'!$A$2:$BW$317,60,FALSE))</f>
        <v>1078.4000000000001</v>
      </c>
      <c r="AA45" s="95">
        <f>Z45/6*'Weighting Factors'!$Q$6</f>
        <v>89.9</v>
      </c>
      <c r="AB45" s="99">
        <f>IF(ISNA(VLOOKUP($CZ45,'Audit Values'!$A$2:$BU$353,2,FALSE)),'Preliminary SO66'!AS44,VLOOKUP($CZ45,'Audit Values'!$A$2:$BU$353,63,FALSE))</f>
        <v>5971</v>
      </c>
      <c r="AC45" s="99">
        <v>0</v>
      </c>
      <c r="AD45" s="99">
        <f>IF(ISNA(VLOOKUP($CZ45,'Audit Values'!$A$2:$BU$353,2,FALSE)),'Preliminary SO66'!AP44,VLOOKUP($CZ45,'Audit Values'!$A$2:$BU$353,64,FALSE))</f>
        <v>1098</v>
      </c>
      <c r="AE45" s="95">
        <f>IF(A45=207, AD45,MAX(AC45,AD45))*'Weighting Factors'!$Q$9</f>
        <v>531.4</v>
      </c>
      <c r="AF45" s="95">
        <f t="shared" si="12"/>
        <v>0</v>
      </c>
      <c r="AG45" s="95">
        <f>IF(ISNA(VLOOKUP($CZ45,'Audit Values'!$A$2:$BW$353,2,FALSE)),'Preliminary SO66'!AG44,VLOOKUP($CZ45,'Audit Values'!$A$2:$BW$353,70,FALSE))</f>
        <v>0</v>
      </c>
      <c r="AH45" s="95">
        <f t="shared" si="13"/>
        <v>0</v>
      </c>
      <c r="AI45" s="95">
        <f>IF(ISNA(VLOOKUP($CZ45,'Audit Values'!$A$2:$BU$353,2,FALSE)),'Preliminary SO66'!AQ44,VLOOKUP($CZ45,'Audit Values'!$A$2:$BU$353,65,FALSE))</f>
        <v>0</v>
      </c>
      <c r="AJ45" s="95">
        <f>AI45*'Weighting Factors'!$Q$10</f>
        <v>0</v>
      </c>
      <c r="AK45" s="95">
        <f>IF(ISNA(VLOOKUP($CZ45,'Audit Values'!$A$2:$BU$353,2,FALSE)),'Preliminary SO66'!AR44,VLOOKUP($CZ45,'Audit Values'!$A$2:$BU$353,66,FALSE))</f>
        <v>1167</v>
      </c>
      <c r="AL45" s="95"/>
      <c r="AM45" s="99">
        <f t="shared" si="14"/>
        <v>711870</v>
      </c>
      <c r="AN45" s="99">
        <v>744592</v>
      </c>
      <c r="AO45" s="95">
        <f>MAX(AN45, AM45)/'Weighting Factors'!$Q$5</f>
        <v>178.8</v>
      </c>
      <c r="AP45" s="95">
        <f>CN45/'Weighting Factors'!$Q$5</f>
        <v>369.8</v>
      </c>
      <c r="AQ45" s="95">
        <v>0</v>
      </c>
      <c r="AR45" s="95">
        <f>CS45/'Weighting Factors'!$Q$5</f>
        <v>102.1</v>
      </c>
      <c r="AS45" s="99">
        <v>6948992</v>
      </c>
      <c r="AT45" s="95">
        <f>AS45/'Weighting Factors'!$Q$5</f>
        <v>1668.4</v>
      </c>
      <c r="AU45" s="95">
        <f>IF(ISNA(VLOOKUP($CZ45,'Audit Values'!$A$2:$BU$353,2,FALSE)),'Preliminary SO66'!X44,VLOOKUP($CZ45,'Audit Values'!$A$2:$BU$353,47,FALSE))</f>
        <v>1</v>
      </c>
      <c r="AV45" s="95">
        <f t="shared" si="15"/>
        <v>8960.4</v>
      </c>
      <c r="AW45" s="95">
        <f t="shared" si="16"/>
        <v>7394.1</v>
      </c>
      <c r="AX45" s="95">
        <f>IF(ISNA(VLOOKUP($CZ45,'Audit Values'!$A$2:$BU$353,2,FALSE)),'Preliminary SO66'!AA44,VLOOKUP($CZ45,'Audit Values'!$A$2:$BU$353,41,FALSE))</f>
        <v>0</v>
      </c>
      <c r="AY45" s="95">
        <f>IF(ISNA(VLOOKUP($CZ45,'Audit Values'!$A$2:$BU$353,2,FALSE)),'Preliminary SO66'!AB44,VLOOKUP($CZ45,'Audit Values'!$A$2:$BU$353,42,FALSE))</f>
        <v>0</v>
      </c>
      <c r="AZ45" s="114">
        <v>0</v>
      </c>
      <c r="BA45" s="99">
        <f>SUM(AX45*'Weighting Factors'!$T$10)+('2019 Legal Max'!AY45*'Weighting Factors'!$T$11)+('2019 Legal Max'!AZ45*'Weighting Factors'!$T$12)</f>
        <v>0</v>
      </c>
      <c r="BB45" s="158">
        <v>0</v>
      </c>
      <c r="BC45" s="88">
        <f>IF(ISNA(VLOOKUP($CZ45,'Audit Values'!$A$2:$BU$353,2,FALSE)),"",IF(AND('Weighting Factors'!H45&gt;0,VLOOKUP($CZ45,'Audit Values'!$A$2:$BU$353,51,FALSE)&lt;'Weighting Factors'!H45),'Weighting Factors'!H45,VLOOKUP($CZ45,'Audit Values'!$A$2:$BU$353,50,FALSE)))</f>
        <v>16</v>
      </c>
      <c r="BD45" s="88" t="str">
        <f>IF(ISNA(VLOOKUP($CZ45,'Audit Values'!$A$2:$BV$353,2,FALSE)),"",VLOOKUP($CZ45,'Audit Values'!$A$2:$BV$353,51,FALSE))</f>
        <v>A</v>
      </c>
      <c r="BE45" s="88" t="str">
        <f>IF('Weighting Factors'!H45="","",IF('Weighting Factors'!J45="Pending","PX","R"))</f>
        <v/>
      </c>
      <c r="BF45" s="97">
        <f>SUM((S45+T45+Y45+AA45+AE45+AH45+AJ45++AO45+AP45+AQ45+AU45+AR45)*'Weighting Factors'!$Q$5)+'2019 Legal Max'!BA45+'2019 Legal Max'!BB45</f>
        <v>30796427</v>
      </c>
      <c r="BG45" s="99">
        <f>SUM((AV45+AR45)*'Weighting Factors'!$Q$5)+BA45+'2019 Legal Max'!BB45</f>
        <v>37745313</v>
      </c>
      <c r="BH45" s="108">
        <f>IF('Weighting Factors'!H45&gt;0,'Weighting Factors'!H45,'Preliminary SO66'!AV44)</f>
        <v>39625394</v>
      </c>
      <c r="BI45" s="99">
        <f t="shared" si="40"/>
        <v>37745313</v>
      </c>
      <c r="BJ45" s="112"/>
      <c r="BK45" s="112">
        <f>'Weighting Factors'!F45</f>
        <v>0</v>
      </c>
      <c r="BL45" s="112">
        <f>'Weighting Factors'!E45</f>
        <v>0</v>
      </c>
      <c r="BM45" s="99">
        <f t="shared" si="17"/>
        <v>0</v>
      </c>
      <c r="BN45" s="99">
        <f t="shared" si="18"/>
        <v>37745313</v>
      </c>
      <c r="BO45" s="99">
        <f>SUM((S45+T45+Y45+AA45+AE45+AH45+AJ45++AO45+AP45+AQ45+AR45)*'Weighting Factors'!Q$12)+(MAX(AS45,'Weighting Factors'!B45))</f>
        <v>40144011</v>
      </c>
      <c r="BP45" s="122">
        <v>0.33</v>
      </c>
      <c r="BQ45" s="99">
        <f t="shared" si="19"/>
        <v>13247524</v>
      </c>
      <c r="BR45" s="108">
        <v>13902469</v>
      </c>
      <c r="BS45" s="99">
        <f t="shared" si="20"/>
        <v>13247524</v>
      </c>
      <c r="BT45" s="167">
        <f t="shared" si="21"/>
        <v>0.33</v>
      </c>
      <c r="BU45" s="95">
        <f t="shared" si="22"/>
        <v>0</v>
      </c>
      <c r="BV45" s="87" t="b">
        <f t="shared" si="23"/>
        <v>0</v>
      </c>
      <c r="BW45" s="117">
        <f t="shared" si="24"/>
        <v>0</v>
      </c>
      <c r="BX45" s="116">
        <f t="shared" si="25"/>
        <v>0</v>
      </c>
      <c r="BY45" s="95">
        <f t="shared" si="26"/>
        <v>0</v>
      </c>
      <c r="BZ45" s="87" t="b">
        <f t="shared" si="27"/>
        <v>0</v>
      </c>
      <c r="CA45" s="87">
        <f t="shared" si="28"/>
        <v>0</v>
      </c>
      <c r="CB45" s="116">
        <f t="shared" si="29"/>
        <v>0</v>
      </c>
      <c r="CC45" s="95">
        <f t="shared" si="30"/>
        <v>0</v>
      </c>
      <c r="CD45" s="95">
        <f t="shared" si="31"/>
        <v>206.3</v>
      </c>
      <c r="CE45" s="98">
        <v>103</v>
      </c>
      <c r="CF45" s="250">
        <f t="shared" si="32"/>
        <v>11.33</v>
      </c>
      <c r="CG45" s="274">
        <f>IF(CF45&lt;0.06,1,IF(CF45&gt;=18.29,52,MATCH(CF45-0.001,'Weighting Factors'!$Y$5:$Y$156)+1))</f>
        <v>49</v>
      </c>
      <c r="CH45" s="243">
        <f>VLOOKUP(CG45, 'Weighting Factors'!$W$5:$Z$56,4)</f>
        <v>610</v>
      </c>
      <c r="CI45" s="118">
        <f>('Weighting Factors'!$Q$5/'Weighting Factors'!$Q$14)</f>
        <v>1</v>
      </c>
      <c r="CJ45" s="245">
        <f t="shared" si="33"/>
        <v>711870</v>
      </c>
      <c r="CK45" s="245">
        <f>CJ45*'Weighting Factors'!$S$7</f>
        <v>711870</v>
      </c>
      <c r="CL45" s="245">
        <f t="shared" si="34"/>
        <v>711870</v>
      </c>
      <c r="CM45" s="95">
        <f>AM45/'Weighting Factors'!$Q$5</f>
        <v>170.9</v>
      </c>
      <c r="CN45" s="125">
        <v>1540199</v>
      </c>
      <c r="CO45" s="148">
        <v>0</v>
      </c>
      <c r="CP45" s="149">
        <v>446640</v>
      </c>
      <c r="CQ45" s="151">
        <v>1.14E-2</v>
      </c>
      <c r="CR45" s="99">
        <f>SUM((AV45*'Weighting Factors'!$Q$5)+'2019 Legal Max'!BA45)*CQ45</f>
        <v>425449</v>
      </c>
      <c r="CS45" s="99">
        <f t="shared" si="35"/>
        <v>425449</v>
      </c>
      <c r="CT45" s="106">
        <f t="shared" si="36"/>
        <v>0.18390000000000001</v>
      </c>
      <c r="CU45" s="95">
        <f t="shared" si="37"/>
        <v>0</v>
      </c>
      <c r="CV45" s="95">
        <f t="shared" si="38"/>
        <v>0</v>
      </c>
      <c r="CW45" s="95">
        <f t="shared" si="39"/>
        <v>9062.5</v>
      </c>
      <c r="CX45" s="99">
        <f>'LOB Transfers'!G44</f>
        <v>776305</v>
      </c>
      <c r="CY45" s="99">
        <f>'LOB Transfers'!J44</f>
        <v>38418</v>
      </c>
      <c r="CZ45" s="87" t="s">
        <v>237</v>
      </c>
    </row>
    <row r="46" spans="1:104" ht="15" customHeight="1">
      <c r="A46" s="88">
        <v>232</v>
      </c>
      <c r="B46" s="87" t="s">
        <v>22</v>
      </c>
      <c r="C46" s="87" t="s">
        <v>559</v>
      </c>
      <c r="D46" s="95">
        <v>6713.1</v>
      </c>
      <c r="E46" s="95">
        <v>0</v>
      </c>
      <c r="F46" s="95">
        <f t="shared" si="5"/>
        <v>6713.1</v>
      </c>
      <c r="G46" s="95">
        <v>7072.6</v>
      </c>
      <c r="H46" s="95">
        <v>0</v>
      </c>
      <c r="I46" s="95">
        <f t="shared" si="6"/>
        <v>7072.6</v>
      </c>
      <c r="J46" s="95">
        <v>7202.5</v>
      </c>
      <c r="K46" s="95">
        <v>0</v>
      </c>
      <c r="L46" s="95">
        <f t="shared" si="7"/>
        <v>7202.5</v>
      </c>
      <c r="M46" s="95">
        <f>IF(ISNA(VLOOKUP($CZ46,'Audit Values'!$A$2:$BW$365,2,FALSE)),'Preliminary SO66'!C45,VLOOKUP($CZ46,'Audit Values'!$A$2:$BW$365,73,FALSE))</f>
        <v>7262.7</v>
      </c>
      <c r="N46" s="95">
        <f>IF(ISNA(VLOOKUP($CZ46,'Audit Values'!$A$2:$BW$365,2,FALSE)),'Preliminary SO66'!F45,VLOOKUP($CZ46,'Audit Values'!$A$2:$BW$365,4,FALSE))</f>
        <v>0</v>
      </c>
      <c r="O46" s="95">
        <f t="shared" si="8"/>
        <v>7262.7</v>
      </c>
      <c r="P46" s="95">
        <f>IF('Military Provision'!J47="YES", MAX('2019 Legal Max'!L46,'2019 Legal Max'!I46,AVERAGE('2019 Legal Max'!F46,'2019 Legal Max'!I46,'2019 Legal Max'!L46)), MAX(L46, I46))</f>
        <v>7202.5</v>
      </c>
      <c r="Q46" s="95">
        <f>IF(ISNA(VLOOKUP($CZ46,'Audit Values'!$A$2:$BU$353,2,FALSE)),'Preliminary SO66'!AL45,VLOOKUP($CZ46,'Audit Values'!$A$2:$BU$3955,58,FALSE))</f>
        <v>12</v>
      </c>
      <c r="R46" s="95">
        <v>0</v>
      </c>
      <c r="S46" s="95">
        <f t="shared" si="41"/>
        <v>7214.5</v>
      </c>
      <c r="T46" s="95">
        <f t="shared" si="10"/>
        <v>252.8</v>
      </c>
      <c r="U46" s="95">
        <f>IF(ISNA(VLOOKUP($CZ46,'Audit Values'!$A$2:$BW$317,2,FALSE)),'Preliminary SO66'!AM45,VLOOKUP($CZ46,'Audit Values'!$A$2:$BW$317,62,FALSE))</f>
        <v>915.4</v>
      </c>
      <c r="V46" s="95">
        <f>(U46/6)*'Weighting Factors'!$Q$7</f>
        <v>60.3</v>
      </c>
      <c r="W46" s="132">
        <f>IF(ISNA(VLOOKUP($CZ46,'Audit Values'!$A$2:$BW$353,2,FALSE)),'Preliminary SO66'!AN45,VLOOKUP($CZ46,'Audit Values'!$A$2:$BW$353,61,FALSE))</f>
        <v>214</v>
      </c>
      <c r="X46" s="95">
        <f>W46*'Weighting Factors'!$Q$8</f>
        <v>39.6</v>
      </c>
      <c r="Y46" s="95">
        <f t="shared" si="11"/>
        <v>60.3</v>
      </c>
      <c r="Z46" s="276">
        <f>IF(ISNA(VLOOKUP($CZ46,'Audit Values'!$A$2:$BW$317,2,FALSE)),'Preliminary SO66'!AO45,VLOOKUP($CZ46,'Audit Values'!$A$2:$BW$317,60,FALSE))</f>
        <v>1764.9</v>
      </c>
      <c r="AA46" s="95">
        <f>Z46/6*'Weighting Factors'!$Q$6</f>
        <v>147.1</v>
      </c>
      <c r="AB46" s="99">
        <f>IF(ISNA(VLOOKUP($CZ46,'Audit Values'!$A$2:$BU$353,2,FALSE)),'Preliminary SO66'!AS45,VLOOKUP($CZ46,'Audit Values'!$A$2:$BU$353,63,FALSE))</f>
        <v>7341</v>
      </c>
      <c r="AC46" s="99">
        <v>0</v>
      </c>
      <c r="AD46" s="99">
        <f>IF(ISNA(VLOOKUP($CZ46,'Audit Values'!$A$2:$BU$353,2,FALSE)),'Preliminary SO66'!AP45,VLOOKUP($CZ46,'Audit Values'!$A$2:$BU$353,64,FALSE))</f>
        <v>566</v>
      </c>
      <c r="AE46" s="95">
        <f>IF(A46=207, AD46,MAX(AC46,AD46))*'Weighting Factors'!$Q$9</f>
        <v>273.89999999999998</v>
      </c>
      <c r="AF46" s="95">
        <f t="shared" si="12"/>
        <v>0</v>
      </c>
      <c r="AG46" s="95">
        <f>IF(ISNA(VLOOKUP($CZ46,'Audit Values'!$A$2:$BW$353,2,FALSE)),'Preliminary SO66'!AG45,VLOOKUP($CZ46,'Audit Values'!$A$2:$BW$353,70,FALSE))</f>
        <v>0</v>
      </c>
      <c r="AH46" s="95">
        <f t="shared" si="13"/>
        <v>0</v>
      </c>
      <c r="AI46" s="95">
        <f>IF(ISNA(VLOOKUP($CZ46,'Audit Values'!$A$2:$BU$353,2,FALSE)),'Preliminary SO66'!AQ45,VLOOKUP($CZ46,'Audit Values'!$A$2:$BU$353,65,FALSE))</f>
        <v>0</v>
      </c>
      <c r="AJ46" s="95">
        <f>AI46*'Weighting Factors'!$Q$10</f>
        <v>0</v>
      </c>
      <c r="AK46" s="95">
        <f>IF(ISNA(VLOOKUP($CZ46,'Audit Values'!$A$2:$BU$353,2,FALSE)),'Preliminary SO66'!AR45,VLOOKUP($CZ46,'Audit Values'!$A$2:$BU$353,66,FALSE))</f>
        <v>1874</v>
      </c>
      <c r="AL46" s="95"/>
      <c r="AM46" s="99">
        <f t="shared" si="14"/>
        <v>1030700</v>
      </c>
      <c r="AN46" s="99">
        <v>1077790</v>
      </c>
      <c r="AO46" s="95">
        <f>MAX(AN46, AM46)/'Weighting Factors'!$Q$5</f>
        <v>258.8</v>
      </c>
      <c r="AP46" s="95">
        <f>CN46/'Weighting Factors'!$Q$5</f>
        <v>0</v>
      </c>
      <c r="AQ46" s="95">
        <v>0</v>
      </c>
      <c r="AR46" s="95">
        <f>CS46/'Weighting Factors'!$Q$5</f>
        <v>474.8</v>
      </c>
      <c r="AS46" s="99">
        <v>5312098</v>
      </c>
      <c r="AT46" s="95">
        <f>AS46/'Weighting Factors'!$Q$5</f>
        <v>1275.4000000000001</v>
      </c>
      <c r="AU46" s="95">
        <f>IF(ISNA(VLOOKUP($CZ46,'Audit Values'!$A$2:$BU$353,2,FALSE)),'Preliminary SO66'!X45,VLOOKUP($CZ46,'Audit Values'!$A$2:$BU$353,47,FALSE))</f>
        <v>0</v>
      </c>
      <c r="AV46" s="95">
        <f t="shared" si="15"/>
        <v>9482.7999999999993</v>
      </c>
      <c r="AW46" s="95">
        <f t="shared" si="16"/>
        <v>8682.2000000000007</v>
      </c>
      <c r="AX46" s="95">
        <f>IF(ISNA(VLOOKUP($CZ46,'Audit Values'!$A$2:$BU$353,2,FALSE)),'Preliminary SO66'!AA45,VLOOKUP($CZ46,'Audit Values'!$A$2:$BU$353,41,FALSE))</f>
        <v>9</v>
      </c>
      <c r="AY46" s="95">
        <f>IF(ISNA(VLOOKUP($CZ46,'Audit Values'!$A$2:$BU$353,2,FALSE)),'Preliminary SO66'!AB45,VLOOKUP($CZ46,'Audit Values'!$A$2:$BU$353,42,FALSE))</f>
        <v>2</v>
      </c>
      <c r="AZ46" s="114">
        <v>5</v>
      </c>
      <c r="BA46" s="99">
        <f>SUM(AX46*'Weighting Factors'!$T$10)+('2019 Legal Max'!AY46*'Weighting Factors'!$T$11)+('2019 Legal Max'!AZ46*'Weighting Factors'!$T$12)</f>
        <v>51945</v>
      </c>
      <c r="BB46" s="158">
        <v>0</v>
      </c>
      <c r="BC46" s="88">
        <f>IF(ISNA(VLOOKUP($CZ46,'Audit Values'!$A$2:$BU$353,2,FALSE)),"",IF(AND('Weighting Factors'!H46&gt;0,VLOOKUP($CZ46,'Audit Values'!$A$2:$BU$353,51,FALSE)&lt;'Weighting Factors'!H46),'Weighting Factors'!H46,VLOOKUP($CZ46,'Audit Values'!$A$2:$BU$353,50,FALSE)))</f>
        <v>11</v>
      </c>
      <c r="BD46" s="88" t="str">
        <f>IF(ISNA(VLOOKUP($CZ46,'Audit Values'!$A$2:$BV$353,2,FALSE)),"",VLOOKUP($CZ46,'Audit Values'!$A$2:$BV$353,51,FALSE))</f>
        <v>A</v>
      </c>
      <c r="BE46" s="88" t="str">
        <f>IF('Weighting Factors'!H46="","",IF('Weighting Factors'!J46="Pending","PX","R"))</f>
        <v/>
      </c>
      <c r="BF46" s="97">
        <f>SUM((S46+T46+Y46+AA46+AE46+AH46+AJ46++AO46+AP46+AQ46+AU46+AR46)*'Weighting Factors'!$Q$5)+'2019 Legal Max'!BA46+'2019 Legal Max'!BB46</f>
        <v>36213308</v>
      </c>
      <c r="BG46" s="99">
        <f>SUM((AV46+AR46)*'Weighting Factors'!$Q$5)+BA46+'2019 Legal Max'!BB46</f>
        <v>41525349</v>
      </c>
      <c r="BH46" s="148">
        <f>IF('Weighting Factors'!H46&gt;0,'Weighting Factors'!H46,'Preliminary SO66'!AV45)</f>
        <v>43026893</v>
      </c>
      <c r="BI46" s="99">
        <f t="shared" si="40"/>
        <v>41525349</v>
      </c>
      <c r="BJ46" s="112"/>
      <c r="BK46" s="112">
        <f>'Weighting Factors'!F46</f>
        <v>0</v>
      </c>
      <c r="BL46" s="112">
        <f>'Weighting Factors'!E46</f>
        <v>0</v>
      </c>
      <c r="BM46" s="99">
        <f t="shared" si="17"/>
        <v>0</v>
      </c>
      <c r="BN46" s="99">
        <f t="shared" si="18"/>
        <v>41525349</v>
      </c>
      <c r="BO46" s="99">
        <f>SUM((S46+T46+Y46+AA46+AE46+AH46+AJ46++AO46+AP46+AQ46+AR46)*'Weighting Factors'!Q$12)+(MAX(AS46,'Weighting Factors'!B46))</f>
        <v>44295176</v>
      </c>
      <c r="BP46" s="122">
        <v>0.33</v>
      </c>
      <c r="BQ46" s="99">
        <f t="shared" si="19"/>
        <v>14617408</v>
      </c>
      <c r="BR46" s="148">
        <v>15123376</v>
      </c>
      <c r="BS46" s="99">
        <f t="shared" si="20"/>
        <v>14617408</v>
      </c>
      <c r="BT46" s="167">
        <f t="shared" si="21"/>
        <v>0.33</v>
      </c>
      <c r="BU46" s="95">
        <f t="shared" si="22"/>
        <v>0</v>
      </c>
      <c r="BV46" s="87" t="b">
        <f t="shared" si="23"/>
        <v>0</v>
      </c>
      <c r="BW46" s="117">
        <f t="shared" si="24"/>
        <v>0</v>
      </c>
      <c r="BX46" s="116">
        <f t="shared" si="25"/>
        <v>0</v>
      </c>
      <c r="BY46" s="95">
        <f t="shared" si="26"/>
        <v>0</v>
      </c>
      <c r="BZ46" s="87" t="b">
        <f t="shared" si="27"/>
        <v>0</v>
      </c>
      <c r="CA46" s="87">
        <f t="shared" si="28"/>
        <v>0</v>
      </c>
      <c r="CB46" s="116">
        <f t="shared" si="29"/>
        <v>0</v>
      </c>
      <c r="CC46" s="95">
        <f t="shared" si="30"/>
        <v>0</v>
      </c>
      <c r="CD46" s="95">
        <f t="shared" si="31"/>
        <v>252.8</v>
      </c>
      <c r="CE46" s="98">
        <v>100</v>
      </c>
      <c r="CF46" s="250">
        <f t="shared" si="32"/>
        <v>18.739999999999998</v>
      </c>
      <c r="CG46" s="281">
        <f>IF(CF46&lt;0.06,1,IF(CF46&gt;=18.29,52,MATCH(CF46-0.001,'Weighting Factors'!$Y$5:$Y$156)+1))</f>
        <v>52</v>
      </c>
      <c r="CH46" s="243">
        <f>VLOOKUP(CG46, 'Weighting Factors'!$W$5:$Z$56,4)</f>
        <v>550</v>
      </c>
      <c r="CI46" s="118">
        <f>('Weighting Factors'!$Q$5/'Weighting Factors'!$Q$14)</f>
        <v>1</v>
      </c>
      <c r="CJ46" s="245">
        <f t="shared" si="33"/>
        <v>1030700</v>
      </c>
      <c r="CK46" s="245">
        <f>CJ46*'Weighting Factors'!$S$7</f>
        <v>1030700</v>
      </c>
      <c r="CL46" s="245">
        <f t="shared" si="34"/>
        <v>1030700</v>
      </c>
      <c r="CM46" s="95">
        <f>AM46/'Weighting Factors'!$Q$5</f>
        <v>247.5</v>
      </c>
      <c r="CN46" s="148">
        <v>0</v>
      </c>
      <c r="CO46" s="148">
        <v>0</v>
      </c>
      <c r="CP46" s="149">
        <v>2048906</v>
      </c>
      <c r="CQ46" s="152">
        <v>0.05</v>
      </c>
      <c r="CR46" s="99">
        <f>SUM((AV46*'Weighting Factors'!$Q$5)+'2019 Legal Max'!BA46)*CQ46</f>
        <v>1977390</v>
      </c>
      <c r="CS46" s="99">
        <f t="shared" si="35"/>
        <v>1977390</v>
      </c>
      <c r="CT46" s="106">
        <f t="shared" si="36"/>
        <v>7.7100000000000002E-2</v>
      </c>
      <c r="CU46" s="95">
        <f t="shared" si="37"/>
        <v>0</v>
      </c>
      <c r="CV46" s="95">
        <f t="shared" si="38"/>
        <v>0</v>
      </c>
      <c r="CW46" s="95">
        <f t="shared" si="39"/>
        <v>9957.6</v>
      </c>
      <c r="CX46" s="99">
        <f>'LOB Transfers'!G45</f>
        <v>401979</v>
      </c>
      <c r="CY46" s="99">
        <f>'LOB Transfers'!J45</f>
        <v>89166</v>
      </c>
      <c r="CZ46" s="87" t="s">
        <v>238</v>
      </c>
    </row>
    <row r="47" spans="1:104" ht="15" customHeight="1">
      <c r="A47" s="88">
        <v>233</v>
      </c>
      <c r="B47" s="87" t="s">
        <v>22</v>
      </c>
      <c r="C47" s="87" t="s">
        <v>560</v>
      </c>
      <c r="D47" s="95">
        <v>27799.1</v>
      </c>
      <c r="E47" s="95">
        <v>0</v>
      </c>
      <c r="F47" s="95">
        <f t="shared" si="5"/>
        <v>27799.1</v>
      </c>
      <c r="G47" s="95">
        <v>28734.2</v>
      </c>
      <c r="H47" s="95">
        <v>0</v>
      </c>
      <c r="I47" s="95">
        <f t="shared" si="6"/>
        <v>28734.2</v>
      </c>
      <c r="J47" s="95">
        <v>29074.1</v>
      </c>
      <c r="K47" s="95">
        <v>0</v>
      </c>
      <c r="L47" s="95">
        <f t="shared" si="7"/>
        <v>29074.1</v>
      </c>
      <c r="M47" s="95">
        <f>IF(ISNA(VLOOKUP($CZ47,'Audit Values'!$A$2:$BW$365,2,FALSE)),'Preliminary SO66'!C46,VLOOKUP($CZ47,'Audit Values'!$A$2:$BW$365,73,FALSE))</f>
        <v>29177.1</v>
      </c>
      <c r="N47" s="95">
        <f>IF(ISNA(VLOOKUP($CZ47,'Audit Values'!$A$2:$BW$365,2,FALSE)),'Preliminary SO66'!F46,VLOOKUP($CZ47,'Audit Values'!$A$2:$BW$365,4,FALSE))</f>
        <v>0</v>
      </c>
      <c r="O47" s="95">
        <f t="shared" si="8"/>
        <v>29177.1</v>
      </c>
      <c r="P47" s="95">
        <f>IF('Military Provision'!J48="YES", MAX('2019 Legal Max'!L47,'2019 Legal Max'!I47,AVERAGE('2019 Legal Max'!F47,'2019 Legal Max'!I47,'2019 Legal Max'!L47)), MAX(L47, I47))</f>
        <v>29074.1</v>
      </c>
      <c r="Q47" s="95">
        <f>IF(ISNA(VLOOKUP($CZ47,'Audit Values'!$A$2:$BU$353,2,FALSE)),'Preliminary SO66'!AL46,VLOOKUP($CZ47,'Audit Values'!$A$2:$BU$3955,58,FALSE))</f>
        <v>72</v>
      </c>
      <c r="R47" s="95">
        <v>0</v>
      </c>
      <c r="S47" s="95">
        <f t="shared" si="41"/>
        <v>29146.1</v>
      </c>
      <c r="T47" s="95">
        <f t="shared" si="10"/>
        <v>1021.3</v>
      </c>
      <c r="U47" s="95">
        <f>IF(ISNA(VLOOKUP($CZ47,'Audit Values'!$A$2:$BW$317,2,FALSE)),'Preliminary SO66'!AM46,VLOOKUP($CZ47,'Audit Values'!$A$2:$BW$317,62,FALSE))</f>
        <v>6269.5</v>
      </c>
      <c r="V47" s="95">
        <f>(U47/6)*'Weighting Factors'!$Q$7</f>
        <v>412.7</v>
      </c>
      <c r="W47" s="132">
        <f>IF(ISNA(VLOOKUP($CZ47,'Audit Values'!$A$2:$BW$353,2,FALSE)),'Preliminary SO66'!AN46,VLOOKUP($CZ47,'Audit Values'!$A$2:$BW$353,61,FALSE))</f>
        <v>3016</v>
      </c>
      <c r="X47" s="95">
        <f>W47*'Weighting Factors'!$Q$8</f>
        <v>558</v>
      </c>
      <c r="Y47" s="95">
        <f t="shared" si="11"/>
        <v>558</v>
      </c>
      <c r="Z47" s="276">
        <f>IF(ISNA(VLOOKUP($CZ47,'Audit Values'!$A$2:$BW$317,2,FALSE)),'Preliminary SO66'!AO46,VLOOKUP($CZ47,'Audit Values'!$A$2:$BW$317,60,FALSE))</f>
        <v>6425.4</v>
      </c>
      <c r="AA47" s="95">
        <f>Z47/6*'Weighting Factors'!$Q$6</f>
        <v>535.5</v>
      </c>
      <c r="AB47" s="99">
        <f>IF(ISNA(VLOOKUP($CZ47,'Audit Values'!$A$2:$BU$353,2,FALSE)),'Preliminary SO66'!AS46,VLOOKUP($CZ47,'Audit Values'!$A$2:$BU$353,63,FALSE))</f>
        <v>29565</v>
      </c>
      <c r="AC47" s="99">
        <v>0</v>
      </c>
      <c r="AD47" s="99">
        <f>IF(ISNA(VLOOKUP($CZ47,'Audit Values'!$A$2:$BU$353,2,FALSE)),'Preliminary SO66'!AP46,VLOOKUP($CZ47,'Audit Values'!$A$2:$BU$353,64,FALSE))</f>
        <v>5763</v>
      </c>
      <c r="AE47" s="95">
        <f>IF(A47=207, AD47,MAX(AC47,AD47))*'Weighting Factors'!$Q$9</f>
        <v>2789.3</v>
      </c>
      <c r="AF47" s="95">
        <f t="shared" si="12"/>
        <v>0</v>
      </c>
      <c r="AG47" s="95">
        <f>IF(ISNA(VLOOKUP($CZ47,'Audit Values'!$A$2:$BW$353,2,FALSE)),'Preliminary SO66'!AG46,VLOOKUP($CZ47,'Audit Values'!$A$2:$BW$353,70,FALSE))</f>
        <v>157</v>
      </c>
      <c r="AH47" s="95">
        <f t="shared" si="13"/>
        <v>157</v>
      </c>
      <c r="AI47" s="95">
        <f>IF(ISNA(VLOOKUP($CZ47,'Audit Values'!$A$2:$BU$353,2,FALSE)),'Preliminary SO66'!AQ46,VLOOKUP($CZ47,'Audit Values'!$A$2:$BU$353,65,FALSE))</f>
        <v>1657.5</v>
      </c>
      <c r="AJ47" s="95">
        <f>AI47*'Weighting Factors'!$Q$10</f>
        <v>414.4</v>
      </c>
      <c r="AK47" s="95">
        <f>IF(ISNA(VLOOKUP($CZ47,'Audit Values'!$A$2:$BU$353,2,FALSE)),'Preliminary SO66'!AR46,VLOOKUP($CZ47,'Audit Values'!$A$2:$BU$353,66,FALSE))</f>
        <v>4851</v>
      </c>
      <c r="AL47" s="95"/>
      <c r="AM47" s="99">
        <f t="shared" si="14"/>
        <v>2668050</v>
      </c>
      <c r="AN47" s="99">
        <v>3241458</v>
      </c>
      <c r="AO47" s="95">
        <f>MAX(AN47, AM47)/'Weighting Factors'!$Q$5</f>
        <v>778.3</v>
      </c>
      <c r="AP47" s="95">
        <f>CN47/'Weighting Factors'!$Q$5</f>
        <v>4801.8999999999996</v>
      </c>
      <c r="AQ47" s="95">
        <v>0</v>
      </c>
      <c r="AR47" s="95">
        <f>CS47/'Weighting Factors'!$Q$5</f>
        <v>2195.9</v>
      </c>
      <c r="AS47" s="99">
        <v>31804885</v>
      </c>
      <c r="AT47" s="95">
        <f>AS47/'Weighting Factors'!$Q$5</f>
        <v>7636.2</v>
      </c>
      <c r="AU47" s="95">
        <f>IF(ISNA(VLOOKUP($CZ47,'Audit Values'!$A$2:$BU$353,2,FALSE)),'Preliminary SO66'!X46,VLOOKUP($CZ47,'Audit Values'!$A$2:$BU$353,47,FALSE))</f>
        <v>2</v>
      </c>
      <c r="AV47" s="95">
        <f t="shared" si="15"/>
        <v>47840</v>
      </c>
      <c r="AW47" s="95">
        <f t="shared" si="16"/>
        <v>42399.7</v>
      </c>
      <c r="AX47" s="95">
        <f>IF(ISNA(VLOOKUP($CZ47,'Audit Values'!$A$2:$BU$353,2,FALSE)),'Preliminary SO66'!AA46,VLOOKUP($CZ47,'Audit Values'!$A$2:$BU$353,41,FALSE))</f>
        <v>0</v>
      </c>
      <c r="AY47" s="95">
        <f>IF(ISNA(VLOOKUP($CZ47,'Audit Values'!$A$2:$BU$353,2,FALSE)),'Preliminary SO66'!AB46,VLOOKUP($CZ47,'Audit Values'!$A$2:$BU$353,42,FALSE))</f>
        <v>0</v>
      </c>
      <c r="AZ47" s="114">
        <v>0</v>
      </c>
      <c r="BA47" s="99">
        <f>SUM(AX47*'Weighting Factors'!$T$10)+('2019 Legal Max'!AY47*'Weighting Factors'!$T$11)+('2019 Legal Max'!AZ47*'Weighting Factors'!$T$12)</f>
        <v>0</v>
      </c>
      <c r="BB47" s="158">
        <v>0</v>
      </c>
      <c r="BC47" s="88">
        <f>IF(ISNA(VLOOKUP($CZ47,'Audit Values'!$A$2:$BU$353,2,FALSE)),"",IF(AND('Weighting Factors'!H47&gt;0,VLOOKUP($CZ47,'Audit Values'!$A$2:$BU$353,51,FALSE)&lt;'Weighting Factors'!H47),'Weighting Factors'!H47,VLOOKUP($CZ47,'Audit Values'!$A$2:$BU$353,50,FALSE)))</f>
        <v>12</v>
      </c>
      <c r="BD47" s="88" t="str">
        <f>IF(ISNA(VLOOKUP($CZ47,'Audit Values'!$A$2:$BV$353,2,FALSE)),"",VLOOKUP($CZ47,'Audit Values'!$A$2:$BV$353,51,FALSE))</f>
        <v>A</v>
      </c>
      <c r="BE47" s="88" t="str">
        <f>IF('Weighting Factors'!H47="","",IF('Weighting Factors'!J47="Pending","PX","R"))</f>
        <v/>
      </c>
      <c r="BF47" s="97">
        <f>SUM((S47+T47+Y47+AA47+AE47+AH47+AJ47++AO47+AP47+AQ47+AU47+AR47)*'Weighting Factors'!$Q$5)+'2019 Legal Max'!BA47+'2019 Legal Max'!BB47</f>
        <v>176594751</v>
      </c>
      <c r="BG47" s="99">
        <f>SUM((AV47+AR47)*'Weighting Factors'!$Q$5)+BA47+'2019 Legal Max'!BB47</f>
        <v>208399524</v>
      </c>
      <c r="BH47" s="108">
        <f>IF('Weighting Factors'!H47&gt;0,'Weighting Factors'!H47,'Preliminary SO66'!AV46)</f>
        <v>209737322</v>
      </c>
      <c r="BI47" s="99">
        <f t="shared" si="40"/>
        <v>208399524</v>
      </c>
      <c r="BJ47" s="112"/>
      <c r="BK47" s="112">
        <f>'Weighting Factors'!F47</f>
        <v>0</v>
      </c>
      <c r="BL47" s="112">
        <f>'Weighting Factors'!E47</f>
        <v>0</v>
      </c>
      <c r="BM47" s="99">
        <f t="shared" si="17"/>
        <v>0</v>
      </c>
      <c r="BN47" s="99">
        <f t="shared" si="18"/>
        <v>208399524</v>
      </c>
      <c r="BO47" s="99">
        <f>SUM((S47+T47+Y47+AA47+AE47+AH47+AJ47++AO47+AP47+AQ47+AR47)*'Weighting Factors'!Q$12)+(MAX(AS47,'Weighting Factors'!B47))</f>
        <v>222170558</v>
      </c>
      <c r="BP47" s="122">
        <v>0.33</v>
      </c>
      <c r="BQ47" s="99">
        <f t="shared" si="19"/>
        <v>73316284</v>
      </c>
      <c r="BR47" s="108">
        <v>73789502</v>
      </c>
      <c r="BS47" s="99">
        <f t="shared" si="20"/>
        <v>73316284</v>
      </c>
      <c r="BT47" s="167">
        <f t="shared" si="21"/>
        <v>0.33</v>
      </c>
      <c r="BU47" s="95">
        <f t="shared" si="22"/>
        <v>0</v>
      </c>
      <c r="BV47" s="87" t="b">
        <f t="shared" si="23"/>
        <v>0</v>
      </c>
      <c r="BW47" s="117">
        <f t="shared" si="24"/>
        <v>0</v>
      </c>
      <c r="BX47" s="116">
        <f t="shared" si="25"/>
        <v>0</v>
      </c>
      <c r="BY47" s="95">
        <f t="shared" si="26"/>
        <v>0</v>
      </c>
      <c r="BZ47" s="87" t="b">
        <f t="shared" si="27"/>
        <v>0</v>
      </c>
      <c r="CA47" s="87">
        <f t="shared" si="28"/>
        <v>0</v>
      </c>
      <c r="CB47" s="116">
        <f t="shared" si="29"/>
        <v>0</v>
      </c>
      <c r="CC47" s="95">
        <f t="shared" si="30"/>
        <v>0</v>
      </c>
      <c r="CD47" s="95">
        <f t="shared" si="31"/>
        <v>1021.3</v>
      </c>
      <c r="CE47" s="98">
        <v>75.3</v>
      </c>
      <c r="CF47" s="250">
        <f t="shared" si="32"/>
        <v>64.421999999999997</v>
      </c>
      <c r="CG47" s="274">
        <f>IF(CF47&lt;0.06,1,IF(CF47&gt;=18.29,52,MATCH(CF47-0.001,'Weighting Factors'!$Y$5:$Y$156)+1))</f>
        <v>52</v>
      </c>
      <c r="CH47" s="243">
        <f>VLOOKUP(CG47, 'Weighting Factors'!$W$5:$Z$56,4)</f>
        <v>550</v>
      </c>
      <c r="CI47" s="118">
        <f>('Weighting Factors'!$Q$5/'Weighting Factors'!$Q$14)</f>
        <v>1</v>
      </c>
      <c r="CJ47" s="245">
        <f t="shared" si="33"/>
        <v>2668050</v>
      </c>
      <c r="CK47" s="245">
        <f>CJ47*'Weighting Factors'!$S$7</f>
        <v>2668050</v>
      </c>
      <c r="CL47" s="245">
        <f t="shared" si="34"/>
        <v>2668050</v>
      </c>
      <c r="CM47" s="95">
        <f>AM47/'Weighting Factors'!$Q$5</f>
        <v>640.6</v>
      </c>
      <c r="CN47" s="148">
        <v>20000000</v>
      </c>
      <c r="CO47" s="148">
        <v>0</v>
      </c>
      <c r="CP47" s="159">
        <v>9204450</v>
      </c>
      <c r="CQ47" s="151">
        <v>4.5900000000000003E-2</v>
      </c>
      <c r="CR47" s="99">
        <f>SUM((AV47*'Weighting Factors'!$Q$5)+'2019 Legal Max'!BA47)*CQ47</f>
        <v>9145740</v>
      </c>
      <c r="CS47" s="99">
        <f t="shared" si="35"/>
        <v>9145740</v>
      </c>
      <c r="CT47" s="106">
        <f t="shared" si="36"/>
        <v>0.19489999999999999</v>
      </c>
      <c r="CU47" s="95">
        <f t="shared" si="37"/>
        <v>0</v>
      </c>
      <c r="CV47" s="95">
        <f t="shared" si="38"/>
        <v>0</v>
      </c>
      <c r="CW47" s="95">
        <f t="shared" si="39"/>
        <v>50035.9</v>
      </c>
      <c r="CX47" s="99">
        <f>'LOB Transfers'!G46</f>
        <v>4091049</v>
      </c>
      <c r="CY47" s="99">
        <f>'LOB Transfers'!J46</f>
        <v>821142</v>
      </c>
      <c r="CZ47" s="87" t="s">
        <v>239</v>
      </c>
    </row>
    <row r="48" spans="1:104" ht="15" customHeight="1">
      <c r="A48" s="88">
        <v>234</v>
      </c>
      <c r="B48" s="87" t="s">
        <v>23</v>
      </c>
      <c r="C48" s="87" t="s">
        <v>561</v>
      </c>
      <c r="D48" s="95">
        <v>1797.1</v>
      </c>
      <c r="E48" s="95">
        <v>0</v>
      </c>
      <c r="F48" s="95">
        <f t="shared" si="5"/>
        <v>1797.1</v>
      </c>
      <c r="G48" s="95">
        <v>1832.5</v>
      </c>
      <c r="H48" s="95">
        <v>0</v>
      </c>
      <c r="I48" s="95">
        <f t="shared" si="6"/>
        <v>1832.5</v>
      </c>
      <c r="J48" s="95">
        <v>1844</v>
      </c>
      <c r="K48" s="95">
        <v>0</v>
      </c>
      <c r="L48" s="95">
        <f t="shared" si="7"/>
        <v>1844</v>
      </c>
      <c r="M48" s="95">
        <f>IF(ISNA(VLOOKUP($CZ48,'Audit Values'!$A$2:$BW$365,2,FALSE)),'Preliminary SO66'!C47,VLOOKUP($CZ48,'Audit Values'!$A$2:$BW$365,73,FALSE))</f>
        <v>1863</v>
      </c>
      <c r="N48" s="95">
        <f>IF(ISNA(VLOOKUP($CZ48,'Audit Values'!$A$2:$BW$365,2,FALSE)),'Preliminary SO66'!F47,VLOOKUP($CZ48,'Audit Values'!$A$2:$BW$365,4,FALSE))</f>
        <v>0</v>
      </c>
      <c r="O48" s="95">
        <f t="shared" si="8"/>
        <v>1863</v>
      </c>
      <c r="P48" s="95">
        <f>IF('Military Provision'!J49="YES", MAX('2019 Legal Max'!L48,'2019 Legal Max'!I48,AVERAGE('2019 Legal Max'!F48,'2019 Legal Max'!I48,'2019 Legal Max'!L48)), MAX(L48, I48))</f>
        <v>1844</v>
      </c>
      <c r="Q48" s="95">
        <f>IF(ISNA(VLOOKUP($CZ48,'Audit Values'!$A$2:$BU$353,2,FALSE)),'Preliminary SO66'!AL47,VLOOKUP($CZ48,'Audit Values'!$A$2:$BU$3955,58,FALSE))</f>
        <v>15.5</v>
      </c>
      <c r="R48" s="95">
        <v>0</v>
      </c>
      <c r="S48" s="95">
        <f t="shared" si="41"/>
        <v>1859.5</v>
      </c>
      <c r="T48" s="95">
        <f t="shared" si="10"/>
        <v>65.2</v>
      </c>
      <c r="U48" s="95">
        <f>IF(ISNA(VLOOKUP($CZ48,'Audit Values'!$A$2:$BW$317,2,FALSE)),'Preliminary SO66'!AM47,VLOOKUP($CZ48,'Audit Values'!$A$2:$BW$317,62,FALSE))</f>
        <v>2</v>
      </c>
      <c r="V48" s="95">
        <f>(U48/6)*'Weighting Factors'!$Q$7</f>
        <v>0.1</v>
      </c>
      <c r="W48" s="132">
        <f>IF(ISNA(VLOOKUP($CZ48,'Audit Values'!$A$2:$BW$353,2,FALSE)),'Preliminary SO66'!AN47,VLOOKUP($CZ48,'Audit Values'!$A$2:$BW$353,61,FALSE))</f>
        <v>6</v>
      </c>
      <c r="X48" s="95">
        <f>W48*'Weighting Factors'!$Q$8</f>
        <v>1.1000000000000001</v>
      </c>
      <c r="Y48" s="95">
        <f t="shared" si="11"/>
        <v>1.1000000000000001</v>
      </c>
      <c r="Z48" s="276">
        <f>IF(ISNA(VLOOKUP($CZ48,'Audit Values'!$A$2:$BW$317,2,FALSE)),'Preliminary SO66'!AO47,VLOOKUP($CZ48,'Audit Values'!$A$2:$BW$317,60,FALSE))</f>
        <v>468.2</v>
      </c>
      <c r="AA48" s="95">
        <f>Z48/6*'Weighting Factors'!$Q$6</f>
        <v>39</v>
      </c>
      <c r="AB48" s="99">
        <f>IF(ISNA(VLOOKUP($CZ48,'Audit Values'!$A$2:$BU$353,2,FALSE)),'Preliminary SO66'!AS47,VLOOKUP($CZ48,'Audit Values'!$A$2:$BU$353,63,FALSE))</f>
        <v>1908</v>
      </c>
      <c r="AC48" s="99">
        <v>0</v>
      </c>
      <c r="AD48" s="99">
        <f>IF(ISNA(VLOOKUP($CZ48,'Audit Values'!$A$2:$BU$353,2,FALSE)),'Preliminary SO66'!AP47,VLOOKUP($CZ48,'Audit Values'!$A$2:$BU$353,64,FALSE))</f>
        <v>881</v>
      </c>
      <c r="AE48" s="95">
        <f>IF(A48=207, AD48,MAX(AC48,AD48))*'Weighting Factors'!$Q$9</f>
        <v>426.4</v>
      </c>
      <c r="AF48" s="95">
        <f t="shared" si="12"/>
        <v>68.900000000000006</v>
      </c>
      <c r="AG48" s="95">
        <f>IF(ISNA(VLOOKUP($CZ48,'Audit Values'!$A$2:$BW$353,2,FALSE)),'Preliminary SO66'!AG47,VLOOKUP($CZ48,'Audit Values'!$A$2:$BW$353,70,FALSE))</f>
        <v>64.5</v>
      </c>
      <c r="AH48" s="95">
        <f t="shared" si="13"/>
        <v>68.900000000000006</v>
      </c>
      <c r="AI48" s="95">
        <f>IF(ISNA(VLOOKUP($CZ48,'Audit Values'!$A$2:$BU$353,2,FALSE)),'Preliminary SO66'!AQ47,VLOOKUP($CZ48,'Audit Values'!$A$2:$BU$353,65,FALSE))</f>
        <v>20.100000000000001</v>
      </c>
      <c r="AJ48" s="95">
        <f>AI48*'Weighting Factors'!$Q$10</f>
        <v>5</v>
      </c>
      <c r="AK48" s="95">
        <f>IF(ISNA(VLOOKUP($CZ48,'Audit Values'!$A$2:$BU$353,2,FALSE)),'Preliminary SO66'!AR47,VLOOKUP($CZ48,'Audit Values'!$A$2:$BU$353,66,FALSE))</f>
        <v>508</v>
      </c>
      <c r="AL48" s="95"/>
      <c r="AM48" s="99">
        <f t="shared" si="14"/>
        <v>441960</v>
      </c>
      <c r="AN48" s="99">
        <v>522331</v>
      </c>
      <c r="AO48" s="95">
        <f>MAX(AN48, AM48)/'Weighting Factors'!$Q$5</f>
        <v>125.4</v>
      </c>
      <c r="AP48" s="95">
        <f>CN48/'Weighting Factors'!$Q$5</f>
        <v>0</v>
      </c>
      <c r="AQ48" s="95">
        <v>0</v>
      </c>
      <c r="AR48" s="95">
        <f>CS48/'Weighting Factors'!$Q$5</f>
        <v>0</v>
      </c>
      <c r="AS48" s="99">
        <v>1593992</v>
      </c>
      <c r="AT48" s="95">
        <f>AS48/'Weighting Factors'!$Q$5</f>
        <v>382.7</v>
      </c>
      <c r="AU48" s="95">
        <f>IF(ISNA(VLOOKUP($CZ48,'Audit Values'!$A$2:$BU$353,2,FALSE)),'Preliminary SO66'!X47,VLOOKUP($CZ48,'Audit Values'!$A$2:$BU$353,47,FALSE))</f>
        <v>0</v>
      </c>
      <c r="AV48" s="95">
        <f t="shared" si="15"/>
        <v>2973.2</v>
      </c>
      <c r="AW48" s="95">
        <f t="shared" si="16"/>
        <v>2590.5</v>
      </c>
      <c r="AX48" s="95">
        <f>IF(ISNA(VLOOKUP($CZ48,'Audit Values'!$A$2:$BU$353,2,FALSE)),'Preliminary SO66'!AA47,VLOOKUP($CZ48,'Audit Values'!$A$2:$BU$353,41,FALSE))</f>
        <v>4</v>
      </c>
      <c r="AY48" s="95">
        <f>IF(ISNA(VLOOKUP($CZ48,'Audit Values'!$A$2:$BU$353,2,FALSE)),'Preliminary SO66'!AB47,VLOOKUP($CZ48,'Audit Values'!$A$2:$BU$353,42,FALSE))</f>
        <v>0</v>
      </c>
      <c r="AZ48" s="114">
        <v>0</v>
      </c>
      <c r="BA48" s="99">
        <f>SUM(AX48*'Weighting Factors'!$T$10)+('2019 Legal Max'!AY48*'Weighting Factors'!$T$11)+('2019 Legal Max'!AZ48*'Weighting Factors'!$T$12)</f>
        <v>20000</v>
      </c>
      <c r="BB48" s="158">
        <v>0</v>
      </c>
      <c r="BC48" s="88">
        <f>IF(ISNA(VLOOKUP($CZ48,'Audit Values'!$A$2:$BU$353,2,FALSE)),"",IF(AND('Weighting Factors'!H48&gt;0,VLOOKUP($CZ48,'Audit Values'!$A$2:$BU$353,51,FALSE)&lt;'Weighting Factors'!H48),'Weighting Factors'!H48,VLOOKUP($CZ48,'Audit Values'!$A$2:$BU$353,50,FALSE)))</f>
        <v>19</v>
      </c>
      <c r="BD48" s="88" t="str">
        <f>IF(ISNA(VLOOKUP($CZ48,'Audit Values'!$A$2:$BV$353,2,FALSE)),"",VLOOKUP($CZ48,'Audit Values'!$A$2:$BV$353,51,FALSE))</f>
        <v>A</v>
      </c>
      <c r="BE48" s="88" t="str">
        <f>IF('Weighting Factors'!H48="","",IF('Weighting Factors'!J48="Pending","PX","R"))</f>
        <v/>
      </c>
      <c r="BF48" s="97">
        <f>SUM((S48+T48+Y48+AA48+AE48+AH48+AJ48++AO48+AP48+AQ48+AU48+AR48)*'Weighting Factors'!$Q$5)+'2019 Legal Max'!BA48+'2019 Legal Max'!BB48</f>
        <v>10809433</v>
      </c>
      <c r="BG48" s="99">
        <f>SUM((AV48+AR48)*'Weighting Factors'!$Q$5)+BA48+'2019 Legal Max'!BB48</f>
        <v>12403378</v>
      </c>
      <c r="BH48" s="108">
        <f>IF('Weighting Factors'!H48&gt;0,'Weighting Factors'!H48,'Preliminary SO66'!AV47)</f>
        <v>12616337</v>
      </c>
      <c r="BI48" s="99">
        <f t="shared" si="40"/>
        <v>12403378</v>
      </c>
      <c r="BJ48" s="112"/>
      <c r="BK48" s="112">
        <f>'Weighting Factors'!F48</f>
        <v>0</v>
      </c>
      <c r="BL48" s="112">
        <f>'Weighting Factors'!E48</f>
        <v>0</v>
      </c>
      <c r="BM48" s="99">
        <f t="shared" si="17"/>
        <v>0</v>
      </c>
      <c r="BN48" s="99">
        <f t="shared" si="18"/>
        <v>12403378</v>
      </c>
      <c r="BO48" s="99">
        <f>SUM((S48+T48+Y48+AA48+AE48+AH48+AJ48++AO48+AP48+AQ48+AR48)*'Weighting Factors'!Q$12)+(MAX(AS48,'Weighting Factors'!B48))</f>
        <v>13225337</v>
      </c>
      <c r="BP48" s="122">
        <v>0.3</v>
      </c>
      <c r="BQ48" s="99">
        <f t="shared" si="19"/>
        <v>3967601</v>
      </c>
      <c r="BR48" s="108">
        <v>4038807</v>
      </c>
      <c r="BS48" s="99">
        <f t="shared" si="20"/>
        <v>3967601</v>
      </c>
      <c r="BT48" s="167">
        <f t="shared" si="21"/>
        <v>0.3</v>
      </c>
      <c r="BU48" s="95">
        <f t="shared" si="22"/>
        <v>0</v>
      </c>
      <c r="BV48" s="87" t="b">
        <f t="shared" si="23"/>
        <v>0</v>
      </c>
      <c r="BW48" s="117">
        <f t="shared" si="24"/>
        <v>0</v>
      </c>
      <c r="BX48" s="116">
        <f t="shared" si="25"/>
        <v>0</v>
      </c>
      <c r="BY48" s="95">
        <f t="shared" si="26"/>
        <v>0</v>
      </c>
      <c r="BZ48" s="87" t="b">
        <f t="shared" si="27"/>
        <v>0</v>
      </c>
      <c r="CA48" s="87">
        <f t="shared" si="28"/>
        <v>0</v>
      </c>
      <c r="CB48" s="116">
        <f t="shared" si="29"/>
        <v>0</v>
      </c>
      <c r="CC48" s="95">
        <f t="shared" si="30"/>
        <v>0</v>
      </c>
      <c r="CD48" s="95">
        <f t="shared" si="31"/>
        <v>65.2</v>
      </c>
      <c r="CE48" s="98">
        <v>300</v>
      </c>
      <c r="CF48" s="250">
        <f t="shared" si="32"/>
        <v>1.6930000000000001</v>
      </c>
      <c r="CG48" s="274">
        <f>IF(CF48&lt;0.06,1,IF(CF48&gt;=18.29,52,MATCH(CF48-0.001,'Weighting Factors'!$Y$5:$Y$156)+1))</f>
        <v>36</v>
      </c>
      <c r="CH48" s="243">
        <f>VLOOKUP(CG48, 'Weighting Factors'!$W$5:$Z$56,4)</f>
        <v>870</v>
      </c>
      <c r="CI48" s="118">
        <f>('Weighting Factors'!$Q$5/'Weighting Factors'!$Q$14)</f>
        <v>1</v>
      </c>
      <c r="CJ48" s="245">
        <f t="shared" si="33"/>
        <v>441960</v>
      </c>
      <c r="CK48" s="245">
        <f>CJ48*'Weighting Factors'!$S$7</f>
        <v>441960</v>
      </c>
      <c r="CL48" s="245">
        <f t="shared" si="34"/>
        <v>441960</v>
      </c>
      <c r="CM48" s="95">
        <f>AM48/'Weighting Factors'!$Q$5</f>
        <v>106.1</v>
      </c>
      <c r="CN48" s="148">
        <v>0</v>
      </c>
      <c r="CO48" s="148">
        <v>0</v>
      </c>
      <c r="CP48" s="149">
        <v>0</v>
      </c>
      <c r="CQ48" s="151">
        <v>0</v>
      </c>
      <c r="CR48" s="99">
        <f>SUM((AV48*'Weighting Factors'!$Q$5)+'2019 Legal Max'!BA48)*CQ48</f>
        <v>0</v>
      </c>
      <c r="CS48" s="99">
        <f t="shared" si="35"/>
        <v>0</v>
      </c>
      <c r="CT48" s="106">
        <f t="shared" si="36"/>
        <v>0.4617</v>
      </c>
      <c r="CU48" s="95">
        <f t="shared" si="37"/>
        <v>0</v>
      </c>
      <c r="CV48" s="95">
        <f t="shared" si="38"/>
        <v>68.900000000000006</v>
      </c>
      <c r="CW48" s="95">
        <f t="shared" si="39"/>
        <v>2973.2</v>
      </c>
      <c r="CX48" s="99">
        <f>'LOB Transfers'!G47</f>
        <v>572128</v>
      </c>
      <c r="CY48" s="99">
        <f>'LOB Transfers'!J47</f>
        <v>1587</v>
      </c>
      <c r="CZ48" s="87" t="s">
        <v>240</v>
      </c>
    </row>
    <row r="49" spans="1:104" ht="15" customHeight="1">
      <c r="A49" s="88">
        <v>235</v>
      </c>
      <c r="B49" s="87" t="s">
        <v>23</v>
      </c>
      <c r="C49" s="87" t="s">
        <v>562</v>
      </c>
      <c r="D49" s="95">
        <v>420</v>
      </c>
      <c r="E49" s="95">
        <v>0</v>
      </c>
      <c r="F49" s="95">
        <f t="shared" si="5"/>
        <v>420</v>
      </c>
      <c r="G49" s="95">
        <v>428</v>
      </c>
      <c r="H49" s="95">
        <v>0</v>
      </c>
      <c r="I49" s="95">
        <f t="shared" si="6"/>
        <v>428</v>
      </c>
      <c r="J49" s="95">
        <v>429.5</v>
      </c>
      <c r="K49" s="95">
        <v>0</v>
      </c>
      <c r="L49" s="95">
        <f t="shared" si="7"/>
        <v>429.5</v>
      </c>
      <c r="M49" s="95">
        <f>IF(ISNA(VLOOKUP($CZ49,'Audit Values'!$A$2:$BW$365,2,FALSE)),'Preliminary SO66'!C48,VLOOKUP($CZ49,'Audit Values'!$A$2:$BW$365,73,FALSE))</f>
        <v>428.5</v>
      </c>
      <c r="N49" s="95">
        <f>IF(ISNA(VLOOKUP($CZ49,'Audit Values'!$A$2:$BW$365,2,FALSE)),'Preliminary SO66'!F48,VLOOKUP($CZ49,'Audit Values'!$A$2:$BW$365,4,FALSE))</f>
        <v>0</v>
      </c>
      <c r="O49" s="95">
        <f t="shared" si="8"/>
        <v>428.5</v>
      </c>
      <c r="P49" s="95">
        <f>IF('Military Provision'!J50="YES", MAX('2019 Legal Max'!L49,'2019 Legal Max'!I49,AVERAGE('2019 Legal Max'!F49,'2019 Legal Max'!I49,'2019 Legal Max'!L49)), MAX(L49, I49))</f>
        <v>429.5</v>
      </c>
      <c r="Q49" s="95">
        <f>IF(ISNA(VLOOKUP($CZ49,'Audit Values'!$A$2:$BU$353,2,FALSE)),'Preliminary SO66'!AL48,VLOOKUP($CZ49,'Audit Values'!$A$2:$BU$3955,58,FALSE))</f>
        <v>6.5</v>
      </c>
      <c r="R49" s="95">
        <v>0</v>
      </c>
      <c r="S49" s="95">
        <f t="shared" si="41"/>
        <v>436</v>
      </c>
      <c r="T49" s="95">
        <f t="shared" si="10"/>
        <v>191</v>
      </c>
      <c r="U49" s="95">
        <f>IF(ISNA(VLOOKUP($CZ49,'Audit Values'!$A$2:$BW$317,2,FALSE)),'Preliminary SO66'!AM48,VLOOKUP($CZ49,'Audit Values'!$A$2:$BW$317,62,FALSE))</f>
        <v>0</v>
      </c>
      <c r="V49" s="95">
        <f>(U49/6)*'Weighting Factors'!$Q$7</f>
        <v>0</v>
      </c>
      <c r="W49" s="132">
        <f>IF(ISNA(VLOOKUP($CZ49,'Audit Values'!$A$2:$BW$353,2,FALSE)),'Preliminary SO66'!AN48,VLOOKUP($CZ49,'Audit Values'!$A$2:$BW$353,61,FALSE))</f>
        <v>0</v>
      </c>
      <c r="X49" s="95">
        <f>W49*'Weighting Factors'!$Q$8</f>
        <v>0</v>
      </c>
      <c r="Y49" s="95">
        <f t="shared" si="11"/>
        <v>0</v>
      </c>
      <c r="Z49" s="276">
        <f>IF(ISNA(VLOOKUP($CZ49,'Audit Values'!$A$2:$BW$317,2,FALSE)),'Preliminary SO66'!AO48,VLOOKUP($CZ49,'Audit Values'!$A$2:$BW$317,60,FALSE))</f>
        <v>74.099999999999994</v>
      </c>
      <c r="AA49" s="95">
        <f>Z49/6*'Weighting Factors'!$Q$6</f>
        <v>6.2</v>
      </c>
      <c r="AB49" s="99">
        <f>IF(ISNA(VLOOKUP($CZ49,'Audit Values'!$A$2:$BU$353,2,FALSE)),'Preliminary SO66'!AS48,VLOOKUP($CZ49,'Audit Values'!$A$2:$BU$353,63,FALSE))</f>
        <v>445</v>
      </c>
      <c r="AC49" s="99">
        <v>0</v>
      </c>
      <c r="AD49" s="99">
        <f>IF(ISNA(VLOOKUP($CZ49,'Audit Values'!$A$2:$BU$353,2,FALSE)),'Preliminary SO66'!AP48,VLOOKUP($CZ49,'Audit Values'!$A$2:$BU$353,64,FALSE))</f>
        <v>165</v>
      </c>
      <c r="AE49" s="95">
        <f>IF(A49=207, AD49,MAX(AC49,AD49))*'Weighting Factors'!$Q$9</f>
        <v>79.900000000000006</v>
      </c>
      <c r="AF49" s="95">
        <f t="shared" si="12"/>
        <v>2.4</v>
      </c>
      <c r="AG49" s="95">
        <f>IF(ISNA(VLOOKUP($CZ49,'Audit Values'!$A$2:$BW$353,2,FALSE)),'Preliminary SO66'!AG48,VLOOKUP($CZ49,'Audit Values'!$A$2:$BW$353,70,FALSE))</f>
        <v>5.6</v>
      </c>
      <c r="AH49" s="95">
        <f t="shared" si="13"/>
        <v>5.6</v>
      </c>
      <c r="AI49" s="95">
        <f>IF(ISNA(VLOOKUP($CZ49,'Audit Values'!$A$2:$BU$353,2,FALSE)),'Preliminary SO66'!AQ48,VLOOKUP($CZ49,'Audit Values'!$A$2:$BU$353,65,FALSE))</f>
        <v>0</v>
      </c>
      <c r="AJ49" s="95">
        <f>AI49*'Weighting Factors'!$Q$10</f>
        <v>0</v>
      </c>
      <c r="AK49" s="95">
        <f>IF(ISNA(VLOOKUP($CZ49,'Audit Values'!$A$2:$BU$353,2,FALSE)),'Preliminary SO66'!AR48,VLOOKUP($CZ49,'Audit Values'!$A$2:$BU$353,66,FALSE))</f>
        <v>274</v>
      </c>
      <c r="AL49" s="95"/>
      <c r="AM49" s="99">
        <f t="shared" si="14"/>
        <v>265780</v>
      </c>
      <c r="AN49" s="99">
        <v>316249</v>
      </c>
      <c r="AO49" s="95">
        <f>MAX(AN49, AM49)/'Weighting Factors'!$Q$5</f>
        <v>75.900000000000006</v>
      </c>
      <c r="AP49" s="95">
        <f>CN49/'Weighting Factors'!$Q$5</f>
        <v>0</v>
      </c>
      <c r="AQ49" s="95">
        <v>0</v>
      </c>
      <c r="AR49" s="95">
        <f>CS49/'Weighting Factors'!$Q$5</f>
        <v>0</v>
      </c>
      <c r="AS49" s="99">
        <v>440921</v>
      </c>
      <c r="AT49" s="95">
        <f>AS49/'Weighting Factors'!$Q$5</f>
        <v>105.9</v>
      </c>
      <c r="AU49" s="95">
        <f>IF(ISNA(VLOOKUP($CZ49,'Audit Values'!$A$2:$BU$353,2,FALSE)),'Preliminary SO66'!X48,VLOOKUP($CZ49,'Audit Values'!$A$2:$BU$353,47,FALSE))</f>
        <v>0</v>
      </c>
      <c r="AV49" s="95">
        <f t="shared" si="15"/>
        <v>900.5</v>
      </c>
      <c r="AW49" s="95">
        <f t="shared" si="16"/>
        <v>794.6</v>
      </c>
      <c r="AX49" s="95">
        <f>IF(ISNA(VLOOKUP($CZ49,'Audit Values'!$A$2:$BU$353,2,FALSE)),'Preliminary SO66'!AA48,VLOOKUP($CZ49,'Audit Values'!$A$2:$BU$353,41,FALSE))</f>
        <v>0</v>
      </c>
      <c r="AY49" s="95">
        <f>IF(ISNA(VLOOKUP($CZ49,'Audit Values'!$A$2:$BU$353,2,FALSE)),'Preliminary SO66'!AB48,VLOOKUP($CZ49,'Audit Values'!$A$2:$BU$353,42,FALSE))</f>
        <v>0</v>
      </c>
      <c r="AZ49" s="114">
        <v>0</v>
      </c>
      <c r="BA49" s="99">
        <f>SUM(AX49*'Weighting Factors'!$T$10)+('2019 Legal Max'!AY49*'Weighting Factors'!$T$11)+('2019 Legal Max'!AZ49*'Weighting Factors'!$T$12)</f>
        <v>0</v>
      </c>
      <c r="BB49" s="158">
        <v>0</v>
      </c>
      <c r="BC49" s="88">
        <f>IF(ISNA(VLOOKUP($CZ49,'Audit Values'!$A$2:$BU$353,2,FALSE)),"",IF(AND('Weighting Factors'!H49&gt;0,VLOOKUP($CZ49,'Audit Values'!$A$2:$BU$353,51,FALSE)&lt;'Weighting Factors'!H49),'Weighting Factors'!H49,VLOOKUP($CZ49,'Audit Values'!$A$2:$BU$353,50,FALSE)))</f>
        <v>10</v>
      </c>
      <c r="BD49" s="88" t="str">
        <f>IF(ISNA(VLOOKUP($CZ49,'Audit Values'!$A$2:$BV$353,2,FALSE)),"",VLOOKUP($CZ49,'Audit Values'!$A$2:$BV$353,51,FALSE))</f>
        <v>A</v>
      </c>
      <c r="BE49" s="88" t="str">
        <f>IF('Weighting Factors'!H49="","",IF('Weighting Factors'!J49="Pending","PX","R"))</f>
        <v/>
      </c>
      <c r="BF49" s="97">
        <f>SUM((S49+T49+Y49+AA49+AE49+AH49+AJ49++AO49+AP49+AQ49+AU49+AR49)*'Weighting Factors'!$Q$5)+'2019 Legal Max'!BA49+'2019 Legal Max'!BB49</f>
        <v>3309509</v>
      </c>
      <c r="BG49" s="99">
        <f>SUM((AV49+AR49)*'Weighting Factors'!$Q$5)+BA49+'2019 Legal Max'!BB49</f>
        <v>3750583</v>
      </c>
      <c r="BH49" s="108">
        <f>IF('Weighting Factors'!H49&gt;0,'Weighting Factors'!H49,'Preliminary SO66'!AV48)</f>
        <v>3905937</v>
      </c>
      <c r="BI49" s="99">
        <f t="shared" si="40"/>
        <v>3750583</v>
      </c>
      <c r="BJ49" s="112"/>
      <c r="BK49" s="112">
        <f>'Weighting Factors'!F49</f>
        <v>-62670</v>
      </c>
      <c r="BL49" s="112">
        <f>'Weighting Factors'!E49</f>
        <v>0</v>
      </c>
      <c r="BM49" s="99">
        <f t="shared" si="17"/>
        <v>-62670</v>
      </c>
      <c r="BN49" s="99">
        <f t="shared" si="18"/>
        <v>3687913</v>
      </c>
      <c r="BO49" s="99">
        <f>SUM((S49+T49+Y49+AA49+AE49+AH49+AJ49++AO49+AP49+AQ49+AR49)*'Weighting Factors'!Q$12)+(MAX(AS49,'Weighting Factors'!B49))</f>
        <v>4008675</v>
      </c>
      <c r="BP49" s="122">
        <v>0.3</v>
      </c>
      <c r="BQ49" s="99">
        <f t="shared" si="19"/>
        <v>1202603</v>
      </c>
      <c r="BR49" s="108">
        <v>1251731</v>
      </c>
      <c r="BS49" s="99">
        <f t="shared" si="20"/>
        <v>1202603</v>
      </c>
      <c r="BT49" s="167">
        <f t="shared" si="21"/>
        <v>0.3</v>
      </c>
      <c r="BU49" s="95">
        <f t="shared" si="22"/>
        <v>0</v>
      </c>
      <c r="BV49" s="87" t="b">
        <f t="shared" si="23"/>
        <v>0</v>
      </c>
      <c r="BW49" s="117">
        <f t="shared" si="24"/>
        <v>0</v>
      </c>
      <c r="BX49" s="116">
        <f t="shared" si="25"/>
        <v>0</v>
      </c>
      <c r="BY49" s="95">
        <f t="shared" si="26"/>
        <v>0</v>
      </c>
      <c r="BZ49" s="87" t="b">
        <f t="shared" si="27"/>
        <v>1</v>
      </c>
      <c r="CA49" s="87">
        <f t="shared" si="28"/>
        <v>168.3</v>
      </c>
      <c r="CB49" s="116">
        <f t="shared" si="29"/>
        <v>0.43797999999999998</v>
      </c>
      <c r="CC49" s="95">
        <f t="shared" si="30"/>
        <v>191</v>
      </c>
      <c r="CD49" s="95">
        <f t="shared" si="31"/>
        <v>0</v>
      </c>
      <c r="CE49" s="98">
        <v>309</v>
      </c>
      <c r="CF49" s="250">
        <f t="shared" si="32"/>
        <v>0.88700000000000001</v>
      </c>
      <c r="CG49" s="274">
        <f>IF(CF49&lt;0.06,1,IF(CF49&gt;=18.29,52,MATCH(CF49-0.001,'Weighting Factors'!$Y$5:$Y$156)+1))</f>
        <v>31</v>
      </c>
      <c r="CH49" s="243">
        <f>VLOOKUP(CG49, 'Weighting Factors'!$W$5:$Z$56,4)</f>
        <v>970</v>
      </c>
      <c r="CI49" s="118">
        <f>('Weighting Factors'!$Q$5/'Weighting Factors'!$Q$14)</f>
        <v>1</v>
      </c>
      <c r="CJ49" s="245">
        <f t="shared" si="33"/>
        <v>265780</v>
      </c>
      <c r="CK49" s="245">
        <f>CJ49*'Weighting Factors'!$S$7</f>
        <v>265780</v>
      </c>
      <c r="CL49" s="245">
        <f t="shared" si="34"/>
        <v>265780</v>
      </c>
      <c r="CM49" s="95">
        <f>AM49/'Weighting Factors'!$Q$5</f>
        <v>63.8</v>
      </c>
      <c r="CN49" s="148">
        <v>0</v>
      </c>
      <c r="CO49" s="148">
        <v>0</v>
      </c>
      <c r="CP49" s="149">
        <v>0</v>
      </c>
      <c r="CQ49" s="151">
        <v>0</v>
      </c>
      <c r="CR49" s="99">
        <f>SUM((AV49*'Weighting Factors'!$Q$5)+'2019 Legal Max'!BA49)*CQ49</f>
        <v>0</v>
      </c>
      <c r="CS49" s="99">
        <f t="shared" si="35"/>
        <v>0</v>
      </c>
      <c r="CT49" s="106">
        <f t="shared" si="36"/>
        <v>0.37080000000000002</v>
      </c>
      <c r="CU49" s="95">
        <f t="shared" si="37"/>
        <v>0</v>
      </c>
      <c r="CV49" s="95">
        <f t="shared" si="38"/>
        <v>2.4</v>
      </c>
      <c r="CW49" s="95">
        <f t="shared" si="39"/>
        <v>900.5</v>
      </c>
      <c r="CX49" s="99">
        <f>'LOB Transfers'!G48</f>
        <v>107513</v>
      </c>
      <c r="CY49" s="99">
        <f>'LOB Transfers'!J48</f>
        <v>0</v>
      </c>
      <c r="CZ49" s="87" t="s">
        <v>241</v>
      </c>
    </row>
    <row r="50" spans="1:104" ht="15" customHeight="1">
      <c r="A50" s="88">
        <v>237</v>
      </c>
      <c r="B50" s="87" t="s">
        <v>24</v>
      </c>
      <c r="C50" s="87" t="s">
        <v>563</v>
      </c>
      <c r="D50" s="95">
        <v>369.5</v>
      </c>
      <c r="E50" s="95">
        <v>0</v>
      </c>
      <c r="F50" s="95">
        <f t="shared" si="5"/>
        <v>369.5</v>
      </c>
      <c r="G50" s="95">
        <v>395</v>
      </c>
      <c r="H50" s="95">
        <v>0</v>
      </c>
      <c r="I50" s="95">
        <f t="shared" si="6"/>
        <v>395</v>
      </c>
      <c r="J50" s="95">
        <v>396</v>
      </c>
      <c r="K50" s="95">
        <v>0</v>
      </c>
      <c r="L50" s="95">
        <f t="shared" si="7"/>
        <v>396</v>
      </c>
      <c r="M50" s="95">
        <f>IF(ISNA(VLOOKUP($CZ50,'Audit Values'!$A$2:$BW$365,2,FALSE)),'Preliminary SO66'!C49,VLOOKUP($CZ50,'Audit Values'!$A$2:$BW$365,73,FALSE))</f>
        <v>423.3</v>
      </c>
      <c r="N50" s="95">
        <f>IF(ISNA(VLOOKUP($CZ50,'Audit Values'!$A$2:$BW$365,2,FALSE)),'Preliminary SO66'!F49,VLOOKUP($CZ50,'Audit Values'!$A$2:$BW$365,4,FALSE))</f>
        <v>0</v>
      </c>
      <c r="O50" s="95">
        <f t="shared" si="8"/>
        <v>423.3</v>
      </c>
      <c r="P50" s="95">
        <f>IF('Military Provision'!J51="YES", MAX('2019 Legal Max'!L50,'2019 Legal Max'!I50,AVERAGE('2019 Legal Max'!F50,'2019 Legal Max'!I50,'2019 Legal Max'!L50)), MAX(L50, I50))</f>
        <v>396</v>
      </c>
      <c r="Q50" s="95">
        <f>IF(ISNA(VLOOKUP($CZ50,'Audit Values'!$A$2:$BU$353,2,FALSE)),'Preliminary SO66'!AL49,VLOOKUP($CZ50,'Audit Values'!$A$2:$BU$3955,58,FALSE))</f>
        <v>1.5</v>
      </c>
      <c r="R50" s="95">
        <v>0</v>
      </c>
      <c r="S50" s="95">
        <f t="shared" si="41"/>
        <v>397.5</v>
      </c>
      <c r="T50" s="95">
        <f t="shared" si="10"/>
        <v>179.3</v>
      </c>
      <c r="U50" s="95">
        <f>IF(ISNA(VLOOKUP($CZ50,'Audit Values'!$A$2:$BW$317,2,FALSE)),'Preliminary SO66'!AM49,VLOOKUP($CZ50,'Audit Values'!$A$2:$BW$317,62,FALSE))</f>
        <v>4</v>
      </c>
      <c r="V50" s="95">
        <f>(U50/6)*'Weighting Factors'!$Q$7</f>
        <v>0.3</v>
      </c>
      <c r="W50" s="132">
        <f>IF(ISNA(VLOOKUP($CZ50,'Audit Values'!$A$2:$BW$353,2,FALSE)),'Preliminary SO66'!AN49,VLOOKUP($CZ50,'Audit Values'!$A$2:$BW$353,61,FALSE))</f>
        <v>4</v>
      </c>
      <c r="X50" s="95">
        <f>W50*'Weighting Factors'!$Q$8</f>
        <v>0.7</v>
      </c>
      <c r="Y50" s="95">
        <f t="shared" si="11"/>
        <v>0.7</v>
      </c>
      <c r="Z50" s="276">
        <f>IF(ISNA(VLOOKUP($CZ50,'Audit Values'!$A$2:$BW$317,2,FALSE)),'Preliminary SO66'!AO49,VLOOKUP($CZ50,'Audit Values'!$A$2:$BW$317,60,FALSE))</f>
        <v>150.5</v>
      </c>
      <c r="AA50" s="95">
        <f>Z50/6*'Weighting Factors'!$Q$6</f>
        <v>12.5</v>
      </c>
      <c r="AB50" s="99">
        <f>IF(ISNA(VLOOKUP($CZ50,'Audit Values'!$A$2:$BU$353,2,FALSE)),'Preliminary SO66'!AS49,VLOOKUP($CZ50,'Audit Values'!$A$2:$BU$353,63,FALSE))</f>
        <v>434</v>
      </c>
      <c r="AC50" s="99">
        <v>0</v>
      </c>
      <c r="AD50" s="99">
        <f>IF(ISNA(VLOOKUP($CZ50,'Audit Values'!$A$2:$BU$353,2,FALSE)),'Preliminary SO66'!AP49,VLOOKUP($CZ50,'Audit Values'!$A$2:$BU$353,64,FALSE))</f>
        <v>154</v>
      </c>
      <c r="AE50" s="95">
        <f>IF(A50=207, AD50,MAX(AC50,AD50))*'Weighting Factors'!$Q$9</f>
        <v>74.5</v>
      </c>
      <c r="AF50" s="95">
        <f t="shared" si="12"/>
        <v>0.5</v>
      </c>
      <c r="AG50" s="95">
        <f>IF(ISNA(VLOOKUP($CZ50,'Audit Values'!$A$2:$BW$353,2,FALSE)),'Preliminary SO66'!AG49,VLOOKUP($CZ50,'Audit Values'!$A$2:$BW$353,70,FALSE))</f>
        <v>2.6</v>
      </c>
      <c r="AH50" s="95">
        <f t="shared" si="13"/>
        <v>2.6</v>
      </c>
      <c r="AI50" s="95">
        <f>IF(ISNA(VLOOKUP($CZ50,'Audit Values'!$A$2:$BU$353,2,FALSE)),'Preliminary SO66'!AQ49,VLOOKUP($CZ50,'Audit Values'!$A$2:$BU$353,65,FALSE))</f>
        <v>0</v>
      </c>
      <c r="AJ50" s="95">
        <f>AI50*'Weighting Factors'!$Q$10</f>
        <v>0</v>
      </c>
      <c r="AK50" s="95">
        <f>IF(ISNA(VLOOKUP($CZ50,'Audit Values'!$A$2:$BU$353,2,FALSE)),'Preliminary SO66'!AR49,VLOOKUP($CZ50,'Audit Values'!$A$2:$BU$353,66,FALSE))</f>
        <v>136</v>
      </c>
      <c r="AL50" s="95"/>
      <c r="AM50" s="99">
        <f t="shared" si="14"/>
        <v>170000</v>
      </c>
      <c r="AN50" s="99">
        <v>192215</v>
      </c>
      <c r="AO50" s="95">
        <f>MAX(AN50, AM50)/'Weighting Factors'!$Q$5</f>
        <v>46.2</v>
      </c>
      <c r="AP50" s="95">
        <f>CN50/'Weighting Factors'!$Q$5</f>
        <v>0</v>
      </c>
      <c r="AQ50" s="95">
        <v>0</v>
      </c>
      <c r="AR50" s="95">
        <f>CS50/'Weighting Factors'!$Q$5</f>
        <v>0</v>
      </c>
      <c r="AS50" s="99">
        <v>511115</v>
      </c>
      <c r="AT50" s="95">
        <f>AS50/'Weighting Factors'!$Q$5</f>
        <v>122.7</v>
      </c>
      <c r="AU50" s="95">
        <f>IF(ISNA(VLOOKUP($CZ50,'Audit Values'!$A$2:$BU$353,2,FALSE)),'Preliminary SO66'!X49,VLOOKUP($CZ50,'Audit Values'!$A$2:$BU$353,47,FALSE))</f>
        <v>0</v>
      </c>
      <c r="AV50" s="95">
        <f t="shared" si="15"/>
        <v>836</v>
      </c>
      <c r="AW50" s="95">
        <f t="shared" si="16"/>
        <v>713.3</v>
      </c>
      <c r="AX50" s="95">
        <f>IF(ISNA(VLOOKUP($CZ50,'Audit Values'!$A$2:$BU$353,2,FALSE)),'Preliminary SO66'!AA49,VLOOKUP($CZ50,'Audit Values'!$A$2:$BU$353,41,FALSE))</f>
        <v>0</v>
      </c>
      <c r="AY50" s="95">
        <f>IF(ISNA(VLOOKUP($CZ50,'Audit Values'!$A$2:$BU$353,2,FALSE)),'Preliminary SO66'!AB49,VLOOKUP($CZ50,'Audit Values'!$A$2:$BU$353,42,FALSE))</f>
        <v>0</v>
      </c>
      <c r="AZ50" s="114">
        <v>0</v>
      </c>
      <c r="BA50" s="99">
        <f>SUM(AX50*'Weighting Factors'!$T$10)+('2019 Legal Max'!AY50*'Weighting Factors'!$T$11)+('2019 Legal Max'!AZ50*'Weighting Factors'!$T$12)</f>
        <v>0</v>
      </c>
      <c r="BB50" s="158">
        <v>0</v>
      </c>
      <c r="BC50" s="88">
        <f>IF(ISNA(VLOOKUP($CZ50,'Audit Values'!$A$2:$BU$353,2,FALSE)),"",IF(AND('Weighting Factors'!H50&gt;0,VLOOKUP($CZ50,'Audit Values'!$A$2:$BU$353,51,FALSE)&lt;'Weighting Factors'!H50),'Weighting Factors'!H50,VLOOKUP($CZ50,'Audit Values'!$A$2:$BU$353,50,FALSE)))</f>
        <v>17</v>
      </c>
      <c r="BD50" s="88" t="str">
        <f>IF(ISNA(VLOOKUP($CZ50,'Audit Values'!$A$2:$BV$353,2,FALSE)),"",VLOOKUP($CZ50,'Audit Values'!$A$2:$BV$353,51,FALSE))</f>
        <v>A</v>
      </c>
      <c r="BE50" s="88" t="str">
        <f>IF('Weighting Factors'!H50="","",IF('Weighting Factors'!J50="Pending","PX","R"))</f>
        <v/>
      </c>
      <c r="BF50" s="97">
        <f>SUM((S50+T50+Y50+AA50+AE50+AH50+AJ50++AO50+AP50+AQ50+AU50+AR50)*'Weighting Factors'!$Q$5)+'2019 Legal Max'!BA50+'2019 Legal Max'!BB50</f>
        <v>2970895</v>
      </c>
      <c r="BG50" s="99">
        <f>SUM((AV50+AR50)*'Weighting Factors'!$Q$5)+BA50+'2019 Legal Max'!BB50</f>
        <v>3481940</v>
      </c>
      <c r="BH50" s="108">
        <f>IF('Weighting Factors'!H50&gt;0,'Weighting Factors'!H50,'Preliminary SO66'!AV49)</f>
        <v>3603558</v>
      </c>
      <c r="BI50" s="99">
        <f t="shared" si="40"/>
        <v>3481940</v>
      </c>
      <c r="BJ50" s="112"/>
      <c r="BK50" s="112">
        <f>'Weighting Factors'!F50</f>
        <v>-19845</v>
      </c>
      <c r="BL50" s="112">
        <f>'Weighting Factors'!E50</f>
        <v>0</v>
      </c>
      <c r="BM50" s="99">
        <f t="shared" si="17"/>
        <v>-19845</v>
      </c>
      <c r="BN50" s="99">
        <f t="shared" si="18"/>
        <v>3462095</v>
      </c>
      <c r="BO50" s="99">
        <f>SUM((S50+T50+Y50+AA50+AE50+AH50+AJ50++AO50+AP50+AQ50+AR50)*'Weighting Factors'!Q$12)+(MAX(AS50,'Weighting Factors'!B50))</f>
        <v>3788752</v>
      </c>
      <c r="BP50" s="122">
        <v>0.33</v>
      </c>
      <c r="BQ50" s="99">
        <f t="shared" si="19"/>
        <v>1250288</v>
      </c>
      <c r="BR50" s="108">
        <v>1265864</v>
      </c>
      <c r="BS50" s="99">
        <f t="shared" si="20"/>
        <v>1250288</v>
      </c>
      <c r="BT50" s="167">
        <f t="shared" si="21"/>
        <v>0.33</v>
      </c>
      <c r="BU50" s="95">
        <f t="shared" si="22"/>
        <v>0</v>
      </c>
      <c r="BV50" s="87" t="b">
        <f t="shared" si="23"/>
        <v>0</v>
      </c>
      <c r="BW50" s="117">
        <f t="shared" si="24"/>
        <v>0</v>
      </c>
      <c r="BX50" s="116">
        <f t="shared" si="25"/>
        <v>0</v>
      </c>
      <c r="BY50" s="95">
        <f t="shared" si="26"/>
        <v>0</v>
      </c>
      <c r="BZ50" s="87" t="b">
        <f t="shared" si="27"/>
        <v>1</v>
      </c>
      <c r="CA50" s="87">
        <f t="shared" si="28"/>
        <v>120.6563</v>
      </c>
      <c r="CB50" s="116">
        <f t="shared" si="29"/>
        <v>0.45106099999999999</v>
      </c>
      <c r="CC50" s="95">
        <f t="shared" si="30"/>
        <v>179.3</v>
      </c>
      <c r="CD50" s="95">
        <f t="shared" si="31"/>
        <v>0</v>
      </c>
      <c r="CE50" s="98">
        <v>599</v>
      </c>
      <c r="CF50" s="250">
        <f t="shared" si="32"/>
        <v>0.22700000000000001</v>
      </c>
      <c r="CG50" s="274">
        <f>IF(CF50&lt;0.06,1,IF(CF50&gt;=18.29,52,MATCH(CF50-0.001,'Weighting Factors'!$Y$5:$Y$156)+1))</f>
        <v>17</v>
      </c>
      <c r="CH50" s="243">
        <f>VLOOKUP(CG50, 'Weighting Factors'!$W$5:$Z$56,4)</f>
        <v>1250</v>
      </c>
      <c r="CI50" s="118">
        <f>('Weighting Factors'!$Q$5/'Weighting Factors'!$Q$14)</f>
        <v>1</v>
      </c>
      <c r="CJ50" s="245">
        <f t="shared" si="33"/>
        <v>170000</v>
      </c>
      <c r="CK50" s="245">
        <f>CJ50*'Weighting Factors'!$S$7</f>
        <v>170000</v>
      </c>
      <c r="CL50" s="245">
        <f t="shared" si="34"/>
        <v>170000</v>
      </c>
      <c r="CM50" s="95">
        <f>AM50/'Weighting Factors'!$Q$5</f>
        <v>40.799999999999997</v>
      </c>
      <c r="CN50" s="148">
        <v>0</v>
      </c>
      <c r="CO50" s="148">
        <v>0</v>
      </c>
      <c r="CP50" s="149">
        <v>0</v>
      </c>
      <c r="CQ50" s="151">
        <v>0</v>
      </c>
      <c r="CR50" s="99">
        <f>SUM((AV50*'Weighting Factors'!$Q$5)+'2019 Legal Max'!BA50)*CQ50</f>
        <v>0</v>
      </c>
      <c r="CS50" s="99">
        <f t="shared" si="35"/>
        <v>0</v>
      </c>
      <c r="CT50" s="106">
        <f t="shared" si="36"/>
        <v>0.3548</v>
      </c>
      <c r="CU50" s="95">
        <f t="shared" si="37"/>
        <v>0</v>
      </c>
      <c r="CV50" s="95">
        <f t="shared" si="38"/>
        <v>0.5</v>
      </c>
      <c r="CW50" s="95">
        <f t="shared" si="39"/>
        <v>836</v>
      </c>
      <c r="CX50" s="99">
        <f>'LOB Transfers'!G49</f>
        <v>111651</v>
      </c>
      <c r="CY50" s="99">
        <f>'LOB Transfers'!J49</f>
        <v>1000</v>
      </c>
      <c r="CZ50" s="87" t="s">
        <v>242</v>
      </c>
    </row>
    <row r="51" spans="1:104" ht="15" customHeight="1">
      <c r="A51" s="88">
        <v>239</v>
      </c>
      <c r="B51" s="87" t="s">
        <v>25</v>
      </c>
      <c r="C51" s="87" t="s">
        <v>564</v>
      </c>
      <c r="D51" s="95">
        <v>599.9</v>
      </c>
      <c r="E51" s="95">
        <v>0</v>
      </c>
      <c r="F51" s="95">
        <f t="shared" si="5"/>
        <v>599.9</v>
      </c>
      <c r="G51" s="95">
        <v>611.20000000000005</v>
      </c>
      <c r="H51" s="95">
        <v>0</v>
      </c>
      <c r="I51" s="95">
        <f t="shared" si="6"/>
        <v>611.20000000000005</v>
      </c>
      <c r="J51" s="95">
        <v>606</v>
      </c>
      <c r="K51" s="95">
        <v>0</v>
      </c>
      <c r="L51" s="95">
        <f t="shared" si="7"/>
        <v>606</v>
      </c>
      <c r="M51" s="95">
        <f>IF(ISNA(VLOOKUP($CZ51,'Audit Values'!$A$2:$BW$365,2,FALSE)),'Preliminary SO66'!C50,VLOOKUP($CZ51,'Audit Values'!$A$2:$BW$365,73,FALSE))</f>
        <v>594.79999999999995</v>
      </c>
      <c r="N51" s="95">
        <f>IF(ISNA(VLOOKUP($CZ51,'Audit Values'!$A$2:$BW$365,2,FALSE)),'Preliminary SO66'!F50,VLOOKUP($CZ51,'Audit Values'!$A$2:$BW$365,4,FALSE))</f>
        <v>0</v>
      </c>
      <c r="O51" s="95">
        <f t="shared" si="8"/>
        <v>594.79999999999995</v>
      </c>
      <c r="P51" s="95">
        <f>IF('Military Provision'!J52="YES", MAX('2019 Legal Max'!L51,'2019 Legal Max'!I51,AVERAGE('2019 Legal Max'!F51,'2019 Legal Max'!I51,'2019 Legal Max'!L51)), MAX(L51, I51))</f>
        <v>611.20000000000005</v>
      </c>
      <c r="Q51" s="95">
        <f>IF(ISNA(VLOOKUP($CZ51,'Audit Values'!$A$2:$BU$353,2,FALSE)),'Preliminary SO66'!AL50,VLOOKUP($CZ51,'Audit Values'!$A$2:$BU$3955,58,FALSE))</f>
        <v>0</v>
      </c>
      <c r="R51" s="95">
        <v>0</v>
      </c>
      <c r="S51" s="95">
        <f t="shared" si="41"/>
        <v>611.20000000000005</v>
      </c>
      <c r="T51" s="95">
        <f t="shared" si="10"/>
        <v>231.3</v>
      </c>
      <c r="U51" s="95">
        <f>IF(ISNA(VLOOKUP($CZ51,'Audit Values'!$A$2:$BW$317,2,FALSE)),'Preliminary SO66'!AM50,VLOOKUP($CZ51,'Audit Values'!$A$2:$BW$317,62,FALSE))</f>
        <v>0</v>
      </c>
      <c r="V51" s="95">
        <f>(U51/6)*'Weighting Factors'!$Q$7</f>
        <v>0</v>
      </c>
      <c r="W51" s="132">
        <f>IF(ISNA(VLOOKUP($CZ51,'Audit Values'!$A$2:$BW$353,2,FALSE)),'Preliminary SO66'!AN50,VLOOKUP($CZ51,'Audit Values'!$A$2:$BW$353,61,FALSE))</f>
        <v>0</v>
      </c>
      <c r="X51" s="95">
        <f>W51*'Weighting Factors'!$Q$8</f>
        <v>0</v>
      </c>
      <c r="Y51" s="95">
        <f t="shared" si="11"/>
        <v>0</v>
      </c>
      <c r="Z51" s="276">
        <f>IF(ISNA(VLOOKUP($CZ51,'Audit Values'!$A$2:$BW$317,2,FALSE)),'Preliminary SO66'!AO50,VLOOKUP($CZ51,'Audit Values'!$A$2:$BW$317,60,FALSE))</f>
        <v>102.9</v>
      </c>
      <c r="AA51" s="95">
        <f>Z51/6*'Weighting Factors'!$Q$6</f>
        <v>8.6</v>
      </c>
      <c r="AB51" s="99">
        <f>IF(ISNA(VLOOKUP($CZ51,'Audit Values'!$A$2:$BU$353,2,FALSE)),'Preliminary SO66'!AS50,VLOOKUP($CZ51,'Audit Values'!$A$2:$BU$353,63,FALSE))</f>
        <v>599</v>
      </c>
      <c r="AC51" s="99">
        <v>0</v>
      </c>
      <c r="AD51" s="99">
        <f>IF(ISNA(VLOOKUP($CZ51,'Audit Values'!$A$2:$BU$353,2,FALSE)),'Preliminary SO66'!AP50,VLOOKUP($CZ51,'Audit Values'!$A$2:$BU$353,64,FALSE))</f>
        <v>173</v>
      </c>
      <c r="AE51" s="95">
        <f>IF(A51=207, AD51,MAX(AC51,AD51))*'Weighting Factors'!$Q$9</f>
        <v>83.7</v>
      </c>
      <c r="AF51" s="95">
        <f t="shared" si="12"/>
        <v>0</v>
      </c>
      <c r="AG51" s="95">
        <f>IF(ISNA(VLOOKUP($CZ51,'Audit Values'!$A$2:$BW$353,2,FALSE)),'Preliminary SO66'!AG50,VLOOKUP($CZ51,'Audit Values'!$A$2:$BW$353,70,FALSE))</f>
        <v>0</v>
      </c>
      <c r="AH51" s="95">
        <f t="shared" si="13"/>
        <v>0</v>
      </c>
      <c r="AI51" s="95">
        <f>IF(ISNA(VLOOKUP($CZ51,'Audit Values'!$A$2:$BU$353,2,FALSE)),'Preliminary SO66'!AQ50,VLOOKUP($CZ51,'Audit Values'!$A$2:$BU$353,65,FALSE))</f>
        <v>107.7</v>
      </c>
      <c r="AJ51" s="95">
        <f>AI51*'Weighting Factors'!$Q$10</f>
        <v>26.9</v>
      </c>
      <c r="AK51" s="95">
        <f>IF(ISNA(VLOOKUP($CZ51,'Audit Values'!$A$2:$BU$353,2,FALSE)),'Preliminary SO66'!AR50,VLOOKUP($CZ51,'Audit Values'!$A$2:$BU$353,66,FALSE))</f>
        <v>162</v>
      </c>
      <c r="AL51" s="95"/>
      <c r="AM51" s="99">
        <f t="shared" si="14"/>
        <v>186300</v>
      </c>
      <c r="AN51" s="99">
        <v>234202</v>
      </c>
      <c r="AO51" s="95">
        <f>MAX(AN51, AM51)/'Weighting Factors'!$Q$5</f>
        <v>56.2</v>
      </c>
      <c r="AP51" s="95">
        <f>CN51/'Weighting Factors'!$Q$5</f>
        <v>0</v>
      </c>
      <c r="AQ51" s="95">
        <v>0</v>
      </c>
      <c r="AR51" s="95">
        <f>CS51/'Weighting Factors'!$Q$5</f>
        <v>0</v>
      </c>
      <c r="AS51" s="99">
        <v>728916</v>
      </c>
      <c r="AT51" s="95">
        <f>AS51/'Weighting Factors'!$Q$5</f>
        <v>175</v>
      </c>
      <c r="AU51" s="95">
        <f>IF(ISNA(VLOOKUP($CZ51,'Audit Values'!$A$2:$BU$353,2,FALSE)),'Preliminary SO66'!X50,VLOOKUP($CZ51,'Audit Values'!$A$2:$BU$353,47,FALSE))</f>
        <v>0</v>
      </c>
      <c r="AV51" s="95">
        <f t="shared" si="15"/>
        <v>1192.9000000000001</v>
      </c>
      <c r="AW51" s="95">
        <f t="shared" si="16"/>
        <v>1017.9</v>
      </c>
      <c r="AX51" s="95">
        <f>IF(ISNA(VLOOKUP($CZ51,'Audit Values'!$A$2:$BU$353,2,FALSE)),'Preliminary SO66'!AA50,VLOOKUP($CZ51,'Audit Values'!$A$2:$BU$353,41,FALSE))</f>
        <v>0</v>
      </c>
      <c r="AY51" s="95">
        <f>IF(ISNA(VLOOKUP($CZ51,'Audit Values'!$A$2:$BU$353,2,FALSE)),'Preliminary SO66'!AB50,VLOOKUP($CZ51,'Audit Values'!$A$2:$BU$353,42,FALSE))</f>
        <v>0</v>
      </c>
      <c r="AZ51" s="114">
        <v>0</v>
      </c>
      <c r="BA51" s="99">
        <f>SUM(AX51*'Weighting Factors'!$T$10)+('2019 Legal Max'!AY51*'Weighting Factors'!$T$11)+('2019 Legal Max'!AZ51*'Weighting Factors'!$T$12)</f>
        <v>0</v>
      </c>
      <c r="BB51" s="158">
        <v>0</v>
      </c>
      <c r="BC51" s="88">
        <f>IF(ISNA(VLOOKUP($CZ51,'Audit Values'!$A$2:$BU$353,2,FALSE)),"",IF(AND('Weighting Factors'!H51&gt;0,VLOOKUP($CZ51,'Audit Values'!$A$2:$BU$353,51,FALSE)&lt;'Weighting Factors'!H51),'Weighting Factors'!H51,VLOOKUP($CZ51,'Audit Values'!$A$2:$BU$353,50,FALSE)))</f>
        <v>17</v>
      </c>
      <c r="BD51" s="88" t="str">
        <f>IF(ISNA(VLOOKUP($CZ51,'Audit Values'!$A$2:$BV$353,2,FALSE)),"",VLOOKUP($CZ51,'Audit Values'!$A$2:$BV$353,51,FALSE))</f>
        <v>A</v>
      </c>
      <c r="BE51" s="88" t="str">
        <f>IF('Weighting Factors'!H51="","",IF('Weighting Factors'!J51="Pending","PX","R"))</f>
        <v/>
      </c>
      <c r="BF51" s="97">
        <f>SUM((S51+T51+Y51+AA51+AE51+AH51+AJ51++AO51+AP51+AQ51+AU51+AR51)*'Weighting Factors'!$Q$5)+'2019 Legal Max'!BA51+'2019 Legal Max'!BB51</f>
        <v>4239554</v>
      </c>
      <c r="BG51" s="99">
        <f>SUM((AV51+AR51)*'Weighting Factors'!$Q$5)+BA51+'2019 Legal Max'!BB51</f>
        <v>4968429</v>
      </c>
      <c r="BH51" s="108">
        <f>IF('Weighting Factors'!H51&gt;0,'Weighting Factors'!H51,'Preliminary SO66'!AV50)</f>
        <v>5038817</v>
      </c>
      <c r="BI51" s="99">
        <f t="shared" si="40"/>
        <v>4968429</v>
      </c>
      <c r="BJ51" s="112"/>
      <c r="BK51" s="112">
        <f>'Weighting Factors'!F51</f>
        <v>0</v>
      </c>
      <c r="BL51" s="112">
        <f>'Weighting Factors'!E51</f>
        <v>0</v>
      </c>
      <c r="BM51" s="99">
        <f t="shared" si="17"/>
        <v>0</v>
      </c>
      <c r="BN51" s="99">
        <f t="shared" si="18"/>
        <v>4968429</v>
      </c>
      <c r="BO51" s="99">
        <f>SUM((S51+T51+Y51+AA51+AE51+AH51+AJ51++AO51+AP51+AQ51+AR51)*'Weighting Factors'!Q$12)+(MAX(AS51,'Weighting Factors'!B51))</f>
        <v>5299287</v>
      </c>
      <c r="BP51" s="122">
        <v>0.33</v>
      </c>
      <c r="BQ51" s="99">
        <f t="shared" si="19"/>
        <v>1748765</v>
      </c>
      <c r="BR51" s="108">
        <v>1771996</v>
      </c>
      <c r="BS51" s="99">
        <f t="shared" si="20"/>
        <v>1748765</v>
      </c>
      <c r="BT51" s="167">
        <f t="shared" si="21"/>
        <v>0.33</v>
      </c>
      <c r="BU51" s="95">
        <f t="shared" si="22"/>
        <v>0</v>
      </c>
      <c r="BV51" s="87" t="b">
        <f t="shared" si="23"/>
        <v>0</v>
      </c>
      <c r="BW51" s="117">
        <f t="shared" si="24"/>
        <v>0</v>
      </c>
      <c r="BX51" s="116">
        <f t="shared" si="25"/>
        <v>0</v>
      </c>
      <c r="BY51" s="95">
        <f t="shared" si="26"/>
        <v>0</v>
      </c>
      <c r="BZ51" s="87" t="b">
        <f t="shared" si="27"/>
        <v>1</v>
      </c>
      <c r="CA51" s="87">
        <f t="shared" si="28"/>
        <v>385.11</v>
      </c>
      <c r="CB51" s="116">
        <f t="shared" si="29"/>
        <v>0.37845699999999999</v>
      </c>
      <c r="CC51" s="95">
        <f t="shared" si="30"/>
        <v>231.3</v>
      </c>
      <c r="CD51" s="95">
        <f t="shared" si="31"/>
        <v>0</v>
      </c>
      <c r="CE51" s="98">
        <v>418.5</v>
      </c>
      <c r="CF51" s="250">
        <f t="shared" si="32"/>
        <v>0.38700000000000001</v>
      </c>
      <c r="CG51" s="274">
        <f>IF(CF51&lt;0.06,1,IF(CF51&gt;=18.29,52,MATCH(CF51-0.001,'Weighting Factors'!$Y$5:$Y$156)+1))</f>
        <v>22</v>
      </c>
      <c r="CH51" s="243">
        <f>VLOOKUP(CG51, 'Weighting Factors'!$W$5:$Z$56,4)</f>
        <v>1150</v>
      </c>
      <c r="CI51" s="118">
        <f>('Weighting Factors'!$Q$5/'Weighting Factors'!$Q$14)</f>
        <v>1</v>
      </c>
      <c r="CJ51" s="245">
        <f t="shared" si="33"/>
        <v>186300</v>
      </c>
      <c r="CK51" s="245">
        <f>CJ51*'Weighting Factors'!$S$7</f>
        <v>186300</v>
      </c>
      <c r="CL51" s="245">
        <f t="shared" si="34"/>
        <v>186300</v>
      </c>
      <c r="CM51" s="95">
        <f>AM51/'Weighting Factors'!$Q$5</f>
        <v>44.7</v>
      </c>
      <c r="CN51" s="148">
        <v>0</v>
      </c>
      <c r="CO51" s="148">
        <v>0</v>
      </c>
      <c r="CP51" s="149">
        <v>0</v>
      </c>
      <c r="CQ51" s="151">
        <v>0</v>
      </c>
      <c r="CR51" s="99">
        <f>SUM((AV51*'Weighting Factors'!$Q$5)+'2019 Legal Max'!BA51)*CQ51</f>
        <v>0</v>
      </c>
      <c r="CS51" s="99">
        <f t="shared" si="35"/>
        <v>0</v>
      </c>
      <c r="CT51" s="106">
        <f t="shared" si="36"/>
        <v>0.2888</v>
      </c>
      <c r="CU51" s="95">
        <f t="shared" si="37"/>
        <v>0</v>
      </c>
      <c r="CV51" s="95">
        <f t="shared" si="38"/>
        <v>0</v>
      </c>
      <c r="CW51" s="95">
        <f t="shared" si="39"/>
        <v>1192.9000000000001</v>
      </c>
      <c r="CX51" s="99">
        <f>'LOB Transfers'!G50</f>
        <v>122763</v>
      </c>
      <c r="CY51" s="99">
        <f>'LOB Transfers'!J50</f>
        <v>0</v>
      </c>
      <c r="CZ51" s="87" t="s">
        <v>243</v>
      </c>
    </row>
    <row r="52" spans="1:104" ht="15" customHeight="1">
      <c r="A52" s="88">
        <v>240</v>
      </c>
      <c r="B52" s="87" t="s">
        <v>25</v>
      </c>
      <c r="C52" s="87" t="s">
        <v>565</v>
      </c>
      <c r="D52" s="95">
        <v>562.70000000000005</v>
      </c>
      <c r="E52" s="95">
        <v>0</v>
      </c>
      <c r="F52" s="95">
        <f t="shared" si="5"/>
        <v>562.70000000000005</v>
      </c>
      <c r="G52" s="95">
        <v>579.5</v>
      </c>
      <c r="H52" s="95">
        <v>0</v>
      </c>
      <c r="I52" s="95">
        <f t="shared" si="6"/>
        <v>579.5</v>
      </c>
      <c r="J52" s="95">
        <v>582.6</v>
      </c>
      <c r="K52" s="95">
        <v>0</v>
      </c>
      <c r="L52" s="95">
        <f t="shared" si="7"/>
        <v>582.6</v>
      </c>
      <c r="M52" s="95">
        <f>IF(ISNA(VLOOKUP($CZ52,'Audit Values'!$A$2:$BW$365,2,FALSE)),'Preliminary SO66'!C51,VLOOKUP($CZ52,'Audit Values'!$A$2:$BW$365,73,FALSE))</f>
        <v>562</v>
      </c>
      <c r="N52" s="95">
        <f>IF(ISNA(VLOOKUP($CZ52,'Audit Values'!$A$2:$BW$365,2,FALSE)),'Preliminary SO66'!F51,VLOOKUP($CZ52,'Audit Values'!$A$2:$BW$365,4,FALSE))</f>
        <v>0</v>
      </c>
      <c r="O52" s="95">
        <f t="shared" si="8"/>
        <v>562</v>
      </c>
      <c r="P52" s="95">
        <f>IF('Military Provision'!J53="YES", MAX('2019 Legal Max'!L52,'2019 Legal Max'!I52,AVERAGE('2019 Legal Max'!F52,'2019 Legal Max'!I52,'2019 Legal Max'!L52)), MAX(L52, I52))</f>
        <v>582.6</v>
      </c>
      <c r="Q52" s="95">
        <f>IF(ISNA(VLOOKUP($CZ52,'Audit Values'!$A$2:$BU$353,2,FALSE)),'Preliminary SO66'!AL51,VLOOKUP($CZ52,'Audit Values'!$A$2:$BU$3955,58,FALSE))</f>
        <v>11</v>
      </c>
      <c r="R52" s="95">
        <v>0</v>
      </c>
      <c r="S52" s="95">
        <f t="shared" ref="S52:S83" si="42">P52+Q52</f>
        <v>593.6</v>
      </c>
      <c r="T52" s="95">
        <f t="shared" si="10"/>
        <v>228.2</v>
      </c>
      <c r="U52" s="95">
        <f>IF(ISNA(VLOOKUP($CZ52,'Audit Values'!$A$2:$BW$317,2,FALSE)),'Preliminary SO66'!AM51,VLOOKUP($CZ52,'Audit Values'!$A$2:$BW$317,62,FALSE))</f>
        <v>0</v>
      </c>
      <c r="V52" s="95">
        <f>(U52/6)*'Weighting Factors'!$Q$7</f>
        <v>0</v>
      </c>
      <c r="W52" s="132">
        <f>IF(ISNA(VLOOKUP($CZ52,'Audit Values'!$A$2:$BW$353,2,FALSE)),'Preliminary SO66'!AN51,VLOOKUP($CZ52,'Audit Values'!$A$2:$BW$353,61,FALSE))</f>
        <v>0</v>
      </c>
      <c r="X52" s="95">
        <f>W52*'Weighting Factors'!$Q$8</f>
        <v>0</v>
      </c>
      <c r="Y52" s="95">
        <f t="shared" si="11"/>
        <v>0</v>
      </c>
      <c r="Z52" s="276">
        <f>IF(ISNA(VLOOKUP($CZ52,'Audit Values'!$A$2:$BW$317,2,FALSE)),'Preliminary SO66'!AO51,VLOOKUP($CZ52,'Audit Values'!$A$2:$BW$317,60,FALSE))</f>
        <v>169</v>
      </c>
      <c r="AA52" s="95">
        <f>Z52/6*'Weighting Factors'!$Q$6</f>
        <v>14.1</v>
      </c>
      <c r="AB52" s="99">
        <f>IF(ISNA(VLOOKUP($CZ52,'Audit Values'!$A$2:$BU$353,2,FALSE)),'Preliminary SO66'!AS51,VLOOKUP($CZ52,'Audit Values'!$A$2:$BU$353,63,FALSE))</f>
        <v>588</v>
      </c>
      <c r="AC52" s="99">
        <v>0</v>
      </c>
      <c r="AD52" s="99">
        <f>IF(ISNA(VLOOKUP($CZ52,'Audit Values'!$A$2:$BU$353,2,FALSE)),'Preliminary SO66'!AP51,VLOOKUP($CZ52,'Audit Values'!$A$2:$BU$353,64,FALSE))</f>
        <v>228</v>
      </c>
      <c r="AE52" s="95">
        <f>IF(A52=207, AD52,MAX(AC52,AD52))*'Weighting Factors'!$Q$9</f>
        <v>110.4</v>
      </c>
      <c r="AF52" s="95">
        <f t="shared" si="12"/>
        <v>6</v>
      </c>
      <c r="AG52" s="95">
        <f>IF(ISNA(VLOOKUP($CZ52,'Audit Values'!$A$2:$BW$353,2,FALSE)),'Preliminary SO66'!AG51,VLOOKUP($CZ52,'Audit Values'!$A$2:$BW$353,70,FALSE))</f>
        <v>9.5</v>
      </c>
      <c r="AH52" s="95">
        <f t="shared" si="13"/>
        <v>9.5</v>
      </c>
      <c r="AI52" s="95">
        <f>IF(ISNA(VLOOKUP($CZ52,'Audit Values'!$A$2:$BU$353,2,FALSE)),'Preliminary SO66'!AQ51,VLOOKUP($CZ52,'Audit Values'!$A$2:$BU$353,65,FALSE))</f>
        <v>0</v>
      </c>
      <c r="AJ52" s="95">
        <f>AI52*'Weighting Factors'!$Q$10</f>
        <v>0</v>
      </c>
      <c r="AK52" s="95">
        <f>IF(ISNA(VLOOKUP($CZ52,'Audit Values'!$A$2:$BU$353,2,FALSE)),'Preliminary SO66'!AR51,VLOOKUP($CZ52,'Audit Values'!$A$2:$BU$353,66,FALSE))</f>
        <v>179</v>
      </c>
      <c r="AL52" s="95"/>
      <c r="AM52" s="99">
        <f t="shared" si="14"/>
        <v>184370</v>
      </c>
      <c r="AN52" s="99">
        <v>209549</v>
      </c>
      <c r="AO52" s="95">
        <f>MAX(AN52, AM52)/'Weighting Factors'!$Q$5</f>
        <v>50.3</v>
      </c>
      <c r="AP52" s="95">
        <f>CN52/'Weighting Factors'!$Q$5</f>
        <v>0</v>
      </c>
      <c r="AQ52" s="95">
        <v>0</v>
      </c>
      <c r="AR52" s="95">
        <f>CS52/'Weighting Factors'!$Q$5</f>
        <v>0</v>
      </c>
      <c r="AS52" s="99">
        <v>606328</v>
      </c>
      <c r="AT52" s="95">
        <f>AS52/'Weighting Factors'!$Q$5</f>
        <v>145.6</v>
      </c>
      <c r="AU52" s="95">
        <f>IF(ISNA(VLOOKUP($CZ52,'Audit Values'!$A$2:$BU$353,2,FALSE)),'Preliminary SO66'!X51,VLOOKUP($CZ52,'Audit Values'!$A$2:$BU$353,47,FALSE))</f>
        <v>0</v>
      </c>
      <c r="AV52" s="95">
        <f t="shared" si="15"/>
        <v>1151.7</v>
      </c>
      <c r="AW52" s="95">
        <f t="shared" si="16"/>
        <v>1006.1</v>
      </c>
      <c r="AX52" s="95">
        <f>IF(ISNA(VLOOKUP($CZ52,'Audit Values'!$A$2:$BU$353,2,FALSE)),'Preliminary SO66'!AA51,VLOOKUP($CZ52,'Audit Values'!$A$2:$BU$353,41,FALSE))</f>
        <v>0</v>
      </c>
      <c r="AY52" s="95">
        <f>IF(ISNA(VLOOKUP($CZ52,'Audit Values'!$A$2:$BU$353,2,FALSE)),'Preliminary SO66'!AB51,VLOOKUP($CZ52,'Audit Values'!$A$2:$BU$353,42,FALSE))</f>
        <v>0</v>
      </c>
      <c r="AZ52" s="114">
        <v>0</v>
      </c>
      <c r="BA52" s="99">
        <f>SUM(AX52*'Weighting Factors'!$T$10)+('2019 Legal Max'!AY52*'Weighting Factors'!$T$11)+('2019 Legal Max'!AZ52*'Weighting Factors'!$T$12)</f>
        <v>0</v>
      </c>
      <c r="BB52" s="158">
        <v>0</v>
      </c>
      <c r="BC52" s="88">
        <f>IF(ISNA(VLOOKUP($CZ52,'Audit Values'!$A$2:$BU$353,2,FALSE)),"",IF(AND('Weighting Factors'!H52&gt;0,VLOOKUP($CZ52,'Audit Values'!$A$2:$BU$353,51,FALSE)&lt;'Weighting Factors'!H52),'Weighting Factors'!H52,VLOOKUP($CZ52,'Audit Values'!$A$2:$BU$353,50,FALSE)))</f>
        <v>18</v>
      </c>
      <c r="BD52" s="88" t="str">
        <f>IF(ISNA(VLOOKUP($CZ52,'Audit Values'!$A$2:$BV$353,2,FALSE)),"",VLOOKUP($CZ52,'Audit Values'!$A$2:$BV$353,51,FALSE))</f>
        <v>A</v>
      </c>
      <c r="BE52" s="88" t="str">
        <f>IF('Weighting Factors'!H52="","",IF('Weighting Factors'!J52="Pending","PX","R"))</f>
        <v>R</v>
      </c>
      <c r="BF52" s="97">
        <f>SUM((S52+T52+Y52+AA52+AE52+AH52+AJ52++AO52+AP52+AQ52+AU52+AR52)*'Weighting Factors'!$Q$5)+'2019 Legal Max'!BA52+'2019 Legal Max'!BB52</f>
        <v>4190407</v>
      </c>
      <c r="BG52" s="99">
        <f>SUM((AV52+AR52)*'Weighting Factors'!$Q$5)+BA52+'2019 Legal Max'!BB52</f>
        <v>4796831</v>
      </c>
      <c r="BH52" s="108">
        <f>IF('Weighting Factors'!H52&gt;0,'Weighting Factors'!H52,'Preliminary SO66'!AV51)</f>
        <v>4847644</v>
      </c>
      <c r="BI52" s="99">
        <f t="shared" si="40"/>
        <v>4796831</v>
      </c>
      <c r="BJ52" s="112"/>
      <c r="BK52" s="112">
        <f>'Weighting Factors'!F52</f>
        <v>0</v>
      </c>
      <c r="BL52" s="112">
        <f>'Weighting Factors'!E52</f>
        <v>0</v>
      </c>
      <c r="BM52" s="99">
        <f t="shared" si="17"/>
        <v>0</v>
      </c>
      <c r="BN52" s="99">
        <f t="shared" si="18"/>
        <v>4796831</v>
      </c>
      <c r="BO52" s="99">
        <f>SUM((S52+T52+Y52+AA52+AE52+AH52+AJ52++AO52+AP52+AQ52+AR52)*'Weighting Factors'!Q$12)+(MAX(AS52,'Weighting Factors'!B52))</f>
        <v>5123717</v>
      </c>
      <c r="BP52" s="122">
        <v>0.33</v>
      </c>
      <c r="BQ52" s="99">
        <f t="shared" si="19"/>
        <v>1690827</v>
      </c>
      <c r="BR52" s="108">
        <v>1701681</v>
      </c>
      <c r="BS52" s="99">
        <f t="shared" si="20"/>
        <v>1690827</v>
      </c>
      <c r="BT52" s="167">
        <f t="shared" si="21"/>
        <v>0.33</v>
      </c>
      <c r="BU52" s="95">
        <f t="shared" si="22"/>
        <v>0</v>
      </c>
      <c r="BV52" s="87" t="b">
        <f t="shared" si="23"/>
        <v>0</v>
      </c>
      <c r="BW52" s="117">
        <f t="shared" si="24"/>
        <v>0</v>
      </c>
      <c r="BX52" s="116">
        <f t="shared" si="25"/>
        <v>0</v>
      </c>
      <c r="BY52" s="95">
        <f t="shared" si="26"/>
        <v>0</v>
      </c>
      <c r="BZ52" s="87" t="b">
        <f t="shared" si="27"/>
        <v>1</v>
      </c>
      <c r="CA52" s="87">
        <f t="shared" si="28"/>
        <v>363.33</v>
      </c>
      <c r="CB52" s="116">
        <f t="shared" si="29"/>
        <v>0.384436</v>
      </c>
      <c r="CC52" s="95">
        <f t="shared" si="30"/>
        <v>228.2</v>
      </c>
      <c r="CD52" s="95">
        <f t="shared" si="31"/>
        <v>0</v>
      </c>
      <c r="CE52" s="98">
        <v>269.3</v>
      </c>
      <c r="CF52" s="250">
        <f t="shared" si="32"/>
        <v>0.66500000000000004</v>
      </c>
      <c r="CG52" s="274">
        <f>IF(CF52&lt;0.06,1,IF(CF52&gt;=18.29,52,MATCH(CF52-0.001,'Weighting Factors'!$Y$5:$Y$156)+1))</f>
        <v>28</v>
      </c>
      <c r="CH52" s="243">
        <f>VLOOKUP(CG52, 'Weighting Factors'!$W$5:$Z$56,4)</f>
        <v>1030</v>
      </c>
      <c r="CI52" s="118">
        <f>('Weighting Factors'!$Q$5/'Weighting Factors'!$Q$14)</f>
        <v>1</v>
      </c>
      <c r="CJ52" s="245">
        <f t="shared" si="33"/>
        <v>184370</v>
      </c>
      <c r="CK52" s="245">
        <f>CJ52*'Weighting Factors'!$S$7</f>
        <v>184370</v>
      </c>
      <c r="CL52" s="245">
        <f t="shared" si="34"/>
        <v>184370</v>
      </c>
      <c r="CM52" s="95">
        <f>AM52/'Weighting Factors'!$Q$5</f>
        <v>44.3</v>
      </c>
      <c r="CN52" s="148">
        <v>0</v>
      </c>
      <c r="CO52" s="148">
        <v>0</v>
      </c>
      <c r="CP52" s="149">
        <v>0</v>
      </c>
      <c r="CQ52" s="151">
        <v>0</v>
      </c>
      <c r="CR52" s="99">
        <f>SUM((AV52*'Weighting Factors'!$Q$5)+'2019 Legal Max'!BA52)*CQ52</f>
        <v>0</v>
      </c>
      <c r="CS52" s="99">
        <f t="shared" si="35"/>
        <v>0</v>
      </c>
      <c r="CT52" s="106">
        <f t="shared" si="36"/>
        <v>0.38779999999999998</v>
      </c>
      <c r="CU52" s="95">
        <f t="shared" si="37"/>
        <v>0</v>
      </c>
      <c r="CV52" s="95">
        <f t="shared" si="38"/>
        <v>6</v>
      </c>
      <c r="CW52" s="95">
        <f t="shared" si="39"/>
        <v>1151.7</v>
      </c>
      <c r="CX52" s="99">
        <f>'LOB Transfers'!G51</f>
        <v>163672</v>
      </c>
      <c r="CY52" s="99">
        <f>'LOB Transfers'!J51</f>
        <v>0</v>
      </c>
      <c r="CZ52" s="87" t="s">
        <v>244</v>
      </c>
    </row>
    <row r="53" spans="1:104" ht="15" customHeight="1">
      <c r="A53" s="88">
        <v>241</v>
      </c>
      <c r="B53" s="87" t="s">
        <v>26</v>
      </c>
      <c r="C53" s="87" t="s">
        <v>566</v>
      </c>
      <c r="D53" s="95">
        <v>172.5</v>
      </c>
      <c r="E53" s="95">
        <v>0</v>
      </c>
      <c r="F53" s="95">
        <f t="shared" si="5"/>
        <v>172.5</v>
      </c>
      <c r="G53" s="95">
        <v>200.5</v>
      </c>
      <c r="H53" s="95">
        <v>0</v>
      </c>
      <c r="I53" s="95">
        <f t="shared" si="6"/>
        <v>200.5</v>
      </c>
      <c r="J53" s="95">
        <v>199.5</v>
      </c>
      <c r="K53" s="95">
        <v>0</v>
      </c>
      <c r="L53" s="95">
        <f t="shared" si="7"/>
        <v>199.5</v>
      </c>
      <c r="M53" s="95">
        <f>IF(ISNA(VLOOKUP($CZ53,'Audit Values'!$A$2:$BW$365,2,FALSE)),'Preliminary SO66'!C52,VLOOKUP($CZ53,'Audit Values'!$A$2:$BW$365,73,FALSE))</f>
        <v>198</v>
      </c>
      <c r="N53" s="95">
        <f>IF(ISNA(VLOOKUP($CZ53,'Audit Values'!$A$2:$BW$365,2,FALSE)),'Preliminary SO66'!F52,VLOOKUP($CZ53,'Audit Values'!$A$2:$BW$365,4,FALSE))</f>
        <v>0</v>
      </c>
      <c r="O53" s="95">
        <f t="shared" si="8"/>
        <v>198</v>
      </c>
      <c r="P53" s="95">
        <f>IF('Military Provision'!J54="YES", MAX('2019 Legal Max'!L53,'2019 Legal Max'!I53,AVERAGE('2019 Legal Max'!F53,'2019 Legal Max'!I53,'2019 Legal Max'!L53)), MAX(L53, I53))</f>
        <v>200.5</v>
      </c>
      <c r="Q53" s="95">
        <f>IF(ISNA(VLOOKUP($CZ53,'Audit Values'!$A$2:$BU$353,2,FALSE)),'Preliminary SO66'!AL52,VLOOKUP($CZ53,'Audit Values'!$A$2:$BU$3955,58,FALSE))</f>
        <v>0</v>
      </c>
      <c r="R53" s="95">
        <v>0</v>
      </c>
      <c r="S53" s="95">
        <f t="shared" si="42"/>
        <v>200.5</v>
      </c>
      <c r="T53" s="95">
        <f t="shared" si="10"/>
        <v>150</v>
      </c>
      <c r="U53" s="95">
        <f>IF(ISNA(VLOOKUP($CZ53,'Audit Values'!$A$2:$BW$317,2,FALSE)),'Preliminary SO66'!AM52,VLOOKUP($CZ53,'Audit Values'!$A$2:$BW$317,62,FALSE))</f>
        <v>0</v>
      </c>
      <c r="V53" s="95">
        <f>(U53/6)*'Weighting Factors'!$Q$7</f>
        <v>0</v>
      </c>
      <c r="W53" s="132">
        <f>IF(ISNA(VLOOKUP($CZ53,'Audit Values'!$A$2:$BW$353,2,FALSE)),'Preliminary SO66'!AN52,VLOOKUP($CZ53,'Audit Values'!$A$2:$BW$353,61,FALSE))</f>
        <v>2</v>
      </c>
      <c r="X53" s="95">
        <f>W53*'Weighting Factors'!$Q$8</f>
        <v>0.4</v>
      </c>
      <c r="Y53" s="95">
        <f t="shared" si="11"/>
        <v>0.4</v>
      </c>
      <c r="Z53" s="276">
        <f>IF(ISNA(VLOOKUP($CZ53,'Audit Values'!$A$2:$BW$317,2,FALSE)),'Preliminary SO66'!AO52,VLOOKUP($CZ53,'Audit Values'!$A$2:$BW$317,60,FALSE))</f>
        <v>0</v>
      </c>
      <c r="AA53" s="95">
        <f>Z53/6*'Weighting Factors'!$Q$6</f>
        <v>0</v>
      </c>
      <c r="AB53" s="99">
        <f>IF(ISNA(VLOOKUP($CZ53,'Audit Values'!$A$2:$BU$353,2,FALSE)),'Preliminary SO66'!AS52,VLOOKUP($CZ53,'Audit Values'!$A$2:$BU$353,63,FALSE))</f>
        <v>200</v>
      </c>
      <c r="AC53" s="99">
        <v>0</v>
      </c>
      <c r="AD53" s="99">
        <f>IF(ISNA(VLOOKUP($CZ53,'Audit Values'!$A$2:$BU$353,2,FALSE)),'Preliminary SO66'!AP52,VLOOKUP($CZ53,'Audit Values'!$A$2:$BU$353,64,FALSE))</f>
        <v>50</v>
      </c>
      <c r="AE53" s="95">
        <f>IF(A53=207, AD53,MAX(AC53,AD53))*'Weighting Factors'!$Q$9</f>
        <v>24.2</v>
      </c>
      <c r="AF53" s="95">
        <f t="shared" si="12"/>
        <v>0</v>
      </c>
      <c r="AG53" s="95">
        <f>IF(ISNA(VLOOKUP($CZ53,'Audit Values'!$A$2:$BW$353,2,FALSE)),'Preliminary SO66'!AG52,VLOOKUP($CZ53,'Audit Values'!$A$2:$BW$353,70,FALSE))</f>
        <v>0</v>
      </c>
      <c r="AH53" s="95">
        <f t="shared" si="13"/>
        <v>0</v>
      </c>
      <c r="AI53" s="95">
        <f>IF(ISNA(VLOOKUP($CZ53,'Audit Values'!$A$2:$BU$353,2,FALSE)),'Preliminary SO66'!AQ52,VLOOKUP($CZ53,'Audit Values'!$A$2:$BU$353,65,FALSE))</f>
        <v>0</v>
      </c>
      <c r="AJ53" s="95">
        <f>AI53*'Weighting Factors'!$Q$10</f>
        <v>0</v>
      </c>
      <c r="AK53" s="95">
        <f>IF(ISNA(VLOOKUP($CZ53,'Audit Values'!$A$2:$BU$353,2,FALSE)),'Preliminary SO66'!AR52,VLOOKUP($CZ53,'Audit Values'!$A$2:$BU$353,66,FALSE))</f>
        <v>55</v>
      </c>
      <c r="AL53" s="95"/>
      <c r="AM53" s="99">
        <f t="shared" si="14"/>
        <v>82500</v>
      </c>
      <c r="AN53" s="99">
        <v>107471</v>
      </c>
      <c r="AO53" s="95">
        <f>MAX(AN53, AM53)/'Weighting Factors'!$Q$5</f>
        <v>25.8</v>
      </c>
      <c r="AP53" s="95">
        <f>CN53/'Weighting Factors'!$Q$5</f>
        <v>0</v>
      </c>
      <c r="AQ53" s="95">
        <v>0</v>
      </c>
      <c r="AR53" s="95">
        <f>CS53/'Weighting Factors'!$Q$5</f>
        <v>0</v>
      </c>
      <c r="AS53" s="99">
        <v>156703</v>
      </c>
      <c r="AT53" s="95">
        <f>AS53/'Weighting Factors'!$Q$5</f>
        <v>37.6</v>
      </c>
      <c r="AU53" s="95">
        <f>IF(ISNA(VLOOKUP($CZ53,'Audit Values'!$A$2:$BU$353,2,FALSE)),'Preliminary SO66'!X52,VLOOKUP($CZ53,'Audit Values'!$A$2:$BU$353,47,FALSE))</f>
        <v>0</v>
      </c>
      <c r="AV53" s="95">
        <f t="shared" si="15"/>
        <v>438.5</v>
      </c>
      <c r="AW53" s="95">
        <f t="shared" si="16"/>
        <v>400.9</v>
      </c>
      <c r="AX53" s="95">
        <f>IF(ISNA(VLOOKUP($CZ53,'Audit Values'!$A$2:$BU$353,2,FALSE)),'Preliminary SO66'!AA52,VLOOKUP($CZ53,'Audit Values'!$A$2:$BU$353,41,FALSE))</f>
        <v>0</v>
      </c>
      <c r="AY53" s="95">
        <f>IF(ISNA(VLOOKUP($CZ53,'Audit Values'!$A$2:$BU$353,2,FALSE)),'Preliminary SO66'!AB52,VLOOKUP($CZ53,'Audit Values'!$A$2:$BU$353,42,FALSE))</f>
        <v>0</v>
      </c>
      <c r="AZ53" s="114">
        <v>0</v>
      </c>
      <c r="BA53" s="99">
        <f>SUM(AX53*'Weighting Factors'!$T$10)+('2019 Legal Max'!AY53*'Weighting Factors'!$T$11)+('2019 Legal Max'!AZ53*'Weighting Factors'!$T$12)</f>
        <v>0</v>
      </c>
      <c r="BB53" s="158">
        <v>0</v>
      </c>
      <c r="BC53" s="88">
        <f>IF(ISNA(VLOOKUP($CZ53,'Audit Values'!$A$2:$BU$353,2,FALSE)),"",IF(AND('Weighting Factors'!H53&gt;0,VLOOKUP($CZ53,'Audit Values'!$A$2:$BU$353,51,FALSE)&lt;'Weighting Factors'!H53),'Weighting Factors'!H53,VLOOKUP($CZ53,'Audit Values'!$A$2:$BU$353,50,FALSE)))</f>
        <v>16</v>
      </c>
      <c r="BD53" s="88" t="str">
        <f>IF(ISNA(VLOOKUP($CZ53,'Audit Values'!$A$2:$BV$353,2,FALSE)),"",VLOOKUP($CZ53,'Audit Values'!$A$2:$BV$353,51,FALSE))</f>
        <v>A</v>
      </c>
      <c r="BE53" s="88" t="str">
        <f>IF('Weighting Factors'!H53="","",IF('Weighting Factors'!J53="Pending","PX","R"))</f>
        <v/>
      </c>
      <c r="BF53" s="97">
        <f>SUM((S53+T53+Y53+AA53+AE53+AH53+AJ53++AO53+AP53+AQ53+AU53+AR53)*'Weighting Factors'!$Q$5)+'2019 Legal Max'!BA53+'2019 Legal Max'!BB53</f>
        <v>1669749</v>
      </c>
      <c r="BG53" s="99">
        <f>SUM((AV53+AR53)*'Weighting Factors'!$Q$5)+BA53+'2019 Legal Max'!BB53</f>
        <v>1826353</v>
      </c>
      <c r="BH53" s="108">
        <f>IF('Weighting Factors'!H53&gt;0,'Weighting Factors'!H53,'Preliminary SO66'!AV52)</f>
        <v>1917150</v>
      </c>
      <c r="BI53" s="99">
        <f t="shared" si="40"/>
        <v>1826353</v>
      </c>
      <c r="BJ53" s="112"/>
      <c r="BK53" s="112">
        <f>'Weighting Factors'!F53</f>
        <v>-15913</v>
      </c>
      <c r="BL53" s="112">
        <f>'Weighting Factors'!E53</f>
        <v>0</v>
      </c>
      <c r="BM53" s="99">
        <f t="shared" si="17"/>
        <v>-15913</v>
      </c>
      <c r="BN53" s="99">
        <f t="shared" si="18"/>
        <v>1810440</v>
      </c>
      <c r="BO53" s="99">
        <f>SUM((S53+T53+Y53+AA53+AE53+AH53+AJ53++AO53+AP53+AQ53+AR53)*'Weighting Factors'!Q$12)+(MAX(AS53,'Weighting Factors'!B53))</f>
        <v>1956815</v>
      </c>
      <c r="BP53" s="122">
        <v>0.3</v>
      </c>
      <c r="BQ53" s="99">
        <f t="shared" si="19"/>
        <v>587045</v>
      </c>
      <c r="BR53" s="108">
        <v>616010</v>
      </c>
      <c r="BS53" s="99">
        <f t="shared" si="20"/>
        <v>587045</v>
      </c>
      <c r="BT53" s="167">
        <f t="shared" si="21"/>
        <v>0.3</v>
      </c>
      <c r="BU53" s="95">
        <f t="shared" si="22"/>
        <v>0</v>
      </c>
      <c r="BV53" s="87" t="b">
        <f t="shared" si="23"/>
        <v>1</v>
      </c>
      <c r="BW53" s="117">
        <f t="shared" si="24"/>
        <v>970.32799999999997</v>
      </c>
      <c r="BX53" s="116">
        <f t="shared" si="25"/>
        <v>0.74793299999999996</v>
      </c>
      <c r="BY53" s="95">
        <f t="shared" si="26"/>
        <v>150</v>
      </c>
      <c r="BZ53" s="87" t="b">
        <f t="shared" si="27"/>
        <v>0</v>
      </c>
      <c r="CA53" s="87">
        <f t="shared" si="28"/>
        <v>0</v>
      </c>
      <c r="CB53" s="116">
        <f t="shared" si="29"/>
        <v>0</v>
      </c>
      <c r="CC53" s="95">
        <f t="shared" si="30"/>
        <v>0</v>
      </c>
      <c r="CD53" s="95">
        <f t="shared" si="31"/>
        <v>0</v>
      </c>
      <c r="CE53" s="98">
        <v>681.5</v>
      </c>
      <c r="CF53" s="250">
        <f t="shared" si="32"/>
        <v>8.1000000000000003E-2</v>
      </c>
      <c r="CG53" s="274">
        <f>IF(CF53&lt;0.06,1,IF(CF53&gt;=18.29,52,MATCH(CF53-0.001,'Weighting Factors'!$Y$5:$Y$156)+1))</f>
        <v>4</v>
      </c>
      <c r="CH53" s="243">
        <f>VLOOKUP(CG53, 'Weighting Factors'!$W$5:$Z$56,4)</f>
        <v>1500</v>
      </c>
      <c r="CI53" s="118">
        <f>('Weighting Factors'!$Q$5/'Weighting Factors'!$Q$14)</f>
        <v>1</v>
      </c>
      <c r="CJ53" s="245">
        <f t="shared" si="33"/>
        <v>82500</v>
      </c>
      <c r="CK53" s="245">
        <f>CJ53*'Weighting Factors'!$S$7</f>
        <v>82500</v>
      </c>
      <c r="CL53" s="245">
        <f t="shared" si="34"/>
        <v>82500</v>
      </c>
      <c r="CM53" s="95">
        <f>AM53/'Weighting Factors'!$Q$5</f>
        <v>19.8</v>
      </c>
      <c r="CN53" s="148">
        <v>0</v>
      </c>
      <c r="CO53" s="148">
        <v>0</v>
      </c>
      <c r="CP53" s="149">
        <v>0</v>
      </c>
      <c r="CQ53" s="151">
        <v>0</v>
      </c>
      <c r="CR53" s="99">
        <f>SUM((AV53*'Weighting Factors'!$Q$5)+'2019 Legal Max'!BA53)*CQ53</f>
        <v>0</v>
      </c>
      <c r="CS53" s="99">
        <f t="shared" si="35"/>
        <v>0</v>
      </c>
      <c r="CT53" s="106">
        <f t="shared" si="36"/>
        <v>0.25</v>
      </c>
      <c r="CU53" s="95">
        <f t="shared" si="37"/>
        <v>0</v>
      </c>
      <c r="CV53" s="95">
        <f t="shared" si="38"/>
        <v>0</v>
      </c>
      <c r="CW53" s="95">
        <f t="shared" si="39"/>
        <v>438.5</v>
      </c>
      <c r="CX53" s="99">
        <f>'LOB Transfers'!G52</f>
        <v>32405</v>
      </c>
      <c r="CY53" s="99">
        <f>'LOB Transfers'!J52</f>
        <v>528</v>
      </c>
      <c r="CZ53" s="87" t="s">
        <v>245</v>
      </c>
    </row>
    <row r="54" spans="1:104" ht="15" customHeight="1">
      <c r="A54" s="88">
        <v>242</v>
      </c>
      <c r="B54" s="87" t="s">
        <v>26</v>
      </c>
      <c r="C54" s="87" t="s">
        <v>567</v>
      </c>
      <c r="D54" s="95">
        <v>92.5</v>
      </c>
      <c r="E54" s="95">
        <v>0</v>
      </c>
      <c r="F54" s="95">
        <f t="shared" si="5"/>
        <v>92.5</v>
      </c>
      <c r="G54" s="95">
        <v>102.5</v>
      </c>
      <c r="H54" s="95">
        <v>0</v>
      </c>
      <c r="I54" s="95">
        <f t="shared" si="6"/>
        <v>102.5</v>
      </c>
      <c r="J54" s="95">
        <v>103.5</v>
      </c>
      <c r="K54" s="95">
        <v>0</v>
      </c>
      <c r="L54" s="95">
        <f t="shared" si="7"/>
        <v>103.5</v>
      </c>
      <c r="M54" s="95">
        <f>IF(ISNA(VLOOKUP($CZ54,'Audit Values'!$A$2:$BW$365,2,FALSE)),'Preliminary SO66'!C53,VLOOKUP($CZ54,'Audit Values'!$A$2:$BW$365,73,FALSE))</f>
        <v>99.5</v>
      </c>
      <c r="N54" s="95">
        <f>IF(ISNA(VLOOKUP($CZ54,'Audit Values'!$A$2:$BW$365,2,FALSE)),'Preliminary SO66'!F53,VLOOKUP($CZ54,'Audit Values'!$A$2:$BW$365,4,FALSE))</f>
        <v>0</v>
      </c>
      <c r="O54" s="95">
        <f t="shared" si="8"/>
        <v>99.5</v>
      </c>
      <c r="P54" s="95">
        <f>IF('Military Provision'!J55="YES", MAX('2019 Legal Max'!L54,'2019 Legal Max'!I54,AVERAGE('2019 Legal Max'!F54,'2019 Legal Max'!I54,'2019 Legal Max'!L54)), MAX(L54, I54))</f>
        <v>103.5</v>
      </c>
      <c r="Q54" s="95">
        <f>IF(ISNA(VLOOKUP($CZ54,'Audit Values'!$A$2:$BU$353,2,FALSE)),'Preliminary SO66'!AL53,VLOOKUP($CZ54,'Audit Values'!$A$2:$BU$3955,58,FALSE))</f>
        <v>0</v>
      </c>
      <c r="R54" s="95">
        <v>0</v>
      </c>
      <c r="S54" s="95">
        <f t="shared" si="42"/>
        <v>103.5</v>
      </c>
      <c r="T54" s="95">
        <f t="shared" si="10"/>
        <v>104</v>
      </c>
      <c r="U54" s="95">
        <f>IF(ISNA(VLOOKUP($CZ54,'Audit Values'!$A$2:$BW$317,2,FALSE)),'Preliminary SO66'!AM53,VLOOKUP($CZ54,'Audit Values'!$A$2:$BW$317,62,FALSE))</f>
        <v>10.6</v>
      </c>
      <c r="V54" s="95">
        <f>(U54/6)*'Weighting Factors'!$Q$7</f>
        <v>0.7</v>
      </c>
      <c r="W54" s="132">
        <f>IF(ISNA(VLOOKUP($CZ54,'Audit Values'!$A$2:$BW$353,2,FALSE)),'Preliminary SO66'!AN53,VLOOKUP($CZ54,'Audit Values'!$A$2:$BW$353,61,FALSE))</f>
        <v>3</v>
      </c>
      <c r="X54" s="95">
        <f>W54*'Weighting Factors'!$Q$8</f>
        <v>0.6</v>
      </c>
      <c r="Y54" s="95">
        <f t="shared" si="11"/>
        <v>0.7</v>
      </c>
      <c r="Z54" s="276">
        <f>IF(ISNA(VLOOKUP($CZ54,'Audit Values'!$A$2:$BW$317,2,FALSE)),'Preliminary SO66'!AO53,VLOOKUP($CZ54,'Audit Values'!$A$2:$BW$317,60,FALSE))</f>
        <v>21.9</v>
      </c>
      <c r="AA54" s="95">
        <f>Z54/6*'Weighting Factors'!$Q$6</f>
        <v>1.8</v>
      </c>
      <c r="AB54" s="99">
        <f>IF(ISNA(VLOOKUP($CZ54,'Audit Values'!$A$2:$BU$353,2,FALSE)),'Preliminary SO66'!AS53,VLOOKUP($CZ54,'Audit Values'!$A$2:$BU$353,63,FALSE))</f>
        <v>100</v>
      </c>
      <c r="AC54" s="99">
        <v>0</v>
      </c>
      <c r="AD54" s="99">
        <f>IF(ISNA(VLOOKUP($CZ54,'Audit Values'!$A$2:$BU$353,2,FALSE)),'Preliminary SO66'!AP53,VLOOKUP($CZ54,'Audit Values'!$A$2:$BU$353,64,FALSE))</f>
        <v>25</v>
      </c>
      <c r="AE54" s="95">
        <f>IF(A54=207, AD54,MAX(AC54,AD54))*'Weighting Factors'!$Q$9</f>
        <v>12.1</v>
      </c>
      <c r="AF54" s="95">
        <f t="shared" si="12"/>
        <v>0</v>
      </c>
      <c r="AG54" s="95">
        <f>IF(ISNA(VLOOKUP($CZ54,'Audit Values'!$A$2:$BW$353,2,FALSE)),'Preliminary SO66'!AG53,VLOOKUP($CZ54,'Audit Values'!$A$2:$BW$353,70,FALSE))</f>
        <v>0</v>
      </c>
      <c r="AH54" s="95">
        <f t="shared" si="13"/>
        <v>0</v>
      </c>
      <c r="AI54" s="95">
        <f>IF(ISNA(VLOOKUP($CZ54,'Audit Values'!$A$2:$BU$353,2,FALSE)),'Preliminary SO66'!AQ53,VLOOKUP($CZ54,'Audit Values'!$A$2:$BU$353,65,FALSE))</f>
        <v>0</v>
      </c>
      <c r="AJ54" s="95">
        <f>AI54*'Weighting Factors'!$Q$10</f>
        <v>0</v>
      </c>
      <c r="AK54" s="95">
        <f>IF(ISNA(VLOOKUP($CZ54,'Audit Values'!$A$2:$BU$353,2,FALSE)),'Preliminary SO66'!AR53,VLOOKUP($CZ54,'Audit Values'!$A$2:$BU$353,66,FALSE))</f>
        <v>27</v>
      </c>
      <c r="AL54" s="95"/>
      <c r="AM54" s="99">
        <f t="shared" si="14"/>
        <v>38610</v>
      </c>
      <c r="AN54" s="99">
        <v>53158</v>
      </c>
      <c r="AO54" s="95">
        <f>MAX(AN54, AM54)/'Weighting Factors'!$Q$5</f>
        <v>12.8</v>
      </c>
      <c r="AP54" s="95">
        <f>CN54/'Weighting Factors'!$Q$5</f>
        <v>0</v>
      </c>
      <c r="AQ54" s="95">
        <v>0</v>
      </c>
      <c r="AR54" s="95">
        <f>CS54/'Weighting Factors'!$Q$5</f>
        <v>0</v>
      </c>
      <c r="AS54" s="99">
        <v>115291</v>
      </c>
      <c r="AT54" s="95">
        <f>AS54/'Weighting Factors'!$Q$5</f>
        <v>27.7</v>
      </c>
      <c r="AU54" s="95">
        <f>IF(ISNA(VLOOKUP($CZ54,'Audit Values'!$A$2:$BU$353,2,FALSE)),'Preliminary SO66'!X53,VLOOKUP($CZ54,'Audit Values'!$A$2:$BU$353,47,FALSE))</f>
        <v>0</v>
      </c>
      <c r="AV54" s="95">
        <f t="shared" si="15"/>
        <v>262.60000000000002</v>
      </c>
      <c r="AW54" s="95">
        <f t="shared" si="16"/>
        <v>234.9</v>
      </c>
      <c r="AX54" s="95">
        <f>IF(ISNA(VLOOKUP($CZ54,'Audit Values'!$A$2:$BU$353,2,FALSE)),'Preliminary SO66'!AA53,VLOOKUP($CZ54,'Audit Values'!$A$2:$BU$353,41,FALSE))</f>
        <v>0</v>
      </c>
      <c r="AY54" s="95">
        <f>IF(ISNA(VLOOKUP($CZ54,'Audit Values'!$A$2:$BU$353,2,FALSE)),'Preliminary SO66'!AB53,VLOOKUP($CZ54,'Audit Values'!$A$2:$BU$353,42,FALSE))</f>
        <v>0</v>
      </c>
      <c r="AZ54" s="114">
        <v>0</v>
      </c>
      <c r="BA54" s="99">
        <f>SUM(AX54*'Weighting Factors'!$T$10)+('2019 Legal Max'!AY54*'Weighting Factors'!$T$11)+('2019 Legal Max'!AZ54*'Weighting Factors'!$T$12)</f>
        <v>0</v>
      </c>
      <c r="BB54" s="158">
        <v>0</v>
      </c>
      <c r="BC54" s="88">
        <f>IF(ISNA(VLOOKUP($CZ54,'Audit Values'!$A$2:$BU$353,2,FALSE)),"",IF(AND('Weighting Factors'!H54&gt;0,VLOOKUP($CZ54,'Audit Values'!$A$2:$BU$353,51,FALSE)&lt;'Weighting Factors'!H54),'Weighting Factors'!H54,VLOOKUP($CZ54,'Audit Values'!$A$2:$BU$353,50,FALSE)))</f>
        <v>16</v>
      </c>
      <c r="BD54" s="88" t="str">
        <f>IF(ISNA(VLOOKUP($CZ54,'Audit Values'!$A$2:$BV$353,2,FALSE)),"",VLOOKUP($CZ54,'Audit Values'!$A$2:$BV$353,51,FALSE))</f>
        <v>A</v>
      </c>
      <c r="BE54" s="88" t="str">
        <f>IF('Weighting Factors'!H54="","",IF('Weighting Factors'!J54="Pending","PX","R"))</f>
        <v/>
      </c>
      <c r="BF54" s="97">
        <f>SUM((S54+T54+Y54+AA54+AE54+AH54+AJ54++AO54+AP54+AQ54+AU54+AR54)*'Weighting Factors'!$Q$5)+'2019 Legal Max'!BA54+'2019 Legal Max'!BB54</f>
        <v>978359</v>
      </c>
      <c r="BG54" s="99">
        <f>SUM((AV54+AR54)*'Weighting Factors'!$Q$5)+BA54+'2019 Legal Max'!BB54</f>
        <v>1093729</v>
      </c>
      <c r="BH54" s="108">
        <f>IF('Weighting Factors'!H54&gt;0,'Weighting Factors'!H54,'Preliminary SO66'!AV53)</f>
        <v>1135796</v>
      </c>
      <c r="BI54" s="99">
        <f t="shared" si="40"/>
        <v>1093729</v>
      </c>
      <c r="BJ54" s="112"/>
      <c r="BK54" s="112">
        <f>'Weighting Factors'!F54</f>
        <v>-17394</v>
      </c>
      <c r="BL54" s="112">
        <f>'Weighting Factors'!E54</f>
        <v>0</v>
      </c>
      <c r="BM54" s="99">
        <f t="shared" si="17"/>
        <v>-17394</v>
      </c>
      <c r="BN54" s="99">
        <f t="shared" si="18"/>
        <v>1076335</v>
      </c>
      <c r="BO54" s="99">
        <f>SUM((S54+T54+Y54+AA54+AE54+AH54+AJ54++AO54+AP54+AQ54+AR54)*'Weighting Factors'!Q$12)+(MAX(AS54,'Weighting Factors'!B54))</f>
        <v>1169992</v>
      </c>
      <c r="BP54" s="122">
        <v>0.33</v>
      </c>
      <c r="BQ54" s="99">
        <f t="shared" si="19"/>
        <v>386097</v>
      </c>
      <c r="BR54" s="108">
        <v>400482</v>
      </c>
      <c r="BS54" s="99">
        <f t="shared" si="20"/>
        <v>386097</v>
      </c>
      <c r="BT54" s="167">
        <f t="shared" si="21"/>
        <v>0.33</v>
      </c>
      <c r="BU54" s="95">
        <f t="shared" si="22"/>
        <v>0</v>
      </c>
      <c r="BV54" s="87" t="b">
        <f t="shared" si="23"/>
        <v>1</v>
      </c>
      <c r="BW54" s="117">
        <f t="shared" si="24"/>
        <v>33.792999999999999</v>
      </c>
      <c r="BX54" s="116">
        <f t="shared" si="25"/>
        <v>1.0050539999999999</v>
      </c>
      <c r="BY54" s="95">
        <f t="shared" si="26"/>
        <v>104</v>
      </c>
      <c r="BZ54" s="87" t="b">
        <f t="shared" si="27"/>
        <v>0</v>
      </c>
      <c r="CA54" s="87">
        <f t="shared" si="28"/>
        <v>0</v>
      </c>
      <c r="CB54" s="116">
        <f t="shared" si="29"/>
        <v>0</v>
      </c>
      <c r="CC54" s="95">
        <f t="shared" si="30"/>
        <v>0</v>
      </c>
      <c r="CD54" s="95">
        <f t="shared" si="31"/>
        <v>0</v>
      </c>
      <c r="CE54" s="98">
        <v>243</v>
      </c>
      <c r="CF54" s="250">
        <f t="shared" si="32"/>
        <v>0.111</v>
      </c>
      <c r="CG54" s="274">
        <f>IF(CF54&lt;0.06,1,IF(CF54&gt;=18.29,52,MATCH(CF54-0.001,'Weighting Factors'!$Y$5:$Y$156)+1))</f>
        <v>7</v>
      </c>
      <c r="CH54" s="243">
        <f>VLOOKUP(CG54, 'Weighting Factors'!$W$5:$Z$56,4)</f>
        <v>1430</v>
      </c>
      <c r="CI54" s="118">
        <f>('Weighting Factors'!$Q$5/'Weighting Factors'!$Q$14)</f>
        <v>1</v>
      </c>
      <c r="CJ54" s="245">
        <f t="shared" si="33"/>
        <v>38610</v>
      </c>
      <c r="CK54" s="245">
        <f>CJ54*'Weighting Factors'!$S$7</f>
        <v>38610</v>
      </c>
      <c r="CL54" s="245">
        <f t="shared" si="34"/>
        <v>38610</v>
      </c>
      <c r="CM54" s="95">
        <f>AM54/'Weighting Factors'!$Q$5</f>
        <v>9.3000000000000007</v>
      </c>
      <c r="CN54" s="148">
        <v>0</v>
      </c>
      <c r="CO54" s="148">
        <v>0</v>
      </c>
      <c r="CP54" s="149">
        <v>0</v>
      </c>
      <c r="CQ54" s="151">
        <v>0</v>
      </c>
      <c r="CR54" s="99">
        <f>SUM((AV54*'Weighting Factors'!$Q$5)+'2019 Legal Max'!BA54)*CQ54</f>
        <v>0</v>
      </c>
      <c r="CS54" s="99">
        <f t="shared" si="35"/>
        <v>0</v>
      </c>
      <c r="CT54" s="106">
        <f t="shared" si="36"/>
        <v>0.25</v>
      </c>
      <c r="CU54" s="95">
        <f t="shared" si="37"/>
        <v>0</v>
      </c>
      <c r="CV54" s="95">
        <f t="shared" si="38"/>
        <v>0</v>
      </c>
      <c r="CW54" s="95">
        <f t="shared" si="39"/>
        <v>262.60000000000002</v>
      </c>
      <c r="CX54" s="99">
        <f>'LOB Transfers'!G53</f>
        <v>17799</v>
      </c>
      <c r="CY54" s="99">
        <f>'LOB Transfers'!J53</f>
        <v>1042</v>
      </c>
      <c r="CZ54" s="87" t="s">
        <v>246</v>
      </c>
    </row>
    <row r="55" spans="1:104" ht="15" customHeight="1">
      <c r="A55" s="88">
        <v>243</v>
      </c>
      <c r="B55" s="87" t="s">
        <v>27</v>
      </c>
      <c r="C55" s="87" t="s">
        <v>568</v>
      </c>
      <c r="D55" s="95">
        <v>414.7</v>
      </c>
      <c r="E55" s="95">
        <v>0</v>
      </c>
      <c r="F55" s="95">
        <f t="shared" si="5"/>
        <v>414.7</v>
      </c>
      <c r="G55" s="95">
        <v>423</v>
      </c>
      <c r="H55" s="95">
        <v>0</v>
      </c>
      <c r="I55" s="95">
        <f t="shared" si="6"/>
        <v>423</v>
      </c>
      <c r="J55" s="95">
        <v>415.5</v>
      </c>
      <c r="K55" s="95">
        <v>0</v>
      </c>
      <c r="L55" s="95">
        <f t="shared" si="7"/>
        <v>415.5</v>
      </c>
      <c r="M55" s="95">
        <f>IF(ISNA(VLOOKUP($CZ55,'Audit Values'!$A$2:$BW$365,2,FALSE)),'Preliminary SO66'!C54,VLOOKUP($CZ55,'Audit Values'!$A$2:$BW$365,73,FALSE))</f>
        <v>423</v>
      </c>
      <c r="N55" s="95">
        <f>IF(ISNA(VLOOKUP($CZ55,'Audit Values'!$A$2:$BW$365,2,FALSE)),'Preliminary SO66'!F54,VLOOKUP($CZ55,'Audit Values'!$A$2:$BW$365,4,FALSE))</f>
        <v>0</v>
      </c>
      <c r="O55" s="95">
        <f t="shared" si="8"/>
        <v>423</v>
      </c>
      <c r="P55" s="95">
        <f>IF('Military Provision'!J56="YES", MAX('2019 Legal Max'!L55,'2019 Legal Max'!I55,AVERAGE('2019 Legal Max'!F55,'2019 Legal Max'!I55,'2019 Legal Max'!L55)), MAX(L55, I55))</f>
        <v>423</v>
      </c>
      <c r="Q55" s="95">
        <f>IF(ISNA(VLOOKUP($CZ55,'Audit Values'!$A$2:$BU$353,2,FALSE)),'Preliminary SO66'!AL54,VLOOKUP($CZ55,'Audit Values'!$A$2:$BU$3955,58,FALSE))</f>
        <v>5</v>
      </c>
      <c r="R55" s="95">
        <v>0</v>
      </c>
      <c r="S55" s="95">
        <f t="shared" si="42"/>
        <v>428</v>
      </c>
      <c r="T55" s="95">
        <f t="shared" si="10"/>
        <v>188.6</v>
      </c>
      <c r="U55" s="95">
        <f>IF(ISNA(VLOOKUP($CZ55,'Audit Values'!$A$2:$BW$317,2,FALSE)),'Preliminary SO66'!AM54,VLOOKUP($CZ55,'Audit Values'!$A$2:$BW$317,62,FALSE))</f>
        <v>0</v>
      </c>
      <c r="V55" s="95">
        <f>(U55/6)*'Weighting Factors'!$Q$7</f>
        <v>0</v>
      </c>
      <c r="W55" s="132">
        <f>IF(ISNA(VLOOKUP($CZ55,'Audit Values'!$A$2:$BW$353,2,FALSE)),'Preliminary SO66'!AN54,VLOOKUP($CZ55,'Audit Values'!$A$2:$BW$353,61,FALSE))</f>
        <v>1</v>
      </c>
      <c r="X55" s="95">
        <f>W55*'Weighting Factors'!$Q$8</f>
        <v>0.2</v>
      </c>
      <c r="Y55" s="95">
        <f t="shared" si="11"/>
        <v>0.2</v>
      </c>
      <c r="Z55" s="276">
        <f>IF(ISNA(VLOOKUP($CZ55,'Audit Values'!$A$2:$BW$317,2,FALSE)),'Preliminary SO66'!AO54,VLOOKUP($CZ55,'Audit Values'!$A$2:$BW$317,60,FALSE))</f>
        <v>141.69999999999999</v>
      </c>
      <c r="AA55" s="95">
        <f>Z55/6*'Weighting Factors'!$Q$6</f>
        <v>11.8</v>
      </c>
      <c r="AB55" s="99">
        <f>IF(ISNA(VLOOKUP($CZ55,'Audit Values'!$A$2:$BU$353,2,FALSE)),'Preliminary SO66'!AS54,VLOOKUP($CZ55,'Audit Values'!$A$2:$BU$353,63,FALSE))</f>
        <v>438</v>
      </c>
      <c r="AC55" s="99">
        <v>0</v>
      </c>
      <c r="AD55" s="99">
        <f>IF(ISNA(VLOOKUP($CZ55,'Audit Values'!$A$2:$BU$353,2,FALSE)),'Preliminary SO66'!AP54,VLOOKUP($CZ55,'Audit Values'!$A$2:$BU$353,64,FALSE))</f>
        <v>115</v>
      </c>
      <c r="AE55" s="95">
        <f>IF(A55=207, AD55,MAX(AC55,AD55))*'Weighting Factors'!$Q$9</f>
        <v>55.7</v>
      </c>
      <c r="AF55" s="95">
        <f t="shared" si="12"/>
        <v>0</v>
      </c>
      <c r="AG55" s="95">
        <f>IF(ISNA(VLOOKUP($CZ55,'Audit Values'!$A$2:$BW$353,2,FALSE)),'Preliminary SO66'!AG54,VLOOKUP($CZ55,'Audit Values'!$A$2:$BW$353,70,FALSE))</f>
        <v>0</v>
      </c>
      <c r="AH55" s="95">
        <f t="shared" si="13"/>
        <v>0</v>
      </c>
      <c r="AI55" s="95">
        <f>IF(ISNA(VLOOKUP($CZ55,'Audit Values'!$A$2:$BU$353,2,FALSE)),'Preliminary SO66'!AQ54,VLOOKUP($CZ55,'Audit Values'!$A$2:$BU$353,65,FALSE))</f>
        <v>0</v>
      </c>
      <c r="AJ55" s="95">
        <f>AI55*'Weighting Factors'!$Q$10</f>
        <v>0</v>
      </c>
      <c r="AK55" s="95">
        <f>IF(ISNA(VLOOKUP($CZ55,'Audit Values'!$A$2:$BU$353,2,FALSE)),'Preliminary SO66'!AR54,VLOOKUP($CZ55,'Audit Values'!$A$2:$BU$353,66,FALSE))</f>
        <v>97.5</v>
      </c>
      <c r="AL55" s="95"/>
      <c r="AM55" s="99">
        <f t="shared" si="14"/>
        <v>110175</v>
      </c>
      <c r="AN55" s="99">
        <v>146376</v>
      </c>
      <c r="AO55" s="95">
        <f>MAX(AN55, AM55)/'Weighting Factors'!$Q$5</f>
        <v>35.1</v>
      </c>
      <c r="AP55" s="95">
        <f>CN55/'Weighting Factors'!$Q$5</f>
        <v>0</v>
      </c>
      <c r="AQ55" s="95">
        <v>0</v>
      </c>
      <c r="AR55" s="95">
        <f>CS55/'Weighting Factors'!$Q$5</f>
        <v>0</v>
      </c>
      <c r="AS55" s="99">
        <v>531150</v>
      </c>
      <c r="AT55" s="95">
        <f>AS55/'Weighting Factors'!$Q$5</f>
        <v>127.5</v>
      </c>
      <c r="AU55" s="95">
        <f>IF(ISNA(VLOOKUP($CZ55,'Audit Values'!$A$2:$BU$353,2,FALSE)),'Preliminary SO66'!X54,VLOOKUP($CZ55,'Audit Values'!$A$2:$BU$353,47,FALSE))</f>
        <v>0</v>
      </c>
      <c r="AV55" s="95">
        <f t="shared" si="15"/>
        <v>846.9</v>
      </c>
      <c r="AW55" s="95">
        <f t="shared" si="16"/>
        <v>719.4</v>
      </c>
      <c r="AX55" s="95">
        <f>IF(ISNA(VLOOKUP($CZ55,'Audit Values'!$A$2:$BU$353,2,FALSE)),'Preliminary SO66'!AA54,VLOOKUP($CZ55,'Audit Values'!$A$2:$BU$353,41,FALSE))</f>
        <v>0</v>
      </c>
      <c r="AY55" s="95">
        <f>IF(ISNA(VLOOKUP($CZ55,'Audit Values'!$A$2:$BU$353,2,FALSE)),'Preliminary SO66'!AB54,VLOOKUP($CZ55,'Audit Values'!$A$2:$BU$353,42,FALSE))</f>
        <v>0</v>
      </c>
      <c r="AZ55" s="114">
        <v>0</v>
      </c>
      <c r="BA55" s="99">
        <f>SUM(AX55*'Weighting Factors'!$T$10)+('2019 Legal Max'!AY55*'Weighting Factors'!$T$11)+('2019 Legal Max'!AZ55*'Weighting Factors'!$T$12)</f>
        <v>0</v>
      </c>
      <c r="BB55" s="158">
        <v>0</v>
      </c>
      <c r="BC55" s="88">
        <f>IF(ISNA(VLOOKUP($CZ55,'Audit Values'!$A$2:$BU$353,2,FALSE)),"",IF(AND('Weighting Factors'!H55&gt;0,VLOOKUP($CZ55,'Audit Values'!$A$2:$BU$353,51,FALSE)&lt;'Weighting Factors'!H55),'Weighting Factors'!H55,VLOOKUP($CZ55,'Audit Values'!$A$2:$BU$353,50,FALSE)))</f>
        <v>16</v>
      </c>
      <c r="BD55" s="88" t="str">
        <f>IF(ISNA(VLOOKUP($CZ55,'Audit Values'!$A$2:$BV$353,2,FALSE)),"",VLOOKUP($CZ55,'Audit Values'!$A$2:$BV$353,51,FALSE))</f>
        <v>A</v>
      </c>
      <c r="BE55" s="88" t="str">
        <f>IF('Weighting Factors'!H55="","",IF('Weighting Factors'!J55="Pending","PX","R"))</f>
        <v/>
      </c>
      <c r="BF55" s="97">
        <f>SUM((S55+T55+Y55+AA55+AE55+AH55+AJ55++AO55+AP55+AQ55+AU55+AR55)*'Weighting Factors'!$Q$5)+'2019 Legal Max'!BA55+'2019 Legal Max'!BB55</f>
        <v>2996301</v>
      </c>
      <c r="BG55" s="99">
        <f>SUM((AV55+AR55)*'Weighting Factors'!$Q$5)+BA55+'2019 Legal Max'!BB55</f>
        <v>3527339</v>
      </c>
      <c r="BH55" s="108">
        <f>IF('Weighting Factors'!H55&gt;0,'Weighting Factors'!H55,'Preliminary SO66'!AV54)</f>
        <v>3586065</v>
      </c>
      <c r="BI55" s="99">
        <f t="shared" si="40"/>
        <v>3527339</v>
      </c>
      <c r="BJ55" s="112"/>
      <c r="BK55" s="112">
        <f>'Weighting Factors'!F55</f>
        <v>0</v>
      </c>
      <c r="BL55" s="112">
        <f>'Weighting Factors'!E55</f>
        <v>0</v>
      </c>
      <c r="BM55" s="99">
        <f t="shared" si="17"/>
        <v>0</v>
      </c>
      <c r="BN55" s="99">
        <f t="shared" si="18"/>
        <v>3527339</v>
      </c>
      <c r="BO55" s="99">
        <f>SUM((S55+T55+Y55+AA55+AE55+AH55+AJ55++AO55+AP55+AQ55+AR55)*'Weighting Factors'!Q$12)+(MAX(AS55,'Weighting Factors'!B55))</f>
        <v>3761256</v>
      </c>
      <c r="BP55" s="122">
        <v>0.3</v>
      </c>
      <c r="BQ55" s="99">
        <f t="shared" si="19"/>
        <v>1128377</v>
      </c>
      <c r="BR55" s="108">
        <v>1142009</v>
      </c>
      <c r="BS55" s="99">
        <f t="shared" si="20"/>
        <v>1128377</v>
      </c>
      <c r="BT55" s="167">
        <f t="shared" si="21"/>
        <v>0.3</v>
      </c>
      <c r="BU55" s="95">
        <f t="shared" si="22"/>
        <v>0</v>
      </c>
      <c r="BV55" s="87" t="b">
        <f t="shared" si="23"/>
        <v>0</v>
      </c>
      <c r="BW55" s="117">
        <f t="shared" si="24"/>
        <v>0</v>
      </c>
      <c r="BX55" s="116">
        <f t="shared" si="25"/>
        <v>0</v>
      </c>
      <c r="BY55" s="95">
        <f t="shared" si="26"/>
        <v>0</v>
      </c>
      <c r="BZ55" s="87" t="b">
        <f t="shared" si="27"/>
        <v>1</v>
      </c>
      <c r="CA55" s="87">
        <f t="shared" si="28"/>
        <v>158.4</v>
      </c>
      <c r="CB55" s="116">
        <f t="shared" si="29"/>
        <v>0.44069799999999998</v>
      </c>
      <c r="CC55" s="95">
        <f t="shared" si="30"/>
        <v>188.6</v>
      </c>
      <c r="CD55" s="95">
        <f t="shared" si="31"/>
        <v>0</v>
      </c>
      <c r="CE55" s="98">
        <v>248</v>
      </c>
      <c r="CF55" s="250">
        <f t="shared" si="32"/>
        <v>0.39300000000000002</v>
      </c>
      <c r="CG55" s="274">
        <f>IF(CF55&lt;0.06,1,IF(CF55&gt;=18.29,52,MATCH(CF55-0.001,'Weighting Factors'!$Y$5:$Y$156)+1))</f>
        <v>23</v>
      </c>
      <c r="CH55" s="243">
        <f>VLOOKUP(CG55, 'Weighting Factors'!$W$5:$Z$56,4)</f>
        <v>1130</v>
      </c>
      <c r="CI55" s="118">
        <f>('Weighting Factors'!$Q$5/'Weighting Factors'!$Q$14)</f>
        <v>1</v>
      </c>
      <c r="CJ55" s="245">
        <f t="shared" si="33"/>
        <v>110175</v>
      </c>
      <c r="CK55" s="245">
        <f>CJ55*'Weighting Factors'!$S$7</f>
        <v>110175</v>
      </c>
      <c r="CL55" s="245">
        <f t="shared" si="34"/>
        <v>110175</v>
      </c>
      <c r="CM55" s="95">
        <f>AM55/'Weighting Factors'!$Q$5</f>
        <v>26.5</v>
      </c>
      <c r="CN55" s="148">
        <v>0</v>
      </c>
      <c r="CO55" s="148">
        <v>0</v>
      </c>
      <c r="CP55" s="149">
        <v>0</v>
      </c>
      <c r="CQ55" s="151">
        <v>0</v>
      </c>
      <c r="CR55" s="99">
        <f>SUM((AV55*'Weighting Factors'!$Q$5)+'2019 Legal Max'!BA55)*CQ55</f>
        <v>0</v>
      </c>
      <c r="CS55" s="99">
        <f t="shared" si="35"/>
        <v>0</v>
      </c>
      <c r="CT55" s="106">
        <f t="shared" si="36"/>
        <v>0.2626</v>
      </c>
      <c r="CU55" s="95">
        <f t="shared" si="37"/>
        <v>0</v>
      </c>
      <c r="CV55" s="95">
        <f t="shared" si="38"/>
        <v>0</v>
      </c>
      <c r="CW55" s="95">
        <f t="shared" si="39"/>
        <v>846.9</v>
      </c>
      <c r="CX55" s="99">
        <f>'LOB Transfers'!G54</f>
        <v>74699</v>
      </c>
      <c r="CY55" s="99">
        <f>'LOB Transfers'!J54</f>
        <v>226</v>
      </c>
      <c r="CZ55" s="87" t="s">
        <v>247</v>
      </c>
    </row>
    <row r="56" spans="1:104" ht="15" customHeight="1">
      <c r="A56" s="88">
        <v>244</v>
      </c>
      <c r="B56" s="87" t="s">
        <v>27</v>
      </c>
      <c r="C56" s="87" t="s">
        <v>569</v>
      </c>
      <c r="D56" s="95">
        <v>815.5</v>
      </c>
      <c r="E56" s="95">
        <v>0</v>
      </c>
      <c r="F56" s="95">
        <f t="shared" si="5"/>
        <v>815.5</v>
      </c>
      <c r="G56" s="95">
        <v>847.5</v>
      </c>
      <c r="H56" s="95">
        <v>0</v>
      </c>
      <c r="I56" s="95">
        <f t="shared" si="6"/>
        <v>847.5</v>
      </c>
      <c r="J56" s="95">
        <v>846</v>
      </c>
      <c r="K56" s="95">
        <v>0</v>
      </c>
      <c r="L56" s="95">
        <f t="shared" si="7"/>
        <v>846</v>
      </c>
      <c r="M56" s="95">
        <f>IF(ISNA(VLOOKUP($CZ56,'Audit Values'!$A$2:$BW$365,2,FALSE)),'Preliminary SO66'!C55,VLOOKUP($CZ56,'Audit Values'!$A$2:$BW$365,73,FALSE))</f>
        <v>815</v>
      </c>
      <c r="N56" s="95">
        <f>IF(ISNA(VLOOKUP($CZ56,'Audit Values'!$A$2:$BW$365,2,FALSE)),'Preliminary SO66'!F55,VLOOKUP($CZ56,'Audit Values'!$A$2:$BW$365,4,FALSE))</f>
        <v>0</v>
      </c>
      <c r="O56" s="95">
        <f t="shared" si="8"/>
        <v>815</v>
      </c>
      <c r="P56" s="95">
        <f>IF('Military Provision'!J57="YES", MAX('2019 Legal Max'!L56,'2019 Legal Max'!I56,AVERAGE('2019 Legal Max'!F56,'2019 Legal Max'!I56,'2019 Legal Max'!L56)), MAX(L56, I56))</f>
        <v>847.5</v>
      </c>
      <c r="Q56" s="95">
        <f>IF(ISNA(VLOOKUP($CZ56,'Audit Values'!$A$2:$BU$353,2,FALSE)),'Preliminary SO66'!AL55,VLOOKUP($CZ56,'Audit Values'!$A$2:$BU$3955,58,FALSE))</f>
        <v>5.5</v>
      </c>
      <c r="R56" s="95">
        <v>0</v>
      </c>
      <c r="S56" s="95">
        <f t="shared" si="42"/>
        <v>853</v>
      </c>
      <c r="T56" s="95">
        <f t="shared" si="10"/>
        <v>252.7</v>
      </c>
      <c r="U56" s="95">
        <f>IF(ISNA(VLOOKUP($CZ56,'Audit Values'!$A$2:$BW$317,2,FALSE)),'Preliminary SO66'!AM55,VLOOKUP($CZ56,'Audit Values'!$A$2:$BW$317,62,FALSE))</f>
        <v>1.5</v>
      </c>
      <c r="V56" s="95">
        <f>(U56/6)*'Weighting Factors'!$Q$7</f>
        <v>0.1</v>
      </c>
      <c r="W56" s="132">
        <f>IF(ISNA(VLOOKUP($CZ56,'Audit Values'!$A$2:$BW$353,2,FALSE)),'Preliminary SO66'!AN55,VLOOKUP($CZ56,'Audit Values'!$A$2:$BW$353,61,FALSE))</f>
        <v>5</v>
      </c>
      <c r="X56" s="95">
        <f>W56*'Weighting Factors'!$Q$8</f>
        <v>0.9</v>
      </c>
      <c r="Y56" s="95">
        <f t="shared" si="11"/>
        <v>0.9</v>
      </c>
      <c r="Z56" s="276">
        <f>IF(ISNA(VLOOKUP($CZ56,'Audit Values'!$A$2:$BW$317,2,FALSE)),'Preliminary SO66'!AO55,VLOOKUP($CZ56,'Audit Values'!$A$2:$BW$317,60,FALSE))</f>
        <v>608.5</v>
      </c>
      <c r="AA56" s="95">
        <f>Z56/6*'Weighting Factors'!$Q$6</f>
        <v>50.7</v>
      </c>
      <c r="AB56" s="99">
        <f>IF(ISNA(VLOOKUP($CZ56,'Audit Values'!$A$2:$BU$353,2,FALSE)),'Preliminary SO66'!AS55,VLOOKUP($CZ56,'Audit Values'!$A$2:$BU$353,63,FALSE))</f>
        <v>833</v>
      </c>
      <c r="AC56" s="99">
        <v>0</v>
      </c>
      <c r="AD56" s="99">
        <f>IF(ISNA(VLOOKUP($CZ56,'Audit Values'!$A$2:$BU$353,2,FALSE)),'Preliminary SO66'!AP55,VLOOKUP($CZ56,'Audit Values'!$A$2:$BU$353,64,FALSE))</f>
        <v>258</v>
      </c>
      <c r="AE56" s="95">
        <f>IF(A56=207, AD56,MAX(AC56,AD56))*'Weighting Factors'!$Q$9</f>
        <v>124.9</v>
      </c>
      <c r="AF56" s="95">
        <f t="shared" si="12"/>
        <v>0</v>
      </c>
      <c r="AG56" s="95">
        <f>IF(ISNA(VLOOKUP($CZ56,'Audit Values'!$A$2:$BW$353,2,FALSE)),'Preliminary SO66'!AG55,VLOOKUP($CZ56,'Audit Values'!$A$2:$BW$353,70,FALSE))</f>
        <v>0.6</v>
      </c>
      <c r="AH56" s="95">
        <f t="shared" si="13"/>
        <v>0.6</v>
      </c>
      <c r="AI56" s="95">
        <f>IF(ISNA(VLOOKUP($CZ56,'Audit Values'!$A$2:$BU$353,2,FALSE)),'Preliminary SO66'!AQ55,VLOOKUP($CZ56,'Audit Values'!$A$2:$BU$353,65,FALSE))</f>
        <v>0</v>
      </c>
      <c r="AJ56" s="95">
        <f>AI56*'Weighting Factors'!$Q$10</f>
        <v>0</v>
      </c>
      <c r="AK56" s="95">
        <f>IF(ISNA(VLOOKUP($CZ56,'Audit Values'!$A$2:$BU$353,2,FALSE)),'Preliminary SO66'!AR55,VLOOKUP($CZ56,'Audit Values'!$A$2:$BU$353,66,FALSE))</f>
        <v>229</v>
      </c>
      <c r="AL56" s="95"/>
      <c r="AM56" s="99">
        <f t="shared" si="14"/>
        <v>203810</v>
      </c>
      <c r="AN56" s="99">
        <v>224186</v>
      </c>
      <c r="AO56" s="95">
        <f>MAX(AN56, AM56)/'Weighting Factors'!$Q$5</f>
        <v>53.8</v>
      </c>
      <c r="AP56" s="95">
        <f>CN56/'Weighting Factors'!$Q$5</f>
        <v>0</v>
      </c>
      <c r="AQ56" s="95">
        <v>0</v>
      </c>
      <c r="AR56" s="95">
        <f>CS56/'Weighting Factors'!$Q$5</f>
        <v>0</v>
      </c>
      <c r="AS56" s="99">
        <v>1445387</v>
      </c>
      <c r="AT56" s="95">
        <f>AS56/'Weighting Factors'!$Q$5</f>
        <v>347</v>
      </c>
      <c r="AU56" s="95">
        <f>IF(ISNA(VLOOKUP($CZ56,'Audit Values'!$A$2:$BU$353,2,FALSE)),'Preliminary SO66'!X55,VLOOKUP($CZ56,'Audit Values'!$A$2:$BU$353,47,FALSE))</f>
        <v>0</v>
      </c>
      <c r="AV56" s="95">
        <f t="shared" si="15"/>
        <v>1683.6</v>
      </c>
      <c r="AW56" s="95">
        <f t="shared" si="16"/>
        <v>1336.6</v>
      </c>
      <c r="AX56" s="95">
        <f>IF(ISNA(VLOOKUP($CZ56,'Audit Values'!$A$2:$BU$353,2,FALSE)),'Preliminary SO66'!AA55,VLOOKUP($CZ56,'Audit Values'!$A$2:$BU$353,41,FALSE))</f>
        <v>0</v>
      </c>
      <c r="AY56" s="95">
        <f>IF(ISNA(VLOOKUP($CZ56,'Audit Values'!$A$2:$BU$353,2,FALSE)),'Preliminary SO66'!AB55,VLOOKUP($CZ56,'Audit Values'!$A$2:$BU$353,42,FALSE))</f>
        <v>0</v>
      </c>
      <c r="AZ56" s="114">
        <v>0</v>
      </c>
      <c r="BA56" s="99">
        <f>SUM(AX56*'Weighting Factors'!$T$10)+('2019 Legal Max'!AY56*'Weighting Factors'!$T$11)+('2019 Legal Max'!AZ56*'Weighting Factors'!$T$12)</f>
        <v>0</v>
      </c>
      <c r="BB56" s="158">
        <v>0</v>
      </c>
      <c r="BC56" s="88">
        <f>IF(ISNA(VLOOKUP($CZ56,'Audit Values'!$A$2:$BU$353,2,FALSE)),"",IF(AND('Weighting Factors'!H56&gt;0,VLOOKUP($CZ56,'Audit Values'!$A$2:$BU$353,51,FALSE)&lt;'Weighting Factors'!H56),'Weighting Factors'!H56,VLOOKUP($CZ56,'Audit Values'!$A$2:$BU$353,50,FALSE)))</f>
        <v>15</v>
      </c>
      <c r="BD56" s="88" t="str">
        <f>IF(ISNA(VLOOKUP($CZ56,'Audit Values'!$A$2:$BV$353,2,FALSE)),"",VLOOKUP($CZ56,'Audit Values'!$A$2:$BV$353,51,FALSE))</f>
        <v>A</v>
      </c>
      <c r="BE56" s="88" t="str">
        <f>IF('Weighting Factors'!H56="","",IF('Weighting Factors'!J56="Pending","PX","R"))</f>
        <v/>
      </c>
      <c r="BF56" s="97">
        <f>SUM((S56+T56+Y56+AA56+AE56+AH56+AJ56++AO56+AP56+AQ56+AU56+AR56)*'Weighting Factors'!$Q$5)+'2019 Legal Max'!BA56+'2019 Legal Max'!BB56</f>
        <v>5566939</v>
      </c>
      <c r="BG56" s="99">
        <f>SUM((AV56+AR56)*'Weighting Factors'!$Q$5)+BA56+'2019 Legal Max'!BB56</f>
        <v>7012194</v>
      </c>
      <c r="BH56" s="108">
        <f>IF('Weighting Factors'!H56&gt;0,'Weighting Factors'!H56,'Preliminary SO66'!AV55)</f>
        <v>7205034</v>
      </c>
      <c r="BI56" s="99">
        <f t="shared" si="40"/>
        <v>7012194</v>
      </c>
      <c r="BJ56" s="112"/>
      <c r="BK56" s="112">
        <f>'Weighting Factors'!F56</f>
        <v>0</v>
      </c>
      <c r="BL56" s="112">
        <f>'Weighting Factors'!E56</f>
        <v>0</v>
      </c>
      <c r="BM56" s="99">
        <f t="shared" si="17"/>
        <v>0</v>
      </c>
      <c r="BN56" s="99">
        <f t="shared" si="18"/>
        <v>7012194</v>
      </c>
      <c r="BO56" s="99">
        <f>SUM((S56+T56+Y56+AA56+AE56+AH56+AJ56++AO56+AP56+AQ56+AR56)*'Weighting Factors'!Q$12)+(MAX(AS56,'Weighting Factors'!B56))</f>
        <v>7446721</v>
      </c>
      <c r="BP56" s="122">
        <v>0.3</v>
      </c>
      <c r="BQ56" s="99">
        <f t="shared" si="19"/>
        <v>2234016</v>
      </c>
      <c r="BR56" s="108">
        <v>2292410</v>
      </c>
      <c r="BS56" s="99">
        <f t="shared" si="20"/>
        <v>2234016</v>
      </c>
      <c r="BT56" s="167">
        <f t="shared" si="21"/>
        <v>0.3</v>
      </c>
      <c r="BU56" s="95">
        <f t="shared" si="22"/>
        <v>0</v>
      </c>
      <c r="BV56" s="87" t="b">
        <f t="shared" si="23"/>
        <v>0</v>
      </c>
      <c r="BW56" s="117">
        <f t="shared" si="24"/>
        <v>0</v>
      </c>
      <c r="BX56" s="116">
        <f t="shared" si="25"/>
        <v>0</v>
      </c>
      <c r="BY56" s="95">
        <f t="shared" si="26"/>
        <v>0</v>
      </c>
      <c r="BZ56" s="87" t="b">
        <f t="shared" si="27"/>
        <v>1</v>
      </c>
      <c r="CA56" s="87">
        <f t="shared" si="28"/>
        <v>684.33749999999998</v>
      </c>
      <c r="CB56" s="116">
        <f t="shared" si="29"/>
        <v>0.29630499999999999</v>
      </c>
      <c r="CC56" s="95">
        <f t="shared" si="30"/>
        <v>252.7</v>
      </c>
      <c r="CD56" s="95">
        <f t="shared" si="31"/>
        <v>0</v>
      </c>
      <c r="CE56" s="98">
        <v>147</v>
      </c>
      <c r="CF56" s="250">
        <f t="shared" si="32"/>
        <v>1.5580000000000001</v>
      </c>
      <c r="CG56" s="274">
        <f>IF(CF56&lt;0.06,1,IF(CF56&gt;=18.29,52,MATCH(CF56-0.001,'Weighting Factors'!$Y$5:$Y$156)+1))</f>
        <v>35</v>
      </c>
      <c r="CH56" s="243">
        <f>VLOOKUP(CG56, 'Weighting Factors'!$W$5:$Z$56,4)</f>
        <v>890</v>
      </c>
      <c r="CI56" s="118">
        <f>('Weighting Factors'!$Q$5/'Weighting Factors'!$Q$14)</f>
        <v>1</v>
      </c>
      <c r="CJ56" s="245">
        <f t="shared" si="33"/>
        <v>203810</v>
      </c>
      <c r="CK56" s="245">
        <f>CJ56*'Weighting Factors'!$S$7</f>
        <v>203810</v>
      </c>
      <c r="CL56" s="245">
        <f t="shared" si="34"/>
        <v>203810</v>
      </c>
      <c r="CM56" s="95">
        <f>AM56/'Weighting Factors'!$Q$5</f>
        <v>48.9</v>
      </c>
      <c r="CN56" s="148">
        <v>0</v>
      </c>
      <c r="CO56" s="148">
        <v>0</v>
      </c>
      <c r="CP56" s="149">
        <v>0</v>
      </c>
      <c r="CQ56" s="151">
        <v>0</v>
      </c>
      <c r="CR56" s="99">
        <f>SUM((AV56*'Weighting Factors'!$Q$5)+'2019 Legal Max'!BA56)*CQ56</f>
        <v>0</v>
      </c>
      <c r="CS56" s="99">
        <f t="shared" si="35"/>
        <v>0</v>
      </c>
      <c r="CT56" s="106">
        <f t="shared" si="36"/>
        <v>0.30969999999999998</v>
      </c>
      <c r="CU56" s="95">
        <f t="shared" si="37"/>
        <v>0</v>
      </c>
      <c r="CV56" s="95">
        <f t="shared" si="38"/>
        <v>0</v>
      </c>
      <c r="CW56" s="95">
        <f t="shared" si="39"/>
        <v>1683.6</v>
      </c>
      <c r="CX56" s="99">
        <f>'LOB Transfers'!G55</f>
        <v>166211</v>
      </c>
      <c r="CY56" s="99">
        <f>'LOB Transfers'!J55</f>
        <v>1117</v>
      </c>
      <c r="CZ56" s="87" t="s">
        <v>248</v>
      </c>
    </row>
    <row r="57" spans="1:104" ht="15" customHeight="1">
      <c r="A57" s="88">
        <v>245</v>
      </c>
      <c r="B57" s="87" t="s">
        <v>27</v>
      </c>
      <c r="C57" s="87" t="s">
        <v>570</v>
      </c>
      <c r="D57" s="95">
        <v>206.5</v>
      </c>
      <c r="E57" s="95">
        <v>0</v>
      </c>
      <c r="F57" s="95">
        <f t="shared" si="5"/>
        <v>206.5</v>
      </c>
      <c r="G57" s="95">
        <v>200.5</v>
      </c>
      <c r="H57" s="95">
        <v>0</v>
      </c>
      <c r="I57" s="95">
        <f t="shared" si="6"/>
        <v>200.5</v>
      </c>
      <c r="J57" s="95">
        <v>192</v>
      </c>
      <c r="K57" s="95">
        <v>0</v>
      </c>
      <c r="L57" s="95">
        <f t="shared" si="7"/>
        <v>192</v>
      </c>
      <c r="M57" s="95">
        <f>IF(ISNA(VLOOKUP($CZ57,'Audit Values'!$A$2:$BW$365,2,FALSE)),'Preliminary SO66'!C56,VLOOKUP($CZ57,'Audit Values'!$A$2:$BW$365,73,FALSE))</f>
        <v>202</v>
      </c>
      <c r="N57" s="95">
        <f>IF(ISNA(VLOOKUP($CZ57,'Audit Values'!$A$2:$BW$365,2,FALSE)),'Preliminary SO66'!F56,VLOOKUP($CZ57,'Audit Values'!$A$2:$BW$365,4,FALSE))</f>
        <v>0</v>
      </c>
      <c r="O57" s="95">
        <f t="shared" si="8"/>
        <v>202</v>
      </c>
      <c r="P57" s="95">
        <f>IF('Military Provision'!J58="YES", MAX('2019 Legal Max'!L57,'2019 Legal Max'!I57,AVERAGE('2019 Legal Max'!F57,'2019 Legal Max'!I57,'2019 Legal Max'!L57)), MAX(L57, I57))</f>
        <v>200.5</v>
      </c>
      <c r="Q57" s="95">
        <f>IF(ISNA(VLOOKUP($CZ57,'Audit Values'!$A$2:$BU$353,2,FALSE)),'Preliminary SO66'!AL56,VLOOKUP($CZ57,'Audit Values'!$A$2:$BU$3955,58,FALSE))</f>
        <v>0.5</v>
      </c>
      <c r="R57" s="95">
        <v>0</v>
      </c>
      <c r="S57" s="95">
        <f t="shared" si="42"/>
        <v>201</v>
      </c>
      <c r="T57" s="95">
        <f t="shared" si="10"/>
        <v>150.1</v>
      </c>
      <c r="U57" s="95">
        <f>IF(ISNA(VLOOKUP($CZ57,'Audit Values'!$A$2:$BW$317,2,FALSE)),'Preliminary SO66'!AM56,VLOOKUP($CZ57,'Audit Values'!$A$2:$BW$317,62,FALSE))</f>
        <v>0</v>
      </c>
      <c r="V57" s="95">
        <f>(U57/6)*'Weighting Factors'!$Q$7</f>
        <v>0</v>
      </c>
      <c r="W57" s="132">
        <f>IF(ISNA(VLOOKUP($CZ57,'Audit Values'!$A$2:$BW$353,2,FALSE)),'Preliminary SO66'!AN56,VLOOKUP($CZ57,'Audit Values'!$A$2:$BW$353,61,FALSE))</f>
        <v>0</v>
      </c>
      <c r="X57" s="95">
        <f>W57*'Weighting Factors'!$Q$8</f>
        <v>0</v>
      </c>
      <c r="Y57" s="95">
        <f t="shared" si="11"/>
        <v>0</v>
      </c>
      <c r="Z57" s="276">
        <f>IF(ISNA(VLOOKUP($CZ57,'Audit Values'!$A$2:$BW$317,2,FALSE)),'Preliminary SO66'!AO56,VLOOKUP($CZ57,'Audit Values'!$A$2:$BW$317,60,FALSE))</f>
        <v>61.6</v>
      </c>
      <c r="AA57" s="95">
        <f>Z57/6*'Weighting Factors'!$Q$6</f>
        <v>5.0999999999999996</v>
      </c>
      <c r="AB57" s="99">
        <f>IF(ISNA(VLOOKUP($CZ57,'Audit Values'!$A$2:$BU$353,2,FALSE)),'Preliminary SO66'!AS56,VLOOKUP($CZ57,'Audit Values'!$A$2:$BU$353,63,FALSE))</f>
        <v>205</v>
      </c>
      <c r="AC57" s="99">
        <v>0</v>
      </c>
      <c r="AD57" s="99">
        <f>IF(ISNA(VLOOKUP($CZ57,'Audit Values'!$A$2:$BU$353,2,FALSE)),'Preliminary SO66'!AP56,VLOOKUP($CZ57,'Audit Values'!$A$2:$BU$353,64,FALSE))</f>
        <v>72</v>
      </c>
      <c r="AE57" s="95">
        <f>IF(A57=207, AD57,MAX(AC57,AD57))*'Weighting Factors'!$Q$9</f>
        <v>34.799999999999997</v>
      </c>
      <c r="AF57" s="95">
        <f t="shared" si="12"/>
        <v>0.1</v>
      </c>
      <c r="AG57" s="95">
        <f>IF(ISNA(VLOOKUP($CZ57,'Audit Values'!$A$2:$BW$353,2,FALSE)),'Preliminary SO66'!AG56,VLOOKUP($CZ57,'Audit Values'!$A$2:$BW$353,70,FALSE))</f>
        <v>1.7</v>
      </c>
      <c r="AH57" s="95">
        <f t="shared" si="13"/>
        <v>1.7</v>
      </c>
      <c r="AI57" s="95">
        <f>IF(ISNA(VLOOKUP($CZ57,'Audit Values'!$A$2:$BU$353,2,FALSE)),'Preliminary SO66'!AQ56,VLOOKUP($CZ57,'Audit Values'!$A$2:$BU$353,65,FALSE))</f>
        <v>0</v>
      </c>
      <c r="AJ57" s="95">
        <f>AI57*'Weighting Factors'!$Q$10</f>
        <v>0</v>
      </c>
      <c r="AK57" s="95">
        <f>IF(ISNA(VLOOKUP($CZ57,'Audit Values'!$A$2:$BU$353,2,FALSE)),'Preliminary SO66'!AR56,VLOOKUP($CZ57,'Audit Values'!$A$2:$BU$353,66,FALSE))</f>
        <v>102</v>
      </c>
      <c r="AL57" s="95"/>
      <c r="AM57" s="99">
        <f t="shared" si="14"/>
        <v>111180</v>
      </c>
      <c r="AN57" s="99">
        <v>132509</v>
      </c>
      <c r="AO57" s="95">
        <f>MAX(AN57, AM57)/'Weighting Factors'!$Q$5</f>
        <v>31.8</v>
      </c>
      <c r="AP57" s="95">
        <f>CN57/'Weighting Factors'!$Q$5</f>
        <v>0</v>
      </c>
      <c r="AQ57" s="95">
        <v>0</v>
      </c>
      <c r="AR57" s="95">
        <f>CS57/'Weighting Factors'!$Q$5</f>
        <v>0</v>
      </c>
      <c r="AS57" s="99">
        <v>227591</v>
      </c>
      <c r="AT57" s="95">
        <f>AS57/'Weighting Factors'!$Q$5</f>
        <v>54.6</v>
      </c>
      <c r="AU57" s="95">
        <f>IF(ISNA(VLOOKUP($CZ57,'Audit Values'!$A$2:$BU$353,2,FALSE)),'Preliminary SO66'!X56,VLOOKUP($CZ57,'Audit Values'!$A$2:$BU$353,47,FALSE))</f>
        <v>0</v>
      </c>
      <c r="AV57" s="95">
        <f t="shared" si="15"/>
        <v>479.1</v>
      </c>
      <c r="AW57" s="95">
        <f t="shared" si="16"/>
        <v>424.5</v>
      </c>
      <c r="AX57" s="95">
        <f>IF(ISNA(VLOOKUP($CZ57,'Audit Values'!$A$2:$BU$353,2,FALSE)),'Preliminary SO66'!AA56,VLOOKUP($CZ57,'Audit Values'!$A$2:$BU$353,41,FALSE))</f>
        <v>0</v>
      </c>
      <c r="AY57" s="95">
        <f>IF(ISNA(VLOOKUP($CZ57,'Audit Values'!$A$2:$BU$353,2,FALSE)),'Preliminary SO66'!AB56,VLOOKUP($CZ57,'Audit Values'!$A$2:$BU$353,42,FALSE))</f>
        <v>0</v>
      </c>
      <c r="AZ57" s="114">
        <v>0</v>
      </c>
      <c r="BA57" s="99">
        <f>SUM(AX57*'Weighting Factors'!$T$10)+('2019 Legal Max'!AY57*'Weighting Factors'!$T$11)+('2019 Legal Max'!AZ57*'Weighting Factors'!$T$12)</f>
        <v>0</v>
      </c>
      <c r="BB57" s="158">
        <v>0</v>
      </c>
      <c r="BC57" s="88">
        <f>IF(ISNA(VLOOKUP($CZ57,'Audit Values'!$A$2:$BU$353,2,FALSE)),"",IF(AND('Weighting Factors'!H57&gt;0,VLOOKUP($CZ57,'Audit Values'!$A$2:$BU$353,51,FALSE)&lt;'Weighting Factors'!H57),'Weighting Factors'!H57,VLOOKUP($CZ57,'Audit Values'!$A$2:$BU$353,50,FALSE)))</f>
        <v>16</v>
      </c>
      <c r="BD57" s="88" t="str">
        <f>IF(ISNA(VLOOKUP($CZ57,'Audit Values'!$A$2:$BV$353,2,FALSE)),"",VLOOKUP($CZ57,'Audit Values'!$A$2:$BV$353,51,FALSE))</f>
        <v>A</v>
      </c>
      <c r="BE57" s="88" t="str">
        <f>IF('Weighting Factors'!H57="","",IF('Weighting Factors'!J57="Pending","PX","R"))</f>
        <v/>
      </c>
      <c r="BF57" s="97">
        <f>SUM((S57+T57+Y57+AA57+AE57+AH57+AJ57++AO57+AP57+AQ57+AU57+AR57)*'Weighting Factors'!$Q$5)+'2019 Legal Max'!BA57+'2019 Legal Max'!BB57</f>
        <v>1768043</v>
      </c>
      <c r="BG57" s="99">
        <f>SUM((AV57+AR57)*'Weighting Factors'!$Q$5)+BA57+'2019 Legal Max'!BB57</f>
        <v>1995452</v>
      </c>
      <c r="BH57" s="108">
        <f>IF('Weighting Factors'!H57&gt;0,'Weighting Factors'!H57,'Preliminary SO66'!AV56)</f>
        <v>2032937</v>
      </c>
      <c r="BI57" s="99">
        <f t="shared" si="40"/>
        <v>1995452</v>
      </c>
      <c r="BJ57" s="112"/>
      <c r="BK57" s="112">
        <f>'Weighting Factors'!F57</f>
        <v>0</v>
      </c>
      <c r="BL57" s="112">
        <f>'Weighting Factors'!E57</f>
        <v>0</v>
      </c>
      <c r="BM57" s="99">
        <f t="shared" si="17"/>
        <v>0</v>
      </c>
      <c r="BN57" s="99">
        <f t="shared" si="18"/>
        <v>1995452</v>
      </c>
      <c r="BO57" s="99">
        <f>SUM((S57+T57+Y57+AA57+AE57+AH57+AJ57++AO57+AP57+AQ57+AR57)*'Weighting Factors'!Q$12)+(MAX(AS57,'Weighting Factors'!B57))</f>
        <v>2206556</v>
      </c>
      <c r="BP57" s="122">
        <v>0.3</v>
      </c>
      <c r="BQ57" s="99">
        <f t="shared" si="19"/>
        <v>661967</v>
      </c>
      <c r="BR57" s="108">
        <v>663179</v>
      </c>
      <c r="BS57" s="99">
        <f t="shared" si="20"/>
        <v>661967</v>
      </c>
      <c r="BT57" s="167">
        <f t="shared" si="21"/>
        <v>0.3</v>
      </c>
      <c r="BU57" s="95">
        <f t="shared" si="22"/>
        <v>0</v>
      </c>
      <c r="BV57" s="87" t="b">
        <f t="shared" si="23"/>
        <v>1</v>
      </c>
      <c r="BW57" s="117">
        <f t="shared" si="24"/>
        <v>975.15499999999997</v>
      </c>
      <c r="BX57" s="116">
        <f t="shared" si="25"/>
        <v>0.74660800000000005</v>
      </c>
      <c r="BY57" s="95">
        <f t="shared" si="26"/>
        <v>150.1</v>
      </c>
      <c r="BZ57" s="87" t="b">
        <f t="shared" si="27"/>
        <v>0</v>
      </c>
      <c r="CA57" s="87">
        <f t="shared" si="28"/>
        <v>0</v>
      </c>
      <c r="CB57" s="116">
        <f t="shared" si="29"/>
        <v>0</v>
      </c>
      <c r="CC57" s="95">
        <f t="shared" si="30"/>
        <v>0</v>
      </c>
      <c r="CD57" s="95">
        <f t="shared" si="31"/>
        <v>0</v>
      </c>
      <c r="CE57" s="98">
        <v>207</v>
      </c>
      <c r="CF57" s="250">
        <f t="shared" si="32"/>
        <v>0.49299999999999999</v>
      </c>
      <c r="CG57" s="274">
        <f>IF(CF57&lt;0.06,1,IF(CF57&gt;=18.29,52,MATCH(CF57-0.001,'Weighting Factors'!$Y$5:$Y$156)+1))</f>
        <v>25</v>
      </c>
      <c r="CH57" s="243">
        <f>VLOOKUP(CG57, 'Weighting Factors'!$W$5:$Z$56,4)</f>
        <v>1090</v>
      </c>
      <c r="CI57" s="118">
        <f>('Weighting Factors'!$Q$5/'Weighting Factors'!$Q$14)</f>
        <v>1</v>
      </c>
      <c r="CJ57" s="245">
        <f t="shared" si="33"/>
        <v>111180</v>
      </c>
      <c r="CK57" s="245">
        <f>CJ57*'Weighting Factors'!$S$7</f>
        <v>111180</v>
      </c>
      <c r="CL57" s="245">
        <f t="shared" si="34"/>
        <v>111180</v>
      </c>
      <c r="CM57" s="95">
        <f>AM57/'Weighting Factors'!$Q$5</f>
        <v>26.7</v>
      </c>
      <c r="CN57" s="148">
        <v>0</v>
      </c>
      <c r="CO57" s="148">
        <v>0</v>
      </c>
      <c r="CP57" s="149">
        <v>0</v>
      </c>
      <c r="CQ57" s="151">
        <v>0</v>
      </c>
      <c r="CR57" s="99">
        <f>SUM((AV57*'Weighting Factors'!$Q$5)+'2019 Legal Max'!BA57)*CQ57</f>
        <v>0</v>
      </c>
      <c r="CS57" s="99">
        <f t="shared" si="35"/>
        <v>0</v>
      </c>
      <c r="CT57" s="106">
        <f t="shared" si="36"/>
        <v>0.35120000000000001</v>
      </c>
      <c r="CU57" s="95">
        <f t="shared" si="37"/>
        <v>0</v>
      </c>
      <c r="CV57" s="95">
        <f t="shared" si="38"/>
        <v>0.1</v>
      </c>
      <c r="CW57" s="95">
        <f t="shared" si="39"/>
        <v>479.1</v>
      </c>
      <c r="CX57" s="99">
        <f>'LOB Transfers'!G56</f>
        <v>48125</v>
      </c>
      <c r="CY57" s="99">
        <f>'LOB Transfers'!J56</f>
        <v>0</v>
      </c>
      <c r="CZ57" s="87" t="s">
        <v>249</v>
      </c>
    </row>
    <row r="58" spans="1:104" ht="15" customHeight="1">
      <c r="A58" s="88">
        <v>246</v>
      </c>
      <c r="B58" s="87" t="s">
        <v>28</v>
      </c>
      <c r="C58" s="87" t="s">
        <v>571</v>
      </c>
      <c r="D58" s="95">
        <v>451.1</v>
      </c>
      <c r="E58" s="95">
        <v>0</v>
      </c>
      <c r="F58" s="95">
        <f t="shared" si="5"/>
        <v>451.1</v>
      </c>
      <c r="G58" s="95">
        <v>463</v>
      </c>
      <c r="H58" s="95">
        <v>0</v>
      </c>
      <c r="I58" s="95">
        <f t="shared" si="6"/>
        <v>463</v>
      </c>
      <c r="J58" s="95">
        <v>444.6</v>
      </c>
      <c r="K58" s="95">
        <v>0</v>
      </c>
      <c r="L58" s="95">
        <f t="shared" si="7"/>
        <v>444.6</v>
      </c>
      <c r="M58" s="95">
        <f>IF(ISNA(VLOOKUP($CZ58,'Audit Values'!$A$2:$BW$365,2,FALSE)),'Preliminary SO66'!C57,VLOOKUP($CZ58,'Audit Values'!$A$2:$BW$365,73,FALSE))</f>
        <v>438.5</v>
      </c>
      <c r="N58" s="95">
        <f>IF(ISNA(VLOOKUP($CZ58,'Audit Values'!$A$2:$BW$365,2,FALSE)),'Preliminary SO66'!F57,VLOOKUP($CZ58,'Audit Values'!$A$2:$BW$365,4,FALSE))</f>
        <v>0</v>
      </c>
      <c r="O58" s="95">
        <f t="shared" si="8"/>
        <v>438.5</v>
      </c>
      <c r="P58" s="95">
        <f>IF('Military Provision'!J59="YES", MAX('2019 Legal Max'!L58,'2019 Legal Max'!I58,AVERAGE('2019 Legal Max'!F58,'2019 Legal Max'!I58,'2019 Legal Max'!L58)), MAX(L58, I58))</f>
        <v>463</v>
      </c>
      <c r="Q58" s="95">
        <f>IF(ISNA(VLOOKUP($CZ58,'Audit Values'!$A$2:$BU$353,2,FALSE)),'Preliminary SO66'!AL57,VLOOKUP($CZ58,'Audit Values'!$A$2:$BU$3955,58,FALSE))</f>
        <v>7</v>
      </c>
      <c r="R58" s="95">
        <v>0</v>
      </c>
      <c r="S58" s="95">
        <f t="shared" si="42"/>
        <v>470</v>
      </c>
      <c r="T58" s="95">
        <f t="shared" si="10"/>
        <v>200.4</v>
      </c>
      <c r="U58" s="95">
        <f>IF(ISNA(VLOOKUP($CZ58,'Audit Values'!$A$2:$BW$317,2,FALSE)),'Preliminary SO66'!AM57,VLOOKUP($CZ58,'Audit Values'!$A$2:$BW$317,62,FALSE))</f>
        <v>0</v>
      </c>
      <c r="V58" s="95">
        <f>(U58/6)*'Weighting Factors'!$Q$7</f>
        <v>0</v>
      </c>
      <c r="W58" s="132">
        <f>IF(ISNA(VLOOKUP($CZ58,'Audit Values'!$A$2:$BW$353,2,FALSE)),'Preliminary SO66'!AN57,VLOOKUP($CZ58,'Audit Values'!$A$2:$BW$353,61,FALSE))</f>
        <v>0</v>
      </c>
      <c r="X58" s="95">
        <f>W58*'Weighting Factors'!$Q$8</f>
        <v>0</v>
      </c>
      <c r="Y58" s="95">
        <f t="shared" si="11"/>
        <v>0</v>
      </c>
      <c r="Z58" s="276">
        <f>IF(ISNA(VLOOKUP($CZ58,'Audit Values'!$A$2:$BW$317,2,FALSE)),'Preliminary SO66'!AO57,VLOOKUP($CZ58,'Audit Values'!$A$2:$BW$317,60,FALSE))</f>
        <v>61.3</v>
      </c>
      <c r="AA58" s="95">
        <f>Z58/6*'Weighting Factors'!$Q$6</f>
        <v>5.0999999999999996</v>
      </c>
      <c r="AB58" s="99">
        <f>IF(ISNA(VLOOKUP($CZ58,'Audit Values'!$A$2:$BU$353,2,FALSE)),'Preliminary SO66'!AS57,VLOOKUP($CZ58,'Audit Values'!$A$2:$BU$353,63,FALSE))</f>
        <v>455</v>
      </c>
      <c r="AC58" s="99">
        <v>0</v>
      </c>
      <c r="AD58" s="99">
        <f>IF(ISNA(VLOOKUP($CZ58,'Audit Values'!$A$2:$BU$353,2,FALSE)),'Preliminary SO66'!AP57,VLOOKUP($CZ58,'Audit Values'!$A$2:$BU$353,64,FALSE))</f>
        <v>252</v>
      </c>
      <c r="AE58" s="95">
        <f>IF(A58=207, AD58,MAX(AC58,AD58))*'Weighting Factors'!$Q$9</f>
        <v>122</v>
      </c>
      <c r="AF58" s="95">
        <f t="shared" si="12"/>
        <v>26.5</v>
      </c>
      <c r="AG58" s="95">
        <f>IF(ISNA(VLOOKUP($CZ58,'Audit Values'!$A$2:$BW$353,2,FALSE)),'Preliminary SO66'!AG57,VLOOKUP($CZ58,'Audit Values'!$A$2:$BW$353,70,FALSE))</f>
        <v>24.5</v>
      </c>
      <c r="AH58" s="95">
        <f t="shared" si="13"/>
        <v>26.5</v>
      </c>
      <c r="AI58" s="95">
        <f>IF(ISNA(VLOOKUP($CZ58,'Audit Values'!$A$2:$BU$353,2,FALSE)),'Preliminary SO66'!AQ57,VLOOKUP($CZ58,'Audit Values'!$A$2:$BU$353,65,FALSE))</f>
        <v>0</v>
      </c>
      <c r="AJ58" s="95">
        <f>AI58*'Weighting Factors'!$Q$10</f>
        <v>0</v>
      </c>
      <c r="AK58" s="95">
        <f>IF(ISNA(VLOOKUP($CZ58,'Audit Values'!$A$2:$BU$353,2,FALSE)),'Preliminary SO66'!AR57,VLOOKUP($CZ58,'Audit Values'!$A$2:$BU$353,66,FALSE))</f>
        <v>179</v>
      </c>
      <c r="AL58" s="95"/>
      <c r="AM58" s="99">
        <f t="shared" si="14"/>
        <v>155730</v>
      </c>
      <c r="AN58" s="99">
        <v>176422</v>
      </c>
      <c r="AO58" s="95">
        <f>MAX(AN58, AM58)/'Weighting Factors'!$Q$5</f>
        <v>42.4</v>
      </c>
      <c r="AP58" s="95">
        <f>CN58/'Weighting Factors'!$Q$5</f>
        <v>0</v>
      </c>
      <c r="AQ58" s="95">
        <v>0</v>
      </c>
      <c r="AR58" s="95">
        <f>CS58/'Weighting Factors'!$Q$5</f>
        <v>0</v>
      </c>
      <c r="AS58" s="99">
        <v>525972</v>
      </c>
      <c r="AT58" s="95">
        <f>AS58/'Weighting Factors'!$Q$5</f>
        <v>126.3</v>
      </c>
      <c r="AU58" s="95">
        <f>IF(ISNA(VLOOKUP($CZ58,'Audit Values'!$A$2:$BU$353,2,FALSE)),'Preliminary SO66'!X57,VLOOKUP($CZ58,'Audit Values'!$A$2:$BU$353,47,FALSE))</f>
        <v>0</v>
      </c>
      <c r="AV58" s="95">
        <f t="shared" si="15"/>
        <v>992.7</v>
      </c>
      <c r="AW58" s="95">
        <f t="shared" si="16"/>
        <v>866.4</v>
      </c>
      <c r="AX58" s="95">
        <f>IF(ISNA(VLOOKUP($CZ58,'Audit Values'!$A$2:$BU$353,2,FALSE)),'Preliminary SO66'!AA57,VLOOKUP($CZ58,'Audit Values'!$A$2:$BU$353,41,FALSE))</f>
        <v>2</v>
      </c>
      <c r="AY58" s="95">
        <f>IF(ISNA(VLOOKUP($CZ58,'Audit Values'!$A$2:$BU$353,2,FALSE)),'Preliminary SO66'!AB57,VLOOKUP($CZ58,'Audit Values'!$A$2:$BU$353,42,FALSE))</f>
        <v>0</v>
      </c>
      <c r="AZ58" s="114">
        <v>2</v>
      </c>
      <c r="BA58" s="99">
        <f>SUM(AX58*'Weighting Factors'!$T$10)+('2019 Legal Max'!AY58*'Weighting Factors'!$T$11)+('2019 Legal Max'!AZ58*'Weighting Factors'!$T$12)</f>
        <v>11418</v>
      </c>
      <c r="BB58" s="158">
        <v>0</v>
      </c>
      <c r="BC58" s="88">
        <f>IF(ISNA(VLOOKUP($CZ58,'Audit Values'!$A$2:$BU$353,2,FALSE)),"",IF(AND('Weighting Factors'!H58&gt;0,VLOOKUP($CZ58,'Audit Values'!$A$2:$BU$353,51,FALSE)&lt;'Weighting Factors'!H58),'Weighting Factors'!H58,VLOOKUP($CZ58,'Audit Values'!$A$2:$BU$353,50,FALSE)))</f>
        <v>11</v>
      </c>
      <c r="BD58" s="88" t="str">
        <f>IF(ISNA(VLOOKUP($CZ58,'Audit Values'!$A$2:$BV$353,2,FALSE)),"",VLOOKUP($CZ58,'Audit Values'!$A$2:$BV$353,51,FALSE))</f>
        <v>A</v>
      </c>
      <c r="BE58" s="88" t="str">
        <f>IF('Weighting Factors'!H58="","",IF('Weighting Factors'!J58="Pending","PX","R"))</f>
        <v/>
      </c>
      <c r="BF58" s="97">
        <f>SUM((S58+T58+Y58+AA58+AE58+AH58+AJ58++AO58+AP58+AQ58+AU58+AR58)*'Weighting Factors'!$Q$5)+'2019 Legal Max'!BA58+'2019 Legal Max'!BB58</f>
        <v>3619974</v>
      </c>
      <c r="BG58" s="99">
        <f>SUM((AV58+AR58)*'Weighting Factors'!$Q$5)+BA58+'2019 Legal Max'!BB58</f>
        <v>4146014</v>
      </c>
      <c r="BH58" s="108">
        <f>IF('Weighting Factors'!H58&gt;0,'Weighting Factors'!H58,'Preliminary SO66'!AV57)</f>
        <v>4257477</v>
      </c>
      <c r="BI58" s="99">
        <f t="shared" si="40"/>
        <v>4146014</v>
      </c>
      <c r="BJ58" s="112"/>
      <c r="BK58" s="112">
        <f>'Weighting Factors'!F58</f>
        <v>0</v>
      </c>
      <c r="BL58" s="112">
        <f>'Weighting Factors'!E58</f>
        <v>0</v>
      </c>
      <c r="BM58" s="99">
        <f t="shared" si="17"/>
        <v>0</v>
      </c>
      <c r="BN58" s="99">
        <f t="shared" si="18"/>
        <v>4146014</v>
      </c>
      <c r="BO58" s="99">
        <f>SUM((S58+T58+Y58+AA58+AE58+AH58+AJ58++AO58+AP58+AQ58+AR58)*'Weighting Factors'!Q$12)+(MAX(AS58,'Weighting Factors'!B58))</f>
        <v>4416108</v>
      </c>
      <c r="BP58" s="122">
        <v>0.3</v>
      </c>
      <c r="BQ58" s="99">
        <f t="shared" si="19"/>
        <v>1324832</v>
      </c>
      <c r="BR58" s="108">
        <v>1352211</v>
      </c>
      <c r="BS58" s="99">
        <f t="shared" si="20"/>
        <v>1324832</v>
      </c>
      <c r="BT58" s="167">
        <f t="shared" si="21"/>
        <v>0.3</v>
      </c>
      <c r="BU58" s="95">
        <f t="shared" si="22"/>
        <v>0</v>
      </c>
      <c r="BV58" s="87" t="b">
        <f t="shared" si="23"/>
        <v>0</v>
      </c>
      <c r="BW58" s="117">
        <f t="shared" si="24"/>
        <v>0</v>
      </c>
      <c r="BX58" s="116">
        <f t="shared" si="25"/>
        <v>0</v>
      </c>
      <c r="BY58" s="95">
        <f t="shared" si="26"/>
        <v>0</v>
      </c>
      <c r="BZ58" s="87" t="b">
        <f t="shared" si="27"/>
        <v>1</v>
      </c>
      <c r="CA58" s="87">
        <f t="shared" si="28"/>
        <v>210.375</v>
      </c>
      <c r="CB58" s="116">
        <f t="shared" si="29"/>
        <v>0.426429</v>
      </c>
      <c r="CC58" s="95">
        <f t="shared" si="30"/>
        <v>200.4</v>
      </c>
      <c r="CD58" s="95">
        <f t="shared" si="31"/>
        <v>0</v>
      </c>
      <c r="CE58" s="98">
        <v>106</v>
      </c>
      <c r="CF58" s="250">
        <f t="shared" si="32"/>
        <v>1.6890000000000001</v>
      </c>
      <c r="CG58" s="274">
        <f>IF(CF58&lt;0.06,1,IF(CF58&gt;=18.29,52,MATCH(CF58-0.001,'Weighting Factors'!$Y$5:$Y$156)+1))</f>
        <v>36</v>
      </c>
      <c r="CH58" s="243">
        <f>VLOOKUP(CG58, 'Weighting Factors'!$W$5:$Z$56,4)</f>
        <v>870</v>
      </c>
      <c r="CI58" s="118">
        <f>('Weighting Factors'!$Q$5/'Weighting Factors'!$Q$14)</f>
        <v>1</v>
      </c>
      <c r="CJ58" s="245">
        <f t="shared" si="33"/>
        <v>155730</v>
      </c>
      <c r="CK58" s="245">
        <f>CJ58*'Weighting Factors'!$S$7</f>
        <v>155730</v>
      </c>
      <c r="CL58" s="245">
        <f t="shared" si="34"/>
        <v>155730</v>
      </c>
      <c r="CM58" s="95">
        <f>AM58/'Weighting Factors'!$Q$5</f>
        <v>37.4</v>
      </c>
      <c r="CN58" s="148">
        <v>0</v>
      </c>
      <c r="CO58" s="148">
        <v>0</v>
      </c>
      <c r="CP58" s="149">
        <v>0</v>
      </c>
      <c r="CQ58" s="151">
        <v>0</v>
      </c>
      <c r="CR58" s="99">
        <f>SUM((AV58*'Weighting Factors'!$Q$5)+'2019 Legal Max'!BA58)*CQ58</f>
        <v>0</v>
      </c>
      <c r="CS58" s="99">
        <f t="shared" si="35"/>
        <v>0</v>
      </c>
      <c r="CT58" s="106">
        <f t="shared" si="36"/>
        <v>0.55379999999999996</v>
      </c>
      <c r="CU58" s="95">
        <f t="shared" si="37"/>
        <v>26.5</v>
      </c>
      <c r="CV58" s="95">
        <f t="shared" si="38"/>
        <v>0</v>
      </c>
      <c r="CW58" s="95">
        <f t="shared" si="39"/>
        <v>992.7</v>
      </c>
      <c r="CX58" s="99">
        <f>'LOB Transfers'!G57</f>
        <v>164014</v>
      </c>
      <c r="CY58" s="99">
        <f>'LOB Transfers'!J57</f>
        <v>0</v>
      </c>
      <c r="CZ58" s="87" t="s">
        <v>250</v>
      </c>
    </row>
    <row r="59" spans="1:104" ht="15" customHeight="1">
      <c r="A59" s="88">
        <v>247</v>
      </c>
      <c r="B59" s="87" t="s">
        <v>28</v>
      </c>
      <c r="C59" s="87" t="s">
        <v>572</v>
      </c>
      <c r="D59" s="95">
        <v>503.1</v>
      </c>
      <c r="E59" s="95">
        <v>0</v>
      </c>
      <c r="F59" s="95">
        <f t="shared" si="5"/>
        <v>503.1</v>
      </c>
      <c r="G59" s="95">
        <v>471</v>
      </c>
      <c r="H59" s="95">
        <v>0</v>
      </c>
      <c r="I59" s="95">
        <f t="shared" si="6"/>
        <v>471</v>
      </c>
      <c r="J59" s="95">
        <v>484</v>
      </c>
      <c r="K59" s="95">
        <v>0</v>
      </c>
      <c r="L59" s="95">
        <f t="shared" si="7"/>
        <v>484</v>
      </c>
      <c r="M59" s="95">
        <f>IF(ISNA(VLOOKUP($CZ59,'Audit Values'!$A$2:$BW$365,2,FALSE)),'Preliminary SO66'!C58,VLOOKUP($CZ59,'Audit Values'!$A$2:$BW$365,73,FALSE))</f>
        <v>469.1</v>
      </c>
      <c r="N59" s="95">
        <f>IF(ISNA(VLOOKUP($CZ59,'Audit Values'!$A$2:$BW$365,2,FALSE)),'Preliminary SO66'!F58,VLOOKUP($CZ59,'Audit Values'!$A$2:$BW$365,4,FALSE))</f>
        <v>0</v>
      </c>
      <c r="O59" s="95">
        <f t="shared" si="8"/>
        <v>469.1</v>
      </c>
      <c r="P59" s="95">
        <f>IF('Military Provision'!J60="YES", MAX('2019 Legal Max'!L59,'2019 Legal Max'!I59,AVERAGE('2019 Legal Max'!F59,'2019 Legal Max'!I59,'2019 Legal Max'!L59)), MAX(L59, I59))</f>
        <v>484</v>
      </c>
      <c r="Q59" s="95">
        <f>IF(ISNA(VLOOKUP($CZ59,'Audit Values'!$A$2:$BU$353,2,FALSE)),'Preliminary SO66'!AL58,VLOOKUP($CZ59,'Audit Values'!$A$2:$BU$3955,58,FALSE))</f>
        <v>5</v>
      </c>
      <c r="R59" s="95">
        <v>0</v>
      </c>
      <c r="S59" s="95">
        <f t="shared" si="42"/>
        <v>489</v>
      </c>
      <c r="T59" s="95">
        <f t="shared" si="10"/>
        <v>205.4</v>
      </c>
      <c r="U59" s="95">
        <f>IF(ISNA(VLOOKUP($CZ59,'Audit Values'!$A$2:$BW$317,2,FALSE)),'Preliminary SO66'!AM58,VLOOKUP($CZ59,'Audit Values'!$A$2:$BW$317,62,FALSE))</f>
        <v>0</v>
      </c>
      <c r="V59" s="95">
        <f>(U59/6)*'Weighting Factors'!$Q$7</f>
        <v>0</v>
      </c>
      <c r="W59" s="132">
        <f>IF(ISNA(VLOOKUP($CZ59,'Audit Values'!$A$2:$BW$353,2,FALSE)),'Preliminary SO66'!AN58,VLOOKUP($CZ59,'Audit Values'!$A$2:$BW$353,61,FALSE))</f>
        <v>0</v>
      </c>
      <c r="X59" s="95">
        <f>W59*'Weighting Factors'!$Q$8</f>
        <v>0</v>
      </c>
      <c r="Y59" s="95">
        <f t="shared" si="11"/>
        <v>0</v>
      </c>
      <c r="Z59" s="276">
        <f>IF(ISNA(VLOOKUP($CZ59,'Audit Values'!$A$2:$BW$317,2,FALSE)),'Preliminary SO66'!AO58,VLOOKUP($CZ59,'Audit Values'!$A$2:$BW$317,60,FALSE))</f>
        <v>209.8</v>
      </c>
      <c r="AA59" s="95">
        <f>Z59/6*'Weighting Factors'!$Q$6</f>
        <v>17.5</v>
      </c>
      <c r="AB59" s="99">
        <f>IF(ISNA(VLOOKUP($CZ59,'Audit Values'!$A$2:$BU$353,2,FALSE)),'Preliminary SO66'!AS58,VLOOKUP($CZ59,'Audit Values'!$A$2:$BU$353,63,FALSE))</f>
        <v>483</v>
      </c>
      <c r="AC59" s="99">
        <v>0</v>
      </c>
      <c r="AD59" s="99">
        <f>IF(ISNA(VLOOKUP($CZ59,'Audit Values'!$A$2:$BU$353,2,FALSE)),'Preliminary SO66'!AP58,VLOOKUP($CZ59,'Audit Values'!$A$2:$BU$353,64,FALSE))</f>
        <v>256</v>
      </c>
      <c r="AE59" s="95">
        <f>IF(A59=207, AD59,MAX(AC59,AD59))*'Weighting Factors'!$Q$9</f>
        <v>123.9</v>
      </c>
      <c r="AF59" s="95">
        <f t="shared" si="12"/>
        <v>26.9</v>
      </c>
      <c r="AG59" s="95">
        <f>IF(ISNA(VLOOKUP($CZ59,'Audit Values'!$A$2:$BW$353,2,FALSE)),'Preliminary SO66'!AG58,VLOOKUP($CZ59,'Audit Values'!$A$2:$BW$353,70,FALSE))</f>
        <v>14.9</v>
      </c>
      <c r="AH59" s="95">
        <f t="shared" si="13"/>
        <v>26.9</v>
      </c>
      <c r="AI59" s="95">
        <f>IF(ISNA(VLOOKUP($CZ59,'Audit Values'!$A$2:$BU$353,2,FALSE)),'Preliminary SO66'!AQ58,VLOOKUP($CZ59,'Audit Values'!$A$2:$BU$353,65,FALSE))</f>
        <v>0</v>
      </c>
      <c r="AJ59" s="95">
        <f>AI59*'Weighting Factors'!$Q$10</f>
        <v>0</v>
      </c>
      <c r="AK59" s="95">
        <f>IF(ISNA(VLOOKUP($CZ59,'Audit Values'!$A$2:$BU$353,2,FALSE)),'Preliminary SO66'!AR58,VLOOKUP($CZ59,'Audit Values'!$A$2:$BU$353,66,FALSE))</f>
        <v>257</v>
      </c>
      <c r="AL59" s="95"/>
      <c r="AM59" s="99">
        <f t="shared" si="14"/>
        <v>254430</v>
      </c>
      <c r="AN59" s="99">
        <v>367866</v>
      </c>
      <c r="AO59" s="95">
        <f>MAX(AN59, AM59)/'Weighting Factors'!$Q$5</f>
        <v>88.3</v>
      </c>
      <c r="AP59" s="95">
        <f>CN59/'Weighting Factors'!$Q$5</f>
        <v>0</v>
      </c>
      <c r="AQ59" s="95">
        <v>0</v>
      </c>
      <c r="AR59" s="95">
        <f>CS59/'Weighting Factors'!$Q$5</f>
        <v>0</v>
      </c>
      <c r="AS59" s="99">
        <v>504940</v>
      </c>
      <c r="AT59" s="95">
        <f>AS59/'Weighting Factors'!$Q$5</f>
        <v>121.2</v>
      </c>
      <c r="AU59" s="95">
        <f>IF(ISNA(VLOOKUP($CZ59,'Audit Values'!$A$2:$BU$353,2,FALSE)),'Preliminary SO66'!X58,VLOOKUP($CZ59,'Audit Values'!$A$2:$BU$353,47,FALSE))</f>
        <v>0</v>
      </c>
      <c r="AV59" s="95">
        <f t="shared" si="15"/>
        <v>1072.2</v>
      </c>
      <c r="AW59" s="95">
        <f t="shared" si="16"/>
        <v>951</v>
      </c>
      <c r="AX59" s="95">
        <f>IF(ISNA(VLOOKUP($CZ59,'Audit Values'!$A$2:$BU$353,2,FALSE)),'Preliminary SO66'!AA58,VLOOKUP($CZ59,'Audit Values'!$A$2:$BU$353,41,FALSE))</f>
        <v>3</v>
      </c>
      <c r="AY59" s="95">
        <f>IF(ISNA(VLOOKUP($CZ59,'Audit Values'!$A$2:$BU$353,2,FALSE)),'Preliminary SO66'!AB58,VLOOKUP($CZ59,'Audit Values'!$A$2:$BU$353,42,FALSE))</f>
        <v>0</v>
      </c>
      <c r="AZ59" s="114">
        <v>0</v>
      </c>
      <c r="BA59" s="99">
        <f>SUM(AX59*'Weighting Factors'!$T$10)+('2019 Legal Max'!AY59*'Weighting Factors'!$T$11)+('2019 Legal Max'!AZ59*'Weighting Factors'!$T$12)</f>
        <v>15000</v>
      </c>
      <c r="BB59" s="158">
        <v>0</v>
      </c>
      <c r="BC59" s="88">
        <f>IF(ISNA(VLOOKUP($CZ59,'Audit Values'!$A$2:$BU$353,2,FALSE)),"",IF(AND('Weighting Factors'!H59&gt;0,VLOOKUP($CZ59,'Audit Values'!$A$2:$BU$353,51,FALSE)&lt;'Weighting Factors'!H59),'Weighting Factors'!H59,VLOOKUP($CZ59,'Audit Values'!$A$2:$BU$353,50,FALSE)))</f>
        <v>11</v>
      </c>
      <c r="BD59" s="88" t="str">
        <f>IF(ISNA(VLOOKUP($CZ59,'Audit Values'!$A$2:$BV$353,2,FALSE)),"",VLOOKUP($CZ59,'Audit Values'!$A$2:$BV$353,51,FALSE))</f>
        <v>A</v>
      </c>
      <c r="BE59" s="88" t="str">
        <f>IF('Weighting Factors'!H59="","",IF('Weighting Factors'!J59="Pending","PX","R"))</f>
        <v/>
      </c>
      <c r="BF59" s="97">
        <f>SUM((S59+T59+Y59+AA59+AE59+AH59+AJ59++AO59+AP59+AQ59+AU59+AR59)*'Weighting Factors'!$Q$5)+'2019 Legal Max'!BA59+'2019 Legal Max'!BB59</f>
        <v>3975915</v>
      </c>
      <c r="BG59" s="99">
        <f>SUM((AV59+AR59)*'Weighting Factors'!$Q$5)+BA59+'2019 Legal Max'!BB59</f>
        <v>4480713</v>
      </c>
      <c r="BH59" s="108">
        <f>IF('Weighting Factors'!H59&gt;0,'Weighting Factors'!H59,'Preliminary SO66'!AV58)</f>
        <v>4580167</v>
      </c>
      <c r="BI59" s="99">
        <f t="shared" si="40"/>
        <v>4480713</v>
      </c>
      <c r="BJ59" s="112"/>
      <c r="BK59" s="112">
        <f>'Weighting Factors'!F59</f>
        <v>0</v>
      </c>
      <c r="BL59" s="112">
        <f>'Weighting Factors'!E59</f>
        <v>0</v>
      </c>
      <c r="BM59" s="99">
        <f t="shared" si="17"/>
        <v>0</v>
      </c>
      <c r="BN59" s="99">
        <f t="shared" si="18"/>
        <v>4480713</v>
      </c>
      <c r="BO59" s="99">
        <f>SUM((S59+T59+Y59+AA59+AE59+AH59+AJ59++AO59+AP59+AQ59+AR59)*'Weighting Factors'!Q$12)+(MAX(AS59,'Weighting Factors'!B59))</f>
        <v>4926630</v>
      </c>
      <c r="BP59" s="122">
        <v>0.3</v>
      </c>
      <c r="BQ59" s="99">
        <f t="shared" si="19"/>
        <v>1477989</v>
      </c>
      <c r="BR59" s="108">
        <v>1489034</v>
      </c>
      <c r="BS59" s="99">
        <f t="shared" si="20"/>
        <v>1477989</v>
      </c>
      <c r="BT59" s="167">
        <f t="shared" si="21"/>
        <v>0.3</v>
      </c>
      <c r="BU59" s="95">
        <f t="shared" si="22"/>
        <v>0</v>
      </c>
      <c r="BV59" s="87" t="b">
        <f t="shared" si="23"/>
        <v>0</v>
      </c>
      <c r="BW59" s="117">
        <f t="shared" si="24"/>
        <v>0</v>
      </c>
      <c r="BX59" s="116">
        <f t="shared" si="25"/>
        <v>0</v>
      </c>
      <c r="BY59" s="95">
        <f t="shared" si="26"/>
        <v>0</v>
      </c>
      <c r="BZ59" s="87" t="b">
        <f t="shared" si="27"/>
        <v>1</v>
      </c>
      <c r="CA59" s="87">
        <f t="shared" si="28"/>
        <v>233.88749999999999</v>
      </c>
      <c r="CB59" s="116">
        <f t="shared" si="29"/>
        <v>0.41997400000000001</v>
      </c>
      <c r="CC59" s="95">
        <f t="shared" si="30"/>
        <v>205.4</v>
      </c>
      <c r="CD59" s="95">
        <f t="shared" si="31"/>
        <v>0</v>
      </c>
      <c r="CE59" s="98">
        <v>300</v>
      </c>
      <c r="CF59" s="250">
        <f t="shared" si="32"/>
        <v>0.85699999999999998</v>
      </c>
      <c r="CG59" s="274">
        <f>IF(CF59&lt;0.06,1,IF(CF59&gt;=18.29,52,MATCH(CF59-0.001,'Weighting Factors'!$Y$5:$Y$156)+1))</f>
        <v>30</v>
      </c>
      <c r="CH59" s="243">
        <f>VLOOKUP(CG59, 'Weighting Factors'!$W$5:$Z$56,4)</f>
        <v>990</v>
      </c>
      <c r="CI59" s="118">
        <f>('Weighting Factors'!$Q$5/'Weighting Factors'!$Q$14)</f>
        <v>1</v>
      </c>
      <c r="CJ59" s="245">
        <f t="shared" si="33"/>
        <v>254430</v>
      </c>
      <c r="CK59" s="245">
        <f>CJ59*'Weighting Factors'!$S$7</f>
        <v>254430</v>
      </c>
      <c r="CL59" s="245">
        <f t="shared" si="34"/>
        <v>254430</v>
      </c>
      <c r="CM59" s="95">
        <f>AM59/'Weighting Factors'!$Q$5</f>
        <v>61.1</v>
      </c>
      <c r="CN59" s="148">
        <v>0</v>
      </c>
      <c r="CO59" s="148">
        <v>0</v>
      </c>
      <c r="CP59" s="149">
        <v>0</v>
      </c>
      <c r="CQ59" s="151">
        <v>0</v>
      </c>
      <c r="CR59" s="99">
        <f>SUM((AV59*'Weighting Factors'!$Q$5)+'2019 Legal Max'!BA59)*CQ59</f>
        <v>0</v>
      </c>
      <c r="CS59" s="99">
        <f t="shared" si="35"/>
        <v>0</v>
      </c>
      <c r="CT59" s="106">
        <f t="shared" si="36"/>
        <v>0.53</v>
      </c>
      <c r="CU59" s="95">
        <f t="shared" si="37"/>
        <v>26.9</v>
      </c>
      <c r="CV59" s="95">
        <f t="shared" si="38"/>
        <v>0</v>
      </c>
      <c r="CW59" s="95">
        <f t="shared" si="39"/>
        <v>1072.2</v>
      </c>
      <c r="CX59" s="99">
        <f>'LOB Transfers'!G58</f>
        <v>171595</v>
      </c>
      <c r="CY59" s="99">
        <f>'LOB Transfers'!J58</f>
        <v>0</v>
      </c>
      <c r="CZ59" s="87" t="s">
        <v>251</v>
      </c>
    </row>
    <row r="60" spans="1:104" ht="15" customHeight="1">
      <c r="A60" s="88">
        <v>248</v>
      </c>
      <c r="B60" s="87" t="s">
        <v>28</v>
      </c>
      <c r="C60" s="87" t="s">
        <v>573</v>
      </c>
      <c r="D60" s="95">
        <v>977.8</v>
      </c>
      <c r="E60" s="95">
        <v>0</v>
      </c>
      <c r="F60" s="95">
        <f t="shared" si="5"/>
        <v>977.8</v>
      </c>
      <c r="G60" s="95">
        <v>994</v>
      </c>
      <c r="H60" s="95">
        <v>0</v>
      </c>
      <c r="I60" s="95">
        <f t="shared" si="6"/>
        <v>994</v>
      </c>
      <c r="J60" s="95">
        <v>1003</v>
      </c>
      <c r="K60" s="95">
        <v>0</v>
      </c>
      <c r="L60" s="95">
        <f t="shared" si="7"/>
        <v>1003</v>
      </c>
      <c r="M60" s="95">
        <f>IF(ISNA(VLOOKUP($CZ60,'Audit Values'!$A$2:$BW$365,2,FALSE)),'Preliminary SO66'!C59,VLOOKUP($CZ60,'Audit Values'!$A$2:$BW$365,73,FALSE))</f>
        <v>1005</v>
      </c>
      <c r="N60" s="95">
        <f>IF(ISNA(VLOOKUP($CZ60,'Audit Values'!$A$2:$BW$365,2,FALSE)),'Preliminary SO66'!F59,VLOOKUP($CZ60,'Audit Values'!$A$2:$BW$365,4,FALSE))</f>
        <v>0</v>
      </c>
      <c r="O60" s="95">
        <f t="shared" si="8"/>
        <v>1005</v>
      </c>
      <c r="P60" s="95">
        <f>IF('Military Provision'!J61="YES", MAX('2019 Legal Max'!L60,'2019 Legal Max'!I60,AVERAGE('2019 Legal Max'!F60,'2019 Legal Max'!I60,'2019 Legal Max'!L60)), MAX(L60, I60))</f>
        <v>1003</v>
      </c>
      <c r="Q60" s="95">
        <f>IF(ISNA(VLOOKUP($CZ60,'Audit Values'!$A$2:$BU$353,2,FALSE)),'Preliminary SO66'!AL59,VLOOKUP($CZ60,'Audit Values'!$A$2:$BU$3955,58,FALSE))</f>
        <v>10.5</v>
      </c>
      <c r="R60" s="95">
        <v>0</v>
      </c>
      <c r="S60" s="95">
        <f t="shared" si="42"/>
        <v>1013.5</v>
      </c>
      <c r="T60" s="95">
        <f t="shared" si="10"/>
        <v>245</v>
      </c>
      <c r="U60" s="95">
        <f>IF(ISNA(VLOOKUP($CZ60,'Audit Values'!$A$2:$BW$317,2,FALSE)),'Preliminary SO66'!AM59,VLOOKUP($CZ60,'Audit Values'!$A$2:$BW$317,62,FALSE))</f>
        <v>35.299999999999997</v>
      </c>
      <c r="V60" s="95">
        <f>(U60/6)*'Weighting Factors'!$Q$7</f>
        <v>2.2999999999999998</v>
      </c>
      <c r="W60" s="132">
        <f>IF(ISNA(VLOOKUP($CZ60,'Audit Values'!$A$2:$BW$353,2,FALSE)),'Preliminary SO66'!AN59,VLOOKUP($CZ60,'Audit Values'!$A$2:$BW$353,61,FALSE))</f>
        <v>21</v>
      </c>
      <c r="X60" s="95">
        <f>W60*'Weighting Factors'!$Q$8</f>
        <v>3.9</v>
      </c>
      <c r="Y60" s="95">
        <f t="shared" si="11"/>
        <v>3.9</v>
      </c>
      <c r="Z60" s="276">
        <f>IF(ISNA(VLOOKUP($CZ60,'Audit Values'!$A$2:$BW$317,2,FALSE)),'Preliminary SO66'!AO59,VLOOKUP($CZ60,'Audit Values'!$A$2:$BW$317,60,FALSE))</f>
        <v>141.30000000000001</v>
      </c>
      <c r="AA60" s="95">
        <f>Z60/6*'Weighting Factors'!$Q$6</f>
        <v>11.8</v>
      </c>
      <c r="AB60" s="99">
        <f>IF(ISNA(VLOOKUP($CZ60,'Audit Values'!$A$2:$BU$353,2,FALSE)),'Preliminary SO66'!AS59,VLOOKUP($CZ60,'Audit Values'!$A$2:$BU$353,63,FALSE))</f>
        <v>1036</v>
      </c>
      <c r="AC60" s="99">
        <v>0</v>
      </c>
      <c r="AD60" s="99">
        <f>IF(ISNA(VLOOKUP($CZ60,'Audit Values'!$A$2:$BU$353,2,FALSE)),'Preliminary SO66'!AP59,VLOOKUP($CZ60,'Audit Values'!$A$2:$BU$353,64,FALSE))</f>
        <v>367</v>
      </c>
      <c r="AE60" s="95">
        <f>IF(A60=207, AD60,MAX(AC60,AD60))*'Weighting Factors'!$Q$9</f>
        <v>177.6</v>
      </c>
      <c r="AF60" s="95">
        <f t="shared" si="12"/>
        <v>1.1000000000000001</v>
      </c>
      <c r="AG60" s="95">
        <f>IF(ISNA(VLOOKUP($CZ60,'Audit Values'!$A$2:$BW$353,2,FALSE)),'Preliminary SO66'!AG59,VLOOKUP($CZ60,'Audit Values'!$A$2:$BW$353,70,FALSE))</f>
        <v>5.3</v>
      </c>
      <c r="AH60" s="95">
        <f t="shared" si="13"/>
        <v>5.3</v>
      </c>
      <c r="AI60" s="95">
        <f>IF(ISNA(VLOOKUP($CZ60,'Audit Values'!$A$2:$BU$353,2,FALSE)),'Preliminary SO66'!AQ59,VLOOKUP($CZ60,'Audit Values'!$A$2:$BU$353,65,FALSE))</f>
        <v>0</v>
      </c>
      <c r="AJ60" s="95">
        <f>AI60*'Weighting Factors'!$Q$10</f>
        <v>0</v>
      </c>
      <c r="AK60" s="95">
        <f>IF(ISNA(VLOOKUP($CZ60,'Audit Values'!$A$2:$BU$353,2,FALSE)),'Preliminary SO66'!AR59,VLOOKUP($CZ60,'Audit Values'!$A$2:$BU$353,66,FALSE))</f>
        <v>307</v>
      </c>
      <c r="AL60" s="95"/>
      <c r="AM60" s="99">
        <f t="shared" si="14"/>
        <v>285510</v>
      </c>
      <c r="AN60" s="99">
        <v>348221</v>
      </c>
      <c r="AO60" s="95">
        <f>MAX(AN60, AM60)/'Weighting Factors'!$Q$5</f>
        <v>83.6</v>
      </c>
      <c r="AP60" s="95">
        <f>CN60/'Weighting Factors'!$Q$5</f>
        <v>0</v>
      </c>
      <c r="AQ60" s="95">
        <v>0</v>
      </c>
      <c r="AR60" s="95">
        <f>CS60/'Weighting Factors'!$Q$5</f>
        <v>0</v>
      </c>
      <c r="AS60" s="99">
        <v>1054853</v>
      </c>
      <c r="AT60" s="95">
        <f>AS60/'Weighting Factors'!$Q$5</f>
        <v>253.3</v>
      </c>
      <c r="AU60" s="95">
        <f>IF(ISNA(VLOOKUP($CZ60,'Audit Values'!$A$2:$BU$353,2,FALSE)),'Preliminary SO66'!X59,VLOOKUP($CZ60,'Audit Values'!$A$2:$BU$353,47,FALSE))</f>
        <v>0</v>
      </c>
      <c r="AV60" s="95">
        <f t="shared" si="15"/>
        <v>1794</v>
      </c>
      <c r="AW60" s="95">
        <f t="shared" si="16"/>
        <v>1540.7</v>
      </c>
      <c r="AX60" s="95">
        <f>IF(ISNA(VLOOKUP($CZ60,'Audit Values'!$A$2:$BU$353,2,FALSE)),'Preliminary SO66'!AA59,VLOOKUP($CZ60,'Audit Values'!$A$2:$BU$353,41,FALSE))</f>
        <v>0</v>
      </c>
      <c r="AY60" s="95">
        <f>IF(ISNA(VLOOKUP($CZ60,'Audit Values'!$A$2:$BU$353,2,FALSE)),'Preliminary SO66'!AB59,VLOOKUP($CZ60,'Audit Values'!$A$2:$BU$353,42,FALSE))</f>
        <v>1.5</v>
      </c>
      <c r="AZ60" s="114">
        <v>0</v>
      </c>
      <c r="BA60" s="99">
        <f>SUM(AX60*'Weighting Factors'!$T$10)+('2019 Legal Max'!AY60*'Weighting Factors'!$T$11)+('2019 Legal Max'!AZ60*'Weighting Factors'!$T$12)</f>
        <v>2550</v>
      </c>
      <c r="BB60" s="158">
        <v>0</v>
      </c>
      <c r="BC60" s="88">
        <f>IF(ISNA(VLOOKUP($CZ60,'Audit Values'!$A$2:$BU$353,2,FALSE)),"",IF(AND('Weighting Factors'!H60&gt;0,VLOOKUP($CZ60,'Audit Values'!$A$2:$BU$353,51,FALSE)&lt;'Weighting Factors'!H60),'Weighting Factors'!H60,VLOOKUP($CZ60,'Audit Values'!$A$2:$BU$353,50,FALSE)))</f>
        <v>11</v>
      </c>
      <c r="BD60" s="88" t="str">
        <f>IF(ISNA(VLOOKUP($CZ60,'Audit Values'!$A$2:$BV$353,2,FALSE)),"",VLOOKUP($CZ60,'Audit Values'!$A$2:$BV$353,51,FALSE))</f>
        <v>A</v>
      </c>
      <c r="BE60" s="88" t="str">
        <f>IF('Weighting Factors'!H60="","",IF('Weighting Factors'!J60="Pending","PX","R"))</f>
        <v/>
      </c>
      <c r="BF60" s="97">
        <f>SUM((S60+T60+Y60+AA60+AE60+AH60+AJ60++AO60+AP60+AQ60+AU60+AR60)*'Weighting Factors'!$Q$5)+'2019 Legal Max'!BA60+'2019 Legal Max'!BB60</f>
        <v>6419566</v>
      </c>
      <c r="BG60" s="99">
        <f>SUM((AV60+AR60)*'Weighting Factors'!$Q$5)+BA60+'2019 Legal Max'!BB60</f>
        <v>7474560</v>
      </c>
      <c r="BH60" s="108">
        <f>IF('Weighting Factors'!H60&gt;0,'Weighting Factors'!H60,'Preliminary SO66'!AV59)</f>
        <v>7594467</v>
      </c>
      <c r="BI60" s="99">
        <f t="shared" si="40"/>
        <v>7474560</v>
      </c>
      <c r="BJ60" s="112"/>
      <c r="BK60" s="112">
        <f>'Weighting Factors'!F60</f>
        <v>0</v>
      </c>
      <c r="BL60" s="112">
        <f>'Weighting Factors'!E60</f>
        <v>0</v>
      </c>
      <c r="BM60" s="99">
        <f t="shared" si="17"/>
        <v>0</v>
      </c>
      <c r="BN60" s="99">
        <f t="shared" si="18"/>
        <v>7474560</v>
      </c>
      <c r="BO60" s="99">
        <f>SUM((S60+T60+Y60+AA60+AE60+AH60+AJ60++AO60+AP60+AQ60+AR60)*'Weighting Factors'!Q$12)+(MAX(AS60,'Weighting Factors'!B60))</f>
        <v>7972596</v>
      </c>
      <c r="BP60" s="122">
        <v>0.3</v>
      </c>
      <c r="BQ60" s="99">
        <f t="shared" si="19"/>
        <v>2391779</v>
      </c>
      <c r="BR60" s="108">
        <v>2423822</v>
      </c>
      <c r="BS60" s="99">
        <f t="shared" si="20"/>
        <v>2391779</v>
      </c>
      <c r="BT60" s="167">
        <f t="shared" si="21"/>
        <v>0.3</v>
      </c>
      <c r="BU60" s="95">
        <f t="shared" si="22"/>
        <v>0</v>
      </c>
      <c r="BV60" s="87" t="b">
        <f t="shared" si="23"/>
        <v>0</v>
      </c>
      <c r="BW60" s="117">
        <f t="shared" si="24"/>
        <v>0</v>
      </c>
      <c r="BX60" s="116">
        <f t="shared" si="25"/>
        <v>0</v>
      </c>
      <c r="BY60" s="95">
        <f t="shared" si="26"/>
        <v>0</v>
      </c>
      <c r="BZ60" s="87" t="b">
        <f t="shared" si="27"/>
        <v>1</v>
      </c>
      <c r="CA60" s="87">
        <f t="shared" si="28"/>
        <v>882.95630000000006</v>
      </c>
      <c r="CB60" s="116">
        <f t="shared" si="29"/>
        <v>0.24177599999999999</v>
      </c>
      <c r="CC60" s="95">
        <f t="shared" si="30"/>
        <v>245</v>
      </c>
      <c r="CD60" s="95">
        <f t="shared" si="31"/>
        <v>0</v>
      </c>
      <c r="CE60" s="98">
        <v>263</v>
      </c>
      <c r="CF60" s="250">
        <f t="shared" si="32"/>
        <v>1.167</v>
      </c>
      <c r="CG60" s="274">
        <f>IF(CF60&lt;0.06,1,IF(CF60&gt;=18.29,52,MATCH(CF60-0.001,'Weighting Factors'!$Y$5:$Y$156)+1))</f>
        <v>33</v>
      </c>
      <c r="CH60" s="243">
        <f>VLOOKUP(CG60, 'Weighting Factors'!$W$5:$Z$56,4)</f>
        <v>930</v>
      </c>
      <c r="CI60" s="118">
        <f>('Weighting Factors'!$Q$5/'Weighting Factors'!$Q$14)</f>
        <v>1</v>
      </c>
      <c r="CJ60" s="245">
        <f t="shared" si="33"/>
        <v>285510</v>
      </c>
      <c r="CK60" s="245">
        <f>CJ60*'Weighting Factors'!$S$7</f>
        <v>285510</v>
      </c>
      <c r="CL60" s="245">
        <f t="shared" si="34"/>
        <v>285510</v>
      </c>
      <c r="CM60" s="95">
        <f>AM60/'Weighting Factors'!$Q$5</f>
        <v>68.5</v>
      </c>
      <c r="CN60" s="148">
        <v>0</v>
      </c>
      <c r="CO60" s="148">
        <v>0</v>
      </c>
      <c r="CP60" s="149">
        <v>0</v>
      </c>
      <c r="CQ60" s="151">
        <v>0</v>
      </c>
      <c r="CR60" s="99">
        <f>SUM((AV60*'Weighting Factors'!$Q$5)+'2019 Legal Max'!BA60)*CQ60</f>
        <v>0</v>
      </c>
      <c r="CS60" s="99">
        <f t="shared" si="35"/>
        <v>0</v>
      </c>
      <c r="CT60" s="106">
        <f t="shared" si="36"/>
        <v>0.35420000000000001</v>
      </c>
      <c r="CU60" s="95">
        <f t="shared" si="37"/>
        <v>0</v>
      </c>
      <c r="CV60" s="95">
        <f t="shared" si="38"/>
        <v>1.1000000000000001</v>
      </c>
      <c r="CW60" s="95">
        <f t="shared" si="39"/>
        <v>1794</v>
      </c>
      <c r="CX60" s="99">
        <f>'LOB Transfers'!G59</f>
        <v>238221</v>
      </c>
      <c r="CY60" s="99">
        <f>'LOB Transfers'!J59</f>
        <v>5262</v>
      </c>
      <c r="CZ60" s="87" t="s">
        <v>252</v>
      </c>
    </row>
    <row r="61" spans="1:104" ht="15" customHeight="1">
      <c r="A61" s="88">
        <v>249</v>
      </c>
      <c r="B61" s="87" t="s">
        <v>28</v>
      </c>
      <c r="C61" s="87" t="s">
        <v>574</v>
      </c>
      <c r="D61" s="95">
        <v>866.4</v>
      </c>
      <c r="E61" s="95">
        <v>0</v>
      </c>
      <c r="F61" s="95">
        <f t="shared" si="5"/>
        <v>866.4</v>
      </c>
      <c r="G61" s="95">
        <v>924.5</v>
      </c>
      <c r="H61" s="95">
        <v>0</v>
      </c>
      <c r="I61" s="95">
        <f t="shared" si="6"/>
        <v>924.5</v>
      </c>
      <c r="J61" s="95">
        <v>954</v>
      </c>
      <c r="K61" s="95">
        <v>0</v>
      </c>
      <c r="L61" s="95">
        <f t="shared" si="7"/>
        <v>954</v>
      </c>
      <c r="M61" s="95">
        <f>IF(ISNA(VLOOKUP($CZ61,'Audit Values'!$A$2:$BW$365,2,FALSE)),'Preliminary SO66'!C60,VLOOKUP($CZ61,'Audit Values'!$A$2:$BW$365,73,FALSE))</f>
        <v>912</v>
      </c>
      <c r="N61" s="95">
        <f>IF(ISNA(VLOOKUP($CZ61,'Audit Values'!$A$2:$BW$365,2,FALSE)),'Preliminary SO66'!F60,VLOOKUP($CZ61,'Audit Values'!$A$2:$BW$365,4,FALSE))</f>
        <v>0</v>
      </c>
      <c r="O61" s="95">
        <f t="shared" si="8"/>
        <v>912</v>
      </c>
      <c r="P61" s="95">
        <f>IF('Military Provision'!J62="YES", MAX('2019 Legal Max'!L61,'2019 Legal Max'!I61,AVERAGE('2019 Legal Max'!F61,'2019 Legal Max'!I61,'2019 Legal Max'!L61)), MAX(L61, I61))</f>
        <v>954</v>
      </c>
      <c r="Q61" s="95">
        <f>IF(ISNA(VLOOKUP($CZ61,'Audit Values'!$A$2:$BU$353,2,FALSE)),'Preliminary SO66'!AL60,VLOOKUP($CZ61,'Audit Values'!$A$2:$BU$3955,58,FALSE))</f>
        <v>2.5</v>
      </c>
      <c r="R61" s="95">
        <v>0</v>
      </c>
      <c r="S61" s="95">
        <f t="shared" si="42"/>
        <v>956.5</v>
      </c>
      <c r="T61" s="95">
        <f t="shared" si="10"/>
        <v>249.8</v>
      </c>
      <c r="U61" s="95">
        <f>IF(ISNA(VLOOKUP($CZ61,'Audit Values'!$A$2:$BW$317,2,FALSE)),'Preliminary SO66'!AM60,VLOOKUP($CZ61,'Audit Values'!$A$2:$BW$317,62,FALSE))</f>
        <v>16.399999999999999</v>
      </c>
      <c r="V61" s="95">
        <f>(U61/6)*'Weighting Factors'!$Q$7</f>
        <v>1.1000000000000001</v>
      </c>
      <c r="W61" s="132">
        <f>IF(ISNA(VLOOKUP($CZ61,'Audit Values'!$A$2:$BW$353,2,FALSE)),'Preliminary SO66'!AN60,VLOOKUP($CZ61,'Audit Values'!$A$2:$BW$353,61,FALSE))</f>
        <v>15</v>
      </c>
      <c r="X61" s="95">
        <f>W61*'Weighting Factors'!$Q$8</f>
        <v>2.8</v>
      </c>
      <c r="Y61" s="95">
        <f t="shared" si="11"/>
        <v>2.8</v>
      </c>
      <c r="Z61" s="276">
        <f>IF(ISNA(VLOOKUP($CZ61,'Audit Values'!$A$2:$BW$317,2,FALSE)),'Preliminary SO66'!AO60,VLOOKUP($CZ61,'Audit Values'!$A$2:$BW$317,60,FALSE))</f>
        <v>221.3</v>
      </c>
      <c r="AA61" s="95">
        <f>Z61/6*'Weighting Factors'!$Q$6</f>
        <v>18.399999999999999</v>
      </c>
      <c r="AB61" s="99">
        <f>IF(ISNA(VLOOKUP($CZ61,'Audit Values'!$A$2:$BU$353,2,FALSE)),'Preliminary SO66'!AS60,VLOOKUP($CZ61,'Audit Values'!$A$2:$BU$353,63,FALSE))</f>
        <v>920</v>
      </c>
      <c r="AC61" s="99">
        <v>0</v>
      </c>
      <c r="AD61" s="99">
        <f>IF(ISNA(VLOOKUP($CZ61,'Audit Values'!$A$2:$BU$353,2,FALSE)),'Preliminary SO66'!AP60,VLOOKUP($CZ61,'Audit Values'!$A$2:$BU$353,64,FALSE))</f>
        <v>280</v>
      </c>
      <c r="AE61" s="95">
        <f>IF(A61=207, AD61,MAX(AC61,AD61))*'Weighting Factors'!$Q$9</f>
        <v>135.5</v>
      </c>
      <c r="AF61" s="95">
        <f t="shared" si="12"/>
        <v>0</v>
      </c>
      <c r="AG61" s="95">
        <f>IF(ISNA(VLOOKUP($CZ61,'Audit Values'!$A$2:$BW$353,2,FALSE)),'Preliminary SO66'!AG60,VLOOKUP($CZ61,'Audit Values'!$A$2:$BW$353,70,FALSE))</f>
        <v>0</v>
      </c>
      <c r="AH61" s="95">
        <f t="shared" si="13"/>
        <v>0</v>
      </c>
      <c r="AI61" s="95">
        <f>IF(ISNA(VLOOKUP($CZ61,'Audit Values'!$A$2:$BU$353,2,FALSE)),'Preliminary SO66'!AQ60,VLOOKUP($CZ61,'Audit Values'!$A$2:$BU$353,65,FALSE))</f>
        <v>0</v>
      </c>
      <c r="AJ61" s="95">
        <f>AI61*'Weighting Factors'!$Q$10</f>
        <v>0</v>
      </c>
      <c r="AK61" s="95">
        <f>IF(ISNA(VLOOKUP($CZ61,'Audit Values'!$A$2:$BU$353,2,FALSE)),'Preliminary SO66'!AR60,VLOOKUP($CZ61,'Audit Values'!$A$2:$BU$353,66,FALSE))</f>
        <v>92</v>
      </c>
      <c r="AL61" s="95"/>
      <c r="AM61" s="99">
        <f t="shared" si="14"/>
        <v>67160</v>
      </c>
      <c r="AN61" s="99">
        <v>71262</v>
      </c>
      <c r="AO61" s="95">
        <f>MAX(AN61, AM61)/'Weighting Factors'!$Q$5</f>
        <v>17.100000000000001</v>
      </c>
      <c r="AP61" s="95">
        <f>CN61/'Weighting Factors'!$Q$5</f>
        <v>0</v>
      </c>
      <c r="AQ61" s="95">
        <v>0</v>
      </c>
      <c r="AR61" s="95">
        <f>CS61/'Weighting Factors'!$Q$5</f>
        <v>0</v>
      </c>
      <c r="AS61" s="99">
        <v>1004067</v>
      </c>
      <c r="AT61" s="95">
        <f>AS61/'Weighting Factors'!$Q$5</f>
        <v>241.1</v>
      </c>
      <c r="AU61" s="95">
        <f>IF(ISNA(VLOOKUP($CZ61,'Audit Values'!$A$2:$BU$353,2,FALSE)),'Preliminary SO66'!X60,VLOOKUP($CZ61,'Audit Values'!$A$2:$BU$353,47,FALSE))</f>
        <v>0</v>
      </c>
      <c r="AV61" s="95">
        <f t="shared" si="15"/>
        <v>1621.2</v>
      </c>
      <c r="AW61" s="95">
        <f t="shared" si="16"/>
        <v>1380.1</v>
      </c>
      <c r="AX61" s="95">
        <f>IF(ISNA(VLOOKUP($CZ61,'Audit Values'!$A$2:$BU$353,2,FALSE)),'Preliminary SO66'!AA60,VLOOKUP($CZ61,'Audit Values'!$A$2:$BU$353,41,FALSE))</f>
        <v>3</v>
      </c>
      <c r="AY61" s="95">
        <f>IF(ISNA(VLOOKUP($CZ61,'Audit Values'!$A$2:$BU$353,2,FALSE)),'Preliminary SO66'!AB60,VLOOKUP($CZ61,'Audit Values'!$A$2:$BU$353,42,FALSE))</f>
        <v>0</v>
      </c>
      <c r="AZ61" s="114">
        <v>2.5</v>
      </c>
      <c r="BA61" s="99">
        <f>SUM(AX61*'Weighting Factors'!$T$10)+('2019 Legal Max'!AY61*'Weighting Factors'!$T$11)+('2019 Legal Max'!AZ61*'Weighting Factors'!$T$12)</f>
        <v>16773</v>
      </c>
      <c r="BB61" s="158">
        <v>0</v>
      </c>
      <c r="BC61" s="88">
        <f>IF(ISNA(VLOOKUP($CZ61,'Audit Values'!$A$2:$BU$353,2,FALSE)),"",IF(AND('Weighting Factors'!H61&gt;0,VLOOKUP($CZ61,'Audit Values'!$A$2:$BU$353,51,FALSE)&lt;'Weighting Factors'!H61),'Weighting Factors'!H61,VLOOKUP($CZ61,'Audit Values'!$A$2:$BU$353,50,FALSE)))</f>
        <v>6</v>
      </c>
      <c r="BD61" s="88" t="str">
        <f>IF(ISNA(VLOOKUP($CZ61,'Audit Values'!$A$2:$BV$353,2,FALSE)),"",VLOOKUP($CZ61,'Audit Values'!$A$2:$BV$353,51,FALSE))</f>
        <v>A</v>
      </c>
      <c r="BE61" s="88" t="str">
        <f>IF('Weighting Factors'!H61="","",IF('Weighting Factors'!J61="Pending","PX","R"))</f>
        <v/>
      </c>
      <c r="BF61" s="97">
        <f>SUM((S61+T61+Y61+AA61+AE61+AH61+AJ61++AO61+AP61+AQ61+AU61+AR61)*'Weighting Factors'!$Q$5)+'2019 Legal Max'!BA61+'2019 Legal Max'!BB61</f>
        <v>5764890</v>
      </c>
      <c r="BG61" s="99">
        <f>SUM((AV61+AR61)*'Weighting Factors'!$Q$5)+BA61+'2019 Legal Max'!BB61</f>
        <v>6769071</v>
      </c>
      <c r="BH61" s="108">
        <f>IF('Weighting Factors'!H61&gt;0,'Weighting Factors'!H61,'Preliminary SO66'!AV60)</f>
        <v>6899574</v>
      </c>
      <c r="BI61" s="99">
        <f t="shared" si="40"/>
        <v>6769071</v>
      </c>
      <c r="BJ61" s="112"/>
      <c r="BK61" s="112">
        <f>'Weighting Factors'!F61</f>
        <v>0</v>
      </c>
      <c r="BL61" s="112">
        <f>'Weighting Factors'!E61</f>
        <v>-355</v>
      </c>
      <c r="BM61" s="99">
        <f t="shared" si="17"/>
        <v>-355</v>
      </c>
      <c r="BN61" s="99">
        <f t="shared" si="18"/>
        <v>6768716</v>
      </c>
      <c r="BO61" s="99">
        <f>SUM((S61+T61+Y61+AA61+AE61+AH61+AJ61++AO61+AP61+AQ61+AR61)*'Weighting Factors'!Q$12)+(MAX(AS61,'Weighting Factors'!B61))</f>
        <v>7200716</v>
      </c>
      <c r="BP61" s="122">
        <v>0.3</v>
      </c>
      <c r="BQ61" s="99">
        <f t="shared" si="19"/>
        <v>2160215</v>
      </c>
      <c r="BR61" s="108">
        <v>2201106</v>
      </c>
      <c r="BS61" s="99">
        <f t="shared" si="20"/>
        <v>2160215</v>
      </c>
      <c r="BT61" s="167">
        <f t="shared" si="21"/>
        <v>0.3</v>
      </c>
      <c r="BU61" s="95">
        <f t="shared" si="22"/>
        <v>0</v>
      </c>
      <c r="BV61" s="87" t="b">
        <f t="shared" si="23"/>
        <v>0</v>
      </c>
      <c r="BW61" s="117">
        <f t="shared" si="24"/>
        <v>0</v>
      </c>
      <c r="BX61" s="116">
        <f t="shared" si="25"/>
        <v>0</v>
      </c>
      <c r="BY61" s="95">
        <f t="shared" si="26"/>
        <v>0</v>
      </c>
      <c r="BZ61" s="87" t="b">
        <f t="shared" si="27"/>
        <v>1</v>
      </c>
      <c r="CA61" s="87">
        <f t="shared" si="28"/>
        <v>812.41880000000003</v>
      </c>
      <c r="CB61" s="116">
        <f t="shared" si="29"/>
        <v>0.26114100000000001</v>
      </c>
      <c r="CC61" s="95">
        <f t="shared" si="30"/>
        <v>249.8</v>
      </c>
      <c r="CD61" s="95">
        <f t="shared" si="31"/>
        <v>0</v>
      </c>
      <c r="CE61" s="98">
        <v>22</v>
      </c>
      <c r="CF61" s="250">
        <f t="shared" si="32"/>
        <v>4.1820000000000004</v>
      </c>
      <c r="CG61" s="274">
        <f>IF(CF61&lt;0.06,1,IF(CF61&gt;=18.29,52,MATCH(CF61-0.001,'Weighting Factors'!$Y$5:$Y$156)+1))</f>
        <v>43</v>
      </c>
      <c r="CH61" s="243">
        <f>VLOOKUP(CG61, 'Weighting Factors'!$W$5:$Z$56,4)</f>
        <v>730</v>
      </c>
      <c r="CI61" s="118">
        <f>('Weighting Factors'!$Q$5/'Weighting Factors'!$Q$14)</f>
        <v>1</v>
      </c>
      <c r="CJ61" s="245">
        <f t="shared" si="33"/>
        <v>67160</v>
      </c>
      <c r="CK61" s="245">
        <f>CJ61*'Weighting Factors'!$S$7</f>
        <v>67160</v>
      </c>
      <c r="CL61" s="245">
        <f t="shared" si="34"/>
        <v>67160</v>
      </c>
      <c r="CM61" s="95">
        <f>AM61/'Weighting Factors'!$Q$5</f>
        <v>16.100000000000001</v>
      </c>
      <c r="CN61" s="148">
        <v>0</v>
      </c>
      <c r="CO61" s="148">
        <v>0</v>
      </c>
      <c r="CP61" s="149">
        <v>0</v>
      </c>
      <c r="CQ61" s="151">
        <v>0</v>
      </c>
      <c r="CR61" s="99">
        <f>SUM((AV61*'Weighting Factors'!$Q$5)+'2019 Legal Max'!BA61)*CQ61</f>
        <v>0</v>
      </c>
      <c r="CS61" s="99">
        <f t="shared" si="35"/>
        <v>0</v>
      </c>
      <c r="CT61" s="106">
        <f t="shared" si="36"/>
        <v>0.30430000000000001</v>
      </c>
      <c r="CU61" s="95">
        <f t="shared" si="37"/>
        <v>0</v>
      </c>
      <c r="CV61" s="95">
        <f t="shared" si="38"/>
        <v>0</v>
      </c>
      <c r="CW61" s="95">
        <f t="shared" si="39"/>
        <v>1621.2</v>
      </c>
      <c r="CX61" s="99">
        <f>'LOB Transfers'!G60</f>
        <v>180810</v>
      </c>
      <c r="CY61" s="99">
        <f>'LOB Transfers'!J60</f>
        <v>3672</v>
      </c>
      <c r="CZ61" s="87" t="s">
        <v>253</v>
      </c>
    </row>
    <row r="62" spans="1:104" ht="15" customHeight="1">
      <c r="A62" s="88">
        <v>250</v>
      </c>
      <c r="B62" s="87" t="s">
        <v>28</v>
      </c>
      <c r="C62" s="87" t="s">
        <v>575</v>
      </c>
      <c r="D62" s="95">
        <v>2824.9</v>
      </c>
      <c r="E62" s="95">
        <v>0</v>
      </c>
      <c r="F62" s="95">
        <f t="shared" si="5"/>
        <v>2824.9</v>
      </c>
      <c r="G62" s="95">
        <v>2975.8</v>
      </c>
      <c r="H62" s="95">
        <v>0</v>
      </c>
      <c r="I62" s="95">
        <f t="shared" si="6"/>
        <v>2975.8</v>
      </c>
      <c r="J62" s="95">
        <v>2930.4</v>
      </c>
      <c r="K62" s="95">
        <v>0</v>
      </c>
      <c r="L62" s="95">
        <f t="shared" si="7"/>
        <v>2930.4</v>
      </c>
      <c r="M62" s="95">
        <f>IF(ISNA(VLOOKUP($CZ62,'Audit Values'!$A$2:$BW$365,2,FALSE)),'Preliminary SO66'!C61,VLOOKUP($CZ62,'Audit Values'!$A$2:$BW$365,73,FALSE))</f>
        <v>2911.3</v>
      </c>
      <c r="N62" s="95">
        <f>IF(ISNA(VLOOKUP($CZ62,'Audit Values'!$A$2:$BW$365,2,FALSE)),'Preliminary SO66'!F61,VLOOKUP($CZ62,'Audit Values'!$A$2:$BW$365,4,FALSE))</f>
        <v>0</v>
      </c>
      <c r="O62" s="95">
        <f t="shared" si="8"/>
        <v>2911.3</v>
      </c>
      <c r="P62" s="95">
        <f>IF('Military Provision'!J63="YES", MAX('2019 Legal Max'!L62,'2019 Legal Max'!I62,AVERAGE('2019 Legal Max'!F62,'2019 Legal Max'!I62,'2019 Legal Max'!L62)), MAX(L62, I62))</f>
        <v>2975.8</v>
      </c>
      <c r="Q62" s="95">
        <f>IF(ISNA(VLOOKUP($CZ62,'Audit Values'!$A$2:$BU$353,2,FALSE)),'Preliminary SO66'!AL61,VLOOKUP($CZ62,'Audit Values'!$A$2:$BU$3955,58,FALSE))</f>
        <v>40</v>
      </c>
      <c r="R62" s="95">
        <v>0</v>
      </c>
      <c r="S62" s="95">
        <f t="shared" si="42"/>
        <v>3015.8</v>
      </c>
      <c r="T62" s="95">
        <f t="shared" si="10"/>
        <v>105.7</v>
      </c>
      <c r="U62" s="95">
        <f>IF(ISNA(VLOOKUP($CZ62,'Audit Values'!$A$2:$BW$317,2,FALSE)),'Preliminary SO66'!AM61,VLOOKUP($CZ62,'Audit Values'!$A$2:$BW$317,62,FALSE))</f>
        <v>977</v>
      </c>
      <c r="V62" s="95">
        <f>(U62/6)*'Weighting Factors'!$Q$7</f>
        <v>64.3</v>
      </c>
      <c r="W62" s="132">
        <f>IF(ISNA(VLOOKUP($CZ62,'Audit Values'!$A$2:$BW$353,2,FALSE)),'Preliminary SO66'!AN61,VLOOKUP($CZ62,'Audit Values'!$A$2:$BW$353,61,FALSE))</f>
        <v>248</v>
      </c>
      <c r="X62" s="95">
        <f>W62*'Weighting Factors'!$Q$8</f>
        <v>45.9</v>
      </c>
      <c r="Y62" s="95">
        <f t="shared" si="11"/>
        <v>64.3</v>
      </c>
      <c r="Z62" s="276">
        <f>IF(ISNA(VLOOKUP($CZ62,'Audit Values'!$A$2:$BW$317,2,FALSE)),'Preliminary SO66'!AO61,VLOOKUP($CZ62,'Audit Values'!$A$2:$BW$317,60,FALSE))</f>
        <v>333.3</v>
      </c>
      <c r="AA62" s="95">
        <f>Z62/6*'Weighting Factors'!$Q$6</f>
        <v>27.8</v>
      </c>
      <c r="AB62" s="99">
        <f>IF(ISNA(VLOOKUP($CZ62,'Audit Values'!$A$2:$BU$353,2,FALSE)),'Preliminary SO66'!AS61,VLOOKUP($CZ62,'Audit Values'!$A$2:$BU$353,63,FALSE))</f>
        <v>3048</v>
      </c>
      <c r="AC62" s="99">
        <v>0</v>
      </c>
      <c r="AD62" s="99">
        <f>IF(ISNA(VLOOKUP($CZ62,'Audit Values'!$A$2:$BU$353,2,FALSE)),'Preliminary SO66'!AP61,VLOOKUP($CZ62,'Audit Values'!$A$2:$BU$353,64,FALSE))</f>
        <v>1626</v>
      </c>
      <c r="AE62" s="95">
        <f>IF(A62=207, AD62,MAX(AC62,AD62))*'Weighting Factors'!$Q$9</f>
        <v>787</v>
      </c>
      <c r="AF62" s="95">
        <f t="shared" si="12"/>
        <v>170.7</v>
      </c>
      <c r="AG62" s="95">
        <f>IF(ISNA(VLOOKUP($CZ62,'Audit Values'!$A$2:$BW$353,2,FALSE)),'Preliminary SO66'!AG61,VLOOKUP($CZ62,'Audit Values'!$A$2:$BW$353,70,FALSE))</f>
        <v>161.80000000000001</v>
      </c>
      <c r="AH62" s="95">
        <f t="shared" si="13"/>
        <v>170.7</v>
      </c>
      <c r="AI62" s="95">
        <f>IF(ISNA(VLOOKUP($CZ62,'Audit Values'!$A$2:$BU$353,2,FALSE)),'Preliminary SO66'!AQ61,VLOOKUP($CZ62,'Audit Values'!$A$2:$BU$353,65,FALSE))</f>
        <v>0</v>
      </c>
      <c r="AJ62" s="95">
        <f>AI62*'Weighting Factors'!$Q$10</f>
        <v>0</v>
      </c>
      <c r="AK62" s="95">
        <f>IF(ISNA(VLOOKUP($CZ62,'Audit Values'!$A$2:$BU$353,2,FALSE)),'Preliminary SO66'!AR61,VLOOKUP($CZ62,'Audit Values'!$A$2:$BU$353,66,FALSE))</f>
        <v>434.1</v>
      </c>
      <c r="AL62" s="95"/>
      <c r="AM62" s="99">
        <f t="shared" si="14"/>
        <v>273483</v>
      </c>
      <c r="AN62" s="99">
        <v>265403</v>
      </c>
      <c r="AO62" s="95">
        <f>MAX(AN62, AM62)/'Weighting Factors'!$Q$5</f>
        <v>65.7</v>
      </c>
      <c r="AP62" s="95">
        <f>CN62/'Weighting Factors'!$Q$5</f>
        <v>0</v>
      </c>
      <c r="AQ62" s="95">
        <v>0</v>
      </c>
      <c r="AR62" s="95">
        <f>CS62/'Weighting Factors'!$Q$5</f>
        <v>0</v>
      </c>
      <c r="AS62" s="99">
        <v>3313257</v>
      </c>
      <c r="AT62" s="95">
        <f>AS62/'Weighting Factors'!$Q$5</f>
        <v>795.5</v>
      </c>
      <c r="AU62" s="95">
        <f>IF(ISNA(VLOOKUP($CZ62,'Audit Values'!$A$2:$BU$353,2,FALSE)),'Preliminary SO66'!X61,VLOOKUP($CZ62,'Audit Values'!$A$2:$BU$353,47,FALSE))</f>
        <v>0</v>
      </c>
      <c r="AV62" s="95">
        <f t="shared" si="15"/>
        <v>5032.5</v>
      </c>
      <c r="AW62" s="95">
        <f t="shared" si="16"/>
        <v>4237</v>
      </c>
      <c r="AX62" s="95">
        <f>IF(ISNA(VLOOKUP($CZ62,'Audit Values'!$A$2:$BU$353,2,FALSE)),'Preliminary SO66'!AA61,VLOOKUP($CZ62,'Audit Values'!$A$2:$BU$353,41,FALSE))</f>
        <v>44</v>
      </c>
      <c r="AY62" s="95">
        <f>IF(ISNA(VLOOKUP($CZ62,'Audit Values'!$A$2:$BU$353,2,FALSE)),'Preliminary SO66'!AB61,VLOOKUP($CZ62,'Audit Values'!$A$2:$BU$353,42,FALSE))</f>
        <v>4.4000000000000004</v>
      </c>
      <c r="AZ62" s="114">
        <v>42.5</v>
      </c>
      <c r="BA62" s="99">
        <f>SUM(AX62*'Weighting Factors'!$T$10)+('2019 Legal Max'!AY62*'Weighting Factors'!$T$11)+('2019 Legal Max'!AZ62*'Weighting Factors'!$T$12)</f>
        <v>257613</v>
      </c>
      <c r="BB62" s="158">
        <v>0</v>
      </c>
      <c r="BC62" s="88">
        <f>IF(ISNA(VLOOKUP($CZ62,'Audit Values'!$A$2:$BU$353,2,FALSE)),"",IF(AND('Weighting Factors'!H62&gt;0,VLOOKUP($CZ62,'Audit Values'!$A$2:$BU$353,51,FALSE)&lt;'Weighting Factors'!H62),'Weighting Factors'!H62,VLOOKUP($CZ62,'Audit Values'!$A$2:$BU$353,50,FALSE)))</f>
        <v>25</v>
      </c>
      <c r="BD62" s="88" t="str">
        <f>IF(ISNA(VLOOKUP($CZ62,'Audit Values'!$A$2:$BV$353,2,FALSE)),"",VLOOKUP($CZ62,'Audit Values'!$A$2:$BV$353,51,FALSE))</f>
        <v>A</v>
      </c>
      <c r="BE62" s="88" t="str">
        <f>IF('Weighting Factors'!H62="","",IF('Weighting Factors'!J62="Pending","PX","R"))</f>
        <v/>
      </c>
      <c r="BF62" s="97">
        <f>SUM((S62+T62+Y62+AA62+AE62+AH62+AJ62++AO62+AP62+AQ62+AU62+AR62)*'Weighting Factors'!$Q$5)+'2019 Legal Max'!BA62+'2019 Legal Max'!BB62</f>
        <v>17904718</v>
      </c>
      <c r="BG62" s="99">
        <f>SUM((AV62+AR62)*'Weighting Factors'!$Q$5)+BA62+'2019 Legal Max'!BB62</f>
        <v>21217976</v>
      </c>
      <c r="BH62" s="108">
        <f>IF('Weighting Factors'!H62&gt;0,'Weighting Factors'!H62,'Preliminary SO66'!AV61)</f>
        <v>21364482</v>
      </c>
      <c r="BI62" s="99">
        <f t="shared" si="40"/>
        <v>21217976</v>
      </c>
      <c r="BJ62" s="112"/>
      <c r="BK62" s="112">
        <f>'Weighting Factors'!F62</f>
        <v>0</v>
      </c>
      <c r="BL62" s="112">
        <f>'Weighting Factors'!E62</f>
        <v>0</v>
      </c>
      <c r="BM62" s="99">
        <f t="shared" si="17"/>
        <v>0</v>
      </c>
      <c r="BN62" s="99">
        <f t="shared" si="18"/>
        <v>21217976</v>
      </c>
      <c r="BO62" s="99">
        <f>SUM((S62+T62+Y62+AA62+AE62+AH62+AJ62++AO62+AP62+AQ62+AR62)*'Weighting Factors'!Q$12)+(MAX(AS62,'Weighting Factors'!B62))</f>
        <v>22337387</v>
      </c>
      <c r="BP62" s="122">
        <v>0.3</v>
      </c>
      <c r="BQ62" s="99">
        <f t="shared" si="19"/>
        <v>6701216</v>
      </c>
      <c r="BR62" s="108">
        <v>6726117</v>
      </c>
      <c r="BS62" s="99">
        <f t="shared" si="20"/>
        <v>6701216</v>
      </c>
      <c r="BT62" s="167">
        <f t="shared" si="21"/>
        <v>0.3</v>
      </c>
      <c r="BU62" s="95">
        <f t="shared" si="22"/>
        <v>0</v>
      </c>
      <c r="BV62" s="87" t="b">
        <f t="shared" si="23"/>
        <v>0</v>
      </c>
      <c r="BW62" s="117">
        <f t="shared" si="24"/>
        <v>0</v>
      </c>
      <c r="BX62" s="116">
        <f t="shared" si="25"/>
        <v>0</v>
      </c>
      <c r="BY62" s="95">
        <f t="shared" si="26"/>
        <v>0</v>
      </c>
      <c r="BZ62" s="87" t="b">
        <f t="shared" si="27"/>
        <v>0</v>
      </c>
      <c r="CA62" s="87">
        <f t="shared" si="28"/>
        <v>0</v>
      </c>
      <c r="CB62" s="116">
        <f t="shared" si="29"/>
        <v>0</v>
      </c>
      <c r="CC62" s="95">
        <f t="shared" si="30"/>
        <v>0</v>
      </c>
      <c r="CD62" s="95">
        <f t="shared" si="31"/>
        <v>105.7</v>
      </c>
      <c r="CE62" s="98">
        <v>43</v>
      </c>
      <c r="CF62" s="250">
        <f t="shared" si="32"/>
        <v>10.095000000000001</v>
      </c>
      <c r="CG62" s="274">
        <f>IF(CF62&lt;0.06,1,IF(CF62&gt;=18.29,52,MATCH(CF62-0.001,'Weighting Factors'!$Y$5:$Y$156)+1))</f>
        <v>48</v>
      </c>
      <c r="CH62" s="243">
        <f>VLOOKUP(CG62, 'Weighting Factors'!$W$5:$Z$56,4)</f>
        <v>630</v>
      </c>
      <c r="CI62" s="118">
        <f>('Weighting Factors'!$Q$5/'Weighting Factors'!$Q$14)</f>
        <v>1</v>
      </c>
      <c r="CJ62" s="245">
        <f t="shared" si="33"/>
        <v>273483</v>
      </c>
      <c r="CK62" s="245">
        <f>CJ62*'Weighting Factors'!$S$7</f>
        <v>273483</v>
      </c>
      <c r="CL62" s="245">
        <f t="shared" si="34"/>
        <v>273483</v>
      </c>
      <c r="CM62" s="95">
        <f>AM62/'Weighting Factors'!$Q$5</f>
        <v>65.7</v>
      </c>
      <c r="CN62" s="148">
        <v>0</v>
      </c>
      <c r="CO62" s="148">
        <v>0</v>
      </c>
      <c r="CP62" s="149">
        <v>0</v>
      </c>
      <c r="CQ62" s="151">
        <v>0</v>
      </c>
      <c r="CR62" s="99">
        <f>SUM((AV62*'Weighting Factors'!$Q$5)+'2019 Legal Max'!BA62)*CQ62</f>
        <v>0</v>
      </c>
      <c r="CS62" s="99">
        <f t="shared" si="35"/>
        <v>0</v>
      </c>
      <c r="CT62" s="106">
        <f t="shared" si="36"/>
        <v>0.53349999999999997</v>
      </c>
      <c r="CU62" s="95">
        <f t="shared" si="37"/>
        <v>170.7</v>
      </c>
      <c r="CV62" s="95">
        <f t="shared" si="38"/>
        <v>0</v>
      </c>
      <c r="CW62" s="95">
        <f t="shared" si="39"/>
        <v>5032.5</v>
      </c>
      <c r="CX62" s="99">
        <f>'LOB Transfers'!G61</f>
        <v>1056112</v>
      </c>
      <c r="CY62" s="99">
        <f>'LOB Transfers'!J61</f>
        <v>86446</v>
      </c>
      <c r="CZ62" s="87" t="s">
        <v>254</v>
      </c>
    </row>
    <row r="63" spans="1:104" ht="15" customHeight="1">
      <c r="A63" s="88">
        <v>251</v>
      </c>
      <c r="B63" s="87" t="s">
        <v>30</v>
      </c>
      <c r="C63" s="87" t="s">
        <v>576</v>
      </c>
      <c r="D63" s="95">
        <v>415</v>
      </c>
      <c r="E63" s="95">
        <v>0</v>
      </c>
      <c r="F63" s="95">
        <f t="shared" si="5"/>
        <v>415</v>
      </c>
      <c r="G63" s="95">
        <v>391</v>
      </c>
      <c r="H63" s="95">
        <v>0</v>
      </c>
      <c r="I63" s="95">
        <f t="shared" si="6"/>
        <v>391</v>
      </c>
      <c r="J63" s="95">
        <v>381.1</v>
      </c>
      <c r="K63" s="95">
        <v>0</v>
      </c>
      <c r="L63" s="95">
        <f t="shared" si="7"/>
        <v>381.1</v>
      </c>
      <c r="M63" s="95">
        <f>IF(ISNA(VLOOKUP($CZ63,'Audit Values'!$A$2:$BW$365,2,FALSE)),'Preliminary SO66'!C62,VLOOKUP($CZ63,'Audit Values'!$A$2:$BW$365,73,FALSE))</f>
        <v>346.5</v>
      </c>
      <c r="N63" s="95">
        <f>IF(ISNA(VLOOKUP($CZ63,'Audit Values'!$A$2:$BW$365,2,FALSE)),'Preliminary SO66'!F62,VLOOKUP($CZ63,'Audit Values'!$A$2:$BW$365,4,FALSE))</f>
        <v>0</v>
      </c>
      <c r="O63" s="95">
        <f t="shared" si="8"/>
        <v>346.5</v>
      </c>
      <c r="P63" s="95">
        <f>IF('Military Provision'!J64="YES", MAX('2019 Legal Max'!L63,'2019 Legal Max'!I63,AVERAGE('2019 Legal Max'!F63,'2019 Legal Max'!I63,'2019 Legal Max'!L63)), MAX(L63, I63))</f>
        <v>391</v>
      </c>
      <c r="Q63" s="95">
        <f>IF(ISNA(VLOOKUP($CZ63,'Audit Values'!$A$2:$BU$353,2,FALSE)),'Preliminary SO66'!AL62,VLOOKUP($CZ63,'Audit Values'!$A$2:$BU$3955,58,FALSE))</f>
        <v>0</v>
      </c>
      <c r="R63" s="95">
        <v>0</v>
      </c>
      <c r="S63" s="95">
        <f t="shared" si="42"/>
        <v>391</v>
      </c>
      <c r="T63" s="95">
        <f t="shared" si="10"/>
        <v>177.2</v>
      </c>
      <c r="U63" s="95">
        <f>IF(ISNA(VLOOKUP($CZ63,'Audit Values'!$A$2:$BW$317,2,FALSE)),'Preliminary SO66'!AM62,VLOOKUP($CZ63,'Audit Values'!$A$2:$BW$317,62,FALSE))</f>
        <v>0</v>
      </c>
      <c r="V63" s="95">
        <f>(U63/6)*'Weighting Factors'!$Q$7</f>
        <v>0</v>
      </c>
      <c r="W63" s="132">
        <f>IF(ISNA(VLOOKUP($CZ63,'Audit Values'!$A$2:$BW$353,2,FALSE)),'Preliminary SO66'!AN62,VLOOKUP($CZ63,'Audit Values'!$A$2:$BW$353,61,FALSE))</f>
        <v>0</v>
      </c>
      <c r="X63" s="95">
        <f>W63*'Weighting Factors'!$Q$8</f>
        <v>0</v>
      </c>
      <c r="Y63" s="95">
        <f t="shared" si="11"/>
        <v>0</v>
      </c>
      <c r="Z63" s="276">
        <f>IF(ISNA(VLOOKUP($CZ63,'Audit Values'!$A$2:$BW$317,2,FALSE)),'Preliminary SO66'!AO62,VLOOKUP($CZ63,'Audit Values'!$A$2:$BW$317,60,FALSE))</f>
        <v>69.400000000000006</v>
      </c>
      <c r="AA63" s="95">
        <f>Z63/6*'Weighting Factors'!$Q$6</f>
        <v>5.8</v>
      </c>
      <c r="AB63" s="99">
        <f>IF(ISNA(VLOOKUP($CZ63,'Audit Values'!$A$2:$BU$353,2,FALSE)),'Preliminary SO66'!AS62,VLOOKUP($CZ63,'Audit Values'!$A$2:$BU$353,63,FALSE))</f>
        <v>347</v>
      </c>
      <c r="AC63" s="99">
        <v>0</v>
      </c>
      <c r="AD63" s="99">
        <f>IF(ISNA(VLOOKUP($CZ63,'Audit Values'!$A$2:$BU$353,2,FALSE)),'Preliminary SO66'!AP62,VLOOKUP($CZ63,'Audit Values'!$A$2:$BU$353,64,FALSE))</f>
        <v>126</v>
      </c>
      <c r="AE63" s="95">
        <f>IF(A63=207, AD63,MAX(AC63,AD63))*'Weighting Factors'!$Q$9</f>
        <v>61</v>
      </c>
      <c r="AF63" s="95">
        <f t="shared" si="12"/>
        <v>1.2</v>
      </c>
      <c r="AG63" s="95">
        <f>IF(ISNA(VLOOKUP($CZ63,'Audit Values'!$A$2:$BW$353,2,FALSE)),'Preliminary SO66'!AG62,VLOOKUP($CZ63,'Audit Values'!$A$2:$BW$353,70,FALSE))</f>
        <v>1.2</v>
      </c>
      <c r="AH63" s="95">
        <f t="shared" si="13"/>
        <v>1.2</v>
      </c>
      <c r="AI63" s="95">
        <f>IF(ISNA(VLOOKUP($CZ63,'Audit Values'!$A$2:$BU$353,2,FALSE)),'Preliminary SO66'!AQ62,VLOOKUP($CZ63,'Audit Values'!$A$2:$BU$353,65,FALSE))</f>
        <v>0</v>
      </c>
      <c r="AJ63" s="95">
        <f>AI63*'Weighting Factors'!$Q$10</f>
        <v>0</v>
      </c>
      <c r="AK63" s="95">
        <f>IF(ISNA(VLOOKUP($CZ63,'Audit Values'!$A$2:$BU$353,2,FALSE)),'Preliminary SO66'!AR62,VLOOKUP($CZ63,'Audit Values'!$A$2:$BU$353,66,FALSE))</f>
        <v>201</v>
      </c>
      <c r="AL63" s="95"/>
      <c r="AM63" s="99">
        <f t="shared" si="14"/>
        <v>223110</v>
      </c>
      <c r="AN63" s="99">
        <v>308160</v>
      </c>
      <c r="AO63" s="95">
        <f>MAX(AN63, AM63)/'Weighting Factors'!$Q$5</f>
        <v>74</v>
      </c>
      <c r="AP63" s="95">
        <f>CN63/'Weighting Factors'!$Q$5</f>
        <v>0</v>
      </c>
      <c r="AQ63" s="95">
        <v>0</v>
      </c>
      <c r="AR63" s="95">
        <f>CS63/'Weighting Factors'!$Q$5</f>
        <v>0</v>
      </c>
      <c r="AS63" s="99">
        <v>476030</v>
      </c>
      <c r="AT63" s="95">
        <f>AS63/'Weighting Factors'!$Q$5</f>
        <v>114.3</v>
      </c>
      <c r="AU63" s="95">
        <f>IF(ISNA(VLOOKUP($CZ63,'Audit Values'!$A$2:$BU$353,2,FALSE)),'Preliminary SO66'!X62,VLOOKUP($CZ63,'Audit Values'!$A$2:$BU$353,47,FALSE))</f>
        <v>0</v>
      </c>
      <c r="AV63" s="95">
        <f t="shared" si="15"/>
        <v>824.5</v>
      </c>
      <c r="AW63" s="95">
        <f t="shared" si="16"/>
        <v>710.2</v>
      </c>
      <c r="AX63" s="95">
        <f>IF(ISNA(VLOOKUP($CZ63,'Audit Values'!$A$2:$BU$353,2,FALSE)),'Preliminary SO66'!AA62,VLOOKUP($CZ63,'Audit Values'!$A$2:$BU$353,41,FALSE))</f>
        <v>0</v>
      </c>
      <c r="AY63" s="95">
        <f>IF(ISNA(VLOOKUP($CZ63,'Audit Values'!$A$2:$BU$353,2,FALSE)),'Preliminary SO66'!AB62,VLOOKUP($CZ63,'Audit Values'!$A$2:$BU$353,42,FALSE))</f>
        <v>0</v>
      </c>
      <c r="AZ63" s="114">
        <v>0</v>
      </c>
      <c r="BA63" s="99">
        <f>SUM(AX63*'Weighting Factors'!$T$10)+('2019 Legal Max'!AY63*'Weighting Factors'!$T$11)+('2019 Legal Max'!AZ63*'Weighting Factors'!$T$12)</f>
        <v>0</v>
      </c>
      <c r="BB63" s="158">
        <v>0</v>
      </c>
      <c r="BC63" s="88">
        <f>IF(ISNA(VLOOKUP($CZ63,'Audit Values'!$A$2:$BU$353,2,FALSE)),"",IF(AND('Weighting Factors'!H63&gt;0,VLOOKUP($CZ63,'Audit Values'!$A$2:$BU$353,51,FALSE)&lt;'Weighting Factors'!H63),'Weighting Factors'!H63,VLOOKUP($CZ63,'Audit Values'!$A$2:$BU$353,50,FALSE)))</f>
        <v>18</v>
      </c>
      <c r="BD63" s="88" t="str">
        <f>IF(ISNA(VLOOKUP($CZ63,'Audit Values'!$A$2:$BV$353,2,FALSE)),"",VLOOKUP($CZ63,'Audit Values'!$A$2:$BV$353,51,FALSE))</f>
        <v>A</v>
      </c>
      <c r="BE63" s="88" t="str">
        <f>IF('Weighting Factors'!H63="","",IF('Weighting Factors'!J63="Pending","PX","R"))</f>
        <v/>
      </c>
      <c r="BF63" s="97">
        <f>SUM((S63+T63+Y63+AA63+AE63+AH63+AJ63++AO63+AP63+AQ63+AU63+AR63)*'Weighting Factors'!$Q$5)+'2019 Legal Max'!BA63+'2019 Legal Max'!BB63</f>
        <v>2957983</v>
      </c>
      <c r="BG63" s="99">
        <f>SUM((AV63+AR63)*'Weighting Factors'!$Q$5)+BA63+'2019 Legal Max'!BB63</f>
        <v>3434043</v>
      </c>
      <c r="BH63" s="108">
        <f>IF('Weighting Factors'!H63&gt;0,'Weighting Factors'!H63,'Preliminary SO66'!AV62)</f>
        <v>3449037</v>
      </c>
      <c r="BI63" s="99">
        <f t="shared" si="40"/>
        <v>3434043</v>
      </c>
      <c r="BJ63" s="112"/>
      <c r="BK63" s="112">
        <f>'Weighting Factors'!F63</f>
        <v>0</v>
      </c>
      <c r="BL63" s="112">
        <f>'Weighting Factors'!E63</f>
        <v>0</v>
      </c>
      <c r="BM63" s="99">
        <f t="shared" si="17"/>
        <v>0</v>
      </c>
      <c r="BN63" s="99">
        <f t="shared" si="18"/>
        <v>3434043</v>
      </c>
      <c r="BO63" s="99">
        <f>SUM((S63+T63+Y63+AA63+AE63+AH63+AJ63++AO63+AP63+AQ63+AR63)*'Weighting Factors'!Q$12)+(MAX(AS63,'Weighting Factors'!B63))</f>
        <v>3664828</v>
      </c>
      <c r="BP63" s="122">
        <v>0.33</v>
      </c>
      <c r="BQ63" s="99">
        <f t="shared" si="19"/>
        <v>1209393</v>
      </c>
      <c r="BR63" s="108">
        <v>1214500</v>
      </c>
      <c r="BS63" s="99">
        <f t="shared" si="20"/>
        <v>1209393</v>
      </c>
      <c r="BT63" s="167">
        <f t="shared" si="21"/>
        <v>0.33</v>
      </c>
      <c r="BU63" s="95">
        <f t="shared" si="22"/>
        <v>0</v>
      </c>
      <c r="BV63" s="87" t="b">
        <f t="shared" si="23"/>
        <v>0</v>
      </c>
      <c r="BW63" s="117">
        <f t="shared" si="24"/>
        <v>0</v>
      </c>
      <c r="BX63" s="116">
        <f t="shared" si="25"/>
        <v>0</v>
      </c>
      <c r="BY63" s="95">
        <f t="shared" si="26"/>
        <v>0</v>
      </c>
      <c r="BZ63" s="87" t="b">
        <f t="shared" si="27"/>
        <v>1</v>
      </c>
      <c r="CA63" s="87">
        <f t="shared" si="28"/>
        <v>112.6125</v>
      </c>
      <c r="CB63" s="116">
        <f t="shared" si="29"/>
        <v>0.45326899999999998</v>
      </c>
      <c r="CC63" s="95">
        <f t="shared" si="30"/>
        <v>177.2</v>
      </c>
      <c r="CD63" s="95">
        <f t="shared" si="31"/>
        <v>0</v>
      </c>
      <c r="CE63" s="98">
        <v>434</v>
      </c>
      <c r="CF63" s="250">
        <f t="shared" si="32"/>
        <v>0.46300000000000002</v>
      </c>
      <c r="CG63" s="274">
        <f>IF(CF63&lt;0.06,1,IF(CF63&gt;=18.29,52,MATCH(CF63-0.001,'Weighting Factors'!$Y$5:$Y$156)+1))</f>
        <v>24</v>
      </c>
      <c r="CH63" s="243">
        <f>VLOOKUP(CG63, 'Weighting Factors'!$W$5:$Z$56,4)</f>
        <v>1110</v>
      </c>
      <c r="CI63" s="118">
        <f>('Weighting Factors'!$Q$5/'Weighting Factors'!$Q$14)</f>
        <v>1</v>
      </c>
      <c r="CJ63" s="245">
        <f t="shared" si="33"/>
        <v>223110</v>
      </c>
      <c r="CK63" s="245">
        <f>CJ63*'Weighting Factors'!$S$7</f>
        <v>223110</v>
      </c>
      <c r="CL63" s="245">
        <f t="shared" si="34"/>
        <v>223110</v>
      </c>
      <c r="CM63" s="95">
        <f>AM63/'Weighting Factors'!$Q$5</f>
        <v>53.6</v>
      </c>
      <c r="CN63" s="148">
        <v>0</v>
      </c>
      <c r="CO63" s="148">
        <v>0</v>
      </c>
      <c r="CP63" s="149">
        <v>0</v>
      </c>
      <c r="CQ63" s="151">
        <v>0</v>
      </c>
      <c r="CR63" s="99">
        <f>SUM((AV63*'Weighting Factors'!$Q$5)+'2019 Legal Max'!BA63)*CQ63</f>
        <v>0</v>
      </c>
      <c r="CS63" s="99">
        <f t="shared" si="35"/>
        <v>0</v>
      </c>
      <c r="CT63" s="106">
        <f t="shared" si="36"/>
        <v>0.36309999999999998</v>
      </c>
      <c r="CU63" s="95">
        <f t="shared" si="37"/>
        <v>0</v>
      </c>
      <c r="CV63" s="95">
        <f t="shared" si="38"/>
        <v>1.2</v>
      </c>
      <c r="CW63" s="95">
        <f t="shared" si="39"/>
        <v>824.5</v>
      </c>
      <c r="CX63" s="99">
        <f>'LOB Transfers'!G62</f>
        <v>89495</v>
      </c>
      <c r="CY63" s="99">
        <f>'LOB Transfers'!J62</f>
        <v>0</v>
      </c>
      <c r="CZ63" s="87" t="s">
        <v>255</v>
      </c>
    </row>
    <row r="64" spans="1:104" ht="15" customHeight="1">
      <c r="A64" s="88">
        <v>252</v>
      </c>
      <c r="B64" s="87" t="s">
        <v>30</v>
      </c>
      <c r="C64" s="87" t="s">
        <v>577</v>
      </c>
      <c r="D64" s="95">
        <v>488.5</v>
      </c>
      <c r="E64" s="95">
        <v>0</v>
      </c>
      <c r="F64" s="95">
        <f t="shared" si="5"/>
        <v>488.5</v>
      </c>
      <c r="G64" s="95">
        <v>480.5</v>
      </c>
      <c r="H64" s="95">
        <v>0</v>
      </c>
      <c r="I64" s="95">
        <f t="shared" si="6"/>
        <v>480.5</v>
      </c>
      <c r="J64" s="95">
        <v>460.5</v>
      </c>
      <c r="K64" s="95">
        <v>0</v>
      </c>
      <c r="L64" s="95">
        <f t="shared" si="7"/>
        <v>460.5</v>
      </c>
      <c r="M64" s="95">
        <f>IF(ISNA(VLOOKUP($CZ64,'Audit Values'!$A$2:$BW$365,2,FALSE)),'Preliminary SO66'!C63,VLOOKUP($CZ64,'Audit Values'!$A$2:$BW$365,73,FALSE))</f>
        <v>461.1</v>
      </c>
      <c r="N64" s="95">
        <f>IF(ISNA(VLOOKUP($CZ64,'Audit Values'!$A$2:$BW$365,2,FALSE)),'Preliminary SO66'!F63,VLOOKUP($CZ64,'Audit Values'!$A$2:$BW$365,4,FALSE))</f>
        <v>0</v>
      </c>
      <c r="O64" s="95">
        <f t="shared" si="8"/>
        <v>461.1</v>
      </c>
      <c r="P64" s="95">
        <f>IF('Military Provision'!J65="YES", MAX('2019 Legal Max'!L64,'2019 Legal Max'!I64,AVERAGE('2019 Legal Max'!F64,'2019 Legal Max'!I64,'2019 Legal Max'!L64)), MAX(L64, I64))</f>
        <v>480.5</v>
      </c>
      <c r="Q64" s="95">
        <f>IF(ISNA(VLOOKUP($CZ64,'Audit Values'!$A$2:$BU$353,2,FALSE)),'Preliminary SO66'!AL63,VLOOKUP($CZ64,'Audit Values'!$A$2:$BU$3955,58,FALSE))</f>
        <v>6.5</v>
      </c>
      <c r="R64" s="95">
        <v>0</v>
      </c>
      <c r="S64" s="95">
        <f t="shared" si="42"/>
        <v>487</v>
      </c>
      <c r="T64" s="95">
        <f t="shared" si="10"/>
        <v>204.9</v>
      </c>
      <c r="U64" s="95">
        <f>IF(ISNA(VLOOKUP($CZ64,'Audit Values'!$A$2:$BW$317,2,FALSE)),'Preliminary SO66'!AM63,VLOOKUP($CZ64,'Audit Values'!$A$2:$BW$317,62,FALSE))</f>
        <v>0</v>
      </c>
      <c r="V64" s="95">
        <f>(U64/6)*'Weighting Factors'!$Q$7</f>
        <v>0</v>
      </c>
      <c r="W64" s="132">
        <f>IF(ISNA(VLOOKUP($CZ64,'Audit Values'!$A$2:$BW$353,2,FALSE)),'Preliminary SO66'!AN63,VLOOKUP($CZ64,'Audit Values'!$A$2:$BW$353,61,FALSE))</f>
        <v>0</v>
      </c>
      <c r="X64" s="95">
        <f>W64*'Weighting Factors'!$Q$8</f>
        <v>0</v>
      </c>
      <c r="Y64" s="95">
        <f t="shared" si="11"/>
        <v>0</v>
      </c>
      <c r="Z64" s="276">
        <f>IF(ISNA(VLOOKUP($CZ64,'Audit Values'!$A$2:$BW$317,2,FALSE)),'Preliminary SO66'!AO63,VLOOKUP($CZ64,'Audit Values'!$A$2:$BW$317,60,FALSE))</f>
        <v>186.5</v>
      </c>
      <c r="AA64" s="95">
        <f>Z64/6*'Weighting Factors'!$Q$6</f>
        <v>15.5</v>
      </c>
      <c r="AB64" s="99">
        <f>IF(ISNA(VLOOKUP($CZ64,'Audit Values'!$A$2:$BU$353,2,FALSE)),'Preliminary SO66'!AS63,VLOOKUP($CZ64,'Audit Values'!$A$2:$BU$353,63,FALSE))</f>
        <v>475</v>
      </c>
      <c r="AC64" s="99">
        <v>0</v>
      </c>
      <c r="AD64" s="99">
        <f>IF(ISNA(VLOOKUP($CZ64,'Audit Values'!$A$2:$BU$353,2,FALSE)),'Preliminary SO66'!AP63,VLOOKUP($CZ64,'Audit Values'!$A$2:$BU$353,64,FALSE))</f>
        <v>161</v>
      </c>
      <c r="AE64" s="95">
        <f>IF(A64=207, AD64,MAX(AC64,AD64))*'Weighting Factors'!$Q$9</f>
        <v>77.900000000000006</v>
      </c>
      <c r="AF64" s="95">
        <f t="shared" si="12"/>
        <v>0</v>
      </c>
      <c r="AG64" s="95">
        <f>IF(ISNA(VLOOKUP($CZ64,'Audit Values'!$A$2:$BW$353,2,FALSE)),'Preliminary SO66'!AG63,VLOOKUP($CZ64,'Audit Values'!$A$2:$BW$353,70,FALSE))</f>
        <v>10.199999999999999</v>
      </c>
      <c r="AH64" s="95">
        <f t="shared" si="13"/>
        <v>10.199999999999999</v>
      </c>
      <c r="AI64" s="95">
        <f>IF(ISNA(VLOOKUP($CZ64,'Audit Values'!$A$2:$BU$353,2,FALSE)),'Preliminary SO66'!AQ63,VLOOKUP($CZ64,'Audit Values'!$A$2:$BU$353,65,FALSE))</f>
        <v>0</v>
      </c>
      <c r="AJ64" s="95">
        <f>AI64*'Weighting Factors'!$Q$10</f>
        <v>0</v>
      </c>
      <c r="AK64" s="95">
        <f>IF(ISNA(VLOOKUP($CZ64,'Audit Values'!$A$2:$BU$353,2,FALSE)),'Preliminary SO66'!AR63,VLOOKUP($CZ64,'Audit Values'!$A$2:$BU$353,66,FALSE))</f>
        <v>186</v>
      </c>
      <c r="AL64" s="95"/>
      <c r="AM64" s="99">
        <f t="shared" si="14"/>
        <v>195300</v>
      </c>
      <c r="AN64" s="99">
        <v>244602</v>
      </c>
      <c r="AO64" s="95">
        <f>MAX(AN64, AM64)/'Weighting Factors'!$Q$5</f>
        <v>58.7</v>
      </c>
      <c r="AP64" s="95">
        <f>CN64/'Weighting Factors'!$Q$5</f>
        <v>0</v>
      </c>
      <c r="AQ64" s="95">
        <v>0</v>
      </c>
      <c r="AR64" s="95">
        <f>CS64/'Weighting Factors'!$Q$5</f>
        <v>0</v>
      </c>
      <c r="AS64" s="99">
        <v>530696</v>
      </c>
      <c r="AT64" s="95">
        <f>AS64/'Weighting Factors'!$Q$5</f>
        <v>127.4</v>
      </c>
      <c r="AU64" s="95">
        <f>IF(ISNA(VLOOKUP($CZ64,'Audit Values'!$A$2:$BU$353,2,FALSE)),'Preliminary SO66'!X63,VLOOKUP($CZ64,'Audit Values'!$A$2:$BU$353,47,FALSE))</f>
        <v>1</v>
      </c>
      <c r="AV64" s="95">
        <f t="shared" si="15"/>
        <v>982.6</v>
      </c>
      <c r="AW64" s="95">
        <f t="shared" si="16"/>
        <v>855.2</v>
      </c>
      <c r="AX64" s="95">
        <f>IF(ISNA(VLOOKUP($CZ64,'Audit Values'!$A$2:$BU$353,2,FALSE)),'Preliminary SO66'!AA63,VLOOKUP($CZ64,'Audit Values'!$A$2:$BU$353,41,FALSE))</f>
        <v>0</v>
      </c>
      <c r="AY64" s="95">
        <f>IF(ISNA(VLOOKUP($CZ64,'Audit Values'!$A$2:$BU$353,2,FALSE)),'Preliminary SO66'!AB63,VLOOKUP($CZ64,'Audit Values'!$A$2:$BU$353,42,FALSE))</f>
        <v>0</v>
      </c>
      <c r="AZ64" s="114">
        <v>0</v>
      </c>
      <c r="BA64" s="99">
        <f>SUM(AX64*'Weighting Factors'!$T$10)+('2019 Legal Max'!AY64*'Weighting Factors'!$T$11)+('2019 Legal Max'!AZ64*'Weighting Factors'!$T$12)</f>
        <v>0</v>
      </c>
      <c r="BB64" s="158">
        <v>0</v>
      </c>
      <c r="BC64" s="88">
        <f>IF(ISNA(VLOOKUP($CZ64,'Audit Values'!$A$2:$BU$353,2,FALSE)),"",IF(AND('Weighting Factors'!H64&gt;0,VLOOKUP($CZ64,'Audit Values'!$A$2:$BU$353,51,FALSE)&lt;'Weighting Factors'!H64),'Weighting Factors'!H64,VLOOKUP($CZ64,'Audit Values'!$A$2:$BU$353,50,FALSE)))</f>
        <v>11</v>
      </c>
      <c r="BD64" s="88" t="str">
        <f>IF(ISNA(VLOOKUP($CZ64,'Audit Values'!$A$2:$BV$353,2,FALSE)),"",VLOOKUP($CZ64,'Audit Values'!$A$2:$BV$353,51,FALSE))</f>
        <v>A</v>
      </c>
      <c r="BE64" s="88" t="str">
        <f>IF('Weighting Factors'!H64="","",IF('Weighting Factors'!J64="Pending","PX","R"))</f>
        <v/>
      </c>
      <c r="BF64" s="97">
        <f>SUM((S64+T64+Y64+AA64+AE64+AH64+AJ64++AO64+AP64+AQ64+AU64+AR64)*'Weighting Factors'!$Q$5)+'2019 Legal Max'!BA64+'2019 Legal Max'!BB64</f>
        <v>3561908</v>
      </c>
      <c r="BG64" s="99">
        <f>SUM((AV64+AR64)*'Weighting Factors'!$Q$5)+BA64+'2019 Legal Max'!BB64</f>
        <v>4092529</v>
      </c>
      <c r="BH64" s="108">
        <f>IF('Weighting Factors'!H64&gt;0,'Weighting Factors'!H64,'Preliminary SO66'!AV63)</f>
        <v>4188324</v>
      </c>
      <c r="BI64" s="99">
        <f t="shared" si="40"/>
        <v>4092529</v>
      </c>
      <c r="BJ64" s="112"/>
      <c r="BK64" s="112">
        <f>'Weighting Factors'!F64</f>
        <v>0</v>
      </c>
      <c r="BL64" s="112">
        <f>'Weighting Factors'!E64</f>
        <v>0</v>
      </c>
      <c r="BM64" s="99">
        <f t="shared" si="17"/>
        <v>0</v>
      </c>
      <c r="BN64" s="99">
        <f t="shared" si="18"/>
        <v>4092529</v>
      </c>
      <c r="BO64" s="99">
        <f>SUM((S64+T64+Y64+AA64+AE64+AH64+AJ64++AO64+AP64+AQ64+AR64)*'Weighting Factors'!Q$12)+(MAX(AS64,'Weighting Factors'!B64))</f>
        <v>4366054</v>
      </c>
      <c r="BP64" s="122">
        <v>0.3</v>
      </c>
      <c r="BQ64" s="99">
        <f t="shared" si="19"/>
        <v>1309816</v>
      </c>
      <c r="BR64" s="108">
        <v>1339919</v>
      </c>
      <c r="BS64" s="99">
        <f t="shared" si="20"/>
        <v>1309816</v>
      </c>
      <c r="BT64" s="167">
        <f t="shared" si="21"/>
        <v>0.3</v>
      </c>
      <c r="BU64" s="95">
        <f t="shared" si="22"/>
        <v>0</v>
      </c>
      <c r="BV64" s="87" t="b">
        <f t="shared" si="23"/>
        <v>0</v>
      </c>
      <c r="BW64" s="117">
        <f t="shared" si="24"/>
        <v>0</v>
      </c>
      <c r="BX64" s="116">
        <f t="shared" si="25"/>
        <v>0</v>
      </c>
      <c r="BY64" s="95">
        <f t="shared" si="26"/>
        <v>0</v>
      </c>
      <c r="BZ64" s="87" t="b">
        <f t="shared" si="27"/>
        <v>1</v>
      </c>
      <c r="CA64" s="87">
        <f t="shared" si="28"/>
        <v>231.41249999999999</v>
      </c>
      <c r="CB64" s="116">
        <f t="shared" si="29"/>
        <v>0.420653</v>
      </c>
      <c r="CC64" s="95">
        <f t="shared" si="30"/>
        <v>204.9</v>
      </c>
      <c r="CD64" s="95">
        <f t="shared" si="31"/>
        <v>0</v>
      </c>
      <c r="CE64" s="98">
        <v>295</v>
      </c>
      <c r="CF64" s="250">
        <f t="shared" si="32"/>
        <v>0.63100000000000001</v>
      </c>
      <c r="CG64" s="274">
        <f>IF(CF64&lt;0.06,1,IF(CF64&gt;=18.29,52,MATCH(CF64-0.001,'Weighting Factors'!$Y$5:$Y$156)+1))</f>
        <v>27</v>
      </c>
      <c r="CH64" s="243">
        <f>VLOOKUP(CG64, 'Weighting Factors'!$W$5:$Z$56,4)</f>
        <v>1050</v>
      </c>
      <c r="CI64" s="118">
        <f>('Weighting Factors'!$Q$5/'Weighting Factors'!$Q$14)</f>
        <v>1</v>
      </c>
      <c r="CJ64" s="245">
        <f t="shared" si="33"/>
        <v>195300</v>
      </c>
      <c r="CK64" s="245">
        <f>CJ64*'Weighting Factors'!$S$7</f>
        <v>195300</v>
      </c>
      <c r="CL64" s="245">
        <f t="shared" si="34"/>
        <v>195300</v>
      </c>
      <c r="CM64" s="95">
        <f>AM64/'Weighting Factors'!$Q$5</f>
        <v>46.9</v>
      </c>
      <c r="CN64" s="148">
        <v>0</v>
      </c>
      <c r="CO64" s="148">
        <v>0</v>
      </c>
      <c r="CP64" s="149">
        <v>0</v>
      </c>
      <c r="CQ64" s="151">
        <v>0</v>
      </c>
      <c r="CR64" s="99">
        <f>SUM((AV64*'Weighting Factors'!$Q$5)+'2019 Legal Max'!BA64)*CQ64</f>
        <v>0</v>
      </c>
      <c r="CS64" s="99">
        <f t="shared" si="35"/>
        <v>0</v>
      </c>
      <c r="CT64" s="106">
        <f t="shared" si="36"/>
        <v>0.33889999999999998</v>
      </c>
      <c r="CU64" s="95">
        <f t="shared" si="37"/>
        <v>0</v>
      </c>
      <c r="CV64" s="95">
        <f t="shared" si="38"/>
        <v>0</v>
      </c>
      <c r="CW64" s="95">
        <f t="shared" si="39"/>
        <v>982.6</v>
      </c>
      <c r="CX64" s="99">
        <f>'LOB Transfers'!G63</f>
        <v>104654</v>
      </c>
      <c r="CY64" s="99">
        <f>'LOB Transfers'!J63</f>
        <v>0</v>
      </c>
      <c r="CZ64" s="87" t="s">
        <v>256</v>
      </c>
    </row>
    <row r="65" spans="1:104" ht="15" customHeight="1">
      <c r="A65" s="88">
        <v>253</v>
      </c>
      <c r="B65" s="87" t="s">
        <v>30</v>
      </c>
      <c r="C65" s="87" t="s">
        <v>578</v>
      </c>
      <c r="D65" s="95">
        <v>4317.2</v>
      </c>
      <c r="E65" s="95">
        <v>0</v>
      </c>
      <c r="F65" s="95">
        <f t="shared" si="5"/>
        <v>4317.2</v>
      </c>
      <c r="G65" s="95">
        <v>4393.6000000000004</v>
      </c>
      <c r="H65" s="95">
        <v>0</v>
      </c>
      <c r="I65" s="95">
        <f t="shared" si="6"/>
        <v>4393.6000000000004</v>
      </c>
      <c r="J65" s="95">
        <v>4428.8</v>
      </c>
      <c r="K65" s="95">
        <v>0</v>
      </c>
      <c r="L65" s="95">
        <f t="shared" si="7"/>
        <v>4428.8</v>
      </c>
      <c r="M65" s="95">
        <f>IF(ISNA(VLOOKUP($CZ65,'Audit Values'!$A$2:$BW$365,2,FALSE)),'Preliminary SO66'!C64,VLOOKUP($CZ65,'Audit Values'!$A$2:$BW$365,73,FALSE))</f>
        <v>4414.7</v>
      </c>
      <c r="N65" s="95">
        <f>IF(ISNA(VLOOKUP($CZ65,'Audit Values'!$A$2:$BW$365,2,FALSE)),'Preliminary SO66'!F64,VLOOKUP($CZ65,'Audit Values'!$A$2:$BW$365,4,FALSE))</f>
        <v>0</v>
      </c>
      <c r="O65" s="95">
        <f t="shared" si="8"/>
        <v>4414.7</v>
      </c>
      <c r="P65" s="95">
        <f>IF('Military Provision'!J66="YES", MAX('2019 Legal Max'!L65,'2019 Legal Max'!I65,AVERAGE('2019 Legal Max'!F65,'2019 Legal Max'!I65,'2019 Legal Max'!L65)), MAX(L65, I65))</f>
        <v>4428.8</v>
      </c>
      <c r="Q65" s="95">
        <f>IF(ISNA(VLOOKUP($CZ65,'Audit Values'!$A$2:$BU$353,2,FALSE)),'Preliminary SO66'!AL64,VLOOKUP($CZ65,'Audit Values'!$A$2:$BU$3955,58,FALSE))</f>
        <v>58</v>
      </c>
      <c r="R65" s="95">
        <v>0</v>
      </c>
      <c r="S65" s="95">
        <f t="shared" si="42"/>
        <v>4486.8</v>
      </c>
      <c r="T65" s="95">
        <f t="shared" si="10"/>
        <v>157.19999999999999</v>
      </c>
      <c r="U65" s="95">
        <f>IF(ISNA(VLOOKUP($CZ65,'Audit Values'!$A$2:$BW$317,2,FALSE)),'Preliminary SO66'!AM64,VLOOKUP($CZ65,'Audit Values'!$A$2:$BW$317,62,FALSE))</f>
        <v>4901.3999999999996</v>
      </c>
      <c r="V65" s="95">
        <f>(U65/6)*'Weighting Factors'!$Q$7</f>
        <v>322.7</v>
      </c>
      <c r="W65" s="132">
        <f>IF(ISNA(VLOOKUP($CZ65,'Audit Values'!$A$2:$BW$353,2,FALSE)),'Preliminary SO66'!AN64,VLOOKUP($CZ65,'Audit Values'!$A$2:$BW$353,61,FALSE))</f>
        <v>1518</v>
      </c>
      <c r="X65" s="95">
        <f>W65*'Weighting Factors'!$Q$8</f>
        <v>280.8</v>
      </c>
      <c r="Y65" s="95">
        <f t="shared" si="11"/>
        <v>322.7</v>
      </c>
      <c r="Z65" s="276">
        <f>IF(ISNA(VLOOKUP($CZ65,'Audit Values'!$A$2:$BW$317,2,FALSE)),'Preliminary SO66'!AO64,VLOOKUP($CZ65,'Audit Values'!$A$2:$BW$317,60,FALSE))</f>
        <v>1038.9000000000001</v>
      </c>
      <c r="AA65" s="95">
        <f>Z65/6*'Weighting Factors'!$Q$6</f>
        <v>86.6</v>
      </c>
      <c r="AB65" s="99">
        <f>IF(ISNA(VLOOKUP($CZ65,'Audit Values'!$A$2:$BU$353,2,FALSE)),'Preliminary SO66'!AS64,VLOOKUP($CZ65,'Audit Values'!$A$2:$BU$353,63,FALSE))</f>
        <v>4584</v>
      </c>
      <c r="AC65" s="99">
        <v>0</v>
      </c>
      <c r="AD65" s="99">
        <f>IF(ISNA(VLOOKUP($CZ65,'Audit Values'!$A$2:$BU$353,2,FALSE)),'Preliminary SO66'!AP64,VLOOKUP($CZ65,'Audit Values'!$A$2:$BU$353,64,FALSE))</f>
        <v>2047</v>
      </c>
      <c r="AE65" s="95">
        <f>IF(A65=207, AD65,MAX(AC65,AD65))*'Weighting Factors'!$Q$9</f>
        <v>990.7</v>
      </c>
      <c r="AF65" s="95">
        <f t="shared" si="12"/>
        <v>138.4</v>
      </c>
      <c r="AG65" s="95">
        <f>IF(ISNA(VLOOKUP($CZ65,'Audit Values'!$A$2:$BW$353,2,FALSE)),'Preliminary SO66'!AG64,VLOOKUP($CZ65,'Audit Values'!$A$2:$BW$353,70,FALSE))</f>
        <v>125.4</v>
      </c>
      <c r="AH65" s="95">
        <f t="shared" si="13"/>
        <v>138.4</v>
      </c>
      <c r="AI65" s="95">
        <f>IF(ISNA(VLOOKUP($CZ65,'Audit Values'!$A$2:$BU$353,2,FALSE)),'Preliminary SO66'!AQ64,VLOOKUP($CZ65,'Audit Values'!$A$2:$BU$353,65,FALSE))</f>
        <v>0</v>
      </c>
      <c r="AJ65" s="95">
        <f>AI65*'Weighting Factors'!$Q$10</f>
        <v>0</v>
      </c>
      <c r="AK65" s="95">
        <f>IF(ISNA(VLOOKUP($CZ65,'Audit Values'!$A$2:$BU$353,2,FALSE)),'Preliminary SO66'!AR64,VLOOKUP($CZ65,'Audit Values'!$A$2:$BU$353,66,FALSE))</f>
        <v>1591</v>
      </c>
      <c r="AL65" s="95"/>
      <c r="AM65" s="99">
        <f t="shared" si="14"/>
        <v>970510</v>
      </c>
      <c r="AN65" s="99">
        <v>954140</v>
      </c>
      <c r="AO65" s="95">
        <f>MAX(AN65, AM65)/'Weighting Factors'!$Q$5</f>
        <v>233</v>
      </c>
      <c r="AP65" s="95">
        <f>CN65/'Weighting Factors'!$Q$5</f>
        <v>0</v>
      </c>
      <c r="AQ65" s="95">
        <v>0</v>
      </c>
      <c r="AR65" s="95">
        <f>CS65/'Weighting Factors'!$Q$5</f>
        <v>0</v>
      </c>
      <c r="AS65" s="99">
        <v>4072898</v>
      </c>
      <c r="AT65" s="95">
        <f>AS65/'Weighting Factors'!$Q$5</f>
        <v>977.9</v>
      </c>
      <c r="AU65" s="95">
        <f>IF(ISNA(VLOOKUP($CZ65,'Audit Values'!$A$2:$BU$353,2,FALSE)),'Preliminary SO66'!X64,VLOOKUP($CZ65,'Audit Values'!$A$2:$BU$353,47,FALSE))</f>
        <v>0</v>
      </c>
      <c r="AV65" s="95">
        <f t="shared" si="15"/>
        <v>7393.3</v>
      </c>
      <c r="AW65" s="95">
        <f t="shared" si="16"/>
        <v>6415.4</v>
      </c>
      <c r="AX65" s="95">
        <f>IF(ISNA(VLOOKUP($CZ65,'Audit Values'!$A$2:$BU$353,2,FALSE)),'Preliminary SO66'!AA64,VLOOKUP($CZ65,'Audit Values'!$A$2:$BU$353,41,FALSE))</f>
        <v>0</v>
      </c>
      <c r="AY65" s="95">
        <f>IF(ISNA(VLOOKUP($CZ65,'Audit Values'!$A$2:$BU$353,2,FALSE)),'Preliminary SO66'!AB64,VLOOKUP($CZ65,'Audit Values'!$A$2:$BU$353,42,FALSE))</f>
        <v>0</v>
      </c>
      <c r="AZ65" s="114">
        <v>0</v>
      </c>
      <c r="BA65" s="99">
        <f>SUM(AX65*'Weighting Factors'!$T$10)+('2019 Legal Max'!AY65*'Weighting Factors'!$T$11)+('2019 Legal Max'!AZ65*'Weighting Factors'!$T$12)</f>
        <v>0</v>
      </c>
      <c r="BB65" s="158">
        <v>0</v>
      </c>
      <c r="BC65" s="88">
        <f>IF(ISNA(VLOOKUP($CZ65,'Audit Values'!$A$2:$BU$353,2,FALSE)),"",IF(AND('Weighting Factors'!H65&gt;0,VLOOKUP($CZ65,'Audit Values'!$A$2:$BU$353,51,FALSE)&lt;'Weighting Factors'!H65),'Weighting Factors'!H65,VLOOKUP($CZ65,'Audit Values'!$A$2:$BU$353,50,FALSE)))</f>
        <v>8</v>
      </c>
      <c r="BD65" s="88" t="str">
        <f>IF(ISNA(VLOOKUP($CZ65,'Audit Values'!$A$2:$BV$353,2,FALSE)),"",VLOOKUP($CZ65,'Audit Values'!$A$2:$BV$353,51,FALSE))</f>
        <v>A</v>
      </c>
      <c r="BE65" s="88" t="str">
        <f>IF('Weighting Factors'!H65="","",IF('Weighting Factors'!J65="Pending","PX","R"))</f>
        <v/>
      </c>
      <c r="BF65" s="97">
        <f>SUM((S65+T65+Y65+AA65+AE65+AH65+AJ65++AO65+AP65+AQ65+AU65+AR65)*'Weighting Factors'!$Q$5)+'2019 Legal Max'!BA65+'2019 Legal Max'!BB65</f>
        <v>26720141</v>
      </c>
      <c r="BG65" s="99">
        <f>SUM((AV65+AR65)*'Weighting Factors'!$Q$5)+BA65+'2019 Legal Max'!BB65</f>
        <v>30793095</v>
      </c>
      <c r="BH65" s="108">
        <f>IF('Weighting Factors'!H65&gt;0,'Weighting Factors'!H65,'Preliminary SO66'!AV64)</f>
        <v>31370818</v>
      </c>
      <c r="BI65" s="99">
        <f t="shared" si="40"/>
        <v>30793095</v>
      </c>
      <c r="BJ65" s="112"/>
      <c r="BK65" s="112">
        <f>'Weighting Factors'!F65</f>
        <v>0</v>
      </c>
      <c r="BL65" s="112">
        <f>'Weighting Factors'!E65</f>
        <v>0</v>
      </c>
      <c r="BM65" s="99">
        <f t="shared" si="17"/>
        <v>0</v>
      </c>
      <c r="BN65" s="99">
        <f t="shared" si="18"/>
        <v>30793095</v>
      </c>
      <c r="BO65" s="99">
        <f>SUM((S65+T65+Y65+AA65+AE65+AH65+AJ65++AO65+AP65+AQ65+AR65)*'Weighting Factors'!Q$12)+(MAX(AS65,'Weighting Factors'!B65))</f>
        <v>32878044</v>
      </c>
      <c r="BP65" s="122">
        <v>0.3</v>
      </c>
      <c r="BQ65" s="99">
        <f t="shared" si="19"/>
        <v>9863413</v>
      </c>
      <c r="BR65" s="148">
        <v>10041733</v>
      </c>
      <c r="BS65" s="99">
        <f t="shared" si="20"/>
        <v>9863413</v>
      </c>
      <c r="BT65" s="167">
        <f t="shared" si="21"/>
        <v>0.3</v>
      </c>
      <c r="BU65" s="95">
        <f t="shared" si="22"/>
        <v>0</v>
      </c>
      <c r="BV65" s="87" t="b">
        <f t="shared" si="23"/>
        <v>0</v>
      </c>
      <c r="BW65" s="117">
        <f t="shared" si="24"/>
        <v>0</v>
      </c>
      <c r="BX65" s="116">
        <f t="shared" si="25"/>
        <v>0</v>
      </c>
      <c r="BY65" s="95">
        <f t="shared" si="26"/>
        <v>0</v>
      </c>
      <c r="BZ65" s="87" t="b">
        <f t="shared" si="27"/>
        <v>0</v>
      </c>
      <c r="CA65" s="87">
        <f t="shared" si="28"/>
        <v>0</v>
      </c>
      <c r="CB65" s="116">
        <f t="shared" si="29"/>
        <v>0</v>
      </c>
      <c r="CC65" s="95">
        <f t="shared" si="30"/>
        <v>0</v>
      </c>
      <c r="CD65" s="95">
        <f t="shared" si="31"/>
        <v>157.19999999999999</v>
      </c>
      <c r="CE65" s="98">
        <v>135</v>
      </c>
      <c r="CF65" s="250">
        <f t="shared" si="32"/>
        <v>11.785</v>
      </c>
      <c r="CG65" s="274">
        <f>IF(CF65&lt;0.06,1,IF(CF65&gt;=18.29,52,MATCH(CF65-0.001,'Weighting Factors'!$Y$5:$Y$156)+1))</f>
        <v>49</v>
      </c>
      <c r="CH65" s="243">
        <f>VLOOKUP(CG65, 'Weighting Factors'!$W$5:$Z$56,4)</f>
        <v>610</v>
      </c>
      <c r="CI65" s="118">
        <f>('Weighting Factors'!$Q$5/'Weighting Factors'!$Q$14)</f>
        <v>1</v>
      </c>
      <c r="CJ65" s="245">
        <f t="shared" si="33"/>
        <v>970510</v>
      </c>
      <c r="CK65" s="245">
        <f>CJ65*'Weighting Factors'!$S$7</f>
        <v>970510</v>
      </c>
      <c r="CL65" s="245">
        <f t="shared" si="34"/>
        <v>970510</v>
      </c>
      <c r="CM65" s="95">
        <f>AM65/'Weighting Factors'!$Q$5</f>
        <v>233</v>
      </c>
      <c r="CN65" s="148">
        <v>0</v>
      </c>
      <c r="CO65" s="148">
        <v>0</v>
      </c>
      <c r="CP65" s="149">
        <v>0</v>
      </c>
      <c r="CQ65" s="152">
        <v>0</v>
      </c>
      <c r="CR65" s="99">
        <f>SUM((AV65*'Weighting Factors'!$Q$5)+'2019 Legal Max'!BA65)*CQ65</f>
        <v>0</v>
      </c>
      <c r="CS65" s="99">
        <f t="shared" si="35"/>
        <v>0</v>
      </c>
      <c r="CT65" s="106">
        <f t="shared" si="36"/>
        <v>0.4466</v>
      </c>
      <c r="CU65" s="95">
        <f t="shared" si="37"/>
        <v>0</v>
      </c>
      <c r="CV65" s="95">
        <f t="shared" si="38"/>
        <v>138.4</v>
      </c>
      <c r="CW65" s="95">
        <f t="shared" si="39"/>
        <v>7393.3</v>
      </c>
      <c r="CX65" s="99">
        <f>'LOB Transfers'!G64</f>
        <v>1332547</v>
      </c>
      <c r="CY65" s="99">
        <f>'LOB Transfers'!J64</f>
        <v>433990</v>
      </c>
      <c r="CZ65" s="87" t="s">
        <v>257</v>
      </c>
    </row>
    <row r="66" spans="1:104" ht="15" customHeight="1">
      <c r="A66" s="88">
        <v>254</v>
      </c>
      <c r="B66" s="87" t="s">
        <v>31</v>
      </c>
      <c r="C66" s="87" t="s">
        <v>579</v>
      </c>
      <c r="D66" s="95">
        <v>437.5</v>
      </c>
      <c r="E66" s="95">
        <v>0</v>
      </c>
      <c r="F66" s="95">
        <f t="shared" si="5"/>
        <v>437.5</v>
      </c>
      <c r="G66" s="95">
        <v>466.5</v>
      </c>
      <c r="H66" s="95">
        <v>0</v>
      </c>
      <c r="I66" s="95">
        <f t="shared" si="6"/>
        <v>466.5</v>
      </c>
      <c r="J66" s="95">
        <v>464</v>
      </c>
      <c r="K66" s="95">
        <v>0</v>
      </c>
      <c r="L66" s="95">
        <f t="shared" si="7"/>
        <v>464</v>
      </c>
      <c r="M66" s="95">
        <f>IF(ISNA(VLOOKUP($CZ66,'Audit Values'!$A$2:$BW$365,2,FALSE)),'Preliminary SO66'!C65,VLOOKUP($CZ66,'Audit Values'!$A$2:$BW$365,73,FALSE))</f>
        <v>476.5</v>
      </c>
      <c r="N66" s="95">
        <f>IF(ISNA(VLOOKUP($CZ66,'Audit Values'!$A$2:$BW$365,2,FALSE)),'Preliminary SO66'!F65,VLOOKUP($CZ66,'Audit Values'!$A$2:$BW$365,4,FALSE))</f>
        <v>0</v>
      </c>
      <c r="O66" s="95">
        <f t="shared" si="8"/>
        <v>476.5</v>
      </c>
      <c r="P66" s="95">
        <f>IF('Military Provision'!J67="YES", MAX('2019 Legal Max'!L66,'2019 Legal Max'!I66,AVERAGE('2019 Legal Max'!F66,'2019 Legal Max'!I66,'2019 Legal Max'!L66)), MAX(L66, I66))</f>
        <v>466.5</v>
      </c>
      <c r="Q66" s="95">
        <f>IF(ISNA(VLOOKUP($CZ66,'Audit Values'!$A$2:$BU$353,2,FALSE)),'Preliminary SO66'!AL65,VLOOKUP($CZ66,'Audit Values'!$A$2:$BU$3955,58,FALSE))</f>
        <v>3.5</v>
      </c>
      <c r="R66" s="95">
        <v>0</v>
      </c>
      <c r="S66" s="95">
        <f t="shared" si="42"/>
        <v>470</v>
      </c>
      <c r="T66" s="95">
        <f t="shared" si="10"/>
        <v>200.4</v>
      </c>
      <c r="U66" s="95">
        <f>IF(ISNA(VLOOKUP($CZ66,'Audit Values'!$A$2:$BW$317,2,FALSE)),'Preliminary SO66'!AM65,VLOOKUP($CZ66,'Audit Values'!$A$2:$BW$317,62,FALSE))</f>
        <v>6.8</v>
      </c>
      <c r="V66" s="95">
        <f>(U66/6)*'Weighting Factors'!$Q$7</f>
        <v>0.4</v>
      </c>
      <c r="W66" s="132">
        <f>IF(ISNA(VLOOKUP($CZ66,'Audit Values'!$A$2:$BW$353,2,FALSE)),'Preliminary SO66'!AN65,VLOOKUP($CZ66,'Audit Values'!$A$2:$BW$353,61,FALSE))</f>
        <v>4</v>
      </c>
      <c r="X66" s="95">
        <f>W66*'Weighting Factors'!$Q$8</f>
        <v>0.7</v>
      </c>
      <c r="Y66" s="95">
        <f t="shared" si="11"/>
        <v>0.7</v>
      </c>
      <c r="Z66" s="276">
        <f>IF(ISNA(VLOOKUP($CZ66,'Audit Values'!$A$2:$BW$317,2,FALSE)),'Preliminary SO66'!AO65,VLOOKUP($CZ66,'Audit Values'!$A$2:$BW$317,60,FALSE))</f>
        <v>116.1</v>
      </c>
      <c r="AA66" s="95">
        <f>Z66/6*'Weighting Factors'!$Q$6</f>
        <v>9.6999999999999993</v>
      </c>
      <c r="AB66" s="99">
        <f>IF(ISNA(VLOOKUP($CZ66,'Audit Values'!$A$2:$BU$353,2,FALSE)),'Preliminary SO66'!AS65,VLOOKUP($CZ66,'Audit Values'!$A$2:$BU$353,63,FALSE))</f>
        <v>492</v>
      </c>
      <c r="AC66" s="99">
        <v>0</v>
      </c>
      <c r="AD66" s="99">
        <f>IF(ISNA(VLOOKUP($CZ66,'Audit Values'!$A$2:$BU$353,2,FALSE)),'Preliminary SO66'!AP65,VLOOKUP($CZ66,'Audit Values'!$A$2:$BU$353,64,FALSE))</f>
        <v>173</v>
      </c>
      <c r="AE66" s="95">
        <f>IF(A66=207, AD66,MAX(AC66,AD66))*'Weighting Factors'!$Q$9</f>
        <v>83.7</v>
      </c>
      <c r="AF66" s="95">
        <f t="shared" si="12"/>
        <v>0.2</v>
      </c>
      <c r="AG66" s="95">
        <f>IF(ISNA(VLOOKUP($CZ66,'Audit Values'!$A$2:$BW$353,2,FALSE)),'Preliminary SO66'!AG65,VLOOKUP($CZ66,'Audit Values'!$A$2:$BW$353,70,FALSE))</f>
        <v>5.4</v>
      </c>
      <c r="AH66" s="95">
        <f t="shared" si="13"/>
        <v>5.4</v>
      </c>
      <c r="AI66" s="95">
        <f>IF(ISNA(VLOOKUP($CZ66,'Audit Values'!$A$2:$BU$353,2,FALSE)),'Preliminary SO66'!AQ65,VLOOKUP($CZ66,'Audit Values'!$A$2:$BU$353,65,FALSE))</f>
        <v>0</v>
      </c>
      <c r="AJ66" s="95">
        <f>AI66*'Weighting Factors'!$Q$10</f>
        <v>0</v>
      </c>
      <c r="AK66" s="95">
        <f>IF(ISNA(VLOOKUP($CZ66,'Audit Values'!$A$2:$BU$353,2,FALSE)),'Preliminary SO66'!AR65,VLOOKUP($CZ66,'Audit Values'!$A$2:$BU$353,66,FALSE))</f>
        <v>131</v>
      </c>
      <c r="AL66" s="95"/>
      <c r="AM66" s="99">
        <f t="shared" si="14"/>
        <v>170300</v>
      </c>
      <c r="AN66" s="99">
        <v>196837</v>
      </c>
      <c r="AO66" s="95">
        <f>MAX(AN66, AM66)/'Weighting Factors'!$Q$5</f>
        <v>47.3</v>
      </c>
      <c r="AP66" s="95">
        <f>CN66/'Weighting Factors'!$Q$5</f>
        <v>0</v>
      </c>
      <c r="AQ66" s="95">
        <v>0</v>
      </c>
      <c r="AR66" s="95">
        <f>CS66/'Weighting Factors'!$Q$5</f>
        <v>0</v>
      </c>
      <c r="AS66" s="99">
        <v>572581</v>
      </c>
      <c r="AT66" s="95">
        <f>AS66/'Weighting Factors'!$Q$5</f>
        <v>137.5</v>
      </c>
      <c r="AU66" s="95">
        <f>IF(ISNA(VLOOKUP($CZ66,'Audit Values'!$A$2:$BU$353,2,FALSE)),'Preliminary SO66'!X65,VLOOKUP($CZ66,'Audit Values'!$A$2:$BU$353,47,FALSE))</f>
        <v>0</v>
      </c>
      <c r="AV66" s="95">
        <f t="shared" si="15"/>
        <v>954.7</v>
      </c>
      <c r="AW66" s="95">
        <f t="shared" si="16"/>
        <v>817.2</v>
      </c>
      <c r="AX66" s="95">
        <f>IF(ISNA(VLOOKUP($CZ66,'Audit Values'!$A$2:$BU$353,2,FALSE)),'Preliminary SO66'!AA65,VLOOKUP($CZ66,'Audit Values'!$A$2:$BU$353,41,FALSE))</f>
        <v>0</v>
      </c>
      <c r="AY66" s="95">
        <f>IF(ISNA(VLOOKUP($CZ66,'Audit Values'!$A$2:$BU$353,2,FALSE)),'Preliminary SO66'!AB65,VLOOKUP($CZ66,'Audit Values'!$A$2:$BU$353,42,FALSE))</f>
        <v>0</v>
      </c>
      <c r="AZ66" s="114">
        <v>0</v>
      </c>
      <c r="BA66" s="99">
        <f>SUM(AX66*'Weighting Factors'!$T$10)+('2019 Legal Max'!AY66*'Weighting Factors'!$T$11)+('2019 Legal Max'!AZ66*'Weighting Factors'!$T$12)</f>
        <v>0</v>
      </c>
      <c r="BB66" s="158">
        <v>0</v>
      </c>
      <c r="BC66" s="88">
        <f>IF(ISNA(VLOOKUP($CZ66,'Audit Values'!$A$2:$BU$353,2,FALSE)),"",IF(AND('Weighting Factors'!H66&gt;0,VLOOKUP($CZ66,'Audit Values'!$A$2:$BU$353,51,FALSE)&lt;'Weighting Factors'!H66),'Weighting Factors'!H66,VLOOKUP($CZ66,'Audit Values'!$A$2:$BU$353,50,FALSE)))</f>
        <v>11</v>
      </c>
      <c r="BD66" s="88" t="str">
        <f>IF(ISNA(VLOOKUP($CZ66,'Audit Values'!$A$2:$BV$353,2,FALSE)),"",VLOOKUP($CZ66,'Audit Values'!$A$2:$BV$353,51,FALSE))</f>
        <v>A</v>
      </c>
      <c r="BE66" s="88" t="str">
        <f>IF('Weighting Factors'!H66="","",IF('Weighting Factors'!J66="Pending","PX","R"))</f>
        <v/>
      </c>
      <c r="BF66" s="97">
        <f>SUM((S66+T66+Y66+AA66+AE66+AH66+AJ66++AO66+AP66+AQ66+AU66+AR66)*'Weighting Factors'!$Q$5)+'2019 Legal Max'!BA66+'2019 Legal Max'!BB66</f>
        <v>3403638</v>
      </c>
      <c r="BG66" s="99">
        <f>SUM((AV66+AR66)*'Weighting Factors'!$Q$5)+BA66+'2019 Legal Max'!BB66</f>
        <v>3976326</v>
      </c>
      <c r="BH66" s="108">
        <f>IF('Weighting Factors'!H66&gt;0,'Weighting Factors'!H66,'Preliminary SO66'!AV65)</f>
        <v>4058793</v>
      </c>
      <c r="BI66" s="99">
        <f t="shared" si="40"/>
        <v>3976326</v>
      </c>
      <c r="BJ66" s="112"/>
      <c r="BK66" s="112">
        <f>'Weighting Factors'!F66</f>
        <v>0</v>
      </c>
      <c r="BL66" s="112">
        <f>'Weighting Factors'!E66</f>
        <v>0</v>
      </c>
      <c r="BM66" s="99">
        <f t="shared" si="17"/>
        <v>0</v>
      </c>
      <c r="BN66" s="99">
        <f t="shared" si="18"/>
        <v>3976326</v>
      </c>
      <c r="BO66" s="99">
        <f>SUM((S66+T66+Y66+AA66+AE66+AH66+AJ66++AO66+AP66+AQ66+AR66)*'Weighting Factors'!Q$12)+(MAX(AS66,'Weighting Factors'!B66))</f>
        <v>4255918</v>
      </c>
      <c r="BP66" s="122">
        <v>0.3</v>
      </c>
      <c r="BQ66" s="99">
        <f t="shared" si="19"/>
        <v>1276775</v>
      </c>
      <c r="BR66" s="108">
        <v>1296711</v>
      </c>
      <c r="BS66" s="99">
        <f t="shared" si="20"/>
        <v>1276775</v>
      </c>
      <c r="BT66" s="167">
        <f t="shared" si="21"/>
        <v>0.3</v>
      </c>
      <c r="BU66" s="95">
        <f t="shared" si="22"/>
        <v>0</v>
      </c>
      <c r="BV66" s="87" t="b">
        <f t="shared" si="23"/>
        <v>0</v>
      </c>
      <c r="BW66" s="117">
        <f t="shared" si="24"/>
        <v>0</v>
      </c>
      <c r="BX66" s="116">
        <f t="shared" si="25"/>
        <v>0</v>
      </c>
      <c r="BY66" s="95">
        <f t="shared" si="26"/>
        <v>0</v>
      </c>
      <c r="BZ66" s="87" t="b">
        <f t="shared" si="27"/>
        <v>1</v>
      </c>
      <c r="CA66" s="87">
        <f t="shared" si="28"/>
        <v>210.375</v>
      </c>
      <c r="CB66" s="116">
        <f t="shared" si="29"/>
        <v>0.426429</v>
      </c>
      <c r="CC66" s="95">
        <f t="shared" si="30"/>
        <v>200.4</v>
      </c>
      <c r="CD66" s="95">
        <f t="shared" si="31"/>
        <v>0</v>
      </c>
      <c r="CE66" s="98">
        <v>718</v>
      </c>
      <c r="CF66" s="250">
        <f t="shared" si="32"/>
        <v>0.182</v>
      </c>
      <c r="CG66" s="274">
        <f>IF(CF66&lt;0.06,1,IF(CF66&gt;=18.29,52,MATCH(CF66-0.001,'Weighting Factors'!$Y$5:$Y$156)+1))</f>
        <v>14</v>
      </c>
      <c r="CH66" s="243">
        <f>VLOOKUP(CG66, 'Weighting Factors'!$W$5:$Z$56,4)</f>
        <v>1300</v>
      </c>
      <c r="CI66" s="118">
        <f>('Weighting Factors'!$Q$5/'Weighting Factors'!$Q$14)</f>
        <v>1</v>
      </c>
      <c r="CJ66" s="245">
        <f t="shared" si="33"/>
        <v>170300</v>
      </c>
      <c r="CK66" s="245">
        <f>CJ66*'Weighting Factors'!$S$7</f>
        <v>170300</v>
      </c>
      <c r="CL66" s="245">
        <f t="shared" si="34"/>
        <v>170300</v>
      </c>
      <c r="CM66" s="95">
        <f>AM66/'Weighting Factors'!$Q$5</f>
        <v>40.9</v>
      </c>
      <c r="CN66" s="148">
        <v>0</v>
      </c>
      <c r="CO66" s="148">
        <v>0</v>
      </c>
      <c r="CP66" s="149">
        <v>0</v>
      </c>
      <c r="CQ66" s="151">
        <v>0</v>
      </c>
      <c r="CR66" s="99">
        <f>SUM((AV66*'Weighting Factors'!$Q$5)+'2019 Legal Max'!BA66)*CQ66</f>
        <v>0</v>
      </c>
      <c r="CS66" s="99">
        <f t="shared" si="35"/>
        <v>0</v>
      </c>
      <c r="CT66" s="106">
        <f t="shared" si="36"/>
        <v>0.35160000000000002</v>
      </c>
      <c r="CU66" s="95">
        <f t="shared" si="37"/>
        <v>0</v>
      </c>
      <c r="CV66" s="95">
        <f t="shared" si="38"/>
        <v>0.2</v>
      </c>
      <c r="CW66" s="95">
        <f t="shared" si="39"/>
        <v>954.7</v>
      </c>
      <c r="CX66" s="99">
        <f>'LOB Transfers'!G65</f>
        <v>112356</v>
      </c>
      <c r="CY66" s="99">
        <f>'LOB Transfers'!J65</f>
        <v>894</v>
      </c>
      <c r="CZ66" s="87" t="s">
        <v>258</v>
      </c>
    </row>
    <row r="67" spans="1:104" ht="15" customHeight="1">
      <c r="A67" s="88">
        <v>255</v>
      </c>
      <c r="B67" s="87" t="s">
        <v>31</v>
      </c>
      <c r="C67" s="87" t="s">
        <v>580</v>
      </c>
      <c r="D67" s="95">
        <v>223.5</v>
      </c>
      <c r="E67" s="95">
        <v>0</v>
      </c>
      <c r="F67" s="95">
        <f t="shared" si="5"/>
        <v>223.5</v>
      </c>
      <c r="G67" s="95">
        <v>245.5</v>
      </c>
      <c r="H67" s="95">
        <v>0</v>
      </c>
      <c r="I67" s="95">
        <f t="shared" si="6"/>
        <v>245.5</v>
      </c>
      <c r="J67" s="95">
        <v>228.8</v>
      </c>
      <c r="K67" s="95">
        <v>0</v>
      </c>
      <c r="L67" s="95">
        <f t="shared" si="7"/>
        <v>228.8</v>
      </c>
      <c r="M67" s="95">
        <f>IF(ISNA(VLOOKUP($CZ67,'Audit Values'!$A$2:$BW$365,2,FALSE)),'Preliminary SO66'!C66,VLOOKUP($CZ67,'Audit Values'!$A$2:$BW$365,73,FALSE))</f>
        <v>241.5</v>
      </c>
      <c r="N67" s="95">
        <f>IF(ISNA(VLOOKUP($CZ67,'Audit Values'!$A$2:$BW$365,2,FALSE)),'Preliminary SO66'!F66,VLOOKUP($CZ67,'Audit Values'!$A$2:$BW$365,4,FALSE))</f>
        <v>0</v>
      </c>
      <c r="O67" s="95">
        <f t="shared" si="8"/>
        <v>241.5</v>
      </c>
      <c r="P67" s="95">
        <f>IF('Military Provision'!J68="YES", MAX('2019 Legal Max'!L67,'2019 Legal Max'!I67,AVERAGE('2019 Legal Max'!F67,'2019 Legal Max'!I67,'2019 Legal Max'!L67)), MAX(L67, I67))</f>
        <v>245.5</v>
      </c>
      <c r="Q67" s="95">
        <f>IF(ISNA(VLOOKUP($CZ67,'Audit Values'!$A$2:$BU$353,2,FALSE)),'Preliminary SO66'!AL66,VLOOKUP($CZ67,'Audit Values'!$A$2:$BU$3955,58,FALSE))</f>
        <v>1.5</v>
      </c>
      <c r="R67" s="95">
        <v>0</v>
      </c>
      <c r="S67" s="95">
        <f t="shared" si="42"/>
        <v>247</v>
      </c>
      <c r="T67" s="95">
        <f t="shared" si="10"/>
        <v>154.30000000000001</v>
      </c>
      <c r="U67" s="95">
        <f>IF(ISNA(VLOOKUP($CZ67,'Audit Values'!$A$2:$BW$317,2,FALSE)),'Preliminary SO66'!AM66,VLOOKUP($CZ67,'Audit Values'!$A$2:$BW$317,62,FALSE))</f>
        <v>7.3</v>
      </c>
      <c r="V67" s="95">
        <f>(U67/6)*'Weighting Factors'!$Q$7</f>
        <v>0.5</v>
      </c>
      <c r="W67" s="132">
        <f>IF(ISNA(VLOOKUP($CZ67,'Audit Values'!$A$2:$BW$353,2,FALSE)),'Preliminary SO66'!AN66,VLOOKUP($CZ67,'Audit Values'!$A$2:$BW$353,61,FALSE))</f>
        <v>5</v>
      </c>
      <c r="X67" s="95">
        <f>W67*'Weighting Factors'!$Q$8</f>
        <v>0.9</v>
      </c>
      <c r="Y67" s="95">
        <f t="shared" si="11"/>
        <v>0.9</v>
      </c>
      <c r="Z67" s="276">
        <f>IF(ISNA(VLOOKUP($CZ67,'Audit Values'!$A$2:$BW$317,2,FALSE)),'Preliminary SO66'!AO66,VLOOKUP($CZ67,'Audit Values'!$A$2:$BW$317,60,FALSE))</f>
        <v>89.6</v>
      </c>
      <c r="AA67" s="95">
        <f>Z67/6*'Weighting Factors'!$Q$6</f>
        <v>7.5</v>
      </c>
      <c r="AB67" s="99">
        <f>IF(ISNA(VLOOKUP($CZ67,'Audit Values'!$A$2:$BU$353,2,FALSE)),'Preliminary SO66'!AS66,VLOOKUP($CZ67,'Audit Values'!$A$2:$BU$353,63,FALSE))</f>
        <v>246</v>
      </c>
      <c r="AC67" s="99">
        <v>0</v>
      </c>
      <c r="AD67" s="99">
        <f>IF(ISNA(VLOOKUP($CZ67,'Audit Values'!$A$2:$BU$353,2,FALSE)),'Preliminary SO66'!AP66,VLOOKUP($CZ67,'Audit Values'!$A$2:$BU$353,64,FALSE))</f>
        <v>91</v>
      </c>
      <c r="AE67" s="95">
        <f>IF(A67=207, AD67,MAX(AC67,AD67))*'Weighting Factors'!$Q$9</f>
        <v>44</v>
      </c>
      <c r="AF67" s="95">
        <f t="shared" si="12"/>
        <v>1.3</v>
      </c>
      <c r="AG67" s="95">
        <f>IF(ISNA(VLOOKUP($CZ67,'Audit Values'!$A$2:$BW$353,2,FALSE)),'Preliminary SO66'!AG66,VLOOKUP($CZ67,'Audit Values'!$A$2:$BW$353,70,FALSE))</f>
        <v>3.4</v>
      </c>
      <c r="AH67" s="95">
        <f t="shared" si="13"/>
        <v>3.4</v>
      </c>
      <c r="AI67" s="95">
        <f>IF(ISNA(VLOOKUP($CZ67,'Audit Values'!$A$2:$BU$353,2,FALSE)),'Preliminary SO66'!AQ66,VLOOKUP($CZ67,'Audit Values'!$A$2:$BU$353,65,FALSE))</f>
        <v>0</v>
      </c>
      <c r="AJ67" s="95">
        <f>AI67*'Weighting Factors'!$Q$10</f>
        <v>0</v>
      </c>
      <c r="AK67" s="95">
        <f>IF(ISNA(VLOOKUP($CZ67,'Audit Values'!$A$2:$BU$353,2,FALSE)),'Preliminary SO66'!AR66,VLOOKUP($CZ67,'Audit Values'!$A$2:$BU$353,66,FALSE))</f>
        <v>52</v>
      </c>
      <c r="AL67" s="95"/>
      <c r="AM67" s="99">
        <f t="shared" si="14"/>
        <v>73320</v>
      </c>
      <c r="AN67" s="99">
        <v>89366</v>
      </c>
      <c r="AO67" s="95">
        <f>MAX(AN67, AM67)/'Weighting Factors'!$Q$5</f>
        <v>21.5</v>
      </c>
      <c r="AP67" s="95">
        <f>CN67/'Weighting Factors'!$Q$5</f>
        <v>0</v>
      </c>
      <c r="AQ67" s="95">
        <v>0</v>
      </c>
      <c r="AR67" s="95">
        <f>CS67/'Weighting Factors'!$Q$5</f>
        <v>0</v>
      </c>
      <c r="AS67" s="99">
        <v>280734</v>
      </c>
      <c r="AT67" s="95">
        <f>AS67/'Weighting Factors'!$Q$5</f>
        <v>67.400000000000006</v>
      </c>
      <c r="AU67" s="95">
        <f>IF(ISNA(VLOOKUP($CZ67,'Audit Values'!$A$2:$BU$353,2,FALSE)),'Preliminary SO66'!X66,VLOOKUP($CZ67,'Audit Values'!$A$2:$BU$353,47,FALSE))</f>
        <v>0</v>
      </c>
      <c r="AV67" s="95">
        <f t="shared" si="15"/>
        <v>546</v>
      </c>
      <c r="AW67" s="95">
        <f t="shared" si="16"/>
        <v>478.6</v>
      </c>
      <c r="AX67" s="95">
        <f>IF(ISNA(VLOOKUP($CZ67,'Audit Values'!$A$2:$BU$353,2,FALSE)),'Preliminary SO66'!AA66,VLOOKUP($CZ67,'Audit Values'!$A$2:$BU$353,41,FALSE))</f>
        <v>0</v>
      </c>
      <c r="AY67" s="95">
        <f>IF(ISNA(VLOOKUP($CZ67,'Audit Values'!$A$2:$BU$353,2,FALSE)),'Preliminary SO66'!AB66,VLOOKUP($CZ67,'Audit Values'!$A$2:$BU$353,42,FALSE))</f>
        <v>0</v>
      </c>
      <c r="AZ67" s="114">
        <v>0</v>
      </c>
      <c r="BA67" s="99">
        <f>SUM(AX67*'Weighting Factors'!$T$10)+('2019 Legal Max'!AY67*'Weighting Factors'!$T$11)+('2019 Legal Max'!AZ67*'Weighting Factors'!$T$12)</f>
        <v>0</v>
      </c>
      <c r="BB67" s="158">
        <v>0</v>
      </c>
      <c r="BC67" s="88">
        <f>IF(ISNA(VLOOKUP($CZ67,'Audit Values'!$A$2:$BU$353,2,FALSE)),"",IF(AND('Weighting Factors'!H67&gt;0,VLOOKUP($CZ67,'Audit Values'!$A$2:$BU$353,51,FALSE)&lt;'Weighting Factors'!H67),'Weighting Factors'!H67,VLOOKUP($CZ67,'Audit Values'!$A$2:$BU$353,50,FALSE)))</f>
        <v>2</v>
      </c>
      <c r="BD67" s="88" t="str">
        <f>IF(ISNA(VLOOKUP($CZ67,'Audit Values'!$A$2:$BV$353,2,FALSE)),"",VLOOKUP($CZ67,'Audit Values'!$A$2:$BV$353,51,FALSE))</f>
        <v>A</v>
      </c>
      <c r="BE67" s="88" t="str">
        <f>IF('Weighting Factors'!H67="","",IF('Weighting Factors'!J67="Pending","PX","R"))</f>
        <v/>
      </c>
      <c r="BF67" s="97">
        <f>SUM((S67+T67+Y67+AA67+AE67+AH67+AJ67++AO67+AP67+AQ67+AU67+AR67)*'Weighting Factors'!$Q$5)+'2019 Legal Max'!BA67+'2019 Legal Max'!BB67</f>
        <v>1993369</v>
      </c>
      <c r="BG67" s="99">
        <f>SUM((AV67+AR67)*'Weighting Factors'!$Q$5)+BA67+'2019 Legal Max'!BB67</f>
        <v>2274090</v>
      </c>
      <c r="BH67" s="108">
        <f>IF('Weighting Factors'!H67&gt;0,'Weighting Factors'!H67,'Preliminary SO66'!AV66)</f>
        <v>2410304</v>
      </c>
      <c r="BI67" s="99">
        <f t="shared" si="40"/>
        <v>2274090</v>
      </c>
      <c r="BJ67" s="112"/>
      <c r="BK67" s="112">
        <f>'Weighting Factors'!F67</f>
        <v>0</v>
      </c>
      <c r="BL67" s="112">
        <f>'Weighting Factors'!E67</f>
        <v>0</v>
      </c>
      <c r="BM67" s="99">
        <f t="shared" si="17"/>
        <v>0</v>
      </c>
      <c r="BN67" s="99">
        <f t="shared" si="18"/>
        <v>2274090</v>
      </c>
      <c r="BO67" s="99">
        <f>SUM((S67+T67+Y67+AA67+AE67+AH67+AJ67++AO67+AP67+AQ67+AR67)*'Weighting Factors'!Q$12)+(MAX(AS67,'Weighting Factors'!B67))</f>
        <v>2429648</v>
      </c>
      <c r="BP67" s="122">
        <v>0.3</v>
      </c>
      <c r="BQ67" s="99">
        <f t="shared" si="19"/>
        <v>728894</v>
      </c>
      <c r="BR67" s="108">
        <v>757144</v>
      </c>
      <c r="BS67" s="99">
        <f t="shared" si="20"/>
        <v>728894</v>
      </c>
      <c r="BT67" s="167">
        <f t="shared" si="21"/>
        <v>0.3</v>
      </c>
      <c r="BU67" s="95">
        <f t="shared" si="22"/>
        <v>0</v>
      </c>
      <c r="BV67" s="87" t="b">
        <f t="shared" si="23"/>
        <v>1</v>
      </c>
      <c r="BW67" s="117">
        <f t="shared" si="24"/>
        <v>1419.2850000000001</v>
      </c>
      <c r="BX67" s="116">
        <f t="shared" si="25"/>
        <v>0.62467499999999998</v>
      </c>
      <c r="BY67" s="95">
        <f t="shared" si="26"/>
        <v>154.30000000000001</v>
      </c>
      <c r="BZ67" s="87" t="b">
        <f t="shared" si="27"/>
        <v>0</v>
      </c>
      <c r="CA67" s="87">
        <f t="shared" si="28"/>
        <v>0</v>
      </c>
      <c r="CB67" s="116">
        <f t="shared" si="29"/>
        <v>0</v>
      </c>
      <c r="CC67" s="95">
        <f t="shared" si="30"/>
        <v>0</v>
      </c>
      <c r="CD67" s="95">
        <f t="shared" si="31"/>
        <v>0</v>
      </c>
      <c r="CE67" s="98">
        <v>425.5</v>
      </c>
      <c r="CF67" s="250">
        <f t="shared" si="32"/>
        <v>0.122</v>
      </c>
      <c r="CG67" s="274">
        <f>IF(CF67&lt;0.06,1,IF(CF67&gt;=18.29,52,MATCH(CF67-0.001,'Weighting Factors'!$Y$5:$Y$156)+1))</f>
        <v>8</v>
      </c>
      <c r="CH67" s="243">
        <f>VLOOKUP(CG67, 'Weighting Factors'!$W$5:$Z$56,4)</f>
        <v>1410</v>
      </c>
      <c r="CI67" s="118">
        <f>('Weighting Factors'!$Q$5/'Weighting Factors'!$Q$14)</f>
        <v>1</v>
      </c>
      <c r="CJ67" s="245">
        <f t="shared" si="33"/>
        <v>73320</v>
      </c>
      <c r="CK67" s="245">
        <f>CJ67*'Weighting Factors'!$S$7</f>
        <v>73320</v>
      </c>
      <c r="CL67" s="245">
        <f t="shared" si="34"/>
        <v>73320</v>
      </c>
      <c r="CM67" s="95">
        <f>AM67/'Weighting Factors'!$Q$5</f>
        <v>17.600000000000001</v>
      </c>
      <c r="CN67" s="148">
        <v>0</v>
      </c>
      <c r="CO67" s="148">
        <v>0</v>
      </c>
      <c r="CP67" s="149">
        <v>0</v>
      </c>
      <c r="CQ67" s="151">
        <v>0</v>
      </c>
      <c r="CR67" s="99">
        <f>SUM((AV67*'Weighting Factors'!$Q$5)+'2019 Legal Max'!BA67)*CQ67</f>
        <v>0</v>
      </c>
      <c r="CS67" s="99">
        <f t="shared" si="35"/>
        <v>0</v>
      </c>
      <c r="CT67" s="106">
        <f t="shared" si="36"/>
        <v>0.36990000000000001</v>
      </c>
      <c r="CU67" s="95">
        <f t="shared" si="37"/>
        <v>0</v>
      </c>
      <c r="CV67" s="95">
        <f t="shared" si="38"/>
        <v>1.3</v>
      </c>
      <c r="CW67" s="95">
        <f t="shared" si="39"/>
        <v>546</v>
      </c>
      <c r="CX67" s="99">
        <f>'LOB Transfers'!G66</f>
        <v>58895</v>
      </c>
      <c r="CY67" s="99">
        <f>'LOB Transfers'!J66</f>
        <v>1239</v>
      </c>
      <c r="CZ67" s="87" t="s">
        <v>259</v>
      </c>
    </row>
    <row r="68" spans="1:104" ht="15" customHeight="1">
      <c r="A68" s="88">
        <v>256</v>
      </c>
      <c r="B68" s="87" t="s">
        <v>32</v>
      </c>
      <c r="C68" s="87" t="s">
        <v>581</v>
      </c>
      <c r="D68" s="95">
        <v>272.5</v>
      </c>
      <c r="E68" s="95">
        <v>0</v>
      </c>
      <c r="F68" s="95">
        <f t="shared" si="5"/>
        <v>272.5</v>
      </c>
      <c r="G68" s="95">
        <v>278.8</v>
      </c>
      <c r="H68" s="95">
        <v>0</v>
      </c>
      <c r="I68" s="95">
        <f t="shared" si="6"/>
        <v>278.8</v>
      </c>
      <c r="J68" s="95">
        <v>261.3</v>
      </c>
      <c r="K68" s="95">
        <v>0</v>
      </c>
      <c r="L68" s="95">
        <f t="shared" si="7"/>
        <v>261.3</v>
      </c>
      <c r="M68" s="95">
        <f>IF(ISNA(VLOOKUP($CZ68,'Audit Values'!$A$2:$BW$365,2,FALSE)),'Preliminary SO66'!C67,VLOOKUP($CZ68,'Audit Values'!$A$2:$BW$365,73,FALSE))</f>
        <v>249</v>
      </c>
      <c r="N68" s="95">
        <f>IF(ISNA(VLOOKUP($CZ68,'Audit Values'!$A$2:$BW$365,2,FALSE)),'Preliminary SO66'!F67,VLOOKUP($CZ68,'Audit Values'!$A$2:$BW$365,4,FALSE))</f>
        <v>0</v>
      </c>
      <c r="O68" s="95">
        <f t="shared" si="8"/>
        <v>249</v>
      </c>
      <c r="P68" s="95">
        <f>IF('Military Provision'!J69="YES", MAX('2019 Legal Max'!L68,'2019 Legal Max'!I68,AVERAGE('2019 Legal Max'!F68,'2019 Legal Max'!I68,'2019 Legal Max'!L68)), MAX(L68, I68))</f>
        <v>278.8</v>
      </c>
      <c r="Q68" s="95">
        <f>IF(ISNA(VLOOKUP($CZ68,'Audit Values'!$A$2:$BU$353,2,FALSE)),'Preliminary SO66'!AL67,VLOOKUP($CZ68,'Audit Values'!$A$2:$BU$3955,58,FALSE))</f>
        <v>4.5</v>
      </c>
      <c r="R68" s="95">
        <v>0</v>
      </c>
      <c r="S68" s="95">
        <f t="shared" si="42"/>
        <v>283.3</v>
      </c>
      <c r="T68" s="95">
        <f t="shared" si="10"/>
        <v>149.69999999999999</v>
      </c>
      <c r="U68" s="95">
        <f>IF(ISNA(VLOOKUP($CZ68,'Audit Values'!$A$2:$BW$317,2,FALSE)),'Preliminary SO66'!AM67,VLOOKUP($CZ68,'Audit Values'!$A$2:$BW$317,62,FALSE))</f>
        <v>0</v>
      </c>
      <c r="V68" s="95">
        <f>(U68/6)*'Weighting Factors'!$Q$7</f>
        <v>0</v>
      </c>
      <c r="W68" s="132">
        <f>IF(ISNA(VLOOKUP($CZ68,'Audit Values'!$A$2:$BW$353,2,FALSE)),'Preliminary SO66'!AN67,VLOOKUP($CZ68,'Audit Values'!$A$2:$BW$353,61,FALSE))</f>
        <v>0</v>
      </c>
      <c r="X68" s="95">
        <f>W68*'Weighting Factors'!$Q$8</f>
        <v>0</v>
      </c>
      <c r="Y68" s="95">
        <f t="shared" si="11"/>
        <v>0</v>
      </c>
      <c r="Z68" s="276">
        <f>IF(ISNA(VLOOKUP($CZ68,'Audit Values'!$A$2:$BW$317,2,FALSE)),'Preliminary SO66'!AO67,VLOOKUP($CZ68,'Audit Values'!$A$2:$BW$317,60,FALSE))</f>
        <v>75.2</v>
      </c>
      <c r="AA68" s="95">
        <f>Z68/6*'Weighting Factors'!$Q$6</f>
        <v>6.3</v>
      </c>
      <c r="AB68" s="99">
        <f>IF(ISNA(VLOOKUP($CZ68,'Audit Values'!$A$2:$BU$353,2,FALSE)),'Preliminary SO66'!AS67,VLOOKUP($CZ68,'Audit Values'!$A$2:$BU$353,63,FALSE))</f>
        <v>259</v>
      </c>
      <c r="AC68" s="99">
        <v>0</v>
      </c>
      <c r="AD68" s="99">
        <f>IF(ISNA(VLOOKUP($CZ68,'Audit Values'!$A$2:$BU$353,2,FALSE)),'Preliminary SO66'!AP67,VLOOKUP($CZ68,'Audit Values'!$A$2:$BU$353,64,FALSE))</f>
        <v>115</v>
      </c>
      <c r="AE68" s="95">
        <f>IF(A68=207, AD68,MAX(AC68,AD68))*'Weighting Factors'!$Q$9</f>
        <v>55.7</v>
      </c>
      <c r="AF68" s="95">
        <f t="shared" si="12"/>
        <v>7.6</v>
      </c>
      <c r="AG68" s="95">
        <f>IF(ISNA(VLOOKUP($CZ68,'Audit Values'!$A$2:$BW$353,2,FALSE)),'Preliminary SO66'!AG67,VLOOKUP($CZ68,'Audit Values'!$A$2:$BW$353,70,FALSE))</f>
        <v>7.6</v>
      </c>
      <c r="AH68" s="95">
        <f t="shared" si="13"/>
        <v>7.6</v>
      </c>
      <c r="AI68" s="95">
        <f>IF(ISNA(VLOOKUP($CZ68,'Audit Values'!$A$2:$BU$353,2,FALSE)),'Preliminary SO66'!AQ67,VLOOKUP($CZ68,'Audit Values'!$A$2:$BU$353,65,FALSE))</f>
        <v>0</v>
      </c>
      <c r="AJ68" s="95">
        <f>AI68*'Weighting Factors'!$Q$10</f>
        <v>0</v>
      </c>
      <c r="AK68" s="95">
        <f>IF(ISNA(VLOOKUP($CZ68,'Audit Values'!$A$2:$BU$353,2,FALSE)),'Preliminary SO66'!AR67,VLOOKUP($CZ68,'Audit Values'!$A$2:$BU$353,66,FALSE))</f>
        <v>94</v>
      </c>
      <c r="AL68" s="95"/>
      <c r="AM68" s="99">
        <f t="shared" si="14"/>
        <v>106220</v>
      </c>
      <c r="AN68" s="99">
        <v>142524</v>
      </c>
      <c r="AO68" s="95">
        <f>MAX(AN68, AM68)/'Weighting Factors'!$Q$5</f>
        <v>34.200000000000003</v>
      </c>
      <c r="AP68" s="95">
        <f>CN68/'Weighting Factors'!$Q$5</f>
        <v>0</v>
      </c>
      <c r="AQ68" s="95">
        <v>0</v>
      </c>
      <c r="AR68" s="95">
        <f>CS68/'Weighting Factors'!$Q$5</f>
        <v>0</v>
      </c>
      <c r="AS68" s="99">
        <v>408391</v>
      </c>
      <c r="AT68" s="95">
        <f>AS68/'Weighting Factors'!$Q$5</f>
        <v>98.1</v>
      </c>
      <c r="AU68" s="95">
        <f>IF(ISNA(VLOOKUP($CZ68,'Audit Values'!$A$2:$BU$353,2,FALSE)),'Preliminary SO66'!X67,VLOOKUP($CZ68,'Audit Values'!$A$2:$BU$353,47,FALSE))</f>
        <v>0</v>
      </c>
      <c r="AV68" s="95">
        <f t="shared" si="15"/>
        <v>634.9</v>
      </c>
      <c r="AW68" s="95">
        <f t="shared" si="16"/>
        <v>536.79999999999995</v>
      </c>
      <c r="AX68" s="95">
        <f>IF(ISNA(VLOOKUP($CZ68,'Audit Values'!$A$2:$BU$353,2,FALSE)),'Preliminary SO66'!AA67,VLOOKUP($CZ68,'Audit Values'!$A$2:$BU$353,41,FALSE))</f>
        <v>0</v>
      </c>
      <c r="AY68" s="95">
        <f>IF(ISNA(VLOOKUP($CZ68,'Audit Values'!$A$2:$BU$353,2,FALSE)),'Preliminary SO66'!AB67,VLOOKUP($CZ68,'Audit Values'!$A$2:$BU$353,42,FALSE))</f>
        <v>0</v>
      </c>
      <c r="AZ68" s="114">
        <v>0</v>
      </c>
      <c r="BA68" s="99">
        <f>SUM(AX68*'Weighting Factors'!$T$10)+('2019 Legal Max'!AY68*'Weighting Factors'!$T$11)+('2019 Legal Max'!AZ68*'Weighting Factors'!$T$12)</f>
        <v>0</v>
      </c>
      <c r="BB68" s="158">
        <v>0</v>
      </c>
      <c r="BC68" s="88">
        <f>IF(ISNA(VLOOKUP($CZ68,'Audit Values'!$A$2:$BU$353,2,FALSE)),"",IF(AND('Weighting Factors'!H68&gt;0,VLOOKUP($CZ68,'Audit Values'!$A$2:$BU$353,51,FALSE)&lt;'Weighting Factors'!H68),'Weighting Factors'!H68,VLOOKUP($CZ68,'Audit Values'!$A$2:$BU$353,50,FALSE)))</f>
        <v>6</v>
      </c>
      <c r="BD68" s="88" t="str">
        <f>IF(ISNA(VLOOKUP($CZ68,'Audit Values'!$A$2:$BV$353,2,FALSE)),"",VLOOKUP($CZ68,'Audit Values'!$A$2:$BV$353,51,FALSE))</f>
        <v>A</v>
      </c>
      <c r="BE68" s="88" t="str">
        <f>IF('Weighting Factors'!H68="","",IF('Weighting Factors'!J68="Pending","PX","R"))</f>
        <v/>
      </c>
      <c r="BF68" s="97">
        <f>SUM((S68+T68+Y68+AA68+AE68+AH68+AJ68++AO68+AP68+AQ68+AU68+AR68)*'Weighting Factors'!$Q$5)+'2019 Legal Max'!BA68+'2019 Legal Max'!BB68</f>
        <v>2235772</v>
      </c>
      <c r="BG68" s="99">
        <f>SUM((AV68+AR68)*'Weighting Factors'!$Q$5)+BA68+'2019 Legal Max'!BB68</f>
        <v>2644359</v>
      </c>
      <c r="BH68" s="108">
        <f>IF('Weighting Factors'!H68&gt;0,'Weighting Factors'!H68,'Preliminary SO66'!AV67)</f>
        <v>2758896</v>
      </c>
      <c r="BI68" s="99">
        <f t="shared" si="40"/>
        <v>2644359</v>
      </c>
      <c r="BJ68" s="112"/>
      <c r="BK68" s="112">
        <f>'Weighting Factors'!F68</f>
        <v>0</v>
      </c>
      <c r="BL68" s="112">
        <f>'Weighting Factors'!E68</f>
        <v>0</v>
      </c>
      <c r="BM68" s="99">
        <f t="shared" si="17"/>
        <v>0</v>
      </c>
      <c r="BN68" s="99">
        <f t="shared" si="18"/>
        <v>2644359</v>
      </c>
      <c r="BO68" s="99">
        <f>SUM((S68+T68+Y68+AA68+AE68+AH68+AJ68++AO68+AP68+AQ68+AR68)*'Weighting Factors'!Q$12)+(MAX(AS68,'Weighting Factors'!B68))</f>
        <v>2852920</v>
      </c>
      <c r="BP68" s="122">
        <v>0.3</v>
      </c>
      <c r="BQ68" s="99">
        <f t="shared" si="19"/>
        <v>855876</v>
      </c>
      <c r="BR68" s="108">
        <v>880902</v>
      </c>
      <c r="BS68" s="99">
        <f t="shared" si="20"/>
        <v>855876</v>
      </c>
      <c r="BT68" s="167">
        <f t="shared" si="21"/>
        <v>0.3</v>
      </c>
      <c r="BU68" s="95">
        <f t="shared" si="22"/>
        <v>0</v>
      </c>
      <c r="BV68" s="87" t="b">
        <f t="shared" si="23"/>
        <v>1</v>
      </c>
      <c r="BW68" s="117">
        <f t="shared" si="24"/>
        <v>1769.7619999999999</v>
      </c>
      <c r="BX68" s="116">
        <f t="shared" si="25"/>
        <v>0.52845299999999995</v>
      </c>
      <c r="BY68" s="95">
        <f t="shared" si="26"/>
        <v>149.69999999999999</v>
      </c>
      <c r="BZ68" s="87" t="b">
        <f t="shared" si="27"/>
        <v>0</v>
      </c>
      <c r="CA68" s="87">
        <f t="shared" si="28"/>
        <v>0</v>
      </c>
      <c r="CB68" s="116">
        <f t="shared" si="29"/>
        <v>0</v>
      </c>
      <c r="CC68" s="95">
        <f t="shared" si="30"/>
        <v>0</v>
      </c>
      <c r="CD68" s="95">
        <f t="shared" si="31"/>
        <v>0</v>
      </c>
      <c r="CE68" s="98">
        <v>225</v>
      </c>
      <c r="CF68" s="250">
        <f t="shared" si="32"/>
        <v>0.41799999999999998</v>
      </c>
      <c r="CG68" s="274">
        <f>IF(CF68&lt;0.06,1,IF(CF68&gt;=18.29,52,MATCH(CF68-0.001,'Weighting Factors'!$Y$5:$Y$156)+1))</f>
        <v>23</v>
      </c>
      <c r="CH68" s="243">
        <f>VLOOKUP(CG68, 'Weighting Factors'!$W$5:$Z$56,4)</f>
        <v>1130</v>
      </c>
      <c r="CI68" s="118">
        <f>('Weighting Factors'!$Q$5/'Weighting Factors'!$Q$14)</f>
        <v>1</v>
      </c>
      <c r="CJ68" s="245">
        <f t="shared" si="33"/>
        <v>106220</v>
      </c>
      <c r="CK68" s="245">
        <f>CJ68*'Weighting Factors'!$S$7</f>
        <v>106220</v>
      </c>
      <c r="CL68" s="245">
        <f t="shared" si="34"/>
        <v>106220</v>
      </c>
      <c r="CM68" s="95">
        <f>AM68/'Weighting Factors'!$Q$5</f>
        <v>25.5</v>
      </c>
      <c r="CN68" s="148">
        <v>0</v>
      </c>
      <c r="CO68" s="148">
        <v>0</v>
      </c>
      <c r="CP68" s="149">
        <v>0</v>
      </c>
      <c r="CQ68" s="151">
        <v>0</v>
      </c>
      <c r="CR68" s="99">
        <f>SUM((AV68*'Weighting Factors'!$Q$5)+'2019 Legal Max'!BA68)*CQ68</f>
        <v>0</v>
      </c>
      <c r="CS68" s="99">
        <f t="shared" si="35"/>
        <v>0</v>
      </c>
      <c r="CT68" s="106">
        <f t="shared" si="36"/>
        <v>0.44400000000000001</v>
      </c>
      <c r="CU68" s="95">
        <f t="shared" si="37"/>
        <v>0</v>
      </c>
      <c r="CV68" s="95">
        <f t="shared" si="38"/>
        <v>7.6</v>
      </c>
      <c r="CW68" s="95">
        <f t="shared" si="39"/>
        <v>634.9</v>
      </c>
      <c r="CX68" s="99">
        <f>'LOB Transfers'!G67</f>
        <v>75659</v>
      </c>
      <c r="CY68" s="99">
        <f>'LOB Transfers'!J67</f>
        <v>0</v>
      </c>
      <c r="CZ68" s="87" t="s">
        <v>260</v>
      </c>
    </row>
    <row r="69" spans="1:104" ht="15" customHeight="1">
      <c r="A69" s="88">
        <v>257</v>
      </c>
      <c r="B69" s="87" t="s">
        <v>32</v>
      </c>
      <c r="C69" s="87" t="s">
        <v>582</v>
      </c>
      <c r="D69" s="95">
        <v>1220</v>
      </c>
      <c r="E69" s="95">
        <v>0</v>
      </c>
      <c r="F69" s="95">
        <f t="shared" ref="F69:F132" si="43">D69+E69</f>
        <v>1220</v>
      </c>
      <c r="G69" s="95">
        <v>1231</v>
      </c>
      <c r="H69" s="95">
        <v>0</v>
      </c>
      <c r="I69" s="95">
        <f t="shared" ref="I69:I132" si="44">G69+H69</f>
        <v>1231</v>
      </c>
      <c r="J69" s="95">
        <v>1209</v>
      </c>
      <c r="K69" s="95">
        <v>0</v>
      </c>
      <c r="L69" s="95">
        <f t="shared" ref="L69:L132" si="45">J69+K69</f>
        <v>1209</v>
      </c>
      <c r="M69" s="95">
        <f>IF(ISNA(VLOOKUP($CZ69,'Audit Values'!$A$2:$BW$365,2,FALSE)),'Preliminary SO66'!C68,VLOOKUP($CZ69,'Audit Values'!$A$2:$BW$365,73,FALSE))</f>
        <v>1150.5999999999999</v>
      </c>
      <c r="N69" s="95">
        <f>IF(ISNA(VLOOKUP($CZ69,'Audit Values'!$A$2:$BW$365,2,FALSE)),'Preliminary SO66'!F68,VLOOKUP($CZ69,'Audit Values'!$A$2:$BW$365,4,FALSE))</f>
        <v>0</v>
      </c>
      <c r="O69" s="95">
        <f t="shared" ref="O69:O132" si="46">M69+N69</f>
        <v>1150.5999999999999</v>
      </c>
      <c r="P69" s="95">
        <f>IF('Military Provision'!J70="YES", MAX('2019 Legal Max'!L69,'2019 Legal Max'!I69,AVERAGE('2019 Legal Max'!F69,'2019 Legal Max'!I69,'2019 Legal Max'!L69)), MAX(L69, I69))</f>
        <v>1231</v>
      </c>
      <c r="Q69" s="95">
        <f>IF(ISNA(VLOOKUP($CZ69,'Audit Values'!$A$2:$BU$353,2,FALSE)),'Preliminary SO66'!AL68,VLOOKUP($CZ69,'Audit Values'!$A$2:$BU$3955,58,FALSE))</f>
        <v>11</v>
      </c>
      <c r="R69" s="95">
        <v>0</v>
      </c>
      <c r="S69" s="95">
        <f t="shared" si="42"/>
        <v>1242</v>
      </c>
      <c r="T69" s="95">
        <f t="shared" ref="T69:T132" si="47">MAX(BU69, BY69, CC69, CD69)</f>
        <v>203.9</v>
      </c>
      <c r="U69" s="95">
        <f>IF(ISNA(VLOOKUP($CZ69,'Audit Values'!$A$2:$BW$317,2,FALSE)),'Preliminary SO66'!AM68,VLOOKUP($CZ69,'Audit Values'!$A$2:$BW$317,62,FALSE))</f>
        <v>1</v>
      </c>
      <c r="V69" s="95">
        <f>(U69/6)*'Weighting Factors'!$Q$7</f>
        <v>0.1</v>
      </c>
      <c r="W69" s="132">
        <f>IF(ISNA(VLOOKUP($CZ69,'Audit Values'!$A$2:$BW$353,2,FALSE)),'Preliminary SO66'!AN68,VLOOKUP($CZ69,'Audit Values'!$A$2:$BW$353,61,FALSE))</f>
        <v>4</v>
      </c>
      <c r="X69" s="95">
        <f>W69*'Weighting Factors'!$Q$8</f>
        <v>0.7</v>
      </c>
      <c r="Y69" s="95">
        <f t="shared" ref="Y69:Y132" si="48">MAX(V69,X69)</f>
        <v>0.7</v>
      </c>
      <c r="Z69" s="276">
        <f>IF(ISNA(VLOOKUP($CZ69,'Audit Values'!$A$2:$BW$317,2,FALSE)),'Preliminary SO66'!AO68,VLOOKUP($CZ69,'Audit Values'!$A$2:$BW$317,60,FALSE))</f>
        <v>493.5</v>
      </c>
      <c r="AA69" s="95">
        <f>Z69/6*'Weighting Factors'!$Q$6</f>
        <v>41.1</v>
      </c>
      <c r="AB69" s="99">
        <f>IF(ISNA(VLOOKUP($CZ69,'Audit Values'!$A$2:$BU$353,2,FALSE)),'Preliminary SO66'!AS68,VLOOKUP($CZ69,'Audit Values'!$A$2:$BU$353,63,FALSE))</f>
        <v>1186</v>
      </c>
      <c r="AC69" s="99">
        <v>0</v>
      </c>
      <c r="AD69" s="99">
        <f>IF(ISNA(VLOOKUP($CZ69,'Audit Values'!$A$2:$BU$353,2,FALSE)),'Preliminary SO66'!AP68,VLOOKUP($CZ69,'Audit Values'!$A$2:$BU$353,64,FALSE))</f>
        <v>533</v>
      </c>
      <c r="AE69" s="95">
        <f>IF(A69=207, AD69,MAX(AC69,AD69))*'Weighting Factors'!$Q$9</f>
        <v>258</v>
      </c>
      <c r="AF69" s="95">
        <f t="shared" ref="AF69:AF132" si="49">MAX(CU69,CV69)</f>
        <v>37.1</v>
      </c>
      <c r="AG69" s="95">
        <f>IF(ISNA(VLOOKUP($CZ69,'Audit Values'!$A$2:$BW$353,2,FALSE)),'Preliminary SO66'!AG68,VLOOKUP($CZ69,'Audit Values'!$A$2:$BW$353,70,FALSE))</f>
        <v>37.200000000000003</v>
      </c>
      <c r="AH69" s="95">
        <f t="shared" ref="AH69:AH132" si="50">MAX(AF69, AG69)</f>
        <v>37.200000000000003</v>
      </c>
      <c r="AI69" s="95">
        <f>IF(ISNA(VLOOKUP($CZ69,'Audit Values'!$A$2:$BU$353,2,FALSE)),'Preliminary SO66'!AQ68,VLOOKUP($CZ69,'Audit Values'!$A$2:$BU$353,65,FALSE))</f>
        <v>0</v>
      </c>
      <c r="AJ69" s="95">
        <f>AI69*'Weighting Factors'!$Q$10</f>
        <v>0</v>
      </c>
      <c r="AK69" s="95">
        <f>IF(ISNA(VLOOKUP($CZ69,'Audit Values'!$A$2:$BU$353,2,FALSE)),'Preliminary SO66'!AR68,VLOOKUP($CZ69,'Audit Values'!$A$2:$BU$353,66,FALSE))</f>
        <v>274</v>
      </c>
      <c r="AL69" s="95"/>
      <c r="AM69" s="99">
        <f t="shared" ref="AM69:AM132" si="51">CL69</f>
        <v>232900</v>
      </c>
      <c r="AN69" s="99">
        <v>272722</v>
      </c>
      <c r="AO69" s="95">
        <f>MAX(AN69, AM69)/'Weighting Factors'!$Q$5</f>
        <v>65.5</v>
      </c>
      <c r="AP69" s="95">
        <f>CN69/'Weighting Factors'!$Q$5</f>
        <v>0</v>
      </c>
      <c r="AQ69" s="95">
        <v>0</v>
      </c>
      <c r="AR69" s="95">
        <f>CS69/'Weighting Factors'!$Q$5</f>
        <v>0</v>
      </c>
      <c r="AS69" s="99">
        <v>1692652</v>
      </c>
      <c r="AT69" s="95">
        <f>AS69/'Weighting Factors'!$Q$5</f>
        <v>406.4</v>
      </c>
      <c r="AU69" s="95">
        <f>IF(ISNA(VLOOKUP($CZ69,'Audit Values'!$A$2:$BU$353,2,FALSE)),'Preliminary SO66'!X68,VLOOKUP($CZ69,'Audit Values'!$A$2:$BU$353,47,FALSE))</f>
        <v>0</v>
      </c>
      <c r="AV69" s="95">
        <f t="shared" ref="AV69:AV132" si="52">SUM(S69+T69+Y69+AA69+AE69+AH69+AJ69++AO69+AP69+AQ69+AT69+AU69)</f>
        <v>2254.8000000000002</v>
      </c>
      <c r="AW69" s="95">
        <f t="shared" ref="AW69:AW132" si="53">SUM(S69+T69+Y69+AA69+AE69+AH69+AJ69++AO69+AP69+AQ69+AR69+AU69)</f>
        <v>1848.4</v>
      </c>
      <c r="AX69" s="95">
        <f>IF(ISNA(VLOOKUP($CZ69,'Audit Values'!$A$2:$BU$353,2,FALSE)),'Preliminary SO66'!AA68,VLOOKUP($CZ69,'Audit Values'!$A$2:$BU$353,41,FALSE))</f>
        <v>29</v>
      </c>
      <c r="AY69" s="95">
        <f>IF(ISNA(VLOOKUP($CZ69,'Audit Values'!$A$2:$BU$353,2,FALSE)),'Preliminary SO66'!AB68,VLOOKUP($CZ69,'Audit Values'!$A$2:$BU$353,42,FALSE))</f>
        <v>5.8</v>
      </c>
      <c r="AZ69" s="114">
        <v>10</v>
      </c>
      <c r="BA69" s="99">
        <f>SUM(AX69*'Weighting Factors'!$T$10)+('2019 Legal Max'!AY69*'Weighting Factors'!$T$11)+('2019 Legal Max'!AZ69*'Weighting Factors'!$T$12)</f>
        <v>161950</v>
      </c>
      <c r="BB69" s="158">
        <v>0</v>
      </c>
      <c r="BC69" s="88">
        <f>IF(ISNA(VLOOKUP($CZ69,'Audit Values'!$A$2:$BU$353,2,FALSE)),"",IF(AND('Weighting Factors'!H69&gt;0,VLOOKUP($CZ69,'Audit Values'!$A$2:$BU$353,51,FALSE)&lt;'Weighting Factors'!H69),'Weighting Factors'!H69,VLOOKUP($CZ69,'Audit Values'!$A$2:$BU$353,50,FALSE)))</f>
        <v>20</v>
      </c>
      <c r="BD69" s="88" t="str">
        <f>IF(ISNA(VLOOKUP($CZ69,'Audit Values'!$A$2:$BV$353,2,FALSE)),"",VLOOKUP($CZ69,'Audit Values'!$A$2:$BV$353,51,FALSE))</f>
        <v>A</v>
      </c>
      <c r="BE69" s="88" t="str">
        <f>IF('Weighting Factors'!H69="","",IF('Weighting Factors'!J69="Pending","PX","R"))</f>
        <v/>
      </c>
      <c r="BF69" s="97">
        <f>SUM((S69+T69+Y69+AA69+AE69+AH69+AJ69++AO69+AP69+AQ69+AU69+AR69)*'Weighting Factors'!$Q$5)+'2019 Legal Max'!BA69+'2019 Legal Max'!BB69</f>
        <v>7860536</v>
      </c>
      <c r="BG69" s="99">
        <f>SUM((AV69+AR69)*'Weighting Factors'!$Q$5)+BA69+'2019 Legal Max'!BB69</f>
        <v>9553192</v>
      </c>
      <c r="BH69" s="108">
        <f>IF('Weighting Factors'!H69&gt;0,'Weighting Factors'!H69,'Preliminary SO66'!AV68)</f>
        <v>9759159</v>
      </c>
      <c r="BI69" s="99">
        <f t="shared" si="40"/>
        <v>9553192</v>
      </c>
      <c r="BJ69" s="112"/>
      <c r="BK69" s="112">
        <f>'Weighting Factors'!F69</f>
        <v>0</v>
      </c>
      <c r="BL69" s="112">
        <f>'Weighting Factors'!E69</f>
        <v>-1418</v>
      </c>
      <c r="BM69" s="99">
        <f t="shared" ref="BM69:BM132" si="54">SUM(BJ69:BL69)</f>
        <v>-1418</v>
      </c>
      <c r="BN69" s="99">
        <f t="shared" ref="BN69:BN132" si="55">BI69+BM69</f>
        <v>9551774</v>
      </c>
      <c r="BO69" s="99">
        <f>SUM((S69+T69+Y69+AA69+AE69+AH69+AJ69++AO69+AP69+AQ69+AR69)*'Weighting Factors'!Q$12)+(MAX(AS69,'Weighting Factors'!B69))</f>
        <v>10047653</v>
      </c>
      <c r="BP69" s="122">
        <v>0.3</v>
      </c>
      <c r="BQ69" s="99">
        <f t="shared" ref="BQ69:BQ132" si="56">BO69*BP69</f>
        <v>3014296</v>
      </c>
      <c r="BR69" s="108">
        <v>3055227</v>
      </c>
      <c r="BS69" s="99">
        <f t="shared" ref="BS69:BS132" si="57">MIN(BQ69,BR69)</f>
        <v>3014296</v>
      </c>
      <c r="BT69" s="167">
        <f t="shared" ref="BT69:BT132" si="58">BS69/BO69</f>
        <v>0.3</v>
      </c>
      <c r="BU69" s="95">
        <f t="shared" ref="BU69:BU132" si="59">ROUND(IF(S69&lt;=99.9,(S69*1.014331),0),1)</f>
        <v>0</v>
      </c>
      <c r="BV69" s="87" t="b">
        <f t="shared" ref="BV69:BV132" si="60">AND(S69&gt;99.9,S69&lt;=299.9)</f>
        <v>0</v>
      </c>
      <c r="BW69" s="117">
        <f t="shared" ref="BW69:BW132" si="61">IF(BV69=TRUE,ROUND((S69-100)*9.655,3),0)</f>
        <v>0</v>
      </c>
      <c r="BX69" s="116">
        <f t="shared" ref="BX69:BX132" si="62">IF(BV69=TRUE,ROUND(((7337-BW69)/3642.4)-1,6),0)</f>
        <v>0</v>
      </c>
      <c r="BY69" s="95">
        <f t="shared" ref="BY69:BY132" si="63">ROUND(BX69*S69,1)</f>
        <v>0</v>
      </c>
      <c r="BZ69" s="87" t="b">
        <f t="shared" ref="BZ69:BZ132" si="64">AND(S69&gt;299.9,S69&lt;=1621.9)</f>
        <v>1</v>
      </c>
      <c r="CA69" s="87">
        <f t="shared" ref="CA69:CA132" si="65">IF(BZ69=TRUE,ROUND((S69-300)*1.2375,4),0)</f>
        <v>1165.7249999999999</v>
      </c>
      <c r="CB69" s="116">
        <f t="shared" ref="CB69:CB132" si="66">IF(BZ69=TRUE,ROUND(((5406-CA69)/3642.4)-1,6),0)</f>
        <v>0.16414300000000001</v>
      </c>
      <c r="CC69" s="95">
        <f t="shared" ref="CC69:CC132" si="67">ROUND(CB69*S69,1)</f>
        <v>203.9</v>
      </c>
      <c r="CD69" s="95">
        <f t="shared" ref="CD69:CD132" si="68">ROUND(IF(S69&gt;=1622,(S69*0.03504),0),1)</f>
        <v>0</v>
      </c>
      <c r="CE69" s="98">
        <v>140.5</v>
      </c>
      <c r="CF69" s="250">
        <f t="shared" ref="CF69:CF132" si="69">AK69/CE69</f>
        <v>1.95</v>
      </c>
      <c r="CG69" s="274">
        <f>IF(CF69&lt;0.06,1,IF(CF69&gt;=18.29,52,MATCH(CF69-0.001,'Weighting Factors'!$Y$5:$Y$156)+1))</f>
        <v>37</v>
      </c>
      <c r="CH69" s="243">
        <f>VLOOKUP(CG69, 'Weighting Factors'!$W$5:$Z$56,4)</f>
        <v>850</v>
      </c>
      <c r="CI69" s="118">
        <f>('Weighting Factors'!$Q$5/'Weighting Factors'!$Q$14)</f>
        <v>1</v>
      </c>
      <c r="CJ69" s="245">
        <f t="shared" ref="CJ69:CJ132" si="70">AK69*CH69</f>
        <v>232900</v>
      </c>
      <c r="CK69" s="245">
        <f>CJ69*'Weighting Factors'!$S$7</f>
        <v>232900</v>
      </c>
      <c r="CL69" s="245">
        <f t="shared" ref="CL69:CL132" si="71">CK69*CI69</f>
        <v>232900</v>
      </c>
      <c r="CM69" s="95">
        <f>AM69/'Weighting Factors'!$Q$5</f>
        <v>55.9</v>
      </c>
      <c r="CN69" s="148">
        <v>0</v>
      </c>
      <c r="CO69" s="148">
        <v>0</v>
      </c>
      <c r="CP69" s="149">
        <v>0</v>
      </c>
      <c r="CQ69" s="151">
        <v>0</v>
      </c>
      <c r="CR69" s="99">
        <f>SUM((AV69*'Weighting Factors'!$Q$5)+'2019 Legal Max'!BA69)*CQ69</f>
        <v>0</v>
      </c>
      <c r="CS69" s="99">
        <f t="shared" ref="CS69:CS132" si="72">IF(CP69&gt;CR69,CR69,CP69)</f>
        <v>0</v>
      </c>
      <c r="CT69" s="106">
        <f t="shared" ref="CT69:CT132" si="73">AD69/AB69</f>
        <v>0.44940000000000002</v>
      </c>
      <c r="CU69" s="95">
        <f t="shared" ref="CU69:CU132" si="74">IF(CT69&gt;=50%,AD69*10.5%,0)</f>
        <v>0</v>
      </c>
      <c r="CV69" s="95">
        <f t="shared" ref="CV69:CV132" si="75">IF(AND(CT69&gt;35%,CT69&lt;50%),AD69*(CT69-35%)*0.7,0)</f>
        <v>37.1</v>
      </c>
      <c r="CW69" s="95">
        <f t="shared" ref="CW69:CW132" si="76">AW69+AT69</f>
        <v>2254.8000000000002</v>
      </c>
      <c r="CX69" s="99">
        <f>'LOB Transfers'!G68</f>
        <v>346644</v>
      </c>
      <c r="CY69" s="99">
        <f>'LOB Transfers'!J68</f>
        <v>904</v>
      </c>
      <c r="CZ69" s="87" t="s">
        <v>261</v>
      </c>
    </row>
    <row r="70" spans="1:104" ht="15" customHeight="1">
      <c r="A70" s="88">
        <v>258</v>
      </c>
      <c r="B70" s="87" t="s">
        <v>32</v>
      </c>
      <c r="C70" s="87" t="s">
        <v>583</v>
      </c>
      <c r="D70" s="95">
        <v>584</v>
      </c>
      <c r="E70" s="95">
        <v>0</v>
      </c>
      <c r="F70" s="95">
        <f t="shared" si="43"/>
        <v>584</v>
      </c>
      <c r="G70" s="95">
        <v>574</v>
      </c>
      <c r="H70" s="95">
        <v>0</v>
      </c>
      <c r="I70" s="95">
        <f t="shared" si="44"/>
        <v>574</v>
      </c>
      <c r="J70" s="95">
        <v>587.5</v>
      </c>
      <c r="K70" s="95">
        <v>0</v>
      </c>
      <c r="L70" s="95">
        <f t="shared" si="45"/>
        <v>587.5</v>
      </c>
      <c r="M70" s="95">
        <f>IF(ISNA(VLOOKUP($CZ70,'Audit Values'!$A$2:$BW$365,2,FALSE)),'Preliminary SO66'!C69,VLOOKUP($CZ70,'Audit Values'!$A$2:$BW$365,73,FALSE))</f>
        <v>584.5</v>
      </c>
      <c r="N70" s="95">
        <f>IF(ISNA(VLOOKUP($CZ70,'Audit Values'!$A$2:$BW$365,2,FALSE)),'Preliminary SO66'!F69,VLOOKUP($CZ70,'Audit Values'!$A$2:$BW$365,4,FALSE))</f>
        <v>0</v>
      </c>
      <c r="O70" s="95">
        <f t="shared" si="46"/>
        <v>584.5</v>
      </c>
      <c r="P70" s="95">
        <f>IF('Military Provision'!J71="YES", MAX('2019 Legal Max'!L70,'2019 Legal Max'!I70,AVERAGE('2019 Legal Max'!F70,'2019 Legal Max'!I70,'2019 Legal Max'!L70)), MAX(L70, I70))</f>
        <v>587.5</v>
      </c>
      <c r="Q70" s="95">
        <f>IF(ISNA(VLOOKUP($CZ70,'Audit Values'!$A$2:$BU$353,2,FALSE)),'Preliminary SO66'!AL69,VLOOKUP($CZ70,'Audit Values'!$A$2:$BU$3955,58,FALSE))</f>
        <v>5</v>
      </c>
      <c r="R70" s="95">
        <v>0</v>
      </c>
      <c r="S70" s="95">
        <f t="shared" si="42"/>
        <v>592.5</v>
      </c>
      <c r="T70" s="95">
        <f t="shared" si="47"/>
        <v>228</v>
      </c>
      <c r="U70" s="95">
        <f>IF(ISNA(VLOOKUP($CZ70,'Audit Values'!$A$2:$BW$317,2,FALSE)),'Preliminary SO66'!AM69,VLOOKUP($CZ70,'Audit Values'!$A$2:$BW$317,62,FALSE))</f>
        <v>2.2000000000000002</v>
      </c>
      <c r="V70" s="95">
        <f>(U70/6)*'Weighting Factors'!$Q$7</f>
        <v>0.1</v>
      </c>
      <c r="W70" s="132">
        <f>IF(ISNA(VLOOKUP($CZ70,'Audit Values'!$A$2:$BW$353,2,FALSE)),'Preliminary SO66'!AN69,VLOOKUP($CZ70,'Audit Values'!$A$2:$BW$353,61,FALSE))</f>
        <v>3</v>
      </c>
      <c r="X70" s="95">
        <f>W70*'Weighting Factors'!$Q$8</f>
        <v>0.6</v>
      </c>
      <c r="Y70" s="95">
        <f t="shared" si="48"/>
        <v>0.6</v>
      </c>
      <c r="Z70" s="276">
        <f>IF(ISNA(VLOOKUP($CZ70,'Audit Values'!$A$2:$BW$317,2,FALSE)),'Preliminary SO66'!AO69,VLOOKUP($CZ70,'Audit Values'!$A$2:$BW$317,60,FALSE))</f>
        <v>186.1</v>
      </c>
      <c r="AA70" s="95">
        <f>Z70/6*'Weighting Factors'!$Q$6</f>
        <v>15.5</v>
      </c>
      <c r="AB70" s="99">
        <f>IF(ISNA(VLOOKUP($CZ70,'Audit Values'!$A$2:$BU$353,2,FALSE)),'Preliminary SO66'!AS69,VLOOKUP($CZ70,'Audit Values'!$A$2:$BU$353,63,FALSE))</f>
        <v>598</v>
      </c>
      <c r="AC70" s="99">
        <v>0</v>
      </c>
      <c r="AD70" s="99">
        <f>IF(ISNA(VLOOKUP($CZ70,'Audit Values'!$A$2:$BU$353,2,FALSE)),'Preliminary SO66'!AP69,VLOOKUP($CZ70,'Audit Values'!$A$2:$BU$353,64,FALSE))</f>
        <v>209</v>
      </c>
      <c r="AE70" s="95">
        <f>IF(A70=207, AD70,MAX(AC70,AD70))*'Weighting Factors'!$Q$9</f>
        <v>101.2</v>
      </c>
      <c r="AF70" s="95">
        <f t="shared" si="49"/>
        <v>0</v>
      </c>
      <c r="AG70" s="95">
        <f>IF(ISNA(VLOOKUP($CZ70,'Audit Values'!$A$2:$BW$353,2,FALSE)),'Preliminary SO66'!AG69,VLOOKUP($CZ70,'Audit Values'!$A$2:$BW$353,70,FALSE))</f>
        <v>0.8</v>
      </c>
      <c r="AH70" s="95">
        <f t="shared" si="50"/>
        <v>0.8</v>
      </c>
      <c r="AI70" s="95">
        <f>IF(ISNA(VLOOKUP($CZ70,'Audit Values'!$A$2:$BU$353,2,FALSE)),'Preliminary SO66'!AQ69,VLOOKUP($CZ70,'Audit Values'!$A$2:$BU$353,65,FALSE))</f>
        <v>0</v>
      </c>
      <c r="AJ70" s="95">
        <f>AI70*'Weighting Factors'!$Q$10</f>
        <v>0</v>
      </c>
      <c r="AK70" s="95">
        <f>IF(ISNA(VLOOKUP($CZ70,'Audit Values'!$A$2:$BU$353,2,FALSE)),'Preliminary SO66'!AR69,VLOOKUP($CZ70,'Audit Values'!$A$2:$BU$353,66,FALSE))</f>
        <v>91</v>
      </c>
      <c r="AL70" s="95"/>
      <c r="AM70" s="99">
        <f t="shared" si="51"/>
        <v>91910</v>
      </c>
      <c r="AN70" s="99">
        <v>96300</v>
      </c>
      <c r="AO70" s="95">
        <f>MAX(AN70, AM70)/'Weighting Factors'!$Q$5</f>
        <v>23.1</v>
      </c>
      <c r="AP70" s="95">
        <f>CN70/'Weighting Factors'!$Q$5</f>
        <v>0</v>
      </c>
      <c r="AQ70" s="95">
        <v>0</v>
      </c>
      <c r="AR70" s="95">
        <f>CS70/'Weighting Factors'!$Q$5</f>
        <v>0</v>
      </c>
      <c r="AS70" s="99">
        <v>779322</v>
      </c>
      <c r="AT70" s="95">
        <f>AS70/'Weighting Factors'!$Q$5</f>
        <v>187.1</v>
      </c>
      <c r="AU70" s="95">
        <f>IF(ISNA(VLOOKUP($CZ70,'Audit Values'!$A$2:$BU$353,2,FALSE)),'Preliminary SO66'!X69,VLOOKUP($CZ70,'Audit Values'!$A$2:$BU$353,47,FALSE))</f>
        <v>0</v>
      </c>
      <c r="AV70" s="95">
        <f t="shared" si="52"/>
        <v>1148.8</v>
      </c>
      <c r="AW70" s="95">
        <f t="shared" si="53"/>
        <v>961.7</v>
      </c>
      <c r="AX70" s="95">
        <f>IF(ISNA(VLOOKUP($CZ70,'Audit Values'!$A$2:$BU$353,2,FALSE)),'Preliminary SO66'!AA69,VLOOKUP($CZ70,'Audit Values'!$A$2:$BU$353,41,FALSE))</f>
        <v>124</v>
      </c>
      <c r="AY70" s="95">
        <f>IF(ISNA(VLOOKUP($CZ70,'Audit Values'!$A$2:$BU$353,2,FALSE)),'Preliminary SO66'!AB69,VLOOKUP($CZ70,'Audit Values'!$A$2:$BU$353,42,FALSE))</f>
        <v>0.6</v>
      </c>
      <c r="AZ70" s="114">
        <v>370</v>
      </c>
      <c r="BA70" s="99">
        <f>SUM(AX70*'Weighting Factors'!$T$10)+('2019 Legal Max'!AY70*'Weighting Factors'!$T$11)+('2019 Legal Max'!AZ70*'Weighting Factors'!$T$12)</f>
        <v>883350</v>
      </c>
      <c r="BB70" s="158">
        <v>0</v>
      </c>
      <c r="BC70" s="88">
        <f>IF(ISNA(VLOOKUP($CZ70,'Audit Values'!$A$2:$BU$353,2,FALSE)),"",IF(AND('Weighting Factors'!H70&gt;0,VLOOKUP($CZ70,'Audit Values'!$A$2:$BU$353,51,FALSE)&lt;'Weighting Factors'!H70),'Weighting Factors'!H70,VLOOKUP($CZ70,'Audit Values'!$A$2:$BU$353,50,FALSE)))</f>
        <v>14</v>
      </c>
      <c r="BD70" s="88" t="str">
        <f>IF(ISNA(VLOOKUP($CZ70,'Audit Values'!$A$2:$BV$353,2,FALSE)),"",VLOOKUP($CZ70,'Audit Values'!$A$2:$BV$353,51,FALSE))</f>
        <v>A</v>
      </c>
      <c r="BE70" s="88" t="str">
        <f>IF('Weighting Factors'!H70="","",IF('Weighting Factors'!J70="Pending","PX","R"))</f>
        <v>R</v>
      </c>
      <c r="BF70" s="97">
        <f>SUM((S70+T70+Y70+AA70+AE70+AH70+AJ70++AO70+AP70+AQ70+AU70+AR70)*'Weighting Factors'!$Q$5)+'2019 Legal Max'!BA70+'2019 Legal Max'!BB70</f>
        <v>4888831</v>
      </c>
      <c r="BG70" s="99">
        <f>SUM((AV70+AR70)*'Weighting Factors'!$Q$5)+BA70+'2019 Legal Max'!BB70</f>
        <v>5668102</v>
      </c>
      <c r="BH70" s="108">
        <f>IF('Weighting Factors'!H70&gt;0,'Weighting Factors'!H70,'Preliminary SO66'!AV69)</f>
        <v>5699321</v>
      </c>
      <c r="BI70" s="99">
        <f t="shared" ref="BI70:BI133" si="77">MIN(BG70,BH70)</f>
        <v>5668102</v>
      </c>
      <c r="BJ70" s="112"/>
      <c r="BK70" s="112">
        <f>'Weighting Factors'!F70</f>
        <v>0</v>
      </c>
      <c r="BL70" s="112">
        <f>'Weighting Factors'!E70</f>
        <v>-3191</v>
      </c>
      <c r="BM70" s="99">
        <f t="shared" si="54"/>
        <v>-3191</v>
      </c>
      <c r="BN70" s="99">
        <f t="shared" si="55"/>
        <v>5664911</v>
      </c>
      <c r="BO70" s="99">
        <f>SUM((S70+T70+Y70+AA70+AE70+AH70+AJ70++AO70+AP70+AQ70+AR70)*'Weighting Factors'!Q$12)+(MAX(AS70,'Weighting Factors'!B70))</f>
        <v>5097355</v>
      </c>
      <c r="BP70" s="122">
        <v>0.33</v>
      </c>
      <c r="BQ70" s="99">
        <f t="shared" si="56"/>
        <v>1682127</v>
      </c>
      <c r="BR70" s="108">
        <v>1707011</v>
      </c>
      <c r="BS70" s="99">
        <f t="shared" si="57"/>
        <v>1682127</v>
      </c>
      <c r="BT70" s="167">
        <f t="shared" si="58"/>
        <v>0.33</v>
      </c>
      <c r="BU70" s="95">
        <f t="shared" si="59"/>
        <v>0</v>
      </c>
      <c r="BV70" s="87" t="b">
        <f t="shared" si="60"/>
        <v>0</v>
      </c>
      <c r="BW70" s="117">
        <f t="shared" si="61"/>
        <v>0</v>
      </c>
      <c r="BX70" s="116">
        <f t="shared" si="62"/>
        <v>0</v>
      </c>
      <c r="BY70" s="95">
        <f t="shared" si="63"/>
        <v>0</v>
      </c>
      <c r="BZ70" s="87" t="b">
        <f t="shared" si="64"/>
        <v>1</v>
      </c>
      <c r="CA70" s="87">
        <f t="shared" si="65"/>
        <v>361.96879999999999</v>
      </c>
      <c r="CB70" s="116">
        <f t="shared" si="66"/>
        <v>0.38480999999999999</v>
      </c>
      <c r="CC70" s="95">
        <f t="shared" si="67"/>
        <v>228</v>
      </c>
      <c r="CD70" s="95">
        <f t="shared" si="68"/>
        <v>0</v>
      </c>
      <c r="CE70" s="98">
        <v>126</v>
      </c>
      <c r="CF70" s="250">
        <f t="shared" si="69"/>
        <v>0.72199999999999998</v>
      </c>
      <c r="CG70" s="274">
        <f>IF(CF70&lt;0.06,1,IF(CF70&gt;=18.29,52,MATCH(CF70-0.001,'Weighting Factors'!$Y$5:$Y$156)+1))</f>
        <v>29</v>
      </c>
      <c r="CH70" s="243">
        <f>VLOOKUP(CG70, 'Weighting Factors'!$W$5:$Z$56,4)</f>
        <v>1010</v>
      </c>
      <c r="CI70" s="118">
        <f>('Weighting Factors'!$Q$5/'Weighting Factors'!$Q$14)</f>
        <v>1</v>
      </c>
      <c r="CJ70" s="245">
        <f t="shared" si="70"/>
        <v>91910</v>
      </c>
      <c r="CK70" s="245">
        <f>CJ70*'Weighting Factors'!$S$7</f>
        <v>91910</v>
      </c>
      <c r="CL70" s="245">
        <f t="shared" si="71"/>
        <v>91910</v>
      </c>
      <c r="CM70" s="95">
        <f>AM70/'Weighting Factors'!$Q$5</f>
        <v>22.1</v>
      </c>
      <c r="CN70" s="148">
        <v>0</v>
      </c>
      <c r="CO70" s="148">
        <v>0</v>
      </c>
      <c r="CP70" s="149">
        <v>0</v>
      </c>
      <c r="CQ70" s="151">
        <v>0</v>
      </c>
      <c r="CR70" s="99">
        <f>SUM((AV70*'Weighting Factors'!$Q$5)+'2019 Legal Max'!BA70)*CQ70</f>
        <v>0</v>
      </c>
      <c r="CS70" s="99">
        <f t="shared" si="72"/>
        <v>0</v>
      </c>
      <c r="CT70" s="106">
        <f t="shared" si="73"/>
        <v>0.34949999999999998</v>
      </c>
      <c r="CU70" s="95">
        <f t="shared" si="74"/>
        <v>0</v>
      </c>
      <c r="CV70" s="95">
        <f t="shared" si="75"/>
        <v>0</v>
      </c>
      <c r="CW70" s="95">
        <f t="shared" si="76"/>
        <v>1148.8</v>
      </c>
      <c r="CX70" s="99">
        <f>'LOB Transfers'!G69</f>
        <v>148868</v>
      </c>
      <c r="CY70" s="99">
        <f>'LOB Transfers'!J69</f>
        <v>841</v>
      </c>
      <c r="CZ70" s="87" t="s">
        <v>262</v>
      </c>
    </row>
    <row r="71" spans="1:104" ht="15" customHeight="1">
      <c r="A71" s="88">
        <v>259</v>
      </c>
      <c r="B71" s="87" t="s">
        <v>33</v>
      </c>
      <c r="C71" s="87" t="s">
        <v>584</v>
      </c>
      <c r="D71" s="95">
        <v>46003.7</v>
      </c>
      <c r="E71" s="95">
        <v>0</v>
      </c>
      <c r="F71" s="95">
        <f t="shared" si="43"/>
        <v>46003.7</v>
      </c>
      <c r="G71" s="95">
        <v>47376.5</v>
      </c>
      <c r="H71" s="95">
        <v>0</v>
      </c>
      <c r="I71" s="95">
        <f t="shared" si="44"/>
        <v>47376.5</v>
      </c>
      <c r="J71" s="95">
        <v>47137.1</v>
      </c>
      <c r="K71" s="95">
        <v>0</v>
      </c>
      <c r="L71" s="95">
        <f t="shared" si="45"/>
        <v>47137.1</v>
      </c>
      <c r="M71" s="95">
        <f>IF(ISNA(VLOOKUP($CZ71,'Audit Values'!$A$2:$BW$365,2,FALSE)),'Preliminary SO66'!C70,VLOOKUP($CZ71,'Audit Values'!$A$2:$BW$365,73,FALSE))</f>
        <v>46954.2</v>
      </c>
      <c r="N71" s="95">
        <f>IF(ISNA(VLOOKUP($CZ71,'Audit Values'!$A$2:$BW$365,2,FALSE)),'Preliminary SO66'!F70,VLOOKUP($CZ71,'Audit Values'!$A$2:$BW$365,4,FALSE))</f>
        <v>0</v>
      </c>
      <c r="O71" s="95">
        <f t="shared" si="46"/>
        <v>46954.2</v>
      </c>
      <c r="P71" s="95">
        <f>IF('Military Provision'!J72="YES", MAX('2019 Legal Max'!L71,'2019 Legal Max'!I71,AVERAGE('2019 Legal Max'!F71,'2019 Legal Max'!I71,'2019 Legal Max'!L71)), MAX(L71, I71))</f>
        <v>47376.5</v>
      </c>
      <c r="Q71" s="95">
        <f>IF(ISNA(VLOOKUP($CZ71,'Audit Values'!$A$2:$BU$353,2,FALSE)),'Preliminary SO66'!AL70,VLOOKUP($CZ71,'Audit Values'!$A$2:$BU$3955,58,FALSE))</f>
        <v>939.5</v>
      </c>
      <c r="R71" s="95">
        <v>0</v>
      </c>
      <c r="S71" s="95">
        <f t="shared" si="42"/>
        <v>48316</v>
      </c>
      <c r="T71" s="95">
        <f t="shared" si="47"/>
        <v>1693</v>
      </c>
      <c r="U71" s="95">
        <f>IF(ISNA(VLOOKUP($CZ71,'Audit Values'!$A$2:$BW$317,2,FALSE)),'Preliminary SO66'!AM70,VLOOKUP($CZ71,'Audit Values'!$A$2:$BW$317,62,FALSE))</f>
        <v>32276.3</v>
      </c>
      <c r="V71" s="95">
        <f>(U71/6)*'Weighting Factors'!$Q$7</f>
        <v>2124.9</v>
      </c>
      <c r="W71" s="132">
        <f>IF(ISNA(VLOOKUP($CZ71,'Audit Values'!$A$2:$BW$353,2,FALSE)),'Preliminary SO66'!AN70,VLOOKUP($CZ71,'Audit Values'!$A$2:$BW$353,61,FALSE))</f>
        <v>9748</v>
      </c>
      <c r="X71" s="95">
        <f>W71*'Weighting Factors'!$Q$8</f>
        <v>1803.4</v>
      </c>
      <c r="Y71" s="95">
        <f t="shared" si="48"/>
        <v>2124.9</v>
      </c>
      <c r="Z71" s="276">
        <f>IF(ISNA(VLOOKUP($CZ71,'Audit Values'!$A$2:$BW$317,2,FALSE)),'Preliminary SO66'!AO70,VLOOKUP($CZ71,'Audit Values'!$A$2:$BW$317,60,FALSE))</f>
        <v>9959.7999999999993</v>
      </c>
      <c r="AA71" s="95">
        <f>Z71/6*'Weighting Factors'!$Q$6</f>
        <v>830</v>
      </c>
      <c r="AB71" s="99">
        <f>IF(ISNA(VLOOKUP($CZ71,'Audit Values'!$A$2:$BU$353,2,FALSE)),'Preliminary SO66'!AS70,VLOOKUP($CZ71,'Audit Values'!$A$2:$BU$353,63,FALSE))</f>
        <v>49418</v>
      </c>
      <c r="AC71" s="99">
        <v>0</v>
      </c>
      <c r="AD71" s="99">
        <f>IF(ISNA(VLOOKUP($CZ71,'Audit Values'!$A$2:$BU$353,2,FALSE)),'Preliminary SO66'!AP70,VLOOKUP($CZ71,'Audit Values'!$A$2:$BU$353,64,FALSE))</f>
        <v>32798</v>
      </c>
      <c r="AE71" s="95">
        <f>IF(A71=207, AD71,MAX(AC71,AD71))*'Weighting Factors'!$Q$9</f>
        <v>15874.2</v>
      </c>
      <c r="AF71" s="95">
        <f t="shared" si="49"/>
        <v>3443.8</v>
      </c>
      <c r="AG71" s="95">
        <f>IF(ISNA(VLOOKUP($CZ71,'Audit Values'!$A$2:$BW$353,2,FALSE)),'Preliminary SO66'!AG70,VLOOKUP($CZ71,'Audit Values'!$A$2:$BW$353,70,FALSE))</f>
        <v>3228.5</v>
      </c>
      <c r="AH71" s="95">
        <f t="shared" si="50"/>
        <v>3443.8</v>
      </c>
      <c r="AI71" s="95">
        <f>IF(ISNA(VLOOKUP($CZ71,'Audit Values'!$A$2:$BU$353,2,FALSE)),'Preliminary SO66'!AQ70,VLOOKUP($CZ71,'Audit Values'!$A$2:$BU$353,65,FALSE))</f>
        <v>774</v>
      </c>
      <c r="AJ71" s="95">
        <f>AI71*'Weighting Factors'!$Q$10</f>
        <v>193.5</v>
      </c>
      <c r="AK71" s="95">
        <f>IF(ISNA(VLOOKUP($CZ71,'Audit Values'!$A$2:$BU$353,2,FALSE)),'Preliminary SO66'!AR70,VLOOKUP($CZ71,'Audit Values'!$A$2:$BU$353,66,FALSE))</f>
        <v>14888</v>
      </c>
      <c r="AL71" s="95"/>
      <c r="AM71" s="99">
        <f t="shared" si="51"/>
        <v>8188400</v>
      </c>
      <c r="AN71" s="99">
        <v>8000604</v>
      </c>
      <c r="AO71" s="95">
        <f>MAX(AN71, AM71)/'Weighting Factors'!$Q$5</f>
        <v>1966</v>
      </c>
      <c r="AP71" s="95">
        <f>CN71/'Weighting Factors'!$Q$5</f>
        <v>0</v>
      </c>
      <c r="AQ71" s="95">
        <v>0</v>
      </c>
      <c r="AR71" s="95">
        <f>CS71/'Weighting Factors'!$Q$5</f>
        <v>0</v>
      </c>
      <c r="AS71" s="99">
        <v>49996381</v>
      </c>
      <c r="AT71" s="95">
        <f>AS71/'Weighting Factors'!$Q$5</f>
        <v>12003.9</v>
      </c>
      <c r="AU71" s="95">
        <f>IF(ISNA(VLOOKUP($CZ71,'Audit Values'!$A$2:$BU$353,2,FALSE)),'Preliminary SO66'!X70,VLOOKUP($CZ71,'Audit Values'!$A$2:$BU$353,47,FALSE))</f>
        <v>3</v>
      </c>
      <c r="AV71" s="95">
        <f t="shared" si="52"/>
        <v>86448.3</v>
      </c>
      <c r="AW71" s="95">
        <f t="shared" si="53"/>
        <v>74444.399999999994</v>
      </c>
      <c r="AX71" s="95">
        <f>IF(ISNA(VLOOKUP($CZ71,'Audit Values'!$A$2:$BU$353,2,FALSE)),'Preliminary SO66'!AA70,VLOOKUP($CZ71,'Audit Values'!$A$2:$BU$353,41,FALSE))</f>
        <v>303</v>
      </c>
      <c r="AY71" s="95">
        <f>IF(ISNA(VLOOKUP($CZ71,'Audit Values'!$A$2:$BU$353,2,FALSE)),'Preliminary SO66'!AB70,VLOOKUP($CZ71,'Audit Values'!$A$2:$BU$353,42,FALSE))</f>
        <v>9.3000000000000007</v>
      </c>
      <c r="AZ71" s="114">
        <v>0</v>
      </c>
      <c r="BA71" s="99">
        <f>SUM(AX71*'Weighting Factors'!$T$10)+('2019 Legal Max'!AY71*'Weighting Factors'!$T$11)+('2019 Legal Max'!AZ71*'Weighting Factors'!$T$12)</f>
        <v>1530810</v>
      </c>
      <c r="BB71" s="158">
        <v>0</v>
      </c>
      <c r="BC71" s="88">
        <f>IF(ISNA(VLOOKUP($CZ71,'Audit Values'!$A$2:$BU$353,2,FALSE)),"",IF(AND('Weighting Factors'!H71&gt;0,VLOOKUP($CZ71,'Audit Values'!$A$2:$BU$353,51,FALSE)&lt;'Weighting Factors'!H71),'Weighting Factors'!H71,VLOOKUP($CZ71,'Audit Values'!$A$2:$BU$353,50,FALSE)))</f>
        <v>4</v>
      </c>
      <c r="BD71" s="88" t="str">
        <f>IF(ISNA(VLOOKUP($CZ71,'Audit Values'!$A$2:$BV$353,2,FALSE)),"",VLOOKUP($CZ71,'Audit Values'!$A$2:$BV$353,51,FALSE))</f>
        <v>A</v>
      </c>
      <c r="BE71" s="88" t="str">
        <f>IF('Weighting Factors'!H71="","",IF('Weighting Factors'!J71="Pending","PX","R"))</f>
        <v/>
      </c>
      <c r="BF71" s="97">
        <f>SUM((S71+T71+Y71+AA71+AE71+AH71+AJ71++AO71+AP71+AQ71+AU71+AR71)*'Weighting Factors'!$Q$5)+'2019 Legal Max'!BA71+'2019 Legal Max'!BB71</f>
        <v>311591736</v>
      </c>
      <c r="BG71" s="99">
        <f>SUM((AV71+AR71)*'Weighting Factors'!$Q$5)+BA71+'2019 Legal Max'!BB71</f>
        <v>361587980</v>
      </c>
      <c r="BH71" s="108">
        <f>IF('Weighting Factors'!H71&gt;0,'Weighting Factors'!H71,'Preliminary SO66'!AV70)</f>
        <v>364448777</v>
      </c>
      <c r="BI71" s="99">
        <f t="shared" si="77"/>
        <v>361587980</v>
      </c>
      <c r="BJ71" s="112"/>
      <c r="BK71" s="112">
        <f>'Weighting Factors'!F71</f>
        <v>0</v>
      </c>
      <c r="BL71" s="112">
        <f>'Weighting Factors'!E71</f>
        <v>0</v>
      </c>
      <c r="BM71" s="99">
        <f t="shared" si="54"/>
        <v>0</v>
      </c>
      <c r="BN71" s="99">
        <f t="shared" si="55"/>
        <v>361587980</v>
      </c>
      <c r="BO71" s="99">
        <f>SUM((S71+T71+Y71+AA71+AE71+AH71+AJ71++AO71+AP71+AQ71+AR71)*'Weighting Factors'!Q$12)+(MAX(AS71,'Weighting Factors'!B71))</f>
        <v>384238267</v>
      </c>
      <c r="BP71" s="122">
        <v>0.3</v>
      </c>
      <c r="BQ71" s="99">
        <f t="shared" si="56"/>
        <v>115271480</v>
      </c>
      <c r="BR71" s="108">
        <v>116009678</v>
      </c>
      <c r="BS71" s="99">
        <f t="shared" si="57"/>
        <v>115271480</v>
      </c>
      <c r="BT71" s="167">
        <f t="shared" si="58"/>
        <v>0.3</v>
      </c>
      <c r="BU71" s="95">
        <f t="shared" si="59"/>
        <v>0</v>
      </c>
      <c r="BV71" s="87" t="b">
        <f t="shared" si="60"/>
        <v>0</v>
      </c>
      <c r="BW71" s="117">
        <f t="shared" si="61"/>
        <v>0</v>
      </c>
      <c r="BX71" s="116">
        <f t="shared" si="62"/>
        <v>0</v>
      </c>
      <c r="BY71" s="95">
        <f t="shared" si="63"/>
        <v>0</v>
      </c>
      <c r="BZ71" s="87" t="b">
        <f t="shared" si="64"/>
        <v>0</v>
      </c>
      <c r="CA71" s="87">
        <f t="shared" si="65"/>
        <v>0</v>
      </c>
      <c r="CB71" s="116">
        <f t="shared" si="66"/>
        <v>0</v>
      </c>
      <c r="CC71" s="95">
        <f t="shared" si="67"/>
        <v>0</v>
      </c>
      <c r="CD71" s="95">
        <f t="shared" si="68"/>
        <v>1693</v>
      </c>
      <c r="CE71" s="98">
        <v>151</v>
      </c>
      <c r="CF71" s="250">
        <f t="shared" si="69"/>
        <v>98.596000000000004</v>
      </c>
      <c r="CG71" s="274">
        <f>IF(CF71&lt;0.06,1,IF(CF71&gt;=18.29,52,MATCH(CF71-0.001,'Weighting Factors'!$Y$5:$Y$156)+1))</f>
        <v>52</v>
      </c>
      <c r="CH71" s="243">
        <f>VLOOKUP(CG71, 'Weighting Factors'!$W$5:$Z$56,4)</f>
        <v>550</v>
      </c>
      <c r="CI71" s="118">
        <f>('Weighting Factors'!$Q$5/'Weighting Factors'!$Q$14)</f>
        <v>1</v>
      </c>
      <c r="CJ71" s="245">
        <f t="shared" si="70"/>
        <v>8188400</v>
      </c>
      <c r="CK71" s="245">
        <f>CJ71*'Weighting Factors'!$S$7</f>
        <v>8188400</v>
      </c>
      <c r="CL71" s="245">
        <f t="shared" si="71"/>
        <v>8188400</v>
      </c>
      <c r="CM71" s="95">
        <f>AM71/'Weighting Factors'!$Q$5</f>
        <v>1966</v>
      </c>
      <c r="CN71" s="148">
        <v>0</v>
      </c>
      <c r="CO71" s="148">
        <v>0</v>
      </c>
      <c r="CP71" s="149">
        <v>0</v>
      </c>
      <c r="CQ71" s="151">
        <v>0</v>
      </c>
      <c r="CR71" s="99">
        <f>SUM((AV71*'Weighting Factors'!$Q$5)+'2019 Legal Max'!BA71)*CQ71</f>
        <v>0</v>
      </c>
      <c r="CS71" s="99">
        <f t="shared" si="72"/>
        <v>0</v>
      </c>
      <c r="CT71" s="106">
        <f t="shared" si="73"/>
        <v>0.66369999999999996</v>
      </c>
      <c r="CU71" s="95">
        <f t="shared" si="74"/>
        <v>3443.8</v>
      </c>
      <c r="CV71" s="95">
        <f t="shared" si="75"/>
        <v>0</v>
      </c>
      <c r="CW71" s="95">
        <f t="shared" si="76"/>
        <v>86448.3</v>
      </c>
      <c r="CX71" s="99">
        <f>'LOB Transfers'!G70</f>
        <v>21405914</v>
      </c>
      <c r="CY71" s="99">
        <f>'LOB Transfers'!J70</f>
        <v>2870260</v>
      </c>
      <c r="CZ71" s="87" t="s">
        <v>263</v>
      </c>
    </row>
    <row r="72" spans="1:104" ht="15" customHeight="1">
      <c r="A72" s="88">
        <v>260</v>
      </c>
      <c r="B72" s="87" t="s">
        <v>33</v>
      </c>
      <c r="C72" s="87" t="s">
        <v>585</v>
      </c>
      <c r="D72" s="95">
        <v>6424.8</v>
      </c>
      <c r="E72" s="95">
        <v>0</v>
      </c>
      <c r="F72" s="95">
        <f t="shared" si="43"/>
        <v>6424.8</v>
      </c>
      <c r="G72" s="95">
        <v>6725.6</v>
      </c>
      <c r="H72" s="248">
        <v>27</v>
      </c>
      <c r="I72" s="95">
        <f t="shared" si="44"/>
        <v>6752.6</v>
      </c>
      <c r="J72" s="95">
        <v>6788.4</v>
      </c>
      <c r="K72" s="95">
        <v>28.5</v>
      </c>
      <c r="L72" s="95">
        <f t="shared" si="45"/>
        <v>6816.9</v>
      </c>
      <c r="M72" s="95">
        <f>IF(ISNA(VLOOKUP($CZ72,'Audit Values'!$A$2:$BW$365,2,FALSE)),'Preliminary SO66'!C71,VLOOKUP($CZ72,'Audit Values'!$A$2:$BW$365,73,FALSE))</f>
        <v>6857.8</v>
      </c>
      <c r="N72" s="95">
        <f>IF(ISNA(VLOOKUP($CZ72,'Audit Values'!$A$2:$BW$365,2,FALSE)),'Preliminary SO66'!F71,VLOOKUP($CZ72,'Audit Values'!$A$2:$BW$365,4,FALSE))</f>
        <v>34</v>
      </c>
      <c r="O72" s="95">
        <f t="shared" si="46"/>
        <v>6891.8</v>
      </c>
      <c r="P72" s="95">
        <f>IF('Military Provision'!J73="YES", MAX('2019 Legal Max'!L72,'2019 Legal Max'!I72,AVERAGE('2019 Legal Max'!F72,'2019 Legal Max'!I72,'2019 Legal Max'!L72)), MAX(L72, I72))</f>
        <v>6816.9</v>
      </c>
      <c r="Q72" s="95">
        <f>IF(ISNA(VLOOKUP($CZ72,'Audit Values'!$A$2:$BU$353,2,FALSE)),'Preliminary SO66'!AL71,VLOOKUP($CZ72,'Audit Values'!$A$2:$BU$3955,58,FALSE))</f>
        <v>27.5</v>
      </c>
      <c r="R72" s="95">
        <v>0</v>
      </c>
      <c r="S72" s="95">
        <f t="shared" si="42"/>
        <v>6844.4</v>
      </c>
      <c r="T72" s="95">
        <f t="shared" si="47"/>
        <v>239.8</v>
      </c>
      <c r="U72" s="95">
        <f>IF(ISNA(VLOOKUP($CZ72,'Audit Values'!$A$2:$BW$317,2,FALSE)),'Preliminary SO66'!AM71,VLOOKUP($CZ72,'Audit Values'!$A$2:$BW$317,62,FALSE))</f>
        <v>1565.6</v>
      </c>
      <c r="V72" s="95">
        <f>(U72/6)*'Weighting Factors'!$Q$7</f>
        <v>103.1</v>
      </c>
      <c r="W72" s="132">
        <f>IF(ISNA(VLOOKUP($CZ72,'Audit Values'!$A$2:$BW$353,2,FALSE)),'Preliminary SO66'!AN71,VLOOKUP($CZ72,'Audit Values'!$A$2:$BW$353,61,FALSE))</f>
        <v>616</v>
      </c>
      <c r="X72" s="95">
        <f>W72*'Weighting Factors'!$Q$8</f>
        <v>114</v>
      </c>
      <c r="Y72" s="95">
        <f t="shared" si="48"/>
        <v>114</v>
      </c>
      <c r="Z72" s="276">
        <f>IF(ISNA(VLOOKUP($CZ72,'Audit Values'!$A$2:$BW$317,2,FALSE)),'Preliminary SO66'!AO71,VLOOKUP($CZ72,'Audit Values'!$A$2:$BW$317,60,FALSE))</f>
        <v>1400.8</v>
      </c>
      <c r="AA72" s="95">
        <f>Z72/6*'Weighting Factors'!$Q$6</f>
        <v>116.7</v>
      </c>
      <c r="AB72" s="99">
        <f>IF(ISNA(VLOOKUP($CZ72,'Audit Values'!$A$2:$BU$353,2,FALSE)),'Preliminary SO66'!AS71,VLOOKUP($CZ72,'Audit Values'!$A$2:$BU$353,63,FALSE))</f>
        <v>7292</v>
      </c>
      <c r="AC72" s="99">
        <v>0</v>
      </c>
      <c r="AD72" s="99">
        <f>IF(ISNA(VLOOKUP($CZ72,'Audit Values'!$A$2:$BU$353,2,FALSE)),'Preliminary SO66'!AP71,VLOOKUP($CZ72,'Audit Values'!$A$2:$BU$353,64,FALSE))</f>
        <v>2380</v>
      </c>
      <c r="AE72" s="95">
        <f>IF(A72=207, AD72,MAX(AC72,AD72))*'Weighting Factors'!$Q$9</f>
        <v>1151.9000000000001</v>
      </c>
      <c r="AF72" s="95">
        <f t="shared" si="49"/>
        <v>0</v>
      </c>
      <c r="AG72" s="95">
        <f>IF(ISNA(VLOOKUP($CZ72,'Audit Values'!$A$2:$BW$353,2,FALSE)),'Preliminary SO66'!AG71,VLOOKUP($CZ72,'Audit Values'!$A$2:$BW$353,70,FALSE))</f>
        <v>56.7</v>
      </c>
      <c r="AH72" s="95">
        <f t="shared" si="50"/>
        <v>56.7</v>
      </c>
      <c r="AI72" s="95">
        <f>IF(ISNA(VLOOKUP($CZ72,'Audit Values'!$A$2:$BU$353,2,FALSE)),'Preliminary SO66'!AQ71,VLOOKUP($CZ72,'Audit Values'!$A$2:$BU$353,65,FALSE))</f>
        <v>0</v>
      </c>
      <c r="AJ72" s="95">
        <f>AI72*'Weighting Factors'!$Q$10</f>
        <v>0</v>
      </c>
      <c r="AK72" s="95">
        <f>IF(ISNA(VLOOKUP($CZ72,'Audit Values'!$A$2:$BU$353,2,FALSE)),'Preliminary SO66'!AR71,VLOOKUP($CZ72,'Audit Values'!$A$2:$BU$353,66,FALSE))</f>
        <v>1604</v>
      </c>
      <c r="AL72" s="95"/>
      <c r="AM72" s="99">
        <f t="shared" si="51"/>
        <v>882200</v>
      </c>
      <c r="AN72" s="99">
        <v>851677</v>
      </c>
      <c r="AO72" s="95">
        <f>MAX(AN72, AM72)/'Weighting Factors'!$Q$5</f>
        <v>211.8</v>
      </c>
      <c r="AP72" s="95">
        <f>CN72/'Weighting Factors'!$Q$5</f>
        <v>0</v>
      </c>
      <c r="AQ72" s="95">
        <v>0</v>
      </c>
      <c r="AR72" s="95">
        <f>CS72/'Weighting Factors'!$Q$5</f>
        <v>0</v>
      </c>
      <c r="AS72" s="99">
        <v>5855908</v>
      </c>
      <c r="AT72" s="95">
        <f>AS72/'Weighting Factors'!$Q$5</f>
        <v>1406</v>
      </c>
      <c r="AU72" s="95">
        <f>IF(ISNA(VLOOKUP($CZ72,'Audit Values'!$A$2:$BU$353,2,FALSE)),'Preliminary SO66'!X71,VLOOKUP($CZ72,'Audit Values'!$A$2:$BU$353,47,FALSE))</f>
        <v>1</v>
      </c>
      <c r="AV72" s="95">
        <f t="shared" si="52"/>
        <v>10142.299999999999</v>
      </c>
      <c r="AW72" s="95">
        <f t="shared" si="53"/>
        <v>8736.2999999999993</v>
      </c>
      <c r="AX72" s="95">
        <f>IF(ISNA(VLOOKUP($CZ72,'Audit Values'!$A$2:$BU$353,2,FALSE)),'Preliminary SO66'!AA71,VLOOKUP($CZ72,'Audit Values'!$A$2:$BU$353,41,FALSE))</f>
        <v>5</v>
      </c>
      <c r="AY72" s="95">
        <f>IF(ISNA(VLOOKUP($CZ72,'Audit Values'!$A$2:$BU$353,2,FALSE)),'Preliminary SO66'!AB71,VLOOKUP($CZ72,'Audit Values'!$A$2:$BU$353,42,FALSE))</f>
        <v>2.2000000000000002</v>
      </c>
      <c r="AZ72" s="114">
        <v>0</v>
      </c>
      <c r="BA72" s="99">
        <f>SUM(AX72*'Weighting Factors'!$T$10)+('2019 Legal Max'!AY72*'Weighting Factors'!$T$11)+('2019 Legal Max'!AZ72*'Weighting Factors'!$T$12)</f>
        <v>28740</v>
      </c>
      <c r="BB72" s="158">
        <v>0</v>
      </c>
      <c r="BC72" s="88">
        <f>IF(ISNA(VLOOKUP($CZ72,'Audit Values'!$A$2:$BU$353,2,FALSE)),"",IF(AND('Weighting Factors'!H72&gt;0,VLOOKUP($CZ72,'Audit Values'!$A$2:$BU$353,51,FALSE)&lt;'Weighting Factors'!H72),'Weighting Factors'!H72,VLOOKUP($CZ72,'Audit Values'!$A$2:$BU$353,50,FALSE)))</f>
        <v>26</v>
      </c>
      <c r="BD72" s="88" t="str">
        <f>IF(ISNA(VLOOKUP($CZ72,'Audit Values'!$A$2:$BV$353,2,FALSE)),"",VLOOKUP($CZ72,'Audit Values'!$A$2:$BV$353,51,FALSE))</f>
        <v>A</v>
      </c>
      <c r="BE72" s="88" t="str">
        <f>IF('Weighting Factors'!H72="","",IF('Weighting Factors'!J72="Pending","PX","R"))</f>
        <v/>
      </c>
      <c r="BF72" s="97">
        <f>SUM((S72+T72+Y72+AA72+AE72+AH72+AJ72++AO72+AP72+AQ72+AU72+AR72)*'Weighting Factors'!$Q$5)+'2019 Legal Max'!BA72+'2019 Legal Max'!BB72</f>
        <v>36415430</v>
      </c>
      <c r="BG72" s="99">
        <f>SUM((AV72+AR72)*'Weighting Factors'!$Q$5)+BA72+'2019 Legal Max'!BB72</f>
        <v>42271420</v>
      </c>
      <c r="BH72" s="108">
        <f>IF('Weighting Factors'!H72&gt;0,'Weighting Factors'!H72,'Preliminary SO66'!AV71)</f>
        <v>44501137</v>
      </c>
      <c r="BI72" s="99">
        <f t="shared" si="77"/>
        <v>42271420</v>
      </c>
      <c r="BJ72" s="112"/>
      <c r="BK72" s="112">
        <f>'Weighting Factors'!F72</f>
        <v>0</v>
      </c>
      <c r="BL72" s="112">
        <f>'Weighting Factors'!E72</f>
        <v>0</v>
      </c>
      <c r="BM72" s="99">
        <f t="shared" si="54"/>
        <v>0</v>
      </c>
      <c r="BN72" s="99">
        <f t="shared" si="55"/>
        <v>42271420</v>
      </c>
      <c r="BO72" s="99">
        <f>SUM((S72+T72+Y72+AA72+AE72+AH72+AJ72++AO72+AP72+AQ72+AR72)*'Weighting Factors'!Q$12)+(MAX(AS72,'Weighting Factors'!B72))</f>
        <v>45077405</v>
      </c>
      <c r="BP72" s="122">
        <v>0.3</v>
      </c>
      <c r="BQ72" s="99">
        <f t="shared" si="56"/>
        <v>13523222</v>
      </c>
      <c r="BR72" s="108">
        <v>14219822</v>
      </c>
      <c r="BS72" s="99">
        <f t="shared" si="57"/>
        <v>13523222</v>
      </c>
      <c r="BT72" s="167">
        <f t="shared" si="58"/>
        <v>0.3</v>
      </c>
      <c r="BU72" s="95">
        <f t="shared" si="59"/>
        <v>0</v>
      </c>
      <c r="BV72" s="87" t="b">
        <f t="shared" si="60"/>
        <v>0</v>
      </c>
      <c r="BW72" s="117">
        <f t="shared" si="61"/>
        <v>0</v>
      </c>
      <c r="BX72" s="116">
        <f t="shared" si="62"/>
        <v>0</v>
      </c>
      <c r="BY72" s="95">
        <f t="shared" si="63"/>
        <v>0</v>
      </c>
      <c r="BZ72" s="87" t="b">
        <f t="shared" si="64"/>
        <v>0</v>
      </c>
      <c r="CA72" s="87">
        <f t="shared" si="65"/>
        <v>0</v>
      </c>
      <c r="CB72" s="116">
        <f t="shared" si="66"/>
        <v>0</v>
      </c>
      <c r="CC72" s="95">
        <f t="shared" si="67"/>
        <v>0</v>
      </c>
      <c r="CD72" s="95">
        <f t="shared" si="68"/>
        <v>239.8</v>
      </c>
      <c r="CE72" s="98">
        <v>50</v>
      </c>
      <c r="CF72" s="250">
        <f t="shared" si="69"/>
        <v>32.08</v>
      </c>
      <c r="CG72" s="274">
        <f>IF(CF72&lt;0.06,1,IF(CF72&gt;=18.29,52,MATCH(CF72-0.001,'Weighting Factors'!$Y$5:$Y$156)+1))</f>
        <v>52</v>
      </c>
      <c r="CH72" s="243">
        <f>VLOOKUP(CG72, 'Weighting Factors'!$W$5:$Z$56,4)</f>
        <v>550</v>
      </c>
      <c r="CI72" s="118">
        <f>('Weighting Factors'!$Q$5/'Weighting Factors'!$Q$14)</f>
        <v>1</v>
      </c>
      <c r="CJ72" s="245">
        <f t="shared" si="70"/>
        <v>882200</v>
      </c>
      <c r="CK72" s="245">
        <f>CJ72*'Weighting Factors'!$S$7</f>
        <v>882200</v>
      </c>
      <c r="CL72" s="245">
        <f t="shared" si="71"/>
        <v>882200</v>
      </c>
      <c r="CM72" s="95">
        <f>AM72/'Weighting Factors'!$Q$5</f>
        <v>211.8</v>
      </c>
      <c r="CN72" s="148">
        <v>0</v>
      </c>
      <c r="CO72" s="148">
        <v>0</v>
      </c>
      <c r="CP72" s="149">
        <v>0</v>
      </c>
      <c r="CQ72" s="151">
        <v>0</v>
      </c>
      <c r="CR72" s="99">
        <f>SUM((AV72*'Weighting Factors'!$Q$5)+'2019 Legal Max'!BA72)*CQ72</f>
        <v>0</v>
      </c>
      <c r="CS72" s="99">
        <f t="shared" si="72"/>
        <v>0</v>
      </c>
      <c r="CT72" s="106">
        <f t="shared" si="73"/>
        <v>0.32640000000000002</v>
      </c>
      <c r="CU72" s="95">
        <f t="shared" si="74"/>
        <v>0</v>
      </c>
      <c r="CV72" s="95">
        <f t="shared" si="75"/>
        <v>0</v>
      </c>
      <c r="CW72" s="95">
        <f t="shared" si="76"/>
        <v>10142.299999999999</v>
      </c>
      <c r="CX72" s="99">
        <f>'LOB Transfers'!G71</f>
        <v>1540295</v>
      </c>
      <c r="CY72" s="99">
        <f>'LOB Transfers'!J71</f>
        <v>152812</v>
      </c>
      <c r="CZ72" s="87" t="s">
        <v>264</v>
      </c>
    </row>
    <row r="73" spans="1:104" ht="15" customHeight="1">
      <c r="A73" s="88">
        <v>261</v>
      </c>
      <c r="B73" s="87" t="s">
        <v>33</v>
      </c>
      <c r="C73" s="87" t="s">
        <v>586</v>
      </c>
      <c r="D73" s="95">
        <v>5164.8999999999996</v>
      </c>
      <c r="E73" s="95">
        <v>0</v>
      </c>
      <c r="F73" s="95">
        <f t="shared" si="43"/>
        <v>5164.8999999999996</v>
      </c>
      <c r="G73" s="95">
        <v>5424.1</v>
      </c>
      <c r="H73" s="95">
        <v>0</v>
      </c>
      <c r="I73" s="95">
        <f t="shared" si="44"/>
        <v>5424.1</v>
      </c>
      <c r="J73" s="95">
        <v>5559.1</v>
      </c>
      <c r="K73" s="95">
        <v>0</v>
      </c>
      <c r="L73" s="95">
        <f t="shared" si="45"/>
        <v>5559.1</v>
      </c>
      <c r="M73" s="95">
        <f>IF(ISNA(VLOOKUP($CZ73,'Audit Values'!$A$2:$BW$365,2,FALSE)),'Preliminary SO66'!C72,VLOOKUP($CZ73,'Audit Values'!$A$2:$BW$365,73,FALSE))</f>
        <v>5576.7</v>
      </c>
      <c r="N73" s="95">
        <f>IF(ISNA(VLOOKUP($CZ73,'Audit Values'!$A$2:$BW$365,2,FALSE)),'Preliminary SO66'!F72,VLOOKUP($CZ73,'Audit Values'!$A$2:$BW$365,4,FALSE))</f>
        <v>0</v>
      </c>
      <c r="O73" s="95">
        <f t="shared" si="46"/>
        <v>5576.7</v>
      </c>
      <c r="P73" s="95">
        <f>IF('Military Provision'!J74="YES", MAX('2019 Legal Max'!L73,'2019 Legal Max'!I73,AVERAGE('2019 Legal Max'!F73,'2019 Legal Max'!I73,'2019 Legal Max'!L73)), MAX(L73, I73))</f>
        <v>5559.1</v>
      </c>
      <c r="Q73" s="95">
        <f>IF(ISNA(VLOOKUP($CZ73,'Audit Values'!$A$2:$BU$353,2,FALSE)),'Preliminary SO66'!AL72,VLOOKUP($CZ73,'Audit Values'!$A$2:$BU$3955,58,FALSE))</f>
        <v>80</v>
      </c>
      <c r="R73" s="95">
        <v>0</v>
      </c>
      <c r="S73" s="95">
        <f t="shared" si="42"/>
        <v>5639.1</v>
      </c>
      <c r="T73" s="95">
        <f t="shared" si="47"/>
        <v>197.6</v>
      </c>
      <c r="U73" s="95">
        <f>IF(ISNA(VLOOKUP($CZ73,'Audit Values'!$A$2:$BW$317,2,FALSE)),'Preliminary SO66'!AM72,VLOOKUP($CZ73,'Audit Values'!$A$2:$BW$317,62,FALSE))</f>
        <v>371.3</v>
      </c>
      <c r="V73" s="95">
        <f>(U73/6)*'Weighting Factors'!$Q$7</f>
        <v>24.4</v>
      </c>
      <c r="W73" s="132">
        <f>IF(ISNA(VLOOKUP($CZ73,'Audit Values'!$A$2:$BW$353,2,FALSE)),'Preliminary SO66'!AN72,VLOOKUP($CZ73,'Audit Values'!$A$2:$BW$353,61,FALSE))</f>
        <v>202</v>
      </c>
      <c r="X73" s="95">
        <f>W73*'Weighting Factors'!$Q$8</f>
        <v>37.4</v>
      </c>
      <c r="Y73" s="95">
        <f t="shared" si="48"/>
        <v>37.4</v>
      </c>
      <c r="Z73" s="276">
        <f>IF(ISNA(VLOOKUP($CZ73,'Audit Values'!$A$2:$BW$317,2,FALSE)),'Preliminary SO66'!AO72,VLOOKUP($CZ73,'Audit Values'!$A$2:$BW$317,60,FALSE))</f>
        <v>1173.3</v>
      </c>
      <c r="AA73" s="95">
        <f>Z73/6*'Weighting Factors'!$Q$6</f>
        <v>97.8</v>
      </c>
      <c r="AB73" s="99">
        <f>IF(ISNA(VLOOKUP($CZ73,'Audit Values'!$A$2:$BU$353,2,FALSE)),'Preliminary SO66'!AS72,VLOOKUP($CZ73,'Audit Values'!$A$2:$BU$353,63,FALSE))</f>
        <v>5806</v>
      </c>
      <c r="AC73" s="99">
        <v>0</v>
      </c>
      <c r="AD73" s="99">
        <f>IF(ISNA(VLOOKUP($CZ73,'Audit Values'!$A$2:$BU$353,2,FALSE)),'Preliminary SO66'!AP72,VLOOKUP($CZ73,'Audit Values'!$A$2:$BU$353,64,FALSE))</f>
        <v>2483</v>
      </c>
      <c r="AE73" s="95">
        <f>IF(A73=207, AD73,MAX(AC73,AD73))*'Weighting Factors'!$Q$9</f>
        <v>1201.8</v>
      </c>
      <c r="AF73" s="95">
        <f t="shared" si="49"/>
        <v>135.1</v>
      </c>
      <c r="AG73" s="95">
        <f>IF(ISNA(VLOOKUP($CZ73,'Audit Values'!$A$2:$BW$353,2,FALSE)),'Preliminary SO66'!AG72,VLOOKUP($CZ73,'Audit Values'!$A$2:$BW$353,70,FALSE))</f>
        <v>143</v>
      </c>
      <c r="AH73" s="95">
        <f t="shared" si="50"/>
        <v>143</v>
      </c>
      <c r="AI73" s="95">
        <f>IF(ISNA(VLOOKUP($CZ73,'Audit Values'!$A$2:$BU$353,2,FALSE)),'Preliminary SO66'!AQ72,VLOOKUP($CZ73,'Audit Values'!$A$2:$BU$353,65,FALSE))</f>
        <v>267.5</v>
      </c>
      <c r="AJ73" s="95">
        <f>AI73*'Weighting Factors'!$Q$10</f>
        <v>66.900000000000006</v>
      </c>
      <c r="AK73" s="95">
        <f>IF(ISNA(VLOOKUP($CZ73,'Audit Values'!$A$2:$BU$353,2,FALSE)),'Preliminary SO66'!AR72,VLOOKUP($CZ73,'Audit Values'!$A$2:$BU$353,66,FALSE))</f>
        <v>1551</v>
      </c>
      <c r="AL73" s="95"/>
      <c r="AM73" s="99">
        <f t="shared" si="51"/>
        <v>853050</v>
      </c>
      <c r="AN73" s="99">
        <v>1067004</v>
      </c>
      <c r="AO73" s="95">
        <f>MAX(AN73, AM73)/'Weighting Factors'!$Q$5</f>
        <v>256.2</v>
      </c>
      <c r="AP73" s="95">
        <f>CN73/'Weighting Factors'!$Q$5</f>
        <v>0</v>
      </c>
      <c r="AQ73" s="95">
        <v>0</v>
      </c>
      <c r="AR73" s="95">
        <f>CS73/'Weighting Factors'!$Q$5</f>
        <v>0</v>
      </c>
      <c r="AS73" s="99">
        <v>5730033</v>
      </c>
      <c r="AT73" s="95">
        <f>AS73/'Weighting Factors'!$Q$5</f>
        <v>1375.8</v>
      </c>
      <c r="AU73" s="95">
        <f>IF(ISNA(VLOOKUP($CZ73,'Audit Values'!$A$2:$BU$353,2,FALSE)),'Preliminary SO66'!X72,VLOOKUP($CZ73,'Audit Values'!$A$2:$BU$353,47,FALSE))</f>
        <v>0</v>
      </c>
      <c r="AV73" s="95">
        <f t="shared" si="52"/>
        <v>9015.6</v>
      </c>
      <c r="AW73" s="95">
        <f t="shared" si="53"/>
        <v>7639.8</v>
      </c>
      <c r="AX73" s="95">
        <f>IF(ISNA(VLOOKUP($CZ73,'Audit Values'!$A$2:$BU$353,2,FALSE)),'Preliminary SO66'!AA72,VLOOKUP($CZ73,'Audit Values'!$A$2:$BU$353,41,FALSE))</f>
        <v>0</v>
      </c>
      <c r="AY73" s="95">
        <f>IF(ISNA(VLOOKUP($CZ73,'Audit Values'!$A$2:$BU$353,2,FALSE)),'Preliminary SO66'!AB72,VLOOKUP($CZ73,'Audit Values'!$A$2:$BU$353,42,FALSE))</f>
        <v>0</v>
      </c>
      <c r="AZ73" s="114">
        <v>0</v>
      </c>
      <c r="BA73" s="99">
        <f>SUM(AX73*'Weighting Factors'!$T$10)+('2019 Legal Max'!AY73*'Weighting Factors'!$T$11)+('2019 Legal Max'!AZ73*'Weighting Factors'!$T$12)</f>
        <v>0</v>
      </c>
      <c r="BB73" s="158">
        <v>0</v>
      </c>
      <c r="BC73" s="88">
        <f>IF(ISNA(VLOOKUP($CZ73,'Audit Values'!$A$2:$BU$353,2,FALSE)),"",IF(AND('Weighting Factors'!H73&gt;0,VLOOKUP($CZ73,'Audit Values'!$A$2:$BU$353,51,FALSE)&lt;'Weighting Factors'!H73),'Weighting Factors'!H73,VLOOKUP($CZ73,'Audit Values'!$A$2:$BU$353,50,FALSE)))</f>
        <v>19</v>
      </c>
      <c r="BD73" s="88" t="str">
        <f>IF(ISNA(VLOOKUP($CZ73,'Audit Values'!$A$2:$BV$353,2,FALSE)),"",VLOOKUP($CZ73,'Audit Values'!$A$2:$BV$353,51,FALSE))</f>
        <v>A</v>
      </c>
      <c r="BE73" s="88" t="str">
        <f>IF('Weighting Factors'!H73="","",IF('Weighting Factors'!J73="Pending","PX","R"))</f>
        <v/>
      </c>
      <c r="BF73" s="97">
        <f>SUM((S73+T73+Y73+AA73+AE73+AH73+AJ73++AO73+AP73+AQ73+AU73+AR73)*'Weighting Factors'!$Q$5)+'2019 Legal Max'!BA73+'2019 Legal Max'!BB73</f>
        <v>31819767</v>
      </c>
      <c r="BG73" s="99">
        <f>SUM((AV73+AR73)*'Weighting Factors'!$Q$5)+BA73+'2019 Legal Max'!BB73</f>
        <v>37549974</v>
      </c>
      <c r="BH73" s="108">
        <f>IF('Weighting Factors'!H73&gt;0,'Weighting Factors'!H73,'Preliminary SO66'!AV72)</f>
        <v>38778649</v>
      </c>
      <c r="BI73" s="99">
        <f t="shared" si="77"/>
        <v>37549974</v>
      </c>
      <c r="BJ73" s="112"/>
      <c r="BK73" s="112">
        <f>'Weighting Factors'!F73</f>
        <v>0</v>
      </c>
      <c r="BL73" s="112">
        <f>'Weighting Factors'!E73</f>
        <v>0</v>
      </c>
      <c r="BM73" s="99">
        <f t="shared" si="54"/>
        <v>0</v>
      </c>
      <c r="BN73" s="99">
        <f t="shared" si="55"/>
        <v>37549974</v>
      </c>
      <c r="BO73" s="99">
        <f>SUM((S73+T73+Y73+AA73+AE73+AH73+AJ73++AO73+AP73+AQ73+AR73)*'Weighting Factors'!Q$12)+(MAX(AS73,'Weighting Factors'!B73))</f>
        <v>40032735</v>
      </c>
      <c r="BP73" s="122">
        <v>0.3</v>
      </c>
      <c r="BQ73" s="99">
        <f t="shared" si="56"/>
        <v>12009821</v>
      </c>
      <c r="BR73" s="108">
        <v>12404953</v>
      </c>
      <c r="BS73" s="99">
        <f t="shared" si="57"/>
        <v>12009821</v>
      </c>
      <c r="BT73" s="167">
        <f t="shared" si="58"/>
        <v>0.3</v>
      </c>
      <c r="BU73" s="95">
        <f t="shared" si="59"/>
        <v>0</v>
      </c>
      <c r="BV73" s="87" t="b">
        <f t="shared" si="60"/>
        <v>0</v>
      </c>
      <c r="BW73" s="117">
        <f t="shared" si="61"/>
        <v>0</v>
      </c>
      <c r="BX73" s="116">
        <f t="shared" si="62"/>
        <v>0</v>
      </c>
      <c r="BY73" s="95">
        <f t="shared" si="63"/>
        <v>0</v>
      </c>
      <c r="BZ73" s="87" t="b">
        <f t="shared" si="64"/>
        <v>0</v>
      </c>
      <c r="CA73" s="87">
        <f t="shared" si="65"/>
        <v>0</v>
      </c>
      <c r="CB73" s="116">
        <f t="shared" si="66"/>
        <v>0</v>
      </c>
      <c r="CC73" s="95">
        <f t="shared" si="67"/>
        <v>0</v>
      </c>
      <c r="CD73" s="95">
        <f t="shared" si="68"/>
        <v>197.6</v>
      </c>
      <c r="CE73" s="98">
        <v>36</v>
      </c>
      <c r="CF73" s="250">
        <f t="shared" si="69"/>
        <v>43.082999999999998</v>
      </c>
      <c r="CG73" s="274">
        <f>IF(CF73&lt;0.06,1,IF(CF73&gt;=18.29,52,MATCH(CF73-0.001,'Weighting Factors'!$Y$5:$Y$156)+1))</f>
        <v>52</v>
      </c>
      <c r="CH73" s="243">
        <f>VLOOKUP(CG73, 'Weighting Factors'!$W$5:$Z$56,4)</f>
        <v>550</v>
      </c>
      <c r="CI73" s="118">
        <f>('Weighting Factors'!$Q$5/'Weighting Factors'!$Q$14)</f>
        <v>1</v>
      </c>
      <c r="CJ73" s="245">
        <f t="shared" si="70"/>
        <v>853050</v>
      </c>
      <c r="CK73" s="245">
        <f>CJ73*'Weighting Factors'!$S$7</f>
        <v>853050</v>
      </c>
      <c r="CL73" s="245">
        <f t="shared" si="71"/>
        <v>853050</v>
      </c>
      <c r="CM73" s="95">
        <f>AM73/'Weighting Factors'!$Q$5</f>
        <v>204.8</v>
      </c>
      <c r="CN73" s="148">
        <v>0</v>
      </c>
      <c r="CO73" s="148">
        <v>0</v>
      </c>
      <c r="CP73" s="149">
        <v>0</v>
      </c>
      <c r="CQ73" s="151">
        <v>0</v>
      </c>
      <c r="CR73" s="99">
        <f>SUM((AV73*'Weighting Factors'!$Q$5)+'2019 Legal Max'!BA73)*CQ73</f>
        <v>0</v>
      </c>
      <c r="CS73" s="99">
        <f t="shared" si="72"/>
        <v>0</v>
      </c>
      <c r="CT73" s="106">
        <f t="shared" si="73"/>
        <v>0.42770000000000002</v>
      </c>
      <c r="CU73" s="95">
        <f t="shared" si="74"/>
        <v>0</v>
      </c>
      <c r="CV73" s="95">
        <f t="shared" si="75"/>
        <v>135.1</v>
      </c>
      <c r="CW73" s="95">
        <f t="shared" si="76"/>
        <v>9015.6</v>
      </c>
      <c r="CX73" s="99">
        <f>'LOB Transfers'!G72</f>
        <v>1615321</v>
      </c>
      <c r="CY73" s="99">
        <f>'LOB Transfers'!J72</f>
        <v>50441</v>
      </c>
      <c r="CZ73" s="87" t="s">
        <v>265</v>
      </c>
    </row>
    <row r="74" spans="1:104" ht="15" customHeight="1">
      <c r="A74" s="88">
        <v>262</v>
      </c>
      <c r="B74" s="87" t="s">
        <v>33</v>
      </c>
      <c r="C74" s="87" t="s">
        <v>587</v>
      </c>
      <c r="D74" s="95">
        <v>2665.4</v>
      </c>
      <c r="E74" s="95">
        <v>0</v>
      </c>
      <c r="F74" s="95">
        <f t="shared" si="43"/>
        <v>2665.4</v>
      </c>
      <c r="G74" s="95">
        <v>2765.2</v>
      </c>
      <c r="H74" s="95">
        <v>0</v>
      </c>
      <c r="I74" s="95">
        <f t="shared" si="44"/>
        <v>2765.2</v>
      </c>
      <c r="J74" s="95">
        <v>2820.6</v>
      </c>
      <c r="K74" s="95">
        <v>0</v>
      </c>
      <c r="L74" s="95">
        <f t="shared" si="45"/>
        <v>2820.6</v>
      </c>
      <c r="M74" s="95">
        <f>IF(ISNA(VLOOKUP($CZ74,'Audit Values'!$A$2:$BW$365,2,FALSE)),'Preliminary SO66'!C73,VLOOKUP($CZ74,'Audit Values'!$A$2:$BW$365,73,FALSE))</f>
        <v>2899.8</v>
      </c>
      <c r="N74" s="95">
        <f>IF(ISNA(VLOOKUP($CZ74,'Audit Values'!$A$2:$BW$365,2,FALSE)),'Preliminary SO66'!F73,VLOOKUP($CZ74,'Audit Values'!$A$2:$BW$365,4,FALSE))</f>
        <v>0</v>
      </c>
      <c r="O74" s="95">
        <f t="shared" si="46"/>
        <v>2899.8</v>
      </c>
      <c r="P74" s="95">
        <f>IF('Military Provision'!J75="YES", MAX('2019 Legal Max'!L74,'2019 Legal Max'!I74,AVERAGE('2019 Legal Max'!F74,'2019 Legal Max'!I74,'2019 Legal Max'!L74)), MAX(L74, I74))</f>
        <v>2820.6</v>
      </c>
      <c r="Q74" s="95">
        <f>IF(ISNA(VLOOKUP($CZ74,'Audit Values'!$A$2:$BU$353,2,FALSE)),'Preliminary SO66'!AL73,VLOOKUP($CZ74,'Audit Values'!$A$2:$BU$3955,58,FALSE))</f>
        <v>21</v>
      </c>
      <c r="R74" s="95">
        <v>0</v>
      </c>
      <c r="S74" s="95">
        <f t="shared" si="42"/>
        <v>2841.6</v>
      </c>
      <c r="T74" s="95">
        <f t="shared" si="47"/>
        <v>99.6</v>
      </c>
      <c r="U74" s="95">
        <f>IF(ISNA(VLOOKUP($CZ74,'Audit Values'!$A$2:$BW$317,2,FALSE)),'Preliminary SO66'!AM73,VLOOKUP($CZ74,'Audit Values'!$A$2:$BW$317,62,FALSE))</f>
        <v>187.4</v>
      </c>
      <c r="V74" s="95">
        <f>(U74/6)*'Weighting Factors'!$Q$7</f>
        <v>12.3</v>
      </c>
      <c r="W74" s="132">
        <f>IF(ISNA(VLOOKUP($CZ74,'Audit Values'!$A$2:$BW$353,2,FALSE)),'Preliminary SO66'!AN73,VLOOKUP($CZ74,'Audit Values'!$A$2:$BW$353,61,FALSE))</f>
        <v>78</v>
      </c>
      <c r="X74" s="95">
        <f>W74*'Weighting Factors'!$Q$8</f>
        <v>14.4</v>
      </c>
      <c r="Y74" s="95">
        <f t="shared" si="48"/>
        <v>14.4</v>
      </c>
      <c r="Z74" s="276">
        <f>IF(ISNA(VLOOKUP($CZ74,'Audit Values'!$A$2:$BW$317,2,FALSE)),'Preliminary SO66'!AO73,VLOOKUP($CZ74,'Audit Values'!$A$2:$BW$317,60,FALSE))</f>
        <v>792.4</v>
      </c>
      <c r="AA74" s="95">
        <f>Z74/6*'Weighting Factors'!$Q$6</f>
        <v>66</v>
      </c>
      <c r="AB74" s="99">
        <f>IF(ISNA(VLOOKUP($CZ74,'Audit Values'!$A$2:$BU$353,2,FALSE)),'Preliminary SO66'!AS73,VLOOKUP($CZ74,'Audit Values'!$A$2:$BU$353,63,FALSE))</f>
        <v>2953</v>
      </c>
      <c r="AC74" s="99">
        <v>0</v>
      </c>
      <c r="AD74" s="99">
        <f>IF(ISNA(VLOOKUP($CZ74,'Audit Values'!$A$2:$BU$353,2,FALSE)),'Preliminary SO66'!AP73,VLOOKUP($CZ74,'Audit Values'!$A$2:$BU$353,64,FALSE))</f>
        <v>852</v>
      </c>
      <c r="AE74" s="95">
        <f>IF(A74=207, AD74,MAX(AC74,AD74))*'Weighting Factors'!$Q$9</f>
        <v>412.4</v>
      </c>
      <c r="AF74" s="95">
        <f t="shared" si="49"/>
        <v>0</v>
      </c>
      <c r="AG74" s="95">
        <f>IF(ISNA(VLOOKUP($CZ74,'Audit Values'!$A$2:$BW$353,2,FALSE)),'Preliminary SO66'!AG73,VLOOKUP($CZ74,'Audit Values'!$A$2:$BW$353,70,FALSE))</f>
        <v>0</v>
      </c>
      <c r="AH74" s="95">
        <f t="shared" si="50"/>
        <v>0</v>
      </c>
      <c r="AI74" s="95">
        <f>IF(ISNA(VLOOKUP($CZ74,'Audit Values'!$A$2:$BU$353,2,FALSE)),'Preliminary SO66'!AQ73,VLOOKUP($CZ74,'Audit Values'!$A$2:$BU$353,65,FALSE))</f>
        <v>0</v>
      </c>
      <c r="AJ74" s="95">
        <f>AI74*'Weighting Factors'!$Q$10</f>
        <v>0</v>
      </c>
      <c r="AK74" s="95">
        <f>IF(ISNA(VLOOKUP($CZ74,'Audit Values'!$A$2:$BU$353,2,FALSE)),'Preliminary SO66'!AR73,VLOOKUP($CZ74,'Audit Values'!$A$2:$BU$353,66,FALSE))</f>
        <v>1406</v>
      </c>
      <c r="AL74" s="95"/>
      <c r="AM74" s="99">
        <f t="shared" si="51"/>
        <v>801420</v>
      </c>
      <c r="AN74" s="99">
        <v>771941</v>
      </c>
      <c r="AO74" s="95">
        <f>MAX(AN74, AM74)/'Weighting Factors'!$Q$5</f>
        <v>192.4</v>
      </c>
      <c r="AP74" s="95">
        <f>CN74/'Weighting Factors'!$Q$5</f>
        <v>0</v>
      </c>
      <c r="AQ74" s="95">
        <v>0</v>
      </c>
      <c r="AR74" s="95">
        <f>CS74/'Weighting Factors'!$Q$5</f>
        <v>0</v>
      </c>
      <c r="AS74" s="99">
        <v>3022146</v>
      </c>
      <c r="AT74" s="95">
        <f>AS74/'Weighting Factors'!$Q$5</f>
        <v>725.6</v>
      </c>
      <c r="AU74" s="95">
        <f>IF(ISNA(VLOOKUP($CZ74,'Audit Values'!$A$2:$BU$353,2,FALSE)),'Preliminary SO66'!X73,VLOOKUP($CZ74,'Audit Values'!$A$2:$BU$353,47,FALSE))</f>
        <v>0</v>
      </c>
      <c r="AV74" s="95">
        <f t="shared" si="52"/>
        <v>4352</v>
      </c>
      <c r="AW74" s="95">
        <f t="shared" si="53"/>
        <v>3626.4</v>
      </c>
      <c r="AX74" s="95">
        <f>IF(ISNA(VLOOKUP($CZ74,'Audit Values'!$A$2:$BU$353,2,FALSE)),'Preliminary SO66'!AA73,VLOOKUP($CZ74,'Audit Values'!$A$2:$BU$353,41,FALSE))</f>
        <v>38</v>
      </c>
      <c r="AY74" s="95">
        <f>IF(ISNA(VLOOKUP($CZ74,'Audit Values'!$A$2:$BU$353,2,FALSE)),'Preliminary SO66'!AB73,VLOOKUP($CZ74,'Audit Values'!$A$2:$BU$353,42,FALSE))</f>
        <v>0</v>
      </c>
      <c r="AZ74" s="114">
        <v>25.5</v>
      </c>
      <c r="BA74" s="99">
        <f>SUM(AX74*'Weighting Factors'!$T$10)+('2019 Legal Max'!AY74*'Weighting Factors'!$T$11)+('2019 Legal Max'!AZ74*'Weighting Factors'!$T$12)</f>
        <v>208080</v>
      </c>
      <c r="BB74" s="158">
        <v>0</v>
      </c>
      <c r="BC74" s="88">
        <f>IF(ISNA(VLOOKUP($CZ74,'Audit Values'!$A$2:$BU$353,2,FALSE)),"",IF(AND('Weighting Factors'!H74&gt;0,VLOOKUP($CZ74,'Audit Values'!$A$2:$BU$353,51,FALSE)&lt;'Weighting Factors'!H74),'Weighting Factors'!H74,VLOOKUP($CZ74,'Audit Values'!$A$2:$BU$353,50,FALSE)))</f>
        <v>19</v>
      </c>
      <c r="BD74" s="88" t="str">
        <f>IF(ISNA(VLOOKUP($CZ74,'Audit Values'!$A$2:$BV$353,2,FALSE)),"",VLOOKUP($CZ74,'Audit Values'!$A$2:$BV$353,51,FALSE))</f>
        <v>A</v>
      </c>
      <c r="BE74" s="88" t="str">
        <f>IF('Weighting Factors'!H74="","",IF('Weighting Factors'!J74="Pending","PX","R"))</f>
        <v/>
      </c>
      <c r="BF74" s="97">
        <f>SUM((S74+T74+Y74+AA74+AE74+AH74+AJ74++AO74+AP74+AQ74+AU74+AR74)*'Weighting Factors'!$Q$5)+'2019 Legal Max'!BA74+'2019 Legal Max'!BB74</f>
        <v>15312036</v>
      </c>
      <c r="BG74" s="99">
        <f>SUM((AV74+AR74)*'Weighting Factors'!$Q$5)+BA74+'2019 Legal Max'!BB74</f>
        <v>18334160</v>
      </c>
      <c r="BH74" s="108">
        <f>IF('Weighting Factors'!H74&gt;0,'Weighting Factors'!H74,'Preliminary SO66'!AV73)</f>
        <v>18806159</v>
      </c>
      <c r="BI74" s="99">
        <f t="shared" si="77"/>
        <v>18334160</v>
      </c>
      <c r="BJ74" s="112"/>
      <c r="BK74" s="112">
        <f>'Weighting Factors'!F74</f>
        <v>0</v>
      </c>
      <c r="BL74" s="112">
        <f>'Weighting Factors'!E74</f>
        <v>0</v>
      </c>
      <c r="BM74" s="99">
        <f t="shared" si="54"/>
        <v>0</v>
      </c>
      <c r="BN74" s="99">
        <f t="shared" si="55"/>
        <v>18334160</v>
      </c>
      <c r="BO74" s="99">
        <f>SUM((S74+T74+Y74+AA74+AE74+AH74+AJ74++AO74+AP74+AQ74+AR74)*'Weighting Factors'!Q$12)+(MAX(AS74,'Weighting Factors'!B74))</f>
        <v>19304682</v>
      </c>
      <c r="BP74" s="122">
        <v>0.3</v>
      </c>
      <c r="BQ74" s="99">
        <f t="shared" si="56"/>
        <v>5791405</v>
      </c>
      <c r="BR74" s="108">
        <v>5919461</v>
      </c>
      <c r="BS74" s="99">
        <f t="shared" si="57"/>
        <v>5791405</v>
      </c>
      <c r="BT74" s="167">
        <f t="shared" si="58"/>
        <v>0.3</v>
      </c>
      <c r="BU74" s="95">
        <f t="shared" si="59"/>
        <v>0</v>
      </c>
      <c r="BV74" s="87" t="b">
        <f t="shared" si="60"/>
        <v>0</v>
      </c>
      <c r="BW74" s="117">
        <f t="shared" si="61"/>
        <v>0</v>
      </c>
      <c r="BX74" s="116">
        <f t="shared" si="62"/>
        <v>0</v>
      </c>
      <c r="BY74" s="95">
        <f t="shared" si="63"/>
        <v>0</v>
      </c>
      <c r="BZ74" s="87" t="b">
        <f t="shared" si="64"/>
        <v>0</v>
      </c>
      <c r="CA74" s="87">
        <f t="shared" si="65"/>
        <v>0</v>
      </c>
      <c r="CB74" s="116">
        <f t="shared" si="66"/>
        <v>0</v>
      </c>
      <c r="CC74" s="95">
        <f t="shared" si="67"/>
        <v>0</v>
      </c>
      <c r="CD74" s="95">
        <f t="shared" si="68"/>
        <v>99.6</v>
      </c>
      <c r="CE74" s="98">
        <v>83</v>
      </c>
      <c r="CF74" s="250">
        <f t="shared" si="69"/>
        <v>16.940000000000001</v>
      </c>
      <c r="CG74" s="274">
        <f>IF(CF74&lt;0.06,1,IF(CF74&gt;=18.29,52,MATCH(CF74-0.001,'Weighting Factors'!$Y$5:$Y$156)+1))</f>
        <v>51</v>
      </c>
      <c r="CH74" s="243">
        <f>VLOOKUP(CG74, 'Weighting Factors'!$W$5:$Z$56,4)</f>
        <v>570</v>
      </c>
      <c r="CI74" s="118">
        <f>('Weighting Factors'!$Q$5/'Weighting Factors'!$Q$14)</f>
        <v>1</v>
      </c>
      <c r="CJ74" s="245">
        <f t="shared" si="70"/>
        <v>801420</v>
      </c>
      <c r="CK74" s="245">
        <f>CJ74*'Weighting Factors'!$S$7</f>
        <v>801420</v>
      </c>
      <c r="CL74" s="245">
        <f t="shared" si="71"/>
        <v>801420</v>
      </c>
      <c r="CM74" s="95">
        <f>AM74/'Weighting Factors'!$Q$5</f>
        <v>192.4</v>
      </c>
      <c r="CN74" s="148">
        <v>0</v>
      </c>
      <c r="CO74" s="148">
        <v>0</v>
      </c>
      <c r="CP74" s="149">
        <v>0</v>
      </c>
      <c r="CQ74" s="151">
        <v>0</v>
      </c>
      <c r="CR74" s="99">
        <f>SUM((AV74*'Weighting Factors'!$Q$5)+'2019 Legal Max'!BA74)*CQ74</f>
        <v>0</v>
      </c>
      <c r="CS74" s="99">
        <f t="shared" si="72"/>
        <v>0</v>
      </c>
      <c r="CT74" s="106">
        <f t="shared" si="73"/>
        <v>0.28849999999999998</v>
      </c>
      <c r="CU74" s="95">
        <f t="shared" si="74"/>
        <v>0</v>
      </c>
      <c r="CV74" s="95">
        <f t="shared" si="75"/>
        <v>0</v>
      </c>
      <c r="CW74" s="95">
        <f t="shared" si="76"/>
        <v>4352</v>
      </c>
      <c r="CX74" s="99">
        <f>'LOB Transfers'!G73</f>
        <v>551342</v>
      </c>
      <c r="CY74" s="99">
        <f>'LOB Transfers'!J73</f>
        <v>19112</v>
      </c>
      <c r="CZ74" s="87" t="s">
        <v>266</v>
      </c>
    </row>
    <row r="75" spans="1:104" ht="15" customHeight="1">
      <c r="A75" s="88">
        <v>263</v>
      </c>
      <c r="B75" s="87" t="s">
        <v>33</v>
      </c>
      <c r="C75" s="87" t="s">
        <v>588</v>
      </c>
      <c r="D75" s="95">
        <v>1679.3</v>
      </c>
      <c r="E75" s="95">
        <v>0</v>
      </c>
      <c r="F75" s="95">
        <f t="shared" si="43"/>
        <v>1679.3</v>
      </c>
      <c r="G75" s="95">
        <v>1736.8</v>
      </c>
      <c r="H75" s="95">
        <v>0</v>
      </c>
      <c r="I75" s="95">
        <f t="shared" si="44"/>
        <v>1736.8</v>
      </c>
      <c r="J75" s="95">
        <v>1731.5</v>
      </c>
      <c r="K75" s="95">
        <v>0</v>
      </c>
      <c r="L75" s="95">
        <f t="shared" si="45"/>
        <v>1731.5</v>
      </c>
      <c r="M75" s="95">
        <f>IF(ISNA(VLOOKUP($CZ75,'Audit Values'!$A$2:$BW$365,2,FALSE)),'Preliminary SO66'!C74,VLOOKUP($CZ75,'Audit Values'!$A$2:$BW$365,73,FALSE))</f>
        <v>1785.5</v>
      </c>
      <c r="N75" s="95">
        <f>IF(ISNA(VLOOKUP($CZ75,'Audit Values'!$A$2:$BW$365,2,FALSE)),'Preliminary SO66'!F74,VLOOKUP($CZ75,'Audit Values'!$A$2:$BW$365,4,FALSE))</f>
        <v>0</v>
      </c>
      <c r="O75" s="95">
        <f t="shared" si="46"/>
        <v>1785.5</v>
      </c>
      <c r="P75" s="95">
        <f>IF('Military Provision'!J76="YES", MAX('2019 Legal Max'!L75,'2019 Legal Max'!I75,AVERAGE('2019 Legal Max'!F75,'2019 Legal Max'!I75,'2019 Legal Max'!L75)), MAX(L75, I75))</f>
        <v>1736.8</v>
      </c>
      <c r="Q75" s="95">
        <f>IF(ISNA(VLOOKUP($CZ75,'Audit Values'!$A$2:$BU$353,2,FALSE)),'Preliminary SO66'!AL74,VLOOKUP($CZ75,'Audit Values'!$A$2:$BU$3955,58,FALSE))</f>
        <v>16</v>
      </c>
      <c r="R75" s="95">
        <v>0</v>
      </c>
      <c r="S75" s="95">
        <f t="shared" si="42"/>
        <v>1752.8</v>
      </c>
      <c r="T75" s="95">
        <f t="shared" si="47"/>
        <v>61.4</v>
      </c>
      <c r="U75" s="95">
        <f>IF(ISNA(VLOOKUP($CZ75,'Audit Values'!$A$2:$BW$317,2,FALSE)),'Preliminary SO66'!AM74,VLOOKUP($CZ75,'Audit Values'!$A$2:$BW$317,62,FALSE))</f>
        <v>9.1</v>
      </c>
      <c r="V75" s="95">
        <f>(U75/6)*'Weighting Factors'!$Q$7</f>
        <v>0.6</v>
      </c>
      <c r="W75" s="132">
        <f>IF(ISNA(VLOOKUP($CZ75,'Audit Values'!$A$2:$BW$353,2,FALSE)),'Preliminary SO66'!AN74,VLOOKUP($CZ75,'Audit Values'!$A$2:$BW$353,61,FALSE))</f>
        <v>11</v>
      </c>
      <c r="X75" s="95">
        <f>W75*'Weighting Factors'!$Q$8</f>
        <v>2</v>
      </c>
      <c r="Y75" s="95">
        <f t="shared" si="48"/>
        <v>2</v>
      </c>
      <c r="Z75" s="276">
        <f>IF(ISNA(VLOOKUP($CZ75,'Audit Values'!$A$2:$BW$317,2,FALSE)),'Preliminary SO66'!AO74,VLOOKUP($CZ75,'Audit Values'!$A$2:$BW$317,60,FALSE))</f>
        <v>464.8</v>
      </c>
      <c r="AA75" s="95">
        <f>Z75/6*'Weighting Factors'!$Q$6</f>
        <v>38.700000000000003</v>
      </c>
      <c r="AB75" s="99">
        <f>IF(ISNA(VLOOKUP($CZ75,'Audit Values'!$A$2:$BU$353,2,FALSE)),'Preliminary SO66'!AS74,VLOOKUP($CZ75,'Audit Values'!$A$2:$BU$353,63,FALSE))</f>
        <v>1836</v>
      </c>
      <c r="AC75" s="99">
        <v>0</v>
      </c>
      <c r="AD75" s="99">
        <f>IF(ISNA(VLOOKUP($CZ75,'Audit Values'!$A$2:$BU$353,2,FALSE)),'Preliminary SO66'!AP74,VLOOKUP($CZ75,'Audit Values'!$A$2:$BU$353,64,FALSE))</f>
        <v>523</v>
      </c>
      <c r="AE75" s="95">
        <f>IF(A75=207, AD75,MAX(AC75,AD75))*'Weighting Factors'!$Q$9</f>
        <v>253.1</v>
      </c>
      <c r="AF75" s="95">
        <f t="shared" si="49"/>
        <v>0</v>
      </c>
      <c r="AG75" s="95">
        <f>IF(ISNA(VLOOKUP($CZ75,'Audit Values'!$A$2:$BW$353,2,FALSE)),'Preliminary SO66'!AG74,VLOOKUP($CZ75,'Audit Values'!$A$2:$BW$353,70,FALSE))</f>
        <v>0</v>
      </c>
      <c r="AH75" s="95">
        <f t="shared" si="50"/>
        <v>0</v>
      </c>
      <c r="AI75" s="95">
        <f>IF(ISNA(VLOOKUP($CZ75,'Audit Values'!$A$2:$BU$353,2,FALSE)),'Preliminary SO66'!AQ74,VLOOKUP($CZ75,'Audit Values'!$A$2:$BU$353,65,FALSE))</f>
        <v>0</v>
      </c>
      <c r="AJ75" s="95">
        <f>AI75*'Weighting Factors'!$Q$10</f>
        <v>0</v>
      </c>
      <c r="AK75" s="95">
        <f>IF(ISNA(VLOOKUP($CZ75,'Audit Values'!$A$2:$BU$353,2,FALSE)),'Preliminary SO66'!AR74,VLOOKUP($CZ75,'Audit Values'!$A$2:$BU$353,66,FALSE))</f>
        <v>420</v>
      </c>
      <c r="AL75" s="95"/>
      <c r="AM75" s="99">
        <f t="shared" si="51"/>
        <v>298200</v>
      </c>
      <c r="AN75" s="99">
        <v>311242</v>
      </c>
      <c r="AO75" s="95">
        <f>MAX(AN75, AM75)/'Weighting Factors'!$Q$5</f>
        <v>74.7</v>
      </c>
      <c r="AP75" s="95">
        <f>CN75/'Weighting Factors'!$Q$5</f>
        <v>0</v>
      </c>
      <c r="AQ75" s="95">
        <v>0</v>
      </c>
      <c r="AR75" s="95">
        <f>CS75/'Weighting Factors'!$Q$5</f>
        <v>0</v>
      </c>
      <c r="AS75" s="99">
        <v>1729567</v>
      </c>
      <c r="AT75" s="95">
        <f>AS75/'Weighting Factors'!$Q$5</f>
        <v>415.3</v>
      </c>
      <c r="AU75" s="95">
        <f>IF(ISNA(VLOOKUP($CZ75,'Audit Values'!$A$2:$BU$353,2,FALSE)),'Preliminary SO66'!X74,VLOOKUP($CZ75,'Audit Values'!$A$2:$BU$353,47,FALSE))</f>
        <v>0</v>
      </c>
      <c r="AV75" s="95">
        <f t="shared" si="52"/>
        <v>2598</v>
      </c>
      <c r="AW75" s="95">
        <f t="shared" si="53"/>
        <v>2182.6999999999998</v>
      </c>
      <c r="AX75" s="95">
        <f>IF(ISNA(VLOOKUP($CZ75,'Audit Values'!$A$2:$BU$353,2,FALSE)),'Preliminary SO66'!AA74,VLOOKUP($CZ75,'Audit Values'!$A$2:$BU$353,41,FALSE))</f>
        <v>0</v>
      </c>
      <c r="AY75" s="95">
        <f>IF(ISNA(VLOOKUP($CZ75,'Audit Values'!$A$2:$BU$353,2,FALSE)),'Preliminary SO66'!AB74,VLOOKUP($CZ75,'Audit Values'!$A$2:$BU$353,42,FALSE))</f>
        <v>0</v>
      </c>
      <c r="AZ75" s="114">
        <v>0</v>
      </c>
      <c r="BA75" s="99">
        <f>SUM(AX75*'Weighting Factors'!$T$10)+('2019 Legal Max'!AY75*'Weighting Factors'!$T$11)+('2019 Legal Max'!AZ75*'Weighting Factors'!$T$12)</f>
        <v>0</v>
      </c>
      <c r="BB75" s="158">
        <v>0</v>
      </c>
      <c r="BC75" s="88">
        <f>IF(ISNA(VLOOKUP($CZ75,'Audit Values'!$A$2:$BU$353,2,FALSE)),"",IF(AND('Weighting Factors'!H75&gt;0,VLOOKUP($CZ75,'Audit Values'!$A$2:$BU$353,51,FALSE)&lt;'Weighting Factors'!H75),'Weighting Factors'!H75,VLOOKUP($CZ75,'Audit Values'!$A$2:$BU$353,50,FALSE)))</f>
        <v>25</v>
      </c>
      <c r="BD75" s="88" t="str">
        <f>IF(ISNA(VLOOKUP($CZ75,'Audit Values'!$A$2:$BV$353,2,FALSE)),"",VLOOKUP($CZ75,'Audit Values'!$A$2:$BV$353,51,FALSE))</f>
        <v>A</v>
      </c>
      <c r="BE75" s="88" t="str">
        <f>IF('Weighting Factors'!H75="","",IF('Weighting Factors'!J75="Pending","PX","R"))</f>
        <v/>
      </c>
      <c r="BF75" s="97">
        <f>SUM((S75+T75+Y75+AA75+AE75+AH75+AJ75++AO75+AP75+AQ75+AU75+AR75)*'Weighting Factors'!$Q$5)+'2019 Legal Max'!BA75+'2019 Legal Max'!BB75</f>
        <v>9090946</v>
      </c>
      <c r="BG75" s="99">
        <f>SUM((AV75+AR75)*'Weighting Factors'!$Q$5)+BA75+'2019 Legal Max'!BB75</f>
        <v>10820670</v>
      </c>
      <c r="BH75" s="108">
        <f>IF('Weighting Factors'!H75&gt;0,'Weighting Factors'!H75,'Preliminary SO66'!AV74)</f>
        <v>11025588</v>
      </c>
      <c r="BI75" s="99">
        <f t="shared" si="77"/>
        <v>10820670</v>
      </c>
      <c r="BJ75" s="112"/>
      <c r="BK75" s="112">
        <f>'Weighting Factors'!F75</f>
        <v>0</v>
      </c>
      <c r="BL75" s="112">
        <f>'Weighting Factors'!E75</f>
        <v>0</v>
      </c>
      <c r="BM75" s="99">
        <f t="shared" si="54"/>
        <v>0</v>
      </c>
      <c r="BN75" s="99">
        <f t="shared" si="55"/>
        <v>10820670</v>
      </c>
      <c r="BO75" s="99">
        <f>SUM((S75+T75+Y75+AA75+AE75+AH75+AJ75++AO75+AP75+AQ75+AR75)*'Weighting Factors'!Q$12)+(MAX(AS75,'Weighting Factors'!B75))</f>
        <v>11529890</v>
      </c>
      <c r="BP75" s="122">
        <v>0.33</v>
      </c>
      <c r="BQ75" s="99">
        <f t="shared" si="56"/>
        <v>3804864</v>
      </c>
      <c r="BR75" s="108">
        <v>3872500</v>
      </c>
      <c r="BS75" s="99">
        <f t="shared" si="57"/>
        <v>3804864</v>
      </c>
      <c r="BT75" s="167">
        <f t="shared" si="58"/>
        <v>0.33</v>
      </c>
      <c r="BU75" s="95">
        <f t="shared" si="59"/>
        <v>0</v>
      </c>
      <c r="BV75" s="87" t="b">
        <f t="shared" si="60"/>
        <v>0</v>
      </c>
      <c r="BW75" s="117">
        <f t="shared" si="61"/>
        <v>0</v>
      </c>
      <c r="BX75" s="116">
        <f t="shared" si="62"/>
        <v>0</v>
      </c>
      <c r="BY75" s="95">
        <f t="shared" si="63"/>
        <v>0</v>
      </c>
      <c r="BZ75" s="87" t="b">
        <f t="shared" si="64"/>
        <v>0</v>
      </c>
      <c r="CA75" s="87">
        <f t="shared" si="65"/>
        <v>0</v>
      </c>
      <c r="CB75" s="116">
        <f t="shared" si="66"/>
        <v>0</v>
      </c>
      <c r="CC75" s="95">
        <f t="shared" si="67"/>
        <v>0</v>
      </c>
      <c r="CD75" s="95">
        <f t="shared" si="68"/>
        <v>61.4</v>
      </c>
      <c r="CE75" s="98">
        <v>82.4</v>
      </c>
      <c r="CF75" s="250">
        <f t="shared" si="69"/>
        <v>5.0970000000000004</v>
      </c>
      <c r="CG75" s="274">
        <f>IF(CF75&lt;0.06,1,IF(CF75&gt;=18.29,52,MATCH(CF75-0.001,'Weighting Factors'!$Y$5:$Y$156)+1))</f>
        <v>44</v>
      </c>
      <c r="CH75" s="243">
        <f>VLOOKUP(CG75, 'Weighting Factors'!$W$5:$Z$56,4)</f>
        <v>710</v>
      </c>
      <c r="CI75" s="118">
        <f>('Weighting Factors'!$Q$5/'Weighting Factors'!$Q$14)</f>
        <v>1</v>
      </c>
      <c r="CJ75" s="245">
        <f t="shared" si="70"/>
        <v>298200</v>
      </c>
      <c r="CK75" s="245">
        <f>CJ75*'Weighting Factors'!$S$7</f>
        <v>298200</v>
      </c>
      <c r="CL75" s="245">
        <f t="shared" si="71"/>
        <v>298200</v>
      </c>
      <c r="CM75" s="95">
        <f>AM75/'Weighting Factors'!$Q$5</f>
        <v>71.599999999999994</v>
      </c>
      <c r="CN75" s="148">
        <v>0</v>
      </c>
      <c r="CO75" s="148">
        <v>0</v>
      </c>
      <c r="CP75" s="149">
        <v>0</v>
      </c>
      <c r="CQ75" s="151">
        <v>0</v>
      </c>
      <c r="CR75" s="99">
        <f>SUM((AV75*'Weighting Factors'!$Q$5)+'2019 Legal Max'!BA75)*CQ75</f>
        <v>0</v>
      </c>
      <c r="CS75" s="99">
        <f t="shared" si="72"/>
        <v>0</v>
      </c>
      <c r="CT75" s="106">
        <f t="shared" si="73"/>
        <v>0.28489999999999999</v>
      </c>
      <c r="CU75" s="95">
        <f t="shared" si="74"/>
        <v>0</v>
      </c>
      <c r="CV75" s="95">
        <f t="shared" si="75"/>
        <v>0</v>
      </c>
      <c r="CW75" s="95">
        <f t="shared" si="76"/>
        <v>2598</v>
      </c>
      <c r="CX75" s="99">
        <f>'LOB Transfers'!G74</f>
        <v>372877</v>
      </c>
      <c r="CY75" s="99">
        <f>'LOB Transfers'!J74</f>
        <v>3044</v>
      </c>
      <c r="CZ75" s="87" t="s">
        <v>267</v>
      </c>
    </row>
    <row r="76" spans="1:104" ht="15" customHeight="1">
      <c r="A76" s="88">
        <v>264</v>
      </c>
      <c r="B76" s="87" t="s">
        <v>33</v>
      </c>
      <c r="C76" s="87" t="s">
        <v>589</v>
      </c>
      <c r="D76" s="95">
        <v>1079.5</v>
      </c>
      <c r="E76" s="95">
        <v>0</v>
      </c>
      <c r="F76" s="95">
        <f t="shared" si="43"/>
        <v>1079.5</v>
      </c>
      <c r="G76" s="95">
        <v>1113</v>
      </c>
      <c r="H76" s="95">
        <v>0</v>
      </c>
      <c r="I76" s="95">
        <f t="shared" si="44"/>
        <v>1113</v>
      </c>
      <c r="J76" s="95">
        <v>1122.5</v>
      </c>
      <c r="K76" s="95">
        <v>0</v>
      </c>
      <c r="L76" s="95">
        <f t="shared" si="45"/>
        <v>1122.5</v>
      </c>
      <c r="M76" s="95">
        <f>IF(ISNA(VLOOKUP($CZ76,'Audit Values'!$A$2:$BW$365,2,FALSE)),'Preliminary SO66'!C75,VLOOKUP($CZ76,'Audit Values'!$A$2:$BW$365,73,FALSE))</f>
        <v>1108.5</v>
      </c>
      <c r="N76" s="95">
        <f>IF(ISNA(VLOOKUP($CZ76,'Audit Values'!$A$2:$BW$365,2,FALSE)),'Preliminary SO66'!F75,VLOOKUP($CZ76,'Audit Values'!$A$2:$BW$365,4,FALSE))</f>
        <v>0</v>
      </c>
      <c r="O76" s="95">
        <f t="shared" si="46"/>
        <v>1108.5</v>
      </c>
      <c r="P76" s="95">
        <f>IF('Military Provision'!J77="YES", MAX('2019 Legal Max'!L76,'2019 Legal Max'!I76,AVERAGE('2019 Legal Max'!F76,'2019 Legal Max'!I76,'2019 Legal Max'!L76)), MAX(L76, I76))</f>
        <v>1122.5</v>
      </c>
      <c r="Q76" s="95">
        <f>IF(ISNA(VLOOKUP($CZ76,'Audit Values'!$A$2:$BU$353,2,FALSE)),'Preliminary SO66'!AL75,VLOOKUP($CZ76,'Audit Values'!$A$2:$BU$3955,58,FALSE))</f>
        <v>5</v>
      </c>
      <c r="R76" s="95">
        <v>0</v>
      </c>
      <c r="S76" s="95">
        <f t="shared" si="42"/>
        <v>1127.5</v>
      </c>
      <c r="T76" s="95">
        <f t="shared" si="47"/>
        <v>228.9</v>
      </c>
      <c r="U76" s="95">
        <f>IF(ISNA(VLOOKUP($CZ76,'Audit Values'!$A$2:$BW$317,2,FALSE)),'Preliminary SO66'!AM75,VLOOKUP($CZ76,'Audit Values'!$A$2:$BW$317,62,FALSE))</f>
        <v>2.1</v>
      </c>
      <c r="V76" s="95">
        <f>(U76/6)*'Weighting Factors'!$Q$7</f>
        <v>0.1</v>
      </c>
      <c r="W76" s="132">
        <f>IF(ISNA(VLOOKUP($CZ76,'Audit Values'!$A$2:$BW$353,2,FALSE)),'Preliminary SO66'!AN75,VLOOKUP($CZ76,'Audit Values'!$A$2:$BW$353,61,FALSE))</f>
        <v>5</v>
      </c>
      <c r="X76" s="95">
        <f>W76*'Weighting Factors'!$Q$8</f>
        <v>0.9</v>
      </c>
      <c r="Y76" s="95">
        <f t="shared" si="48"/>
        <v>0.9</v>
      </c>
      <c r="Z76" s="276">
        <f>IF(ISNA(VLOOKUP($CZ76,'Audit Values'!$A$2:$BW$317,2,FALSE)),'Preliminary SO66'!AO75,VLOOKUP($CZ76,'Audit Values'!$A$2:$BW$317,60,FALSE))</f>
        <v>144.30000000000001</v>
      </c>
      <c r="AA76" s="95">
        <f>Z76/6*'Weighting Factors'!$Q$6</f>
        <v>12</v>
      </c>
      <c r="AB76" s="99">
        <f>IF(ISNA(VLOOKUP($CZ76,'Audit Values'!$A$2:$BU$353,2,FALSE)),'Preliminary SO66'!AS75,VLOOKUP($CZ76,'Audit Values'!$A$2:$BU$353,63,FALSE))</f>
        <v>1124</v>
      </c>
      <c r="AC76" s="99">
        <v>0</v>
      </c>
      <c r="AD76" s="99">
        <f>IF(ISNA(VLOOKUP($CZ76,'Audit Values'!$A$2:$BU$353,2,FALSE)),'Preliminary SO66'!AP75,VLOOKUP($CZ76,'Audit Values'!$A$2:$BU$353,64,FALSE))</f>
        <v>212</v>
      </c>
      <c r="AE76" s="95">
        <f>IF(A76=207, AD76,MAX(AC76,AD76))*'Weighting Factors'!$Q$9</f>
        <v>102.6</v>
      </c>
      <c r="AF76" s="95">
        <f t="shared" si="49"/>
        <v>0</v>
      </c>
      <c r="AG76" s="95">
        <f>IF(ISNA(VLOOKUP($CZ76,'Audit Values'!$A$2:$BW$353,2,FALSE)),'Preliminary SO66'!AG75,VLOOKUP($CZ76,'Audit Values'!$A$2:$BW$353,70,FALSE))</f>
        <v>0</v>
      </c>
      <c r="AH76" s="95">
        <f t="shared" si="50"/>
        <v>0</v>
      </c>
      <c r="AI76" s="95">
        <f>IF(ISNA(VLOOKUP($CZ76,'Audit Values'!$A$2:$BU$353,2,FALSE)),'Preliminary SO66'!AQ75,VLOOKUP($CZ76,'Audit Values'!$A$2:$BU$353,65,FALSE))</f>
        <v>0</v>
      </c>
      <c r="AJ76" s="95">
        <f>AI76*'Weighting Factors'!$Q$10</f>
        <v>0</v>
      </c>
      <c r="AK76" s="95">
        <f>IF(ISNA(VLOOKUP($CZ76,'Audit Values'!$A$2:$BU$353,2,FALSE)),'Preliminary SO66'!AR75,VLOOKUP($CZ76,'Audit Values'!$A$2:$BU$353,66,FALSE))</f>
        <v>475</v>
      </c>
      <c r="AL76" s="95"/>
      <c r="AM76" s="99">
        <f t="shared" si="51"/>
        <v>365750</v>
      </c>
      <c r="AN76" s="99">
        <v>385200</v>
      </c>
      <c r="AO76" s="95">
        <f>MAX(AN76, AM76)/'Weighting Factors'!$Q$5</f>
        <v>92.5</v>
      </c>
      <c r="AP76" s="95">
        <f>CN76/'Weighting Factors'!$Q$5</f>
        <v>0</v>
      </c>
      <c r="AQ76" s="95">
        <v>0</v>
      </c>
      <c r="AR76" s="95">
        <f>CS76/'Weighting Factors'!$Q$5</f>
        <v>0</v>
      </c>
      <c r="AS76" s="99">
        <v>1195232</v>
      </c>
      <c r="AT76" s="95">
        <f>AS76/'Weighting Factors'!$Q$5</f>
        <v>287</v>
      </c>
      <c r="AU76" s="95">
        <f>IF(ISNA(VLOOKUP($CZ76,'Audit Values'!$A$2:$BU$353,2,FALSE)),'Preliminary SO66'!X75,VLOOKUP($CZ76,'Audit Values'!$A$2:$BU$353,47,FALSE))</f>
        <v>0</v>
      </c>
      <c r="AV76" s="95">
        <f t="shared" si="52"/>
        <v>1851.4</v>
      </c>
      <c r="AW76" s="95">
        <f t="shared" si="53"/>
        <v>1564.4</v>
      </c>
      <c r="AX76" s="95">
        <f>IF(ISNA(VLOOKUP($CZ76,'Audit Values'!$A$2:$BU$353,2,FALSE)),'Preliminary SO66'!AA75,VLOOKUP($CZ76,'Audit Values'!$A$2:$BU$353,41,FALSE))</f>
        <v>0</v>
      </c>
      <c r="AY76" s="95">
        <f>IF(ISNA(VLOOKUP($CZ76,'Audit Values'!$A$2:$BU$353,2,FALSE)),'Preliminary SO66'!AB75,VLOOKUP($CZ76,'Audit Values'!$A$2:$BU$353,42,FALSE))</f>
        <v>0</v>
      </c>
      <c r="AZ76" s="114">
        <v>0</v>
      </c>
      <c r="BA76" s="99">
        <f>SUM(AX76*'Weighting Factors'!$T$10)+('2019 Legal Max'!AY76*'Weighting Factors'!$T$11)+('2019 Legal Max'!AZ76*'Weighting Factors'!$T$12)</f>
        <v>0</v>
      </c>
      <c r="BB76" s="158">
        <v>0</v>
      </c>
      <c r="BC76" s="88">
        <f>IF(ISNA(VLOOKUP($CZ76,'Audit Values'!$A$2:$BU$353,2,FALSE)),"",IF(AND('Weighting Factors'!H76&gt;0,VLOOKUP($CZ76,'Audit Values'!$A$2:$BU$353,51,FALSE)&lt;'Weighting Factors'!H76),'Weighting Factors'!H76,VLOOKUP($CZ76,'Audit Values'!$A$2:$BU$353,50,FALSE)))</f>
        <v>19</v>
      </c>
      <c r="BD76" s="88" t="str">
        <f>IF(ISNA(VLOOKUP($CZ76,'Audit Values'!$A$2:$BV$353,2,FALSE)),"",VLOOKUP($CZ76,'Audit Values'!$A$2:$BV$353,51,FALSE))</f>
        <v>A</v>
      </c>
      <c r="BE76" s="88" t="str">
        <f>IF('Weighting Factors'!H76="","",IF('Weighting Factors'!J76="Pending","PX","R"))</f>
        <v/>
      </c>
      <c r="BF76" s="97">
        <f>SUM((S76+T76+Y76+AA76+AE76+AH76+AJ76++AO76+AP76+AQ76+AU76+AR76)*'Weighting Factors'!$Q$5)+'2019 Legal Max'!BA76+'2019 Legal Max'!BB76</f>
        <v>6515726</v>
      </c>
      <c r="BG76" s="99">
        <f>SUM((AV76+AR76)*'Weighting Factors'!$Q$5)+BA76+'2019 Legal Max'!BB76</f>
        <v>7711081</v>
      </c>
      <c r="BH76" s="108">
        <f>IF('Weighting Factors'!H76&gt;0,'Weighting Factors'!H76,'Preliminary SO66'!AV75)</f>
        <v>7853524</v>
      </c>
      <c r="BI76" s="99">
        <f t="shared" si="77"/>
        <v>7711081</v>
      </c>
      <c r="BJ76" s="112"/>
      <c r="BK76" s="112">
        <f>'Weighting Factors'!F76</f>
        <v>-43590</v>
      </c>
      <c r="BL76" s="112">
        <f>'Weighting Factors'!E76</f>
        <v>0</v>
      </c>
      <c r="BM76" s="99">
        <f t="shared" si="54"/>
        <v>-43590</v>
      </c>
      <c r="BN76" s="99">
        <f t="shared" si="55"/>
        <v>7667491</v>
      </c>
      <c r="BO76" s="99">
        <f>SUM((S76+T76+Y76+AA76+AE76+AH76+AJ76++AO76+AP76+AQ76+AR76)*'Weighting Factors'!Q$12)+(MAX(AS76,'Weighting Factors'!B76))</f>
        <v>8219388</v>
      </c>
      <c r="BP76" s="122">
        <v>0.3</v>
      </c>
      <c r="BQ76" s="99">
        <f t="shared" si="56"/>
        <v>2465816</v>
      </c>
      <c r="BR76" s="108">
        <v>2508397</v>
      </c>
      <c r="BS76" s="99">
        <f t="shared" si="57"/>
        <v>2465816</v>
      </c>
      <c r="BT76" s="167">
        <f t="shared" si="58"/>
        <v>0.3</v>
      </c>
      <c r="BU76" s="95">
        <f t="shared" si="59"/>
        <v>0</v>
      </c>
      <c r="BV76" s="87" t="b">
        <f t="shared" si="60"/>
        <v>0</v>
      </c>
      <c r="BW76" s="117">
        <f t="shared" si="61"/>
        <v>0</v>
      </c>
      <c r="BX76" s="116">
        <f t="shared" si="62"/>
        <v>0</v>
      </c>
      <c r="BY76" s="95">
        <f t="shared" si="63"/>
        <v>0</v>
      </c>
      <c r="BZ76" s="87" t="b">
        <f t="shared" si="64"/>
        <v>1</v>
      </c>
      <c r="CA76" s="87">
        <f t="shared" si="65"/>
        <v>1024.0313000000001</v>
      </c>
      <c r="CB76" s="116">
        <f t="shared" si="66"/>
        <v>0.203044</v>
      </c>
      <c r="CC76" s="95">
        <f t="shared" si="67"/>
        <v>228.9</v>
      </c>
      <c r="CD76" s="95">
        <f t="shared" si="68"/>
        <v>0</v>
      </c>
      <c r="CE76" s="98">
        <v>136</v>
      </c>
      <c r="CF76" s="250">
        <f t="shared" si="69"/>
        <v>3.4929999999999999</v>
      </c>
      <c r="CG76" s="274">
        <f>IF(CF76&lt;0.06,1,IF(CF76&gt;=18.29,52,MATCH(CF76-0.001,'Weighting Factors'!$Y$5:$Y$156)+1))</f>
        <v>41</v>
      </c>
      <c r="CH76" s="243">
        <f>VLOOKUP(CG76, 'Weighting Factors'!$W$5:$Z$56,4)</f>
        <v>770</v>
      </c>
      <c r="CI76" s="118">
        <f>('Weighting Factors'!$Q$5/'Weighting Factors'!$Q$14)</f>
        <v>1</v>
      </c>
      <c r="CJ76" s="245">
        <f t="shared" si="70"/>
        <v>365750</v>
      </c>
      <c r="CK76" s="245">
        <f>CJ76*'Weighting Factors'!$S$7</f>
        <v>365750</v>
      </c>
      <c r="CL76" s="245">
        <f t="shared" si="71"/>
        <v>365750</v>
      </c>
      <c r="CM76" s="95">
        <f>AM76/'Weighting Factors'!$Q$5</f>
        <v>87.8</v>
      </c>
      <c r="CN76" s="148">
        <v>0</v>
      </c>
      <c r="CO76" s="148">
        <v>0</v>
      </c>
      <c r="CP76" s="149">
        <v>0</v>
      </c>
      <c r="CQ76" s="151">
        <v>0</v>
      </c>
      <c r="CR76" s="99">
        <f>SUM((AV76*'Weighting Factors'!$Q$5)+'2019 Legal Max'!BA76)*CQ76</f>
        <v>0</v>
      </c>
      <c r="CS76" s="99">
        <f t="shared" si="72"/>
        <v>0</v>
      </c>
      <c r="CT76" s="106">
        <f t="shared" si="73"/>
        <v>0.18859999999999999</v>
      </c>
      <c r="CU76" s="95">
        <f t="shared" si="74"/>
        <v>0</v>
      </c>
      <c r="CV76" s="95">
        <f t="shared" si="75"/>
        <v>0</v>
      </c>
      <c r="CW76" s="95">
        <f t="shared" si="76"/>
        <v>1851.4</v>
      </c>
      <c r="CX76" s="99">
        <f>'LOB Transfers'!G75</f>
        <v>137099</v>
      </c>
      <c r="CY76" s="99">
        <f>'LOB Transfers'!J75</f>
        <v>1233</v>
      </c>
      <c r="CZ76" s="87" t="s">
        <v>268</v>
      </c>
    </row>
    <row r="77" spans="1:104" ht="15" customHeight="1">
      <c r="A77" s="88">
        <v>265</v>
      </c>
      <c r="B77" s="87" t="s">
        <v>33</v>
      </c>
      <c r="C77" s="87" t="s">
        <v>590</v>
      </c>
      <c r="D77" s="95">
        <v>5259</v>
      </c>
      <c r="E77" s="95">
        <v>0</v>
      </c>
      <c r="F77" s="95">
        <f t="shared" si="43"/>
        <v>5259</v>
      </c>
      <c r="G77" s="95">
        <v>5551.6</v>
      </c>
      <c r="H77" s="95">
        <v>0</v>
      </c>
      <c r="I77" s="95">
        <f t="shared" si="44"/>
        <v>5551.6</v>
      </c>
      <c r="J77" s="95">
        <v>5606.6</v>
      </c>
      <c r="K77" s="95">
        <v>0</v>
      </c>
      <c r="L77" s="95">
        <f t="shared" si="45"/>
        <v>5606.6</v>
      </c>
      <c r="M77" s="95">
        <f>IF(ISNA(VLOOKUP($CZ77,'Audit Values'!$A$2:$BW$365,2,FALSE)),'Preliminary SO66'!C76,VLOOKUP($CZ77,'Audit Values'!$A$2:$BW$365,73,FALSE))</f>
        <v>5745.8</v>
      </c>
      <c r="N77" s="95">
        <f>IF(ISNA(VLOOKUP($CZ77,'Audit Values'!$A$2:$BW$365,2,FALSE)),'Preliminary SO66'!F76,VLOOKUP($CZ77,'Audit Values'!$A$2:$BW$365,4,FALSE))</f>
        <v>0</v>
      </c>
      <c r="O77" s="95">
        <f t="shared" si="46"/>
        <v>5745.8</v>
      </c>
      <c r="P77" s="95">
        <f>IF('Military Provision'!J78="YES", MAX('2019 Legal Max'!L77,'2019 Legal Max'!I77,AVERAGE('2019 Legal Max'!F77,'2019 Legal Max'!I77,'2019 Legal Max'!L77)), MAX(L77, I77))</f>
        <v>5606.6</v>
      </c>
      <c r="Q77" s="95">
        <f>IF(ISNA(VLOOKUP($CZ77,'Audit Values'!$A$2:$BU$353,2,FALSE)),'Preliminary SO66'!AL76,VLOOKUP($CZ77,'Audit Values'!$A$2:$BU$3955,58,FALSE))</f>
        <v>34</v>
      </c>
      <c r="R77" s="95">
        <v>0</v>
      </c>
      <c r="S77" s="95">
        <f t="shared" si="42"/>
        <v>5640.6</v>
      </c>
      <c r="T77" s="95">
        <f t="shared" si="47"/>
        <v>197.6</v>
      </c>
      <c r="U77" s="95">
        <f>IF(ISNA(VLOOKUP($CZ77,'Audit Values'!$A$2:$BW$317,2,FALSE)),'Preliminary SO66'!AM76,VLOOKUP($CZ77,'Audit Values'!$A$2:$BW$317,62,FALSE))</f>
        <v>438.9</v>
      </c>
      <c r="V77" s="95">
        <f>(U77/6)*'Weighting Factors'!$Q$7</f>
        <v>28.9</v>
      </c>
      <c r="W77" s="132">
        <f>IF(ISNA(VLOOKUP($CZ77,'Audit Values'!$A$2:$BW$353,2,FALSE)),'Preliminary SO66'!AN76,VLOOKUP($CZ77,'Audit Values'!$A$2:$BW$353,61,FALSE))</f>
        <v>146</v>
      </c>
      <c r="X77" s="95">
        <f>W77*'Weighting Factors'!$Q$8</f>
        <v>27</v>
      </c>
      <c r="Y77" s="95">
        <f t="shared" si="48"/>
        <v>28.9</v>
      </c>
      <c r="Z77" s="276">
        <f>IF(ISNA(VLOOKUP($CZ77,'Audit Values'!$A$2:$BW$317,2,FALSE)),'Preliminary SO66'!AO76,VLOOKUP($CZ77,'Audit Values'!$A$2:$BW$317,60,FALSE))</f>
        <v>1498</v>
      </c>
      <c r="AA77" s="95">
        <f>Z77/6*'Weighting Factors'!$Q$6</f>
        <v>124.8</v>
      </c>
      <c r="AB77" s="99">
        <f>IF(ISNA(VLOOKUP($CZ77,'Audit Values'!$A$2:$BU$353,2,FALSE)),'Preliminary SO66'!AS76,VLOOKUP($CZ77,'Audit Values'!$A$2:$BU$353,63,FALSE))</f>
        <v>5984</v>
      </c>
      <c r="AC77" s="99">
        <v>0</v>
      </c>
      <c r="AD77" s="99">
        <f>IF(ISNA(VLOOKUP($CZ77,'Audit Values'!$A$2:$BU$353,2,FALSE)),'Preliminary SO66'!AP76,VLOOKUP($CZ77,'Audit Values'!$A$2:$BU$353,64,FALSE))</f>
        <v>945</v>
      </c>
      <c r="AE77" s="95">
        <f>IF(A77=207, AD77,MAX(AC77,AD77))*'Weighting Factors'!$Q$9</f>
        <v>457.4</v>
      </c>
      <c r="AF77" s="95">
        <f t="shared" si="49"/>
        <v>0</v>
      </c>
      <c r="AG77" s="95">
        <f>IF(ISNA(VLOOKUP($CZ77,'Audit Values'!$A$2:$BW$353,2,FALSE)),'Preliminary SO66'!AG76,VLOOKUP($CZ77,'Audit Values'!$A$2:$BW$353,70,FALSE))</f>
        <v>0</v>
      </c>
      <c r="AH77" s="95">
        <f t="shared" si="50"/>
        <v>0</v>
      </c>
      <c r="AI77" s="95">
        <f>IF(ISNA(VLOOKUP($CZ77,'Audit Values'!$A$2:$BU$353,2,FALSE)),'Preliminary SO66'!AQ76,VLOOKUP($CZ77,'Audit Values'!$A$2:$BU$353,65,FALSE))</f>
        <v>0</v>
      </c>
      <c r="AJ77" s="95">
        <f>AI77*'Weighting Factors'!$Q$10</f>
        <v>0</v>
      </c>
      <c r="AK77" s="95">
        <f>IF(ISNA(VLOOKUP($CZ77,'Audit Values'!$A$2:$BU$353,2,FALSE)),'Preliminary SO66'!AR76,VLOOKUP($CZ77,'Audit Values'!$A$2:$BU$353,66,FALSE))</f>
        <v>4103</v>
      </c>
      <c r="AL77" s="95"/>
      <c r="AM77" s="99">
        <f t="shared" si="51"/>
        <v>2256650</v>
      </c>
      <c r="AN77" s="99">
        <v>1987247</v>
      </c>
      <c r="AO77" s="95">
        <f>MAX(AN77, AM77)/'Weighting Factors'!$Q$5</f>
        <v>541.79999999999995</v>
      </c>
      <c r="AP77" s="95">
        <f>CN77/'Weighting Factors'!$Q$5</f>
        <v>0</v>
      </c>
      <c r="AQ77" s="95">
        <v>0</v>
      </c>
      <c r="AR77" s="95">
        <f>CS77/'Weighting Factors'!$Q$5</f>
        <v>0</v>
      </c>
      <c r="AS77" s="99">
        <v>5567455</v>
      </c>
      <c r="AT77" s="95">
        <f>AS77/'Weighting Factors'!$Q$5</f>
        <v>1336.7</v>
      </c>
      <c r="AU77" s="95">
        <f>IF(ISNA(VLOOKUP($CZ77,'Audit Values'!$A$2:$BU$353,2,FALSE)),'Preliminary SO66'!X76,VLOOKUP($CZ77,'Audit Values'!$A$2:$BU$353,47,FALSE))</f>
        <v>2</v>
      </c>
      <c r="AV77" s="95">
        <f t="shared" si="52"/>
        <v>8329.7999999999993</v>
      </c>
      <c r="AW77" s="95">
        <f t="shared" si="53"/>
        <v>6993.1</v>
      </c>
      <c r="AX77" s="95">
        <f>IF(ISNA(VLOOKUP($CZ77,'Audit Values'!$A$2:$BU$353,2,FALSE)),'Preliminary SO66'!AA76,VLOOKUP($CZ77,'Audit Values'!$A$2:$BU$353,41,FALSE))</f>
        <v>29</v>
      </c>
      <c r="AY77" s="95">
        <f>IF(ISNA(VLOOKUP($CZ77,'Audit Values'!$A$2:$BU$353,2,FALSE)),'Preliminary SO66'!AB76,VLOOKUP($CZ77,'Audit Values'!$A$2:$BU$353,42,FALSE))</f>
        <v>4.8</v>
      </c>
      <c r="AZ77" s="114">
        <v>1</v>
      </c>
      <c r="BA77" s="99">
        <f>SUM(AX77*'Weighting Factors'!$T$10)+('2019 Legal Max'!AY77*'Weighting Factors'!$T$11)+('2019 Legal Max'!AZ77*'Weighting Factors'!$T$12)</f>
        <v>153869</v>
      </c>
      <c r="BB77" s="158">
        <v>0</v>
      </c>
      <c r="BC77" s="88">
        <f>IF(ISNA(VLOOKUP($CZ77,'Audit Values'!$A$2:$BU$353,2,FALSE)),"",IF(AND('Weighting Factors'!H77&gt;0,VLOOKUP($CZ77,'Audit Values'!$A$2:$BU$353,51,FALSE)&lt;'Weighting Factors'!H77),'Weighting Factors'!H77,VLOOKUP($CZ77,'Audit Values'!$A$2:$BU$353,50,FALSE)))</f>
        <v>19</v>
      </c>
      <c r="BD77" s="88" t="str">
        <f>IF(ISNA(VLOOKUP($CZ77,'Audit Values'!$A$2:$BV$353,2,FALSE)),"",VLOOKUP($CZ77,'Audit Values'!$A$2:$BV$353,51,FALSE))</f>
        <v>A</v>
      </c>
      <c r="BE77" s="88" t="str">
        <f>IF('Weighting Factors'!H77="","",IF('Weighting Factors'!J77="Pending","PX","R"))</f>
        <v>R</v>
      </c>
      <c r="BF77" s="97">
        <f>SUM((S77+T77+Y77+AA77+AE77+AH77+AJ77++AO77+AP77+AQ77+AU77+AR77)*'Weighting Factors'!$Q$5)+'2019 Legal Max'!BA77+'2019 Legal Max'!BB77</f>
        <v>29280131</v>
      </c>
      <c r="BG77" s="99">
        <f>SUM((AV77+AR77)*'Weighting Factors'!$Q$5)+BA77+'2019 Legal Max'!BB77</f>
        <v>34847486</v>
      </c>
      <c r="BH77" s="108">
        <f>IF('Weighting Factors'!H77&gt;0,'Weighting Factors'!H77,'Preliminary SO66'!AV76)</f>
        <v>35770000</v>
      </c>
      <c r="BI77" s="99">
        <f t="shared" si="77"/>
        <v>34847486</v>
      </c>
      <c r="BJ77" s="112"/>
      <c r="BK77" s="112">
        <f>'Weighting Factors'!F77</f>
        <v>0</v>
      </c>
      <c r="BL77" s="112">
        <f>'Weighting Factors'!E77</f>
        <v>-4609</v>
      </c>
      <c r="BM77" s="99">
        <f t="shared" si="54"/>
        <v>-4609</v>
      </c>
      <c r="BN77" s="99">
        <f t="shared" si="55"/>
        <v>34842877</v>
      </c>
      <c r="BO77" s="99">
        <f>SUM((S77+T77+Y77+AA77+AE77+AH77+AJ77++AO77+AP77+AQ77+AR77)*'Weighting Factors'!Q$12)+(MAX(AS77,'Weighting Factors'!B77))</f>
        <v>36957494</v>
      </c>
      <c r="BP77" s="122">
        <v>0.3</v>
      </c>
      <c r="BQ77" s="99">
        <f t="shared" si="56"/>
        <v>11087248</v>
      </c>
      <c r="BR77" s="108">
        <v>11283454</v>
      </c>
      <c r="BS77" s="99">
        <f t="shared" si="57"/>
        <v>11087248</v>
      </c>
      <c r="BT77" s="167">
        <f t="shared" si="58"/>
        <v>0.3</v>
      </c>
      <c r="BU77" s="95">
        <f t="shared" si="59"/>
        <v>0</v>
      </c>
      <c r="BV77" s="87" t="b">
        <f t="shared" si="60"/>
        <v>0</v>
      </c>
      <c r="BW77" s="117">
        <f t="shared" si="61"/>
        <v>0</v>
      </c>
      <c r="BX77" s="116">
        <f t="shared" si="62"/>
        <v>0</v>
      </c>
      <c r="BY77" s="95">
        <f t="shared" si="63"/>
        <v>0</v>
      </c>
      <c r="BZ77" s="87" t="b">
        <f t="shared" si="64"/>
        <v>0</v>
      </c>
      <c r="CA77" s="87">
        <f t="shared" si="65"/>
        <v>0</v>
      </c>
      <c r="CB77" s="116">
        <f t="shared" si="66"/>
        <v>0</v>
      </c>
      <c r="CC77" s="95">
        <f t="shared" si="67"/>
        <v>0</v>
      </c>
      <c r="CD77" s="95">
        <f t="shared" si="68"/>
        <v>197.6</v>
      </c>
      <c r="CE77" s="98">
        <v>65.099999999999994</v>
      </c>
      <c r="CF77" s="250">
        <f t="shared" si="69"/>
        <v>63.026000000000003</v>
      </c>
      <c r="CG77" s="274">
        <f>IF(CF77&lt;0.06,1,IF(CF77&gt;=18.29,52,MATCH(CF77-0.001,'Weighting Factors'!$Y$5:$Y$156)+1))</f>
        <v>52</v>
      </c>
      <c r="CH77" s="243">
        <f>VLOOKUP(CG77, 'Weighting Factors'!$W$5:$Z$56,4)</f>
        <v>550</v>
      </c>
      <c r="CI77" s="118">
        <f>('Weighting Factors'!$Q$5/'Weighting Factors'!$Q$14)</f>
        <v>1</v>
      </c>
      <c r="CJ77" s="245">
        <f t="shared" si="70"/>
        <v>2256650</v>
      </c>
      <c r="CK77" s="245">
        <f>CJ77*'Weighting Factors'!$S$7</f>
        <v>2256650</v>
      </c>
      <c r="CL77" s="245">
        <f t="shared" si="71"/>
        <v>2256650</v>
      </c>
      <c r="CM77" s="95">
        <f>AM77/'Weighting Factors'!$Q$5</f>
        <v>541.79999999999995</v>
      </c>
      <c r="CN77" s="148">
        <v>0</v>
      </c>
      <c r="CO77" s="148">
        <v>0</v>
      </c>
      <c r="CP77" s="149">
        <v>0</v>
      </c>
      <c r="CQ77" s="151">
        <v>0</v>
      </c>
      <c r="CR77" s="99">
        <f>SUM((AV77*'Weighting Factors'!$Q$5)+'2019 Legal Max'!BA77)*CQ77</f>
        <v>0</v>
      </c>
      <c r="CS77" s="99">
        <f t="shared" si="72"/>
        <v>0</v>
      </c>
      <c r="CT77" s="106">
        <f t="shared" si="73"/>
        <v>0.15790000000000001</v>
      </c>
      <c r="CU77" s="95">
        <f t="shared" si="74"/>
        <v>0</v>
      </c>
      <c r="CV77" s="95">
        <f t="shared" si="75"/>
        <v>0</v>
      </c>
      <c r="CW77" s="95">
        <f t="shared" si="76"/>
        <v>8329.7999999999993</v>
      </c>
      <c r="CX77" s="99">
        <f>'LOB Transfers'!G76</f>
        <v>610907</v>
      </c>
      <c r="CY77" s="99">
        <f>'LOB Transfers'!J76</f>
        <v>38805</v>
      </c>
      <c r="CZ77" s="87" t="s">
        <v>269</v>
      </c>
    </row>
    <row r="78" spans="1:104" ht="15" customHeight="1">
      <c r="A78" s="88">
        <v>266</v>
      </c>
      <c r="B78" s="87" t="s">
        <v>33</v>
      </c>
      <c r="C78" s="87" t="s">
        <v>591</v>
      </c>
      <c r="D78" s="95">
        <v>6521.9</v>
      </c>
      <c r="E78" s="95">
        <v>0</v>
      </c>
      <c r="F78" s="95">
        <f t="shared" si="43"/>
        <v>6521.9</v>
      </c>
      <c r="G78" s="95">
        <v>6741.9</v>
      </c>
      <c r="H78" s="95">
        <v>0</v>
      </c>
      <c r="I78" s="95">
        <f t="shared" si="44"/>
        <v>6741.9</v>
      </c>
      <c r="J78" s="95">
        <v>6921</v>
      </c>
      <c r="K78" s="95">
        <v>0</v>
      </c>
      <c r="L78" s="95">
        <f t="shared" si="45"/>
        <v>6921</v>
      </c>
      <c r="M78" s="95">
        <f>IF(ISNA(VLOOKUP($CZ78,'Audit Values'!$A$2:$BW$365,2,FALSE)),'Preliminary SO66'!C77,VLOOKUP($CZ78,'Audit Values'!$A$2:$BW$365,73,FALSE))</f>
        <v>7118.1</v>
      </c>
      <c r="N78" s="95">
        <f>IF(ISNA(VLOOKUP($CZ78,'Audit Values'!$A$2:$BW$365,2,FALSE)),'Preliminary SO66'!F77,VLOOKUP($CZ78,'Audit Values'!$A$2:$BW$365,4,FALSE))</f>
        <v>0</v>
      </c>
      <c r="O78" s="95">
        <f t="shared" si="46"/>
        <v>7118.1</v>
      </c>
      <c r="P78" s="95">
        <f>IF('Military Provision'!J79="YES", MAX('2019 Legal Max'!L78,'2019 Legal Max'!I78,AVERAGE('2019 Legal Max'!F78,'2019 Legal Max'!I78,'2019 Legal Max'!L78)), MAX(L78, I78))</f>
        <v>6921</v>
      </c>
      <c r="Q78" s="95">
        <f>IF(ISNA(VLOOKUP($CZ78,'Audit Values'!$A$2:$BU$353,2,FALSE)),'Preliminary SO66'!AL77,VLOOKUP($CZ78,'Audit Values'!$A$2:$BU$3955,58,FALSE))</f>
        <v>20.5</v>
      </c>
      <c r="R78" s="95">
        <v>0</v>
      </c>
      <c r="S78" s="95">
        <f t="shared" si="42"/>
        <v>6941.5</v>
      </c>
      <c r="T78" s="95">
        <f t="shared" si="47"/>
        <v>243.2</v>
      </c>
      <c r="U78" s="95">
        <f>IF(ISNA(VLOOKUP($CZ78,'Audit Values'!$A$2:$BW$317,2,FALSE)),'Preliminary SO66'!AM77,VLOOKUP($CZ78,'Audit Values'!$A$2:$BW$317,62,FALSE))</f>
        <v>395.2</v>
      </c>
      <c r="V78" s="95">
        <f>(U78/6)*'Weighting Factors'!$Q$7</f>
        <v>26</v>
      </c>
      <c r="W78" s="132">
        <f>IF(ISNA(VLOOKUP($CZ78,'Audit Values'!$A$2:$BW$353,2,FALSE)),'Preliminary SO66'!AN77,VLOOKUP($CZ78,'Audit Values'!$A$2:$BW$353,61,FALSE))</f>
        <v>144</v>
      </c>
      <c r="X78" s="95">
        <f>W78*'Weighting Factors'!$Q$8</f>
        <v>26.6</v>
      </c>
      <c r="Y78" s="95">
        <f t="shared" si="48"/>
        <v>26.6</v>
      </c>
      <c r="Z78" s="276">
        <f>IF(ISNA(VLOOKUP($CZ78,'Audit Values'!$A$2:$BW$317,2,FALSE)),'Preliminary SO66'!AO77,VLOOKUP($CZ78,'Audit Values'!$A$2:$BW$317,60,FALSE))</f>
        <v>1787.2</v>
      </c>
      <c r="AA78" s="95">
        <f>Z78/6*'Weighting Factors'!$Q$6</f>
        <v>148.9</v>
      </c>
      <c r="AB78" s="99">
        <f>IF(ISNA(VLOOKUP($CZ78,'Audit Values'!$A$2:$BU$353,2,FALSE)),'Preliminary SO66'!AS77,VLOOKUP($CZ78,'Audit Values'!$A$2:$BU$353,63,FALSE))</f>
        <v>7213</v>
      </c>
      <c r="AC78" s="99">
        <v>0</v>
      </c>
      <c r="AD78" s="99">
        <f>IF(ISNA(VLOOKUP($CZ78,'Audit Values'!$A$2:$BU$353,2,FALSE)),'Preliminary SO66'!AP77,VLOOKUP($CZ78,'Audit Values'!$A$2:$BU$353,64,FALSE))</f>
        <v>1069</v>
      </c>
      <c r="AE78" s="95">
        <f>IF(A78=207, AD78,MAX(AC78,AD78))*'Weighting Factors'!$Q$9</f>
        <v>517.4</v>
      </c>
      <c r="AF78" s="95">
        <f t="shared" si="49"/>
        <v>0</v>
      </c>
      <c r="AG78" s="95">
        <f>IF(ISNA(VLOOKUP($CZ78,'Audit Values'!$A$2:$BW$353,2,FALSE)),'Preliminary SO66'!AG77,VLOOKUP($CZ78,'Audit Values'!$A$2:$BW$353,70,FALSE))</f>
        <v>0</v>
      </c>
      <c r="AH78" s="95">
        <f t="shared" si="50"/>
        <v>0</v>
      </c>
      <c r="AI78" s="95">
        <f>IF(ISNA(VLOOKUP($CZ78,'Audit Values'!$A$2:$BU$353,2,FALSE)),'Preliminary SO66'!AQ77,VLOOKUP($CZ78,'Audit Values'!$A$2:$BU$353,65,FALSE))</f>
        <v>239.4</v>
      </c>
      <c r="AJ78" s="95">
        <f>AI78*'Weighting Factors'!$Q$10</f>
        <v>59.9</v>
      </c>
      <c r="AK78" s="95">
        <f>IF(ISNA(VLOOKUP($CZ78,'Audit Values'!$A$2:$BU$353,2,FALSE)),'Preliminary SO66'!AR77,VLOOKUP($CZ78,'Audit Values'!$A$2:$BU$353,66,FALSE))</f>
        <v>4395</v>
      </c>
      <c r="AL78" s="95"/>
      <c r="AM78" s="99">
        <f t="shared" si="51"/>
        <v>2417250</v>
      </c>
      <c r="AN78" s="99">
        <v>2466050</v>
      </c>
      <c r="AO78" s="95">
        <f>MAX(AN78, AM78)/'Weighting Factors'!$Q$5</f>
        <v>592.1</v>
      </c>
      <c r="AP78" s="95">
        <f>CN78/'Weighting Factors'!$Q$5</f>
        <v>0</v>
      </c>
      <c r="AQ78" s="95">
        <v>0</v>
      </c>
      <c r="AR78" s="95">
        <f>CS78/'Weighting Factors'!$Q$5</f>
        <v>0</v>
      </c>
      <c r="AS78" s="99">
        <v>6970669</v>
      </c>
      <c r="AT78" s="95">
        <f>AS78/'Weighting Factors'!$Q$5</f>
        <v>1673.6</v>
      </c>
      <c r="AU78" s="95">
        <f>IF(ISNA(VLOOKUP($CZ78,'Audit Values'!$A$2:$BU$353,2,FALSE)),'Preliminary SO66'!X77,VLOOKUP($CZ78,'Audit Values'!$A$2:$BU$353,47,FALSE))</f>
        <v>1</v>
      </c>
      <c r="AV78" s="95">
        <f t="shared" si="52"/>
        <v>10204.200000000001</v>
      </c>
      <c r="AW78" s="95">
        <f t="shared" si="53"/>
        <v>8530.6</v>
      </c>
      <c r="AX78" s="95">
        <f>IF(ISNA(VLOOKUP($CZ78,'Audit Values'!$A$2:$BU$353,2,FALSE)),'Preliminary SO66'!AA77,VLOOKUP($CZ78,'Audit Values'!$A$2:$BU$353,41,FALSE))</f>
        <v>400</v>
      </c>
      <c r="AY78" s="95">
        <f>IF(ISNA(VLOOKUP($CZ78,'Audit Values'!$A$2:$BU$353,2,FALSE)),'Preliminary SO66'!AB77,VLOOKUP($CZ78,'Audit Values'!$A$2:$BU$353,42,FALSE))</f>
        <v>2.5</v>
      </c>
      <c r="AZ78" s="114">
        <v>0</v>
      </c>
      <c r="BA78" s="99">
        <f>SUM(AX78*'Weighting Factors'!$T$10)+('2019 Legal Max'!AY78*'Weighting Factors'!$T$11)+('2019 Legal Max'!AZ78*'Weighting Factors'!$T$12)</f>
        <v>2004250</v>
      </c>
      <c r="BB78" s="158">
        <v>0</v>
      </c>
      <c r="BC78" s="88">
        <f>IF(ISNA(VLOOKUP($CZ78,'Audit Values'!$A$2:$BU$353,2,FALSE)),"",IF(AND('Weighting Factors'!H78&gt;0,VLOOKUP($CZ78,'Audit Values'!$A$2:$BU$353,51,FALSE)&lt;'Weighting Factors'!H78),'Weighting Factors'!H78,VLOOKUP($CZ78,'Audit Values'!$A$2:$BU$353,50,FALSE)))</f>
        <v>19</v>
      </c>
      <c r="BD78" s="88" t="str">
        <f>IF(ISNA(VLOOKUP($CZ78,'Audit Values'!$A$2:$BV$353,2,FALSE)),"",VLOOKUP($CZ78,'Audit Values'!$A$2:$BV$353,51,FALSE))</f>
        <v>A</v>
      </c>
      <c r="BE78" s="88" t="str">
        <f>IF('Weighting Factors'!H78="","",IF('Weighting Factors'!J78="Pending","PX","R"))</f>
        <v/>
      </c>
      <c r="BF78" s="97">
        <f>SUM((S78+T78+Y78+AA78+AE78+AH78+AJ78++AO78+AP78+AQ78+AU78+AR78)*'Weighting Factors'!$Q$5)+'2019 Legal Max'!BA78+'2019 Legal Max'!BB78</f>
        <v>37534199</v>
      </c>
      <c r="BG78" s="99">
        <f>SUM((AV78+AR78)*'Weighting Factors'!$Q$5)+BA78+'2019 Legal Max'!BB78</f>
        <v>44504743</v>
      </c>
      <c r="BH78" s="108">
        <f>IF('Weighting Factors'!H78&gt;0,'Weighting Factors'!H78,'Preliminary SO66'!AV77)</f>
        <v>45312696</v>
      </c>
      <c r="BI78" s="99">
        <f t="shared" si="77"/>
        <v>44504743</v>
      </c>
      <c r="BJ78" s="112"/>
      <c r="BK78" s="112">
        <f>'Weighting Factors'!F78</f>
        <v>0</v>
      </c>
      <c r="BL78" s="112">
        <f>'Weighting Factors'!E78</f>
        <v>0</v>
      </c>
      <c r="BM78" s="99">
        <f t="shared" si="54"/>
        <v>0</v>
      </c>
      <c r="BN78" s="99">
        <f t="shared" si="55"/>
        <v>44504743</v>
      </c>
      <c r="BO78" s="99">
        <f>SUM((S78+T78+Y78+AA78+AE78+AH78+AJ78++AO78+AP78+AQ78+AR78)*'Weighting Factors'!Q$12)+(MAX(AS78,'Weighting Factors'!B78))</f>
        <v>45268573</v>
      </c>
      <c r="BP78" s="122">
        <v>0.3</v>
      </c>
      <c r="BQ78" s="99">
        <f t="shared" si="56"/>
        <v>13580572</v>
      </c>
      <c r="BR78" s="108">
        <v>13805349</v>
      </c>
      <c r="BS78" s="99">
        <f t="shared" si="57"/>
        <v>13580572</v>
      </c>
      <c r="BT78" s="167">
        <f t="shared" si="58"/>
        <v>0.3</v>
      </c>
      <c r="BU78" s="95">
        <f t="shared" si="59"/>
        <v>0</v>
      </c>
      <c r="BV78" s="87" t="b">
        <f t="shared" si="60"/>
        <v>0</v>
      </c>
      <c r="BW78" s="117">
        <f t="shared" si="61"/>
        <v>0</v>
      </c>
      <c r="BX78" s="116">
        <f t="shared" si="62"/>
        <v>0</v>
      </c>
      <c r="BY78" s="95">
        <f t="shared" si="63"/>
        <v>0</v>
      </c>
      <c r="BZ78" s="87" t="b">
        <f t="shared" si="64"/>
        <v>0</v>
      </c>
      <c r="CA78" s="87">
        <f t="shared" si="65"/>
        <v>0</v>
      </c>
      <c r="CB78" s="116">
        <f t="shared" si="66"/>
        <v>0</v>
      </c>
      <c r="CC78" s="95">
        <f t="shared" si="67"/>
        <v>0</v>
      </c>
      <c r="CD78" s="95">
        <f t="shared" si="68"/>
        <v>243.2</v>
      </c>
      <c r="CE78" s="98">
        <v>42.5</v>
      </c>
      <c r="CF78" s="250">
        <f t="shared" si="69"/>
        <v>103.41200000000001</v>
      </c>
      <c r="CG78" s="274">
        <f>IF(CF78&lt;0.06,1,IF(CF78&gt;=18.29,52,MATCH(CF78-0.001,'Weighting Factors'!$Y$5:$Y$156)+1))</f>
        <v>52</v>
      </c>
      <c r="CH78" s="243">
        <f>VLOOKUP(CG78, 'Weighting Factors'!$W$5:$Z$56,4)</f>
        <v>550</v>
      </c>
      <c r="CI78" s="118">
        <f>('Weighting Factors'!$Q$5/'Weighting Factors'!$Q$14)</f>
        <v>1</v>
      </c>
      <c r="CJ78" s="245">
        <f t="shared" si="70"/>
        <v>2417250</v>
      </c>
      <c r="CK78" s="245">
        <f>CJ78*'Weighting Factors'!$S$7</f>
        <v>2417250</v>
      </c>
      <c r="CL78" s="245">
        <f t="shared" si="71"/>
        <v>2417250</v>
      </c>
      <c r="CM78" s="95">
        <f>AM78/'Weighting Factors'!$Q$5</f>
        <v>580.4</v>
      </c>
      <c r="CN78" s="148">
        <v>0</v>
      </c>
      <c r="CO78" s="148">
        <v>0</v>
      </c>
      <c r="CP78" s="149">
        <v>0</v>
      </c>
      <c r="CQ78" s="151">
        <v>1.2200000000000001E-2</v>
      </c>
      <c r="CR78" s="99">
        <f>SUM((AV78*'Weighting Factors'!$Q$5)+'2019 Legal Max'!BA78)*CQ78</f>
        <v>542958</v>
      </c>
      <c r="CS78" s="99">
        <f t="shared" si="72"/>
        <v>0</v>
      </c>
      <c r="CT78" s="106">
        <f t="shared" si="73"/>
        <v>0.1482</v>
      </c>
      <c r="CU78" s="95">
        <f t="shared" si="74"/>
        <v>0</v>
      </c>
      <c r="CV78" s="95">
        <f t="shared" si="75"/>
        <v>0</v>
      </c>
      <c r="CW78" s="95">
        <f t="shared" si="76"/>
        <v>10204.200000000001</v>
      </c>
      <c r="CX78" s="99">
        <f>'LOB Transfers'!G77</f>
        <v>689893</v>
      </c>
      <c r="CY78" s="99">
        <f>'LOB Transfers'!J77</f>
        <v>35309</v>
      </c>
      <c r="CZ78" s="87" t="s">
        <v>270</v>
      </c>
    </row>
    <row r="79" spans="1:104" ht="15" customHeight="1">
      <c r="A79" s="88">
        <v>267</v>
      </c>
      <c r="B79" s="87" t="s">
        <v>33</v>
      </c>
      <c r="C79" s="87" t="s">
        <v>592</v>
      </c>
      <c r="D79" s="95">
        <v>1827</v>
      </c>
      <c r="E79" s="95">
        <v>0</v>
      </c>
      <c r="F79" s="95">
        <f t="shared" si="43"/>
        <v>1827</v>
      </c>
      <c r="G79" s="95">
        <v>1851</v>
      </c>
      <c r="H79" s="95">
        <v>0</v>
      </c>
      <c r="I79" s="95">
        <f t="shared" si="44"/>
        <v>1851</v>
      </c>
      <c r="J79" s="95">
        <v>1832.1</v>
      </c>
      <c r="K79" s="95">
        <v>0</v>
      </c>
      <c r="L79" s="95">
        <f t="shared" si="45"/>
        <v>1832.1</v>
      </c>
      <c r="M79" s="95">
        <f>IF(ISNA(VLOOKUP($CZ79,'Audit Values'!$A$2:$BW$365,2,FALSE)),'Preliminary SO66'!C78,VLOOKUP($CZ79,'Audit Values'!$A$2:$BW$365,73,FALSE))</f>
        <v>1786</v>
      </c>
      <c r="N79" s="95">
        <f>IF(ISNA(VLOOKUP($CZ79,'Audit Values'!$A$2:$BW$365,2,FALSE)),'Preliminary SO66'!F78,VLOOKUP($CZ79,'Audit Values'!$A$2:$BW$365,4,FALSE))</f>
        <v>0</v>
      </c>
      <c r="O79" s="95">
        <f t="shared" si="46"/>
        <v>1786</v>
      </c>
      <c r="P79" s="95">
        <f>IF('Military Provision'!J80="YES", MAX('2019 Legal Max'!L79,'2019 Legal Max'!I79,AVERAGE('2019 Legal Max'!F79,'2019 Legal Max'!I79,'2019 Legal Max'!L79)), MAX(L79, I79))</f>
        <v>1851</v>
      </c>
      <c r="Q79" s="95">
        <f>IF(ISNA(VLOOKUP($CZ79,'Audit Values'!$A$2:$BU$353,2,FALSE)),'Preliminary SO66'!AL78,VLOOKUP($CZ79,'Audit Values'!$A$2:$BU$3955,58,FALSE))</f>
        <v>0</v>
      </c>
      <c r="R79" s="95">
        <v>0</v>
      </c>
      <c r="S79" s="95">
        <f t="shared" si="42"/>
        <v>1851</v>
      </c>
      <c r="T79" s="95">
        <f t="shared" si="47"/>
        <v>64.900000000000006</v>
      </c>
      <c r="U79" s="95">
        <f>IF(ISNA(VLOOKUP($CZ79,'Audit Values'!$A$2:$BW$317,2,FALSE)),'Preliminary SO66'!AM78,VLOOKUP($CZ79,'Audit Values'!$A$2:$BW$317,62,FALSE))</f>
        <v>0.7</v>
      </c>
      <c r="V79" s="95">
        <f>(U79/6)*'Weighting Factors'!$Q$7</f>
        <v>0</v>
      </c>
      <c r="W79" s="132">
        <f>IF(ISNA(VLOOKUP($CZ79,'Audit Values'!$A$2:$BW$353,2,FALSE)),'Preliminary SO66'!AN78,VLOOKUP($CZ79,'Audit Values'!$A$2:$BW$353,61,FALSE))</f>
        <v>1</v>
      </c>
      <c r="X79" s="95">
        <f>W79*'Weighting Factors'!$Q$8</f>
        <v>0.2</v>
      </c>
      <c r="Y79" s="95">
        <f t="shared" si="48"/>
        <v>0.2</v>
      </c>
      <c r="Z79" s="276">
        <f>IF(ISNA(VLOOKUP($CZ79,'Audit Values'!$A$2:$BW$317,2,FALSE)),'Preliminary SO66'!AO78,VLOOKUP($CZ79,'Audit Values'!$A$2:$BW$317,60,FALSE))</f>
        <v>617.5</v>
      </c>
      <c r="AA79" s="95">
        <f>Z79/6*'Weighting Factors'!$Q$6</f>
        <v>51.5</v>
      </c>
      <c r="AB79" s="99">
        <f>IF(ISNA(VLOOKUP($CZ79,'Audit Values'!$A$2:$BU$353,2,FALSE)),'Preliminary SO66'!AS78,VLOOKUP($CZ79,'Audit Values'!$A$2:$BU$353,63,FALSE))</f>
        <v>1797</v>
      </c>
      <c r="AC79" s="99">
        <v>0</v>
      </c>
      <c r="AD79" s="99">
        <f>IF(ISNA(VLOOKUP($CZ79,'Audit Values'!$A$2:$BU$353,2,FALSE)),'Preliminary SO66'!AP78,VLOOKUP($CZ79,'Audit Values'!$A$2:$BU$353,64,FALSE))</f>
        <v>158</v>
      </c>
      <c r="AE79" s="95">
        <f>IF(A79=207, AD79,MAX(AC79,AD79))*'Weighting Factors'!$Q$9</f>
        <v>76.5</v>
      </c>
      <c r="AF79" s="95">
        <f t="shared" si="49"/>
        <v>0</v>
      </c>
      <c r="AG79" s="95">
        <f>IF(ISNA(VLOOKUP($CZ79,'Audit Values'!$A$2:$BW$353,2,FALSE)),'Preliminary SO66'!AG78,VLOOKUP($CZ79,'Audit Values'!$A$2:$BW$353,70,FALSE))</f>
        <v>0</v>
      </c>
      <c r="AH79" s="95">
        <f t="shared" si="50"/>
        <v>0</v>
      </c>
      <c r="AI79" s="95">
        <f>IF(ISNA(VLOOKUP($CZ79,'Audit Values'!$A$2:$BU$353,2,FALSE)),'Preliminary SO66'!AQ78,VLOOKUP($CZ79,'Audit Values'!$A$2:$BU$353,65,FALSE))</f>
        <v>0</v>
      </c>
      <c r="AJ79" s="95">
        <f>AI79*'Weighting Factors'!$Q$10</f>
        <v>0</v>
      </c>
      <c r="AK79" s="95">
        <f>IF(ISNA(VLOOKUP($CZ79,'Audit Values'!$A$2:$BU$353,2,FALSE)),'Preliminary SO66'!AR78,VLOOKUP($CZ79,'Audit Values'!$A$2:$BU$353,66,FALSE))</f>
        <v>731.5</v>
      </c>
      <c r="AL79" s="95"/>
      <c r="AM79" s="99">
        <f t="shared" si="51"/>
        <v>563255</v>
      </c>
      <c r="AN79" s="99">
        <v>609001</v>
      </c>
      <c r="AO79" s="95">
        <f>MAX(AN79, AM79)/'Weighting Factors'!$Q$5</f>
        <v>146.19999999999999</v>
      </c>
      <c r="AP79" s="95">
        <f>CN79/'Weighting Factors'!$Q$5</f>
        <v>0</v>
      </c>
      <c r="AQ79" s="95">
        <v>0</v>
      </c>
      <c r="AR79" s="95">
        <f>CS79/'Weighting Factors'!$Q$5</f>
        <v>0</v>
      </c>
      <c r="AS79" s="99">
        <v>1838308</v>
      </c>
      <c r="AT79" s="95">
        <f>AS79/'Weighting Factors'!$Q$5</f>
        <v>441.4</v>
      </c>
      <c r="AU79" s="95">
        <f>IF(ISNA(VLOOKUP($CZ79,'Audit Values'!$A$2:$BU$353,2,FALSE)),'Preliminary SO66'!X78,VLOOKUP($CZ79,'Audit Values'!$A$2:$BU$353,47,FALSE))</f>
        <v>0</v>
      </c>
      <c r="AV79" s="95">
        <f t="shared" si="52"/>
        <v>2631.7</v>
      </c>
      <c r="AW79" s="95">
        <f t="shared" si="53"/>
        <v>2190.3000000000002</v>
      </c>
      <c r="AX79" s="95">
        <f>IF(ISNA(VLOOKUP($CZ79,'Audit Values'!$A$2:$BU$353,2,FALSE)),'Preliminary SO66'!AA78,VLOOKUP($CZ79,'Audit Values'!$A$2:$BU$353,41,FALSE))</f>
        <v>0</v>
      </c>
      <c r="AY79" s="95">
        <f>IF(ISNA(VLOOKUP($CZ79,'Audit Values'!$A$2:$BU$353,2,FALSE)),'Preliminary SO66'!AB78,VLOOKUP($CZ79,'Audit Values'!$A$2:$BU$353,42,FALSE))</f>
        <v>0</v>
      </c>
      <c r="AZ79" s="114">
        <v>0</v>
      </c>
      <c r="BA79" s="99">
        <f>SUM(AX79*'Weighting Factors'!$T$10)+('2019 Legal Max'!AY79*'Weighting Factors'!$T$11)+('2019 Legal Max'!AZ79*'Weighting Factors'!$T$12)</f>
        <v>0</v>
      </c>
      <c r="BB79" s="158">
        <v>0</v>
      </c>
      <c r="BC79" s="88">
        <f>IF(ISNA(VLOOKUP($CZ79,'Audit Values'!$A$2:$BU$353,2,FALSE)),"",IF(AND('Weighting Factors'!H79&gt;0,VLOOKUP($CZ79,'Audit Values'!$A$2:$BU$353,51,FALSE)&lt;'Weighting Factors'!H79),'Weighting Factors'!H79,VLOOKUP($CZ79,'Audit Values'!$A$2:$BU$353,50,FALSE)))</f>
        <v>19</v>
      </c>
      <c r="BD79" s="88" t="str">
        <f>IF(ISNA(VLOOKUP($CZ79,'Audit Values'!$A$2:$BV$353,2,FALSE)),"",VLOOKUP($CZ79,'Audit Values'!$A$2:$BV$353,51,FALSE))</f>
        <v>A</v>
      </c>
      <c r="BE79" s="88" t="str">
        <f>IF('Weighting Factors'!H79="","",IF('Weighting Factors'!J79="Pending","PX","R"))</f>
        <v/>
      </c>
      <c r="BF79" s="97">
        <f>SUM((S79+T79+Y79+AA79+AE79+AH79+AJ79++AO79+AP79+AQ79+AU79+AR79)*'Weighting Factors'!$Q$5)+'2019 Legal Max'!BA79+'2019 Legal Max'!BB79</f>
        <v>9122600</v>
      </c>
      <c r="BG79" s="99">
        <f>SUM((AV79+AR79)*'Weighting Factors'!$Q$5)+BA79+'2019 Legal Max'!BB79</f>
        <v>10961031</v>
      </c>
      <c r="BH79" s="108">
        <f>IF('Weighting Factors'!H79&gt;0,'Weighting Factors'!H79,'Preliminary SO66'!AV78)</f>
        <v>11462913</v>
      </c>
      <c r="BI79" s="99">
        <f t="shared" si="77"/>
        <v>10961031</v>
      </c>
      <c r="BJ79" s="112"/>
      <c r="BK79" s="112">
        <f>'Weighting Factors'!F79</f>
        <v>0</v>
      </c>
      <c r="BL79" s="112">
        <f>'Weighting Factors'!E79</f>
        <v>0</v>
      </c>
      <c r="BM79" s="99">
        <f t="shared" si="54"/>
        <v>0</v>
      </c>
      <c r="BN79" s="99">
        <f t="shared" si="55"/>
        <v>10961031</v>
      </c>
      <c r="BO79" s="99">
        <f>SUM((S79+T79+Y79+AA79+AE79+AH79+AJ79++AO79+AP79+AQ79+AR79)*'Weighting Factors'!Q$12)+(MAX(AS79,'Weighting Factors'!B79))</f>
        <v>11672755</v>
      </c>
      <c r="BP79" s="122">
        <v>0.33</v>
      </c>
      <c r="BQ79" s="99">
        <f t="shared" si="56"/>
        <v>3852009</v>
      </c>
      <c r="BR79" s="108">
        <v>4023113</v>
      </c>
      <c r="BS79" s="99">
        <f t="shared" si="57"/>
        <v>3852009</v>
      </c>
      <c r="BT79" s="167">
        <f t="shared" si="58"/>
        <v>0.33</v>
      </c>
      <c r="BU79" s="95">
        <f t="shared" si="59"/>
        <v>0</v>
      </c>
      <c r="BV79" s="87" t="b">
        <f t="shared" si="60"/>
        <v>0</v>
      </c>
      <c r="BW79" s="117">
        <f t="shared" si="61"/>
        <v>0</v>
      </c>
      <c r="BX79" s="116">
        <f t="shared" si="62"/>
        <v>0</v>
      </c>
      <c r="BY79" s="95">
        <f t="shared" si="63"/>
        <v>0</v>
      </c>
      <c r="BZ79" s="87" t="b">
        <f t="shared" si="64"/>
        <v>0</v>
      </c>
      <c r="CA79" s="87">
        <f t="shared" si="65"/>
        <v>0</v>
      </c>
      <c r="CB79" s="116">
        <f t="shared" si="66"/>
        <v>0</v>
      </c>
      <c r="CC79" s="95">
        <f t="shared" si="67"/>
        <v>0</v>
      </c>
      <c r="CD79" s="95">
        <f t="shared" si="68"/>
        <v>64.900000000000006</v>
      </c>
      <c r="CE79" s="98">
        <v>210</v>
      </c>
      <c r="CF79" s="250">
        <f t="shared" si="69"/>
        <v>3.4830000000000001</v>
      </c>
      <c r="CG79" s="274">
        <f>IF(CF79&lt;0.06,1,IF(CF79&gt;=18.29,52,MATCH(CF79-0.001,'Weighting Factors'!$Y$5:$Y$156)+1))</f>
        <v>41</v>
      </c>
      <c r="CH79" s="243">
        <f>VLOOKUP(CG79, 'Weighting Factors'!$W$5:$Z$56,4)</f>
        <v>770</v>
      </c>
      <c r="CI79" s="118">
        <f>('Weighting Factors'!$Q$5/'Weighting Factors'!$Q$14)</f>
        <v>1</v>
      </c>
      <c r="CJ79" s="245">
        <f t="shared" si="70"/>
        <v>563255</v>
      </c>
      <c r="CK79" s="245">
        <f>CJ79*'Weighting Factors'!$S$7</f>
        <v>563255</v>
      </c>
      <c r="CL79" s="245">
        <f t="shared" si="71"/>
        <v>563255</v>
      </c>
      <c r="CM79" s="95">
        <f>AM79/'Weighting Factors'!$Q$5</f>
        <v>135.19999999999999</v>
      </c>
      <c r="CN79" s="148">
        <v>0</v>
      </c>
      <c r="CO79" s="148">
        <v>0</v>
      </c>
      <c r="CP79" s="149">
        <v>0</v>
      </c>
      <c r="CQ79" s="151">
        <v>0</v>
      </c>
      <c r="CR79" s="99">
        <f>SUM((AV79*'Weighting Factors'!$Q$5)+'2019 Legal Max'!BA79)*CQ79</f>
        <v>0</v>
      </c>
      <c r="CS79" s="99">
        <f t="shared" si="72"/>
        <v>0</v>
      </c>
      <c r="CT79" s="106">
        <f t="shared" si="73"/>
        <v>8.7900000000000006E-2</v>
      </c>
      <c r="CU79" s="95">
        <f t="shared" si="74"/>
        <v>0</v>
      </c>
      <c r="CV79" s="95">
        <f t="shared" si="75"/>
        <v>0</v>
      </c>
      <c r="CW79" s="95">
        <f t="shared" si="76"/>
        <v>2631.7</v>
      </c>
      <c r="CX79" s="99">
        <f>'LOB Transfers'!G78</f>
        <v>112093</v>
      </c>
      <c r="CY79" s="99">
        <f>'LOB Transfers'!J78</f>
        <v>385</v>
      </c>
      <c r="CZ79" s="87" t="s">
        <v>271</v>
      </c>
    </row>
    <row r="80" spans="1:104" ht="15" customHeight="1">
      <c r="A80" s="88">
        <v>268</v>
      </c>
      <c r="B80" s="87" t="s">
        <v>33</v>
      </c>
      <c r="C80" s="87" t="s">
        <v>593</v>
      </c>
      <c r="D80" s="95">
        <v>727.7</v>
      </c>
      <c r="E80" s="95">
        <v>0</v>
      </c>
      <c r="F80" s="95">
        <f t="shared" si="43"/>
        <v>727.7</v>
      </c>
      <c r="G80" s="95">
        <v>770.9</v>
      </c>
      <c r="H80" s="95">
        <v>0</v>
      </c>
      <c r="I80" s="95">
        <f t="shared" si="44"/>
        <v>770.9</v>
      </c>
      <c r="J80" s="95">
        <v>775.2</v>
      </c>
      <c r="K80" s="95">
        <v>0</v>
      </c>
      <c r="L80" s="95">
        <f t="shared" si="45"/>
        <v>775.2</v>
      </c>
      <c r="M80" s="95">
        <f>IF(ISNA(VLOOKUP($CZ80,'Audit Values'!$A$2:$BW$365,2,FALSE)),'Preliminary SO66'!C79,VLOOKUP($CZ80,'Audit Values'!$A$2:$BW$365,73,FALSE))</f>
        <v>749.7</v>
      </c>
      <c r="N80" s="95">
        <f>IF(ISNA(VLOOKUP($CZ80,'Audit Values'!$A$2:$BW$365,2,FALSE)),'Preliminary SO66'!F79,VLOOKUP($CZ80,'Audit Values'!$A$2:$BW$365,4,FALSE))</f>
        <v>0</v>
      </c>
      <c r="O80" s="95">
        <f t="shared" si="46"/>
        <v>749.7</v>
      </c>
      <c r="P80" s="95">
        <f>IF('Military Provision'!J81="YES", MAX('2019 Legal Max'!L80,'2019 Legal Max'!I80,AVERAGE('2019 Legal Max'!F80,'2019 Legal Max'!I80,'2019 Legal Max'!L80)), MAX(L80, I80))</f>
        <v>775.2</v>
      </c>
      <c r="Q80" s="95">
        <f>IF(ISNA(VLOOKUP($CZ80,'Audit Values'!$A$2:$BU$353,2,FALSE)),'Preliminary SO66'!AL79,VLOOKUP($CZ80,'Audit Values'!$A$2:$BU$3955,58,FALSE))</f>
        <v>16</v>
      </c>
      <c r="R80" s="95">
        <v>0</v>
      </c>
      <c r="S80" s="95">
        <f t="shared" si="42"/>
        <v>791.2</v>
      </c>
      <c r="T80" s="95">
        <f t="shared" si="47"/>
        <v>251</v>
      </c>
      <c r="U80" s="95">
        <f>IF(ISNA(VLOOKUP($CZ80,'Audit Values'!$A$2:$BW$317,2,FALSE)),'Preliminary SO66'!AM79,VLOOKUP($CZ80,'Audit Values'!$A$2:$BW$317,62,FALSE))</f>
        <v>0</v>
      </c>
      <c r="V80" s="95">
        <f>(U80/6)*'Weighting Factors'!$Q$7</f>
        <v>0</v>
      </c>
      <c r="W80" s="132">
        <f>IF(ISNA(VLOOKUP($CZ80,'Audit Values'!$A$2:$BW$353,2,FALSE)),'Preliminary SO66'!AN79,VLOOKUP($CZ80,'Audit Values'!$A$2:$BW$353,61,FALSE))</f>
        <v>0</v>
      </c>
      <c r="X80" s="95">
        <f>W80*'Weighting Factors'!$Q$8</f>
        <v>0</v>
      </c>
      <c r="Y80" s="95">
        <f t="shared" si="48"/>
        <v>0</v>
      </c>
      <c r="Z80" s="276">
        <f>IF(ISNA(VLOOKUP($CZ80,'Audit Values'!$A$2:$BW$317,2,FALSE)),'Preliminary SO66'!AO79,VLOOKUP($CZ80,'Audit Values'!$A$2:$BW$317,60,FALSE))</f>
        <v>294.5</v>
      </c>
      <c r="AA80" s="95">
        <f>Z80/6*'Weighting Factors'!$Q$6</f>
        <v>24.5</v>
      </c>
      <c r="AB80" s="99">
        <f>IF(ISNA(VLOOKUP($CZ80,'Audit Values'!$A$2:$BU$353,2,FALSE)),'Preliminary SO66'!AS79,VLOOKUP($CZ80,'Audit Values'!$A$2:$BU$353,63,FALSE))</f>
        <v>784</v>
      </c>
      <c r="AC80" s="99">
        <v>0</v>
      </c>
      <c r="AD80" s="99">
        <f>IF(ISNA(VLOOKUP($CZ80,'Audit Values'!$A$2:$BU$353,2,FALSE)),'Preliminary SO66'!AP79,VLOOKUP($CZ80,'Audit Values'!$A$2:$BU$353,64,FALSE))</f>
        <v>125</v>
      </c>
      <c r="AE80" s="95">
        <f>IF(A80=207, AD80,MAX(AC80,AD80))*'Weighting Factors'!$Q$9</f>
        <v>60.5</v>
      </c>
      <c r="AF80" s="95">
        <f t="shared" si="49"/>
        <v>0</v>
      </c>
      <c r="AG80" s="95">
        <f>IF(ISNA(VLOOKUP($CZ80,'Audit Values'!$A$2:$BW$353,2,FALSE)),'Preliminary SO66'!AG79,VLOOKUP($CZ80,'Audit Values'!$A$2:$BW$353,70,FALSE))</f>
        <v>0</v>
      </c>
      <c r="AH80" s="95">
        <f t="shared" si="50"/>
        <v>0</v>
      </c>
      <c r="AI80" s="95">
        <f>IF(ISNA(VLOOKUP($CZ80,'Audit Values'!$A$2:$BU$353,2,FALSE)),'Preliminary SO66'!AQ79,VLOOKUP($CZ80,'Audit Values'!$A$2:$BU$353,65,FALSE))</f>
        <v>0</v>
      </c>
      <c r="AJ80" s="95">
        <f>AI80*'Weighting Factors'!$Q$10</f>
        <v>0</v>
      </c>
      <c r="AK80" s="95">
        <f>IF(ISNA(VLOOKUP($CZ80,'Audit Values'!$A$2:$BU$353,2,FALSE)),'Preliminary SO66'!AR79,VLOOKUP($CZ80,'Audit Values'!$A$2:$BU$353,66,FALSE))</f>
        <v>183</v>
      </c>
      <c r="AL80" s="95"/>
      <c r="AM80" s="99">
        <f t="shared" si="51"/>
        <v>162870</v>
      </c>
      <c r="AN80" s="99">
        <v>169103</v>
      </c>
      <c r="AO80" s="95">
        <f>MAX(AN80, AM80)/'Weighting Factors'!$Q$5</f>
        <v>40.6</v>
      </c>
      <c r="AP80" s="95">
        <f>CN80/'Weighting Factors'!$Q$5</f>
        <v>0</v>
      </c>
      <c r="AQ80" s="95">
        <v>0</v>
      </c>
      <c r="AR80" s="95">
        <f>CS80/'Weighting Factors'!$Q$5</f>
        <v>0</v>
      </c>
      <c r="AS80" s="99">
        <v>837753</v>
      </c>
      <c r="AT80" s="95">
        <f>AS80/'Weighting Factors'!$Q$5</f>
        <v>201.1</v>
      </c>
      <c r="AU80" s="95">
        <f>IF(ISNA(VLOOKUP($CZ80,'Audit Values'!$A$2:$BU$353,2,FALSE)),'Preliminary SO66'!X79,VLOOKUP($CZ80,'Audit Values'!$A$2:$BU$353,47,FALSE))</f>
        <v>0</v>
      </c>
      <c r="AV80" s="95">
        <f t="shared" si="52"/>
        <v>1368.9</v>
      </c>
      <c r="AW80" s="95">
        <f t="shared" si="53"/>
        <v>1167.8</v>
      </c>
      <c r="AX80" s="95">
        <f>IF(ISNA(VLOOKUP($CZ80,'Audit Values'!$A$2:$BU$353,2,FALSE)),'Preliminary SO66'!AA79,VLOOKUP($CZ80,'Audit Values'!$A$2:$BU$353,41,FALSE))</f>
        <v>0</v>
      </c>
      <c r="AY80" s="95">
        <f>IF(ISNA(VLOOKUP($CZ80,'Audit Values'!$A$2:$BU$353,2,FALSE)),'Preliminary SO66'!AB79,VLOOKUP($CZ80,'Audit Values'!$A$2:$BU$353,42,FALSE))</f>
        <v>0</v>
      </c>
      <c r="AZ80" s="114">
        <v>0</v>
      </c>
      <c r="BA80" s="99">
        <f>SUM(AX80*'Weighting Factors'!$T$10)+('2019 Legal Max'!AY80*'Weighting Factors'!$T$11)+('2019 Legal Max'!AZ80*'Weighting Factors'!$T$12)</f>
        <v>0</v>
      </c>
      <c r="BB80" s="158">
        <v>0</v>
      </c>
      <c r="BC80" s="88">
        <f>IF(ISNA(VLOOKUP($CZ80,'Audit Values'!$A$2:$BU$353,2,FALSE)),"",IF(AND('Weighting Factors'!H80&gt;0,VLOOKUP($CZ80,'Audit Values'!$A$2:$BU$353,51,FALSE)&lt;'Weighting Factors'!H80),'Weighting Factors'!H80,VLOOKUP($CZ80,'Audit Values'!$A$2:$BU$353,50,FALSE)))</f>
        <v>11</v>
      </c>
      <c r="BD80" s="88" t="str">
        <f>IF(ISNA(VLOOKUP($CZ80,'Audit Values'!$A$2:$BV$353,2,FALSE)),"",VLOOKUP($CZ80,'Audit Values'!$A$2:$BV$353,51,FALSE))</f>
        <v>A</v>
      </c>
      <c r="BE80" s="88" t="str">
        <f>IF('Weighting Factors'!H80="","",IF('Weighting Factors'!J80="Pending","PX","R"))</f>
        <v/>
      </c>
      <c r="BF80" s="97">
        <f>SUM((S80+T80+Y80+AA80+AE80+AH80+AJ80++AO80+AP80+AQ80+AU80+AR80)*'Weighting Factors'!$Q$5)+'2019 Legal Max'!BA80+'2019 Legal Max'!BB80</f>
        <v>4863887</v>
      </c>
      <c r="BG80" s="99">
        <f>SUM((AV80+AR80)*'Weighting Factors'!$Q$5)+BA80+'2019 Legal Max'!BB80</f>
        <v>5701469</v>
      </c>
      <c r="BH80" s="108">
        <f>IF('Weighting Factors'!H80&gt;0,'Weighting Factors'!H80,'Preliminary SO66'!AV79)</f>
        <v>6017592</v>
      </c>
      <c r="BI80" s="99">
        <f t="shared" si="77"/>
        <v>5701469</v>
      </c>
      <c r="BJ80" s="112"/>
      <c r="BK80" s="112">
        <f>'Weighting Factors'!F80</f>
        <v>0</v>
      </c>
      <c r="BL80" s="112">
        <f>'Weighting Factors'!E80</f>
        <v>0</v>
      </c>
      <c r="BM80" s="99">
        <f t="shared" si="54"/>
        <v>0</v>
      </c>
      <c r="BN80" s="99">
        <f t="shared" si="55"/>
        <v>5701469</v>
      </c>
      <c r="BO80" s="99">
        <f>SUM((S80+T80+Y80+AA80+AE80+AH80+AJ80++AO80+AP80+AQ80+AR80)*'Weighting Factors'!Q$12)+(MAX(AS80,'Weighting Factors'!B80))</f>
        <v>6081175</v>
      </c>
      <c r="BP80" s="122">
        <v>0.33</v>
      </c>
      <c r="BQ80" s="99">
        <f t="shared" si="56"/>
        <v>2006788</v>
      </c>
      <c r="BR80" s="108">
        <v>2116783</v>
      </c>
      <c r="BS80" s="99">
        <f t="shared" si="57"/>
        <v>2006788</v>
      </c>
      <c r="BT80" s="167">
        <f t="shared" si="58"/>
        <v>0.33</v>
      </c>
      <c r="BU80" s="95">
        <f t="shared" si="59"/>
        <v>0</v>
      </c>
      <c r="BV80" s="87" t="b">
        <f t="shared" si="60"/>
        <v>0</v>
      </c>
      <c r="BW80" s="117">
        <f t="shared" si="61"/>
        <v>0</v>
      </c>
      <c r="BX80" s="116">
        <f t="shared" si="62"/>
        <v>0</v>
      </c>
      <c r="BY80" s="95">
        <f t="shared" si="63"/>
        <v>0</v>
      </c>
      <c r="BZ80" s="87" t="b">
        <f t="shared" si="64"/>
        <v>1</v>
      </c>
      <c r="CA80" s="87">
        <f t="shared" si="65"/>
        <v>607.86</v>
      </c>
      <c r="CB80" s="116">
        <f t="shared" si="66"/>
        <v>0.31730199999999997</v>
      </c>
      <c r="CC80" s="95">
        <f t="shared" si="67"/>
        <v>251</v>
      </c>
      <c r="CD80" s="95">
        <f t="shared" si="68"/>
        <v>0</v>
      </c>
      <c r="CE80" s="98">
        <v>126</v>
      </c>
      <c r="CF80" s="250">
        <f t="shared" si="69"/>
        <v>1.452</v>
      </c>
      <c r="CG80" s="274">
        <f>IF(CF80&lt;0.06,1,IF(CF80&gt;=18.29,52,MATCH(CF80-0.001,'Weighting Factors'!$Y$5:$Y$156)+1))</f>
        <v>35</v>
      </c>
      <c r="CH80" s="243">
        <f>VLOOKUP(CG80, 'Weighting Factors'!$W$5:$Z$56,4)</f>
        <v>890</v>
      </c>
      <c r="CI80" s="118">
        <f>('Weighting Factors'!$Q$5/'Weighting Factors'!$Q$14)</f>
        <v>1</v>
      </c>
      <c r="CJ80" s="245">
        <f t="shared" si="70"/>
        <v>162870</v>
      </c>
      <c r="CK80" s="245">
        <f>CJ80*'Weighting Factors'!$S$7</f>
        <v>162870</v>
      </c>
      <c r="CL80" s="245">
        <f t="shared" si="71"/>
        <v>162870</v>
      </c>
      <c r="CM80" s="95">
        <f>AM80/'Weighting Factors'!$Q$5</f>
        <v>39.1</v>
      </c>
      <c r="CN80" s="148">
        <v>0</v>
      </c>
      <c r="CO80" s="148">
        <v>0</v>
      </c>
      <c r="CP80" s="149">
        <v>0</v>
      </c>
      <c r="CQ80" s="151">
        <v>0</v>
      </c>
      <c r="CR80" s="99">
        <f>SUM((AV80*'Weighting Factors'!$Q$5)+'2019 Legal Max'!BA80)*CQ80</f>
        <v>0</v>
      </c>
      <c r="CS80" s="99">
        <f t="shared" si="72"/>
        <v>0</v>
      </c>
      <c r="CT80" s="106">
        <f t="shared" si="73"/>
        <v>0.15939999999999999</v>
      </c>
      <c r="CU80" s="95">
        <f t="shared" si="74"/>
        <v>0</v>
      </c>
      <c r="CV80" s="95">
        <f t="shared" si="75"/>
        <v>0</v>
      </c>
      <c r="CW80" s="95">
        <f t="shared" si="76"/>
        <v>1368.9</v>
      </c>
      <c r="CX80" s="99">
        <f>'LOB Transfers'!G79</f>
        <v>89703</v>
      </c>
      <c r="CY80" s="99">
        <f>'LOB Transfers'!J79</f>
        <v>0</v>
      </c>
      <c r="CZ80" s="87" t="s">
        <v>272</v>
      </c>
    </row>
    <row r="81" spans="1:104" ht="15" customHeight="1">
      <c r="A81" s="88">
        <v>269</v>
      </c>
      <c r="B81" s="87" t="s">
        <v>35</v>
      </c>
      <c r="C81" s="87" t="s">
        <v>594</v>
      </c>
      <c r="D81" s="95">
        <v>104</v>
      </c>
      <c r="E81" s="95">
        <v>0</v>
      </c>
      <c r="F81" s="95">
        <f t="shared" si="43"/>
        <v>104</v>
      </c>
      <c r="G81" s="95">
        <v>90</v>
      </c>
      <c r="H81" s="95">
        <v>0</v>
      </c>
      <c r="I81" s="95">
        <f t="shared" si="44"/>
        <v>90</v>
      </c>
      <c r="J81" s="95">
        <v>96.1</v>
      </c>
      <c r="K81" s="95">
        <v>0</v>
      </c>
      <c r="L81" s="95">
        <f t="shared" si="45"/>
        <v>96.1</v>
      </c>
      <c r="M81" s="95">
        <f>IF(ISNA(VLOOKUP($CZ81,'Audit Values'!$A$2:$BW$365,2,FALSE)),'Preliminary SO66'!C80,VLOOKUP($CZ81,'Audit Values'!$A$2:$BW$365,73,FALSE))</f>
        <v>88.5</v>
      </c>
      <c r="N81" s="95">
        <f>IF(ISNA(VLOOKUP($CZ81,'Audit Values'!$A$2:$BW$365,2,FALSE)),'Preliminary SO66'!F80,VLOOKUP($CZ81,'Audit Values'!$A$2:$BW$365,4,FALSE))</f>
        <v>0</v>
      </c>
      <c r="O81" s="95">
        <f t="shared" si="46"/>
        <v>88.5</v>
      </c>
      <c r="P81" s="95">
        <f>IF('Military Provision'!J82="YES", MAX('2019 Legal Max'!L81,'2019 Legal Max'!I81,AVERAGE('2019 Legal Max'!F81,'2019 Legal Max'!I81,'2019 Legal Max'!L81)), MAX(L81, I81))</f>
        <v>96.1</v>
      </c>
      <c r="Q81" s="95">
        <f>IF(ISNA(VLOOKUP($CZ81,'Audit Values'!$A$2:$BU$353,2,FALSE)),'Preliminary SO66'!AL80,VLOOKUP($CZ81,'Audit Values'!$A$2:$BU$3955,58,FALSE))</f>
        <v>3.5</v>
      </c>
      <c r="R81" s="95">
        <v>0</v>
      </c>
      <c r="S81" s="95">
        <f t="shared" si="42"/>
        <v>99.6</v>
      </c>
      <c r="T81" s="95">
        <f t="shared" si="47"/>
        <v>101</v>
      </c>
      <c r="U81" s="95">
        <f>IF(ISNA(VLOOKUP($CZ81,'Audit Values'!$A$2:$BW$317,2,FALSE)),'Preliminary SO66'!AM80,VLOOKUP($CZ81,'Audit Values'!$A$2:$BW$317,62,FALSE))</f>
        <v>0</v>
      </c>
      <c r="V81" s="95">
        <f>(U81/6)*'Weighting Factors'!$Q$7</f>
        <v>0</v>
      </c>
      <c r="W81" s="132">
        <f>IF(ISNA(VLOOKUP($CZ81,'Audit Values'!$A$2:$BW$353,2,FALSE)),'Preliminary SO66'!AN80,VLOOKUP($CZ81,'Audit Values'!$A$2:$BW$353,61,FALSE))</f>
        <v>0</v>
      </c>
      <c r="X81" s="95">
        <f>W81*'Weighting Factors'!$Q$8</f>
        <v>0</v>
      </c>
      <c r="Y81" s="95">
        <f t="shared" si="48"/>
        <v>0</v>
      </c>
      <c r="Z81" s="276">
        <f>IF(ISNA(VLOOKUP($CZ81,'Audit Values'!$A$2:$BW$317,2,FALSE)),'Preliminary SO66'!AO80,VLOOKUP($CZ81,'Audit Values'!$A$2:$BW$317,60,FALSE))</f>
        <v>4.7</v>
      </c>
      <c r="AA81" s="95">
        <f>Z81/6*'Weighting Factors'!$Q$6</f>
        <v>0.4</v>
      </c>
      <c r="AB81" s="99">
        <f>IF(ISNA(VLOOKUP($CZ81,'Audit Values'!$A$2:$BU$353,2,FALSE)),'Preliminary SO66'!AS80,VLOOKUP($CZ81,'Audit Values'!$A$2:$BU$353,63,FALSE))</f>
        <v>97</v>
      </c>
      <c r="AC81" s="99">
        <v>0</v>
      </c>
      <c r="AD81" s="99">
        <f>IF(ISNA(VLOOKUP($CZ81,'Audit Values'!$A$2:$BU$353,2,FALSE)),'Preliminary SO66'!AP80,VLOOKUP($CZ81,'Audit Values'!$A$2:$BU$353,64,FALSE))</f>
        <v>28</v>
      </c>
      <c r="AE81" s="95">
        <f>IF(A81=207, AD81,MAX(AC81,AD81))*'Weighting Factors'!$Q$9</f>
        <v>13.6</v>
      </c>
      <c r="AF81" s="95">
        <f t="shared" si="49"/>
        <v>0</v>
      </c>
      <c r="AG81" s="95">
        <f>IF(ISNA(VLOOKUP($CZ81,'Audit Values'!$A$2:$BW$353,2,FALSE)),'Preliminary SO66'!AG80,VLOOKUP($CZ81,'Audit Values'!$A$2:$BW$353,70,FALSE))</f>
        <v>0</v>
      </c>
      <c r="AH81" s="95">
        <f t="shared" si="50"/>
        <v>0</v>
      </c>
      <c r="AI81" s="95">
        <f>IF(ISNA(VLOOKUP($CZ81,'Audit Values'!$A$2:$BU$353,2,FALSE)),'Preliminary SO66'!AQ80,VLOOKUP($CZ81,'Audit Values'!$A$2:$BU$353,65,FALSE))</f>
        <v>0</v>
      </c>
      <c r="AJ81" s="95">
        <f>AI81*'Weighting Factors'!$Q$10</f>
        <v>0</v>
      </c>
      <c r="AK81" s="95">
        <f>IF(ISNA(VLOOKUP($CZ81,'Audit Values'!$A$2:$BU$353,2,FALSE)),'Preliminary SO66'!AR80,VLOOKUP($CZ81,'Audit Values'!$A$2:$BU$353,66,FALSE))</f>
        <v>62</v>
      </c>
      <c r="AL81" s="95"/>
      <c r="AM81" s="99">
        <f t="shared" si="51"/>
        <v>76260</v>
      </c>
      <c r="AN81" s="99">
        <v>104774</v>
      </c>
      <c r="AO81" s="95">
        <f>MAX(AN81, AM81)/'Weighting Factors'!$Q$5</f>
        <v>25.2</v>
      </c>
      <c r="AP81" s="95">
        <f>CN81/'Weighting Factors'!$Q$5</f>
        <v>0</v>
      </c>
      <c r="AQ81" s="95">
        <v>0</v>
      </c>
      <c r="AR81" s="95">
        <f>CS81/'Weighting Factors'!$Q$5</f>
        <v>0</v>
      </c>
      <c r="AS81" s="99">
        <v>114876</v>
      </c>
      <c r="AT81" s="95">
        <f>AS81/'Weighting Factors'!$Q$5</f>
        <v>27.6</v>
      </c>
      <c r="AU81" s="95">
        <f>IF(ISNA(VLOOKUP($CZ81,'Audit Values'!$A$2:$BU$353,2,FALSE)),'Preliminary SO66'!X80,VLOOKUP($CZ81,'Audit Values'!$A$2:$BU$353,47,FALSE))</f>
        <v>0</v>
      </c>
      <c r="AV81" s="95">
        <f t="shared" si="52"/>
        <v>267.39999999999998</v>
      </c>
      <c r="AW81" s="95">
        <f t="shared" si="53"/>
        <v>239.8</v>
      </c>
      <c r="AX81" s="95">
        <f>IF(ISNA(VLOOKUP($CZ81,'Audit Values'!$A$2:$BU$353,2,FALSE)),'Preliminary SO66'!AA80,VLOOKUP($CZ81,'Audit Values'!$A$2:$BU$353,41,FALSE))</f>
        <v>0</v>
      </c>
      <c r="AY81" s="95">
        <f>IF(ISNA(VLOOKUP($CZ81,'Audit Values'!$A$2:$BU$353,2,FALSE)),'Preliminary SO66'!AB80,VLOOKUP($CZ81,'Audit Values'!$A$2:$BU$353,42,FALSE))</f>
        <v>0</v>
      </c>
      <c r="AZ81" s="114">
        <v>0</v>
      </c>
      <c r="BA81" s="99">
        <f>SUM(AX81*'Weighting Factors'!$T$10)+('2019 Legal Max'!AY81*'Weighting Factors'!$T$11)+('2019 Legal Max'!AZ81*'Weighting Factors'!$T$12)</f>
        <v>0</v>
      </c>
      <c r="BB81" s="158">
        <v>0</v>
      </c>
      <c r="BC81" s="88">
        <f>IF(ISNA(VLOOKUP($CZ81,'Audit Values'!$A$2:$BU$353,2,FALSE)),"",IF(AND('Weighting Factors'!H81&gt;0,VLOOKUP($CZ81,'Audit Values'!$A$2:$BU$353,51,FALSE)&lt;'Weighting Factors'!H81),'Weighting Factors'!H81,VLOOKUP($CZ81,'Audit Values'!$A$2:$BU$353,50,FALSE)))</f>
        <v>25</v>
      </c>
      <c r="BD81" s="88" t="str">
        <f>IF(ISNA(VLOOKUP($CZ81,'Audit Values'!$A$2:$BV$353,2,FALSE)),"",VLOOKUP($CZ81,'Audit Values'!$A$2:$BV$353,51,FALSE))</f>
        <v>A</v>
      </c>
      <c r="BE81" s="88" t="str">
        <f>IF('Weighting Factors'!H81="","",IF('Weighting Factors'!J81="Pending","PX","R"))</f>
        <v/>
      </c>
      <c r="BF81" s="97">
        <f>SUM((S81+T81+Y81+AA81+AE81+AH81+AJ81++AO81+AP81+AQ81+AU81+AR81)*'Weighting Factors'!$Q$5)+'2019 Legal Max'!BA81+'2019 Legal Max'!BB81</f>
        <v>998767</v>
      </c>
      <c r="BG81" s="99">
        <f>SUM((AV81+AR81)*'Weighting Factors'!$Q$5)+BA81+'2019 Legal Max'!BB81</f>
        <v>1113721</v>
      </c>
      <c r="BH81" s="108">
        <f>IF('Weighting Factors'!H81&gt;0,'Weighting Factors'!H81,'Preliminary SO66'!AV80)</f>
        <v>1166200</v>
      </c>
      <c r="BI81" s="99">
        <f t="shared" si="77"/>
        <v>1113721</v>
      </c>
      <c r="BJ81" s="112"/>
      <c r="BK81" s="112">
        <f>'Weighting Factors'!F81</f>
        <v>-2281</v>
      </c>
      <c r="BL81" s="112">
        <f>'Weighting Factors'!E81</f>
        <v>0</v>
      </c>
      <c r="BM81" s="99">
        <f t="shared" si="54"/>
        <v>-2281</v>
      </c>
      <c r="BN81" s="99">
        <f t="shared" si="55"/>
        <v>1111440</v>
      </c>
      <c r="BO81" s="99">
        <f>SUM((S81+T81+Y81+AA81+AE81+AH81+AJ81++AO81+AP81+AQ81+AR81)*'Weighting Factors'!Q$12)+(MAX(AS81,'Weighting Factors'!B81))</f>
        <v>1295312</v>
      </c>
      <c r="BP81" s="122">
        <v>0.33</v>
      </c>
      <c r="BQ81" s="99">
        <f t="shared" si="56"/>
        <v>427453</v>
      </c>
      <c r="BR81" s="108">
        <v>440047</v>
      </c>
      <c r="BS81" s="99">
        <f t="shared" si="57"/>
        <v>427453</v>
      </c>
      <c r="BT81" s="167">
        <f t="shared" si="58"/>
        <v>0.33</v>
      </c>
      <c r="BU81" s="95">
        <f t="shared" si="59"/>
        <v>101</v>
      </c>
      <c r="BV81" s="87" t="b">
        <f t="shared" si="60"/>
        <v>0</v>
      </c>
      <c r="BW81" s="117">
        <f t="shared" si="61"/>
        <v>0</v>
      </c>
      <c r="BX81" s="116">
        <f t="shared" si="62"/>
        <v>0</v>
      </c>
      <c r="BY81" s="95">
        <f t="shared" si="63"/>
        <v>0</v>
      </c>
      <c r="BZ81" s="87" t="b">
        <f t="shared" si="64"/>
        <v>0</v>
      </c>
      <c r="CA81" s="87">
        <f t="shared" si="65"/>
        <v>0</v>
      </c>
      <c r="CB81" s="116">
        <f t="shared" si="66"/>
        <v>0</v>
      </c>
      <c r="CC81" s="95">
        <f t="shared" si="67"/>
        <v>0</v>
      </c>
      <c r="CD81" s="95">
        <f t="shared" si="68"/>
        <v>0</v>
      </c>
      <c r="CE81" s="98">
        <v>248.6</v>
      </c>
      <c r="CF81" s="250">
        <f t="shared" si="69"/>
        <v>0.249</v>
      </c>
      <c r="CG81" s="274">
        <f>IF(CF81&lt;0.06,1,IF(CF81&gt;=18.29,52,MATCH(CF81-0.001,'Weighting Factors'!$Y$5:$Y$156)+1))</f>
        <v>18</v>
      </c>
      <c r="CH81" s="243">
        <f>VLOOKUP(CG81, 'Weighting Factors'!$W$5:$Z$56,4)</f>
        <v>1230</v>
      </c>
      <c r="CI81" s="118">
        <f>('Weighting Factors'!$Q$5/'Weighting Factors'!$Q$14)</f>
        <v>1</v>
      </c>
      <c r="CJ81" s="245">
        <f t="shared" si="70"/>
        <v>76260</v>
      </c>
      <c r="CK81" s="245">
        <f>CJ81*'Weighting Factors'!$S$7</f>
        <v>76260</v>
      </c>
      <c r="CL81" s="245">
        <f t="shared" si="71"/>
        <v>76260</v>
      </c>
      <c r="CM81" s="95">
        <f>AM81/'Weighting Factors'!$Q$5</f>
        <v>18.3</v>
      </c>
      <c r="CN81" s="148">
        <v>0</v>
      </c>
      <c r="CO81" s="148">
        <v>0</v>
      </c>
      <c r="CP81" s="149">
        <v>0</v>
      </c>
      <c r="CQ81" s="151">
        <v>0</v>
      </c>
      <c r="CR81" s="99">
        <f>SUM((AV81*'Weighting Factors'!$Q$5)+'2019 Legal Max'!BA81)*CQ81</f>
        <v>0</v>
      </c>
      <c r="CS81" s="99">
        <f t="shared" si="72"/>
        <v>0</v>
      </c>
      <c r="CT81" s="106">
        <f t="shared" si="73"/>
        <v>0.28870000000000001</v>
      </c>
      <c r="CU81" s="95">
        <f t="shared" si="74"/>
        <v>0</v>
      </c>
      <c r="CV81" s="95">
        <f t="shared" si="75"/>
        <v>0</v>
      </c>
      <c r="CW81" s="95">
        <f t="shared" si="76"/>
        <v>267.39999999999998</v>
      </c>
      <c r="CX81" s="99">
        <f>'LOB Transfers'!G80</f>
        <v>22014</v>
      </c>
      <c r="CY81" s="99">
        <f>'LOB Transfers'!J80</f>
        <v>0</v>
      </c>
      <c r="CZ81" s="87" t="s">
        <v>273</v>
      </c>
    </row>
    <row r="82" spans="1:104" ht="15" customHeight="1">
      <c r="A82" s="88">
        <v>270</v>
      </c>
      <c r="B82" s="87" t="s">
        <v>35</v>
      </c>
      <c r="C82" s="87" t="s">
        <v>595</v>
      </c>
      <c r="D82" s="95">
        <v>334.8</v>
      </c>
      <c r="E82" s="95">
        <v>0</v>
      </c>
      <c r="F82" s="95">
        <f t="shared" si="43"/>
        <v>334.8</v>
      </c>
      <c r="G82" s="95">
        <v>335</v>
      </c>
      <c r="H82" s="95">
        <v>0</v>
      </c>
      <c r="I82" s="95">
        <f t="shared" si="44"/>
        <v>335</v>
      </c>
      <c r="J82" s="95">
        <v>361</v>
      </c>
      <c r="K82" s="95">
        <v>0</v>
      </c>
      <c r="L82" s="95">
        <f t="shared" si="45"/>
        <v>361</v>
      </c>
      <c r="M82" s="95">
        <f>IF(ISNA(VLOOKUP($CZ82,'Audit Values'!$A$2:$BW$365,2,FALSE)),'Preliminary SO66'!C81,VLOOKUP($CZ82,'Audit Values'!$A$2:$BW$365,73,FALSE))</f>
        <v>339</v>
      </c>
      <c r="N82" s="95">
        <f>IF(ISNA(VLOOKUP($CZ82,'Audit Values'!$A$2:$BW$365,2,FALSE)),'Preliminary SO66'!F81,VLOOKUP($CZ82,'Audit Values'!$A$2:$BW$365,4,FALSE))</f>
        <v>0</v>
      </c>
      <c r="O82" s="95">
        <f t="shared" si="46"/>
        <v>339</v>
      </c>
      <c r="P82" s="95">
        <f>IF('Military Provision'!J83="YES", MAX('2019 Legal Max'!L82,'2019 Legal Max'!I82,AVERAGE('2019 Legal Max'!F82,'2019 Legal Max'!I82,'2019 Legal Max'!L82)), MAX(L82, I82))</f>
        <v>361</v>
      </c>
      <c r="Q82" s="95">
        <f>IF(ISNA(VLOOKUP($CZ82,'Audit Values'!$A$2:$BU$353,2,FALSE)),'Preliminary SO66'!AL81,VLOOKUP($CZ82,'Audit Values'!$A$2:$BU$3955,58,FALSE))</f>
        <v>0</v>
      </c>
      <c r="R82" s="95">
        <v>0</v>
      </c>
      <c r="S82" s="95">
        <f t="shared" si="42"/>
        <v>361</v>
      </c>
      <c r="T82" s="95">
        <f t="shared" si="47"/>
        <v>167.3</v>
      </c>
      <c r="U82" s="95">
        <f>IF(ISNA(VLOOKUP($CZ82,'Audit Values'!$A$2:$BW$317,2,FALSE)),'Preliminary SO66'!AM81,VLOOKUP($CZ82,'Audit Values'!$A$2:$BW$317,62,FALSE))</f>
        <v>0</v>
      </c>
      <c r="V82" s="95">
        <f>(U82/6)*'Weighting Factors'!$Q$7</f>
        <v>0</v>
      </c>
      <c r="W82" s="132">
        <f>IF(ISNA(VLOOKUP($CZ82,'Audit Values'!$A$2:$BW$353,2,FALSE)),'Preliminary SO66'!AN81,VLOOKUP($CZ82,'Audit Values'!$A$2:$BW$353,61,FALSE))</f>
        <v>0</v>
      </c>
      <c r="X82" s="95">
        <f>W82*'Weighting Factors'!$Q$8</f>
        <v>0</v>
      </c>
      <c r="Y82" s="95">
        <f t="shared" si="48"/>
        <v>0</v>
      </c>
      <c r="Z82" s="276">
        <f>IF(ISNA(VLOOKUP($CZ82,'Audit Values'!$A$2:$BW$317,2,FALSE)),'Preliminary SO66'!AO81,VLOOKUP($CZ82,'Audit Values'!$A$2:$BW$317,60,FALSE))</f>
        <v>171.7</v>
      </c>
      <c r="AA82" s="95">
        <f>Z82/6*'Weighting Factors'!$Q$6</f>
        <v>14.3</v>
      </c>
      <c r="AB82" s="99">
        <f>IF(ISNA(VLOOKUP($CZ82,'Audit Values'!$A$2:$BU$353,2,FALSE)),'Preliminary SO66'!AS81,VLOOKUP($CZ82,'Audit Values'!$A$2:$BU$353,63,FALSE))</f>
        <v>344</v>
      </c>
      <c r="AC82" s="99">
        <v>0</v>
      </c>
      <c r="AD82" s="99">
        <f>IF(ISNA(VLOOKUP($CZ82,'Audit Values'!$A$2:$BU$353,2,FALSE)),'Preliminary SO66'!AP81,VLOOKUP($CZ82,'Audit Values'!$A$2:$BU$353,64,FALSE))</f>
        <v>107</v>
      </c>
      <c r="AE82" s="95">
        <f>IF(A82=207, AD82,MAX(AC82,AD82))*'Weighting Factors'!$Q$9</f>
        <v>51.8</v>
      </c>
      <c r="AF82" s="95">
        <f t="shared" si="49"/>
        <v>0</v>
      </c>
      <c r="AG82" s="95">
        <f>IF(ISNA(VLOOKUP($CZ82,'Audit Values'!$A$2:$BW$353,2,FALSE)),'Preliminary SO66'!AG81,VLOOKUP($CZ82,'Audit Values'!$A$2:$BW$353,70,FALSE))</f>
        <v>0</v>
      </c>
      <c r="AH82" s="95">
        <f t="shared" si="50"/>
        <v>0</v>
      </c>
      <c r="AI82" s="95">
        <f>IF(ISNA(VLOOKUP($CZ82,'Audit Values'!$A$2:$BU$353,2,FALSE)),'Preliminary SO66'!AQ81,VLOOKUP($CZ82,'Audit Values'!$A$2:$BU$353,65,FALSE))</f>
        <v>0</v>
      </c>
      <c r="AJ82" s="95">
        <f>AI82*'Weighting Factors'!$Q$10</f>
        <v>0</v>
      </c>
      <c r="AK82" s="95">
        <f>IF(ISNA(VLOOKUP($CZ82,'Audit Values'!$A$2:$BU$353,2,FALSE)),'Preliminary SO66'!AR81,VLOOKUP($CZ82,'Audit Values'!$A$2:$BU$353,66,FALSE))</f>
        <v>36</v>
      </c>
      <c r="AL82" s="95"/>
      <c r="AM82" s="99">
        <f t="shared" si="51"/>
        <v>50040</v>
      </c>
      <c r="AN82" s="99">
        <v>58550</v>
      </c>
      <c r="AO82" s="95">
        <f>MAX(AN82, AM82)/'Weighting Factors'!$Q$5</f>
        <v>14.1</v>
      </c>
      <c r="AP82" s="95">
        <f>CN82/'Weighting Factors'!$Q$5</f>
        <v>0</v>
      </c>
      <c r="AQ82" s="95">
        <v>0</v>
      </c>
      <c r="AR82" s="95">
        <f>CS82/'Weighting Factors'!$Q$5</f>
        <v>0</v>
      </c>
      <c r="AS82" s="99">
        <v>431527</v>
      </c>
      <c r="AT82" s="95">
        <f>AS82/'Weighting Factors'!$Q$5</f>
        <v>103.6</v>
      </c>
      <c r="AU82" s="95">
        <f>IF(ISNA(VLOOKUP($CZ82,'Audit Values'!$A$2:$BU$353,2,FALSE)),'Preliminary SO66'!X81,VLOOKUP($CZ82,'Audit Values'!$A$2:$BU$353,47,FALSE))</f>
        <v>0</v>
      </c>
      <c r="AV82" s="95">
        <f t="shared" si="52"/>
        <v>712.1</v>
      </c>
      <c r="AW82" s="95">
        <f t="shared" si="53"/>
        <v>608.5</v>
      </c>
      <c r="AX82" s="95">
        <f>IF(ISNA(VLOOKUP($CZ82,'Audit Values'!$A$2:$BU$353,2,FALSE)),'Preliminary SO66'!AA81,VLOOKUP($CZ82,'Audit Values'!$A$2:$BU$353,41,FALSE))</f>
        <v>0</v>
      </c>
      <c r="AY82" s="95">
        <f>IF(ISNA(VLOOKUP($CZ82,'Audit Values'!$A$2:$BU$353,2,FALSE)),'Preliminary SO66'!AB81,VLOOKUP($CZ82,'Audit Values'!$A$2:$BU$353,42,FALSE))</f>
        <v>0</v>
      </c>
      <c r="AZ82" s="114">
        <v>0</v>
      </c>
      <c r="BA82" s="99">
        <f>SUM(AX82*'Weighting Factors'!$T$10)+('2019 Legal Max'!AY82*'Weighting Factors'!$T$11)+('2019 Legal Max'!AZ82*'Weighting Factors'!$T$12)</f>
        <v>0</v>
      </c>
      <c r="BB82" s="158">
        <v>0</v>
      </c>
      <c r="BC82" s="88">
        <f>IF(ISNA(VLOOKUP($CZ82,'Audit Values'!$A$2:$BU$353,2,FALSE)),"",IF(AND('Weighting Factors'!H82&gt;0,VLOOKUP($CZ82,'Audit Values'!$A$2:$BU$353,51,FALSE)&lt;'Weighting Factors'!H82),'Weighting Factors'!H82,VLOOKUP($CZ82,'Audit Values'!$A$2:$BU$353,50,FALSE)))</f>
        <v>17</v>
      </c>
      <c r="BD82" s="88" t="str">
        <f>IF(ISNA(VLOOKUP($CZ82,'Audit Values'!$A$2:$BV$353,2,FALSE)),"",VLOOKUP($CZ82,'Audit Values'!$A$2:$BV$353,51,FALSE))</f>
        <v>A</v>
      </c>
      <c r="BE82" s="88" t="str">
        <f>IF('Weighting Factors'!H82="","",IF('Weighting Factors'!J82="Pending","PX","R"))</f>
        <v/>
      </c>
      <c r="BF82" s="97">
        <f>SUM((S82+T82+Y82+AA82+AE82+AH82+AJ82++AO82+AP82+AQ82+AU82+AR82)*'Weighting Factors'!$Q$5)+'2019 Legal Max'!BA82+'2019 Legal Max'!BB82</f>
        <v>2534403</v>
      </c>
      <c r="BG82" s="99">
        <f>SUM((AV82+AR82)*'Weighting Factors'!$Q$5)+BA82+'2019 Legal Max'!BB82</f>
        <v>2965897</v>
      </c>
      <c r="BH82" s="108">
        <f>IF('Weighting Factors'!H82&gt;0,'Weighting Factors'!H82,'Preliminary SO66'!AV81)</f>
        <v>3058360</v>
      </c>
      <c r="BI82" s="99">
        <f t="shared" si="77"/>
        <v>2965897</v>
      </c>
      <c r="BJ82" s="112"/>
      <c r="BK82" s="112">
        <f>'Weighting Factors'!F82</f>
        <v>0</v>
      </c>
      <c r="BL82" s="112">
        <f>'Weighting Factors'!E82</f>
        <v>0</v>
      </c>
      <c r="BM82" s="99">
        <f t="shared" si="54"/>
        <v>0</v>
      </c>
      <c r="BN82" s="99">
        <f t="shared" si="55"/>
        <v>2965897</v>
      </c>
      <c r="BO82" s="99">
        <f>SUM((S82+T82+Y82+AA82+AE82+AH82+AJ82++AO82+AP82+AQ82+AR82)*'Weighting Factors'!Q$12)+(MAX(AS82,'Weighting Factors'!B82))</f>
        <v>3176665</v>
      </c>
      <c r="BP82" s="122">
        <v>0.3</v>
      </c>
      <c r="BQ82" s="99">
        <f t="shared" si="56"/>
        <v>953000</v>
      </c>
      <c r="BR82" s="108">
        <v>976997</v>
      </c>
      <c r="BS82" s="99">
        <f t="shared" si="57"/>
        <v>953000</v>
      </c>
      <c r="BT82" s="167">
        <f t="shared" si="58"/>
        <v>0.3</v>
      </c>
      <c r="BU82" s="95">
        <f t="shared" si="59"/>
        <v>0</v>
      </c>
      <c r="BV82" s="87" t="b">
        <f t="shared" si="60"/>
        <v>0</v>
      </c>
      <c r="BW82" s="117">
        <f t="shared" si="61"/>
        <v>0</v>
      </c>
      <c r="BX82" s="116">
        <f t="shared" si="62"/>
        <v>0</v>
      </c>
      <c r="BY82" s="95">
        <f t="shared" si="63"/>
        <v>0</v>
      </c>
      <c r="BZ82" s="87" t="b">
        <f t="shared" si="64"/>
        <v>1</v>
      </c>
      <c r="CA82" s="87">
        <f t="shared" si="65"/>
        <v>75.487499999999997</v>
      </c>
      <c r="CB82" s="116">
        <f t="shared" si="66"/>
        <v>0.46346199999999999</v>
      </c>
      <c r="CC82" s="95">
        <f t="shared" si="67"/>
        <v>167.3</v>
      </c>
      <c r="CD82" s="95">
        <f t="shared" si="68"/>
        <v>0</v>
      </c>
      <c r="CE82" s="98">
        <v>275.8</v>
      </c>
      <c r="CF82" s="250">
        <f t="shared" si="69"/>
        <v>0.13100000000000001</v>
      </c>
      <c r="CG82" s="274">
        <f>IF(CF82&lt;0.06,1,IF(CF82&gt;=18.29,52,MATCH(CF82-0.001,'Weighting Factors'!$Y$5:$Y$156)+1))</f>
        <v>9</v>
      </c>
      <c r="CH82" s="243">
        <f>VLOOKUP(CG82, 'Weighting Factors'!$W$5:$Z$56,4)</f>
        <v>1390</v>
      </c>
      <c r="CI82" s="118">
        <f>('Weighting Factors'!$Q$5/'Weighting Factors'!$Q$14)</f>
        <v>1</v>
      </c>
      <c r="CJ82" s="245">
        <f t="shared" si="70"/>
        <v>50040</v>
      </c>
      <c r="CK82" s="245">
        <f>CJ82*'Weighting Factors'!$S$7</f>
        <v>50040</v>
      </c>
      <c r="CL82" s="245">
        <f t="shared" si="71"/>
        <v>50040</v>
      </c>
      <c r="CM82" s="95">
        <f>AM82/'Weighting Factors'!$Q$5</f>
        <v>12</v>
      </c>
      <c r="CN82" s="148">
        <v>0</v>
      </c>
      <c r="CO82" s="148">
        <v>0</v>
      </c>
      <c r="CP82" s="149">
        <v>0</v>
      </c>
      <c r="CQ82" s="151">
        <v>0</v>
      </c>
      <c r="CR82" s="99">
        <f>SUM((AV82*'Weighting Factors'!$Q$5)+'2019 Legal Max'!BA82)*CQ82</f>
        <v>0</v>
      </c>
      <c r="CS82" s="99">
        <f t="shared" si="72"/>
        <v>0</v>
      </c>
      <c r="CT82" s="106">
        <f t="shared" si="73"/>
        <v>0.311</v>
      </c>
      <c r="CU82" s="95">
        <f t="shared" si="74"/>
        <v>0</v>
      </c>
      <c r="CV82" s="95">
        <f t="shared" si="75"/>
        <v>0</v>
      </c>
      <c r="CW82" s="95">
        <f t="shared" si="76"/>
        <v>712.1</v>
      </c>
      <c r="CX82" s="99">
        <f>'LOB Transfers'!G81</f>
        <v>69283</v>
      </c>
      <c r="CY82" s="99">
        <f>'LOB Transfers'!J81</f>
        <v>0</v>
      </c>
      <c r="CZ82" s="87" t="s">
        <v>274</v>
      </c>
    </row>
    <row r="83" spans="1:104" ht="15" customHeight="1">
      <c r="A83" s="88">
        <v>271</v>
      </c>
      <c r="B83" s="87" t="s">
        <v>35</v>
      </c>
      <c r="C83" s="87" t="s">
        <v>596</v>
      </c>
      <c r="D83" s="95">
        <v>297.5</v>
      </c>
      <c r="E83" s="95">
        <v>0</v>
      </c>
      <c r="F83" s="95">
        <f t="shared" si="43"/>
        <v>297.5</v>
      </c>
      <c r="G83" s="95">
        <v>331.5</v>
      </c>
      <c r="H83" s="95">
        <v>0</v>
      </c>
      <c r="I83" s="95">
        <f t="shared" si="44"/>
        <v>331.5</v>
      </c>
      <c r="J83" s="95">
        <v>332</v>
      </c>
      <c r="K83" s="95">
        <v>0</v>
      </c>
      <c r="L83" s="95">
        <f t="shared" si="45"/>
        <v>332</v>
      </c>
      <c r="M83" s="95">
        <f>IF(ISNA(VLOOKUP($CZ83,'Audit Values'!$A$2:$BW$365,2,FALSE)),'Preliminary SO66'!C82,VLOOKUP($CZ83,'Audit Values'!$A$2:$BW$365,73,FALSE))</f>
        <v>335</v>
      </c>
      <c r="N83" s="95">
        <f>IF(ISNA(VLOOKUP($CZ83,'Audit Values'!$A$2:$BW$365,2,FALSE)),'Preliminary SO66'!F82,VLOOKUP($CZ83,'Audit Values'!$A$2:$BW$365,4,FALSE))</f>
        <v>0</v>
      </c>
      <c r="O83" s="95">
        <f t="shared" si="46"/>
        <v>335</v>
      </c>
      <c r="P83" s="95">
        <f>IF('Military Provision'!J84="YES", MAX('2019 Legal Max'!L83,'2019 Legal Max'!I83,AVERAGE('2019 Legal Max'!F83,'2019 Legal Max'!I83,'2019 Legal Max'!L83)), MAX(L83, I83))</f>
        <v>332</v>
      </c>
      <c r="Q83" s="95">
        <f>IF(ISNA(VLOOKUP($CZ83,'Audit Values'!$A$2:$BU$353,2,FALSE)),'Preliminary SO66'!AL82,VLOOKUP($CZ83,'Audit Values'!$A$2:$BU$3955,58,FALSE))</f>
        <v>3</v>
      </c>
      <c r="R83" s="95">
        <v>0</v>
      </c>
      <c r="S83" s="95">
        <f t="shared" si="42"/>
        <v>335</v>
      </c>
      <c r="T83" s="95">
        <f t="shared" si="47"/>
        <v>158.19999999999999</v>
      </c>
      <c r="U83" s="95">
        <f>IF(ISNA(VLOOKUP($CZ83,'Audit Values'!$A$2:$BW$317,2,FALSE)),'Preliminary SO66'!AM82,VLOOKUP($CZ83,'Audit Values'!$A$2:$BW$317,62,FALSE))</f>
        <v>0</v>
      </c>
      <c r="V83" s="95">
        <f>(U83/6)*'Weighting Factors'!$Q$7</f>
        <v>0</v>
      </c>
      <c r="W83" s="132">
        <f>IF(ISNA(VLOOKUP($CZ83,'Audit Values'!$A$2:$BW$353,2,FALSE)),'Preliminary SO66'!AN82,VLOOKUP($CZ83,'Audit Values'!$A$2:$BW$353,61,FALSE))</f>
        <v>1</v>
      </c>
      <c r="X83" s="95">
        <f>W83*'Weighting Factors'!$Q$8</f>
        <v>0.2</v>
      </c>
      <c r="Y83" s="95">
        <f t="shared" si="48"/>
        <v>0.2</v>
      </c>
      <c r="Z83" s="276">
        <f>IF(ISNA(VLOOKUP($CZ83,'Audit Values'!$A$2:$BW$317,2,FALSE)),'Preliminary SO66'!AO82,VLOOKUP($CZ83,'Audit Values'!$A$2:$BW$317,60,FALSE))</f>
        <v>126.7</v>
      </c>
      <c r="AA83" s="95">
        <f>Z83/6*'Weighting Factors'!$Q$6</f>
        <v>10.6</v>
      </c>
      <c r="AB83" s="99">
        <f>IF(ISNA(VLOOKUP($CZ83,'Audit Values'!$A$2:$BU$353,2,FALSE)),'Preliminary SO66'!AS82,VLOOKUP($CZ83,'Audit Values'!$A$2:$BU$353,63,FALSE))</f>
        <v>343</v>
      </c>
      <c r="AC83" s="99">
        <v>0</v>
      </c>
      <c r="AD83" s="99">
        <f>IF(ISNA(VLOOKUP($CZ83,'Audit Values'!$A$2:$BU$353,2,FALSE)),'Preliminary SO66'!AP82,VLOOKUP($CZ83,'Audit Values'!$A$2:$BU$353,64,FALSE))</f>
        <v>127</v>
      </c>
      <c r="AE83" s="95">
        <f>IF(A83=207, AD83,MAX(AC83,AD83))*'Weighting Factors'!$Q$9</f>
        <v>61.5</v>
      </c>
      <c r="AF83" s="95">
        <f t="shared" si="49"/>
        <v>1.8</v>
      </c>
      <c r="AG83" s="95">
        <f>IF(ISNA(VLOOKUP($CZ83,'Audit Values'!$A$2:$BW$353,2,FALSE)),'Preliminary SO66'!AG82,VLOOKUP($CZ83,'Audit Values'!$A$2:$BW$353,70,FALSE))</f>
        <v>2.2000000000000002</v>
      </c>
      <c r="AH83" s="95">
        <f t="shared" si="50"/>
        <v>2.2000000000000002</v>
      </c>
      <c r="AI83" s="95">
        <f>IF(ISNA(VLOOKUP($CZ83,'Audit Values'!$A$2:$BU$353,2,FALSE)),'Preliminary SO66'!AQ82,VLOOKUP($CZ83,'Audit Values'!$A$2:$BU$353,65,FALSE))</f>
        <v>0</v>
      </c>
      <c r="AJ83" s="95">
        <f>AI83*'Weighting Factors'!$Q$10</f>
        <v>0</v>
      </c>
      <c r="AK83" s="95">
        <f>IF(ISNA(VLOOKUP($CZ83,'Audit Values'!$A$2:$BU$353,2,FALSE)),'Preliminary SO66'!AR82,VLOOKUP($CZ83,'Audit Values'!$A$2:$BU$353,66,FALSE))</f>
        <v>52</v>
      </c>
      <c r="AL83" s="95"/>
      <c r="AM83" s="99">
        <f t="shared" si="51"/>
        <v>74360</v>
      </c>
      <c r="AN83" s="99">
        <v>109397</v>
      </c>
      <c r="AO83" s="95">
        <f>MAX(AN83, AM83)/'Weighting Factors'!$Q$5</f>
        <v>26.3</v>
      </c>
      <c r="AP83" s="95">
        <f>CN83/'Weighting Factors'!$Q$5</f>
        <v>0</v>
      </c>
      <c r="AQ83" s="95">
        <v>0</v>
      </c>
      <c r="AR83" s="95">
        <f>CS83/'Weighting Factors'!$Q$5</f>
        <v>0</v>
      </c>
      <c r="AS83" s="99">
        <v>396767</v>
      </c>
      <c r="AT83" s="95">
        <f>AS83/'Weighting Factors'!$Q$5</f>
        <v>95.3</v>
      </c>
      <c r="AU83" s="95">
        <f>IF(ISNA(VLOOKUP($CZ83,'Audit Values'!$A$2:$BU$353,2,FALSE)),'Preliminary SO66'!X82,VLOOKUP($CZ83,'Audit Values'!$A$2:$BU$353,47,FALSE))</f>
        <v>0</v>
      </c>
      <c r="AV83" s="95">
        <f t="shared" si="52"/>
        <v>689.3</v>
      </c>
      <c r="AW83" s="95">
        <f t="shared" si="53"/>
        <v>594</v>
      </c>
      <c r="AX83" s="95">
        <f>IF(ISNA(VLOOKUP($CZ83,'Audit Values'!$A$2:$BU$353,2,FALSE)),'Preliminary SO66'!AA82,VLOOKUP($CZ83,'Audit Values'!$A$2:$BU$353,41,FALSE))</f>
        <v>0</v>
      </c>
      <c r="AY83" s="95">
        <f>IF(ISNA(VLOOKUP($CZ83,'Audit Values'!$A$2:$BU$353,2,FALSE)),'Preliminary SO66'!AB82,VLOOKUP($CZ83,'Audit Values'!$A$2:$BU$353,42,FALSE))</f>
        <v>0</v>
      </c>
      <c r="AZ83" s="114">
        <v>0</v>
      </c>
      <c r="BA83" s="99">
        <f>SUM(AX83*'Weighting Factors'!$T$10)+('2019 Legal Max'!AY83*'Weighting Factors'!$T$11)+('2019 Legal Max'!AZ83*'Weighting Factors'!$T$12)</f>
        <v>0</v>
      </c>
      <c r="BB83" s="158">
        <v>0</v>
      </c>
      <c r="BC83" s="88">
        <f>IF(ISNA(VLOOKUP($CZ83,'Audit Values'!$A$2:$BU$353,2,FALSE)),"",IF(AND('Weighting Factors'!H83&gt;0,VLOOKUP($CZ83,'Audit Values'!$A$2:$BU$353,51,FALSE)&lt;'Weighting Factors'!H83),'Weighting Factors'!H83,VLOOKUP($CZ83,'Audit Values'!$A$2:$BU$353,50,FALSE)))</f>
        <v>8</v>
      </c>
      <c r="BD83" s="88" t="str">
        <f>IF(ISNA(VLOOKUP($CZ83,'Audit Values'!$A$2:$BV$353,2,FALSE)),"",VLOOKUP($CZ83,'Audit Values'!$A$2:$BV$353,51,FALSE))</f>
        <v>A</v>
      </c>
      <c r="BE83" s="88" t="str">
        <f>IF('Weighting Factors'!H83="","",IF('Weighting Factors'!J83="Pending","PX","R"))</f>
        <v/>
      </c>
      <c r="BF83" s="97">
        <f>SUM((S83+T83+Y83+AA83+AE83+AH83+AJ83++AO83+AP83+AQ83+AU83+AR83)*'Weighting Factors'!$Q$5)+'2019 Legal Max'!BA83+'2019 Legal Max'!BB83</f>
        <v>2474010</v>
      </c>
      <c r="BG83" s="99">
        <f>SUM((AV83+AR83)*'Weighting Factors'!$Q$5)+BA83+'2019 Legal Max'!BB83</f>
        <v>2870935</v>
      </c>
      <c r="BH83" s="108">
        <f>IF('Weighting Factors'!H83&gt;0,'Weighting Factors'!H83,'Preliminary SO66'!AV82)</f>
        <v>3042932</v>
      </c>
      <c r="BI83" s="99">
        <f t="shared" si="77"/>
        <v>2870935</v>
      </c>
      <c r="BJ83" s="112"/>
      <c r="BK83" s="112">
        <f>'Weighting Factors'!F83</f>
        <v>-12778</v>
      </c>
      <c r="BL83" s="112">
        <f>'Weighting Factors'!E83</f>
        <v>0</v>
      </c>
      <c r="BM83" s="99">
        <f t="shared" si="54"/>
        <v>-12778</v>
      </c>
      <c r="BN83" s="99">
        <f t="shared" si="55"/>
        <v>2858157</v>
      </c>
      <c r="BO83" s="99">
        <f>SUM((S83+T83+Y83+AA83+AE83+AH83+AJ83++AO83+AP83+AQ83+AR83)*'Weighting Factors'!Q$12)+(MAX(AS83,'Weighting Factors'!B83))</f>
        <v>3063827</v>
      </c>
      <c r="BP83" s="122">
        <v>0.3</v>
      </c>
      <c r="BQ83" s="99">
        <f t="shared" si="56"/>
        <v>919148</v>
      </c>
      <c r="BR83" s="108">
        <v>958861</v>
      </c>
      <c r="BS83" s="99">
        <f t="shared" si="57"/>
        <v>919148</v>
      </c>
      <c r="BT83" s="167">
        <f t="shared" si="58"/>
        <v>0.3</v>
      </c>
      <c r="BU83" s="95">
        <f t="shared" si="59"/>
        <v>0</v>
      </c>
      <c r="BV83" s="87" t="b">
        <f t="shared" si="60"/>
        <v>0</v>
      </c>
      <c r="BW83" s="117">
        <f t="shared" si="61"/>
        <v>0</v>
      </c>
      <c r="BX83" s="116">
        <f t="shared" si="62"/>
        <v>0</v>
      </c>
      <c r="BY83" s="95">
        <f t="shared" si="63"/>
        <v>0</v>
      </c>
      <c r="BZ83" s="87" t="b">
        <f t="shared" si="64"/>
        <v>1</v>
      </c>
      <c r="CA83" s="87">
        <f t="shared" si="65"/>
        <v>43.3125</v>
      </c>
      <c r="CB83" s="116">
        <f t="shared" si="66"/>
        <v>0.47229500000000002</v>
      </c>
      <c r="CC83" s="95">
        <f t="shared" si="67"/>
        <v>158.19999999999999</v>
      </c>
      <c r="CD83" s="95">
        <f t="shared" si="68"/>
        <v>0</v>
      </c>
      <c r="CE83" s="98">
        <v>444.8</v>
      </c>
      <c r="CF83" s="250">
        <f t="shared" si="69"/>
        <v>0.11700000000000001</v>
      </c>
      <c r="CG83" s="274">
        <f>IF(CF83&lt;0.06,1,IF(CF83&gt;=18.29,52,MATCH(CF83-0.001,'Weighting Factors'!$Y$5:$Y$156)+1))</f>
        <v>7</v>
      </c>
      <c r="CH83" s="243">
        <f>VLOOKUP(CG83, 'Weighting Factors'!$W$5:$Z$56,4)</f>
        <v>1430</v>
      </c>
      <c r="CI83" s="118">
        <f>('Weighting Factors'!$Q$5/'Weighting Factors'!$Q$14)</f>
        <v>1</v>
      </c>
      <c r="CJ83" s="245">
        <f t="shared" si="70"/>
        <v>74360</v>
      </c>
      <c r="CK83" s="245">
        <f>CJ83*'Weighting Factors'!$S$7</f>
        <v>74360</v>
      </c>
      <c r="CL83" s="245">
        <f t="shared" si="71"/>
        <v>74360</v>
      </c>
      <c r="CM83" s="95">
        <f>AM83/'Weighting Factors'!$Q$5</f>
        <v>17.899999999999999</v>
      </c>
      <c r="CN83" s="148">
        <v>0</v>
      </c>
      <c r="CO83" s="148">
        <v>0</v>
      </c>
      <c r="CP83" s="149">
        <v>0</v>
      </c>
      <c r="CQ83" s="151">
        <v>0</v>
      </c>
      <c r="CR83" s="99">
        <f>SUM((AV83*'Weighting Factors'!$Q$5)+'2019 Legal Max'!BA83)*CQ83</f>
        <v>0</v>
      </c>
      <c r="CS83" s="99">
        <f t="shared" si="72"/>
        <v>0</v>
      </c>
      <c r="CT83" s="106">
        <f t="shared" si="73"/>
        <v>0.37030000000000002</v>
      </c>
      <c r="CU83" s="95">
        <f t="shared" si="74"/>
        <v>0</v>
      </c>
      <c r="CV83" s="95">
        <f t="shared" si="75"/>
        <v>1.8</v>
      </c>
      <c r="CW83" s="95">
        <f t="shared" si="76"/>
        <v>689.3</v>
      </c>
      <c r="CX83" s="99">
        <f>'LOB Transfers'!G82</f>
        <v>82356</v>
      </c>
      <c r="CY83" s="99">
        <f>'LOB Transfers'!J82</f>
        <v>276</v>
      </c>
      <c r="CZ83" s="87" t="s">
        <v>275</v>
      </c>
    </row>
    <row r="84" spans="1:104" ht="15" customHeight="1">
      <c r="A84" s="88">
        <v>272</v>
      </c>
      <c r="B84" s="87" t="s">
        <v>36</v>
      </c>
      <c r="C84" s="87" t="s">
        <v>597</v>
      </c>
      <c r="D84" s="95">
        <v>288</v>
      </c>
      <c r="E84" s="95">
        <v>0</v>
      </c>
      <c r="F84" s="95">
        <f t="shared" si="43"/>
        <v>288</v>
      </c>
      <c r="G84" s="95">
        <v>306</v>
      </c>
      <c r="H84" s="95">
        <v>0</v>
      </c>
      <c r="I84" s="95">
        <f t="shared" si="44"/>
        <v>306</v>
      </c>
      <c r="J84" s="95">
        <v>281.5</v>
      </c>
      <c r="K84" s="95">
        <v>0</v>
      </c>
      <c r="L84" s="95">
        <f t="shared" si="45"/>
        <v>281.5</v>
      </c>
      <c r="M84" s="95">
        <f>IF(ISNA(VLOOKUP($CZ84,'Audit Values'!$A$2:$BW$365,2,FALSE)),'Preliminary SO66'!C83,VLOOKUP($CZ84,'Audit Values'!$A$2:$BW$365,73,FALSE))</f>
        <v>279</v>
      </c>
      <c r="N84" s="95">
        <f>IF(ISNA(VLOOKUP($CZ84,'Audit Values'!$A$2:$BW$365,2,FALSE)),'Preliminary SO66'!F83,VLOOKUP($CZ84,'Audit Values'!$A$2:$BW$365,4,FALSE))</f>
        <v>0</v>
      </c>
      <c r="O84" s="95">
        <f t="shared" si="46"/>
        <v>279</v>
      </c>
      <c r="P84" s="95">
        <f>IF('Military Provision'!J85="YES", MAX('2019 Legal Max'!L84,'2019 Legal Max'!I84,AVERAGE('2019 Legal Max'!F84,'2019 Legal Max'!I84,'2019 Legal Max'!L84)), MAX(L84, I84))</f>
        <v>306</v>
      </c>
      <c r="Q84" s="95">
        <f>IF(ISNA(VLOOKUP($CZ84,'Audit Values'!$A$2:$BU$353,2,FALSE)),'Preliminary SO66'!AL83,VLOOKUP($CZ84,'Audit Values'!$A$2:$BU$3955,58,FALSE))</f>
        <v>6.5</v>
      </c>
      <c r="R84" s="95">
        <v>0</v>
      </c>
      <c r="S84" s="95">
        <f t="shared" ref="S84:S115" si="78">P84+Q84</f>
        <v>312.5</v>
      </c>
      <c r="T84" s="95">
        <f t="shared" si="47"/>
        <v>150</v>
      </c>
      <c r="U84" s="95">
        <f>IF(ISNA(VLOOKUP($CZ84,'Audit Values'!$A$2:$BW$317,2,FALSE)),'Preliminary SO66'!AM83,VLOOKUP($CZ84,'Audit Values'!$A$2:$BW$317,62,FALSE))</f>
        <v>0</v>
      </c>
      <c r="V84" s="95">
        <f>(U84/6)*'Weighting Factors'!$Q$7</f>
        <v>0</v>
      </c>
      <c r="W84" s="132">
        <f>IF(ISNA(VLOOKUP($CZ84,'Audit Values'!$A$2:$BW$353,2,FALSE)),'Preliminary SO66'!AN83,VLOOKUP($CZ84,'Audit Values'!$A$2:$BW$353,61,FALSE))</f>
        <v>0</v>
      </c>
      <c r="X84" s="95">
        <f>W84*'Weighting Factors'!$Q$8</f>
        <v>0</v>
      </c>
      <c r="Y84" s="95">
        <f t="shared" si="48"/>
        <v>0</v>
      </c>
      <c r="Z84" s="276">
        <f>IF(ISNA(VLOOKUP($CZ84,'Audit Values'!$A$2:$BW$317,2,FALSE)),'Preliminary SO66'!AO83,VLOOKUP($CZ84,'Audit Values'!$A$2:$BW$317,60,FALSE))</f>
        <v>80.400000000000006</v>
      </c>
      <c r="AA84" s="95">
        <f>Z84/6*'Weighting Factors'!$Q$6</f>
        <v>6.7</v>
      </c>
      <c r="AB84" s="99">
        <f>IF(ISNA(VLOOKUP($CZ84,'Audit Values'!$A$2:$BU$353,2,FALSE)),'Preliminary SO66'!AS83,VLOOKUP($CZ84,'Audit Values'!$A$2:$BU$353,63,FALSE))</f>
        <v>300</v>
      </c>
      <c r="AC84" s="99">
        <v>0</v>
      </c>
      <c r="AD84" s="99">
        <f>IF(ISNA(VLOOKUP($CZ84,'Audit Values'!$A$2:$BU$353,2,FALSE)),'Preliminary SO66'!AP83,VLOOKUP($CZ84,'Audit Values'!$A$2:$BU$353,64,FALSE))</f>
        <v>90</v>
      </c>
      <c r="AE84" s="95">
        <f>IF(A84=207, AD84,MAX(AC84,AD84))*'Weighting Factors'!$Q$9</f>
        <v>43.6</v>
      </c>
      <c r="AF84" s="95">
        <f t="shared" si="49"/>
        <v>0</v>
      </c>
      <c r="AG84" s="95">
        <f>IF(ISNA(VLOOKUP($CZ84,'Audit Values'!$A$2:$BW$353,2,FALSE)),'Preliminary SO66'!AG83,VLOOKUP($CZ84,'Audit Values'!$A$2:$BW$353,70,FALSE))</f>
        <v>0.4</v>
      </c>
      <c r="AH84" s="95">
        <f t="shared" si="50"/>
        <v>0.4</v>
      </c>
      <c r="AI84" s="95">
        <f>IF(ISNA(VLOOKUP($CZ84,'Audit Values'!$A$2:$BU$353,2,FALSE)),'Preliminary SO66'!AQ83,VLOOKUP($CZ84,'Audit Values'!$A$2:$BU$353,65,FALSE))</f>
        <v>0</v>
      </c>
      <c r="AJ84" s="95">
        <f>AI84*'Weighting Factors'!$Q$10</f>
        <v>0</v>
      </c>
      <c r="AK84" s="95">
        <f>IF(ISNA(VLOOKUP($CZ84,'Audit Values'!$A$2:$BU$353,2,FALSE)),'Preliminary SO66'!AR83,VLOOKUP($CZ84,'Audit Values'!$A$2:$BU$353,66,FALSE))</f>
        <v>145</v>
      </c>
      <c r="AL84" s="95"/>
      <c r="AM84" s="99">
        <f t="shared" si="51"/>
        <v>166750</v>
      </c>
      <c r="AN84" s="99">
        <v>181814</v>
      </c>
      <c r="AO84" s="95">
        <f>MAX(AN84, AM84)/'Weighting Factors'!$Q$5</f>
        <v>43.7</v>
      </c>
      <c r="AP84" s="95">
        <f>CN84/'Weighting Factors'!$Q$5</f>
        <v>0</v>
      </c>
      <c r="AQ84" s="95">
        <v>0</v>
      </c>
      <c r="AR84" s="95">
        <f>CS84/'Weighting Factors'!$Q$5</f>
        <v>0</v>
      </c>
      <c r="AS84" s="99">
        <v>350246</v>
      </c>
      <c r="AT84" s="95">
        <f>AS84/'Weighting Factors'!$Q$5</f>
        <v>84.1</v>
      </c>
      <c r="AU84" s="95">
        <f>IF(ISNA(VLOOKUP($CZ84,'Audit Values'!$A$2:$BU$353,2,FALSE)),'Preliminary SO66'!X83,VLOOKUP($CZ84,'Audit Values'!$A$2:$BU$353,47,FALSE))</f>
        <v>1</v>
      </c>
      <c r="AV84" s="95">
        <f t="shared" si="52"/>
        <v>642</v>
      </c>
      <c r="AW84" s="95">
        <f t="shared" si="53"/>
        <v>557.9</v>
      </c>
      <c r="AX84" s="95">
        <f>IF(ISNA(VLOOKUP($CZ84,'Audit Values'!$A$2:$BU$353,2,FALSE)),'Preliminary SO66'!AA83,VLOOKUP($CZ84,'Audit Values'!$A$2:$BU$353,41,FALSE))</f>
        <v>0</v>
      </c>
      <c r="AY84" s="95">
        <f>IF(ISNA(VLOOKUP($CZ84,'Audit Values'!$A$2:$BU$353,2,FALSE)),'Preliminary SO66'!AB83,VLOOKUP($CZ84,'Audit Values'!$A$2:$BU$353,42,FALSE))</f>
        <v>0</v>
      </c>
      <c r="AZ84" s="114">
        <v>0</v>
      </c>
      <c r="BA84" s="99">
        <f>SUM(AX84*'Weighting Factors'!$T$10)+('2019 Legal Max'!AY84*'Weighting Factors'!$T$11)+('2019 Legal Max'!AZ84*'Weighting Factors'!$T$12)</f>
        <v>0</v>
      </c>
      <c r="BB84" s="158">
        <v>0</v>
      </c>
      <c r="BC84" s="88">
        <f>IF(ISNA(VLOOKUP($CZ84,'Audit Values'!$A$2:$BU$353,2,FALSE)),"",IF(AND('Weighting Factors'!H84&gt;0,VLOOKUP($CZ84,'Audit Values'!$A$2:$BU$353,51,FALSE)&lt;'Weighting Factors'!H84),'Weighting Factors'!H84,VLOOKUP($CZ84,'Audit Values'!$A$2:$BU$353,50,FALSE)))</f>
        <v>14</v>
      </c>
      <c r="BD84" s="88" t="str">
        <f>IF(ISNA(VLOOKUP($CZ84,'Audit Values'!$A$2:$BV$353,2,FALSE)),"",VLOOKUP($CZ84,'Audit Values'!$A$2:$BV$353,51,FALSE))</f>
        <v>A</v>
      </c>
      <c r="BE84" s="88" t="str">
        <f>IF('Weighting Factors'!H84="","",IF('Weighting Factors'!J84="Pending","PX","R"))</f>
        <v>R</v>
      </c>
      <c r="BF84" s="97">
        <f>SUM((S84+T84+Y84+AA84+AE84+AH84+AJ84++AO84+AP84+AQ84+AU84+AR84)*'Weighting Factors'!$Q$5)+'2019 Legal Max'!BA84+'2019 Legal Max'!BB84</f>
        <v>2323654</v>
      </c>
      <c r="BG84" s="99">
        <f>SUM((AV84+AR84)*'Weighting Factors'!$Q$5)+BA84+'2019 Legal Max'!BB84</f>
        <v>2673930</v>
      </c>
      <c r="BH84" s="108">
        <f>IF('Weighting Factors'!H84&gt;0,'Weighting Factors'!H84,'Preliminary SO66'!AV83)</f>
        <v>2772641</v>
      </c>
      <c r="BI84" s="99">
        <f t="shared" si="77"/>
        <v>2673930</v>
      </c>
      <c r="BJ84" s="112"/>
      <c r="BK84" s="112">
        <f>'Weighting Factors'!F84</f>
        <v>-48555</v>
      </c>
      <c r="BL84" s="112">
        <f>'Weighting Factors'!E84</f>
        <v>0</v>
      </c>
      <c r="BM84" s="99">
        <f t="shared" si="54"/>
        <v>-48555</v>
      </c>
      <c r="BN84" s="99">
        <f t="shared" si="55"/>
        <v>2625375</v>
      </c>
      <c r="BO84" s="99">
        <f>SUM((S84+T84+Y84+AA84+AE84+AH84+AJ84++AO84+AP84+AQ84+AR84)*'Weighting Factors'!Q$12)+(MAX(AS84,'Weighting Factors'!B84))</f>
        <v>2873961</v>
      </c>
      <c r="BP84" s="122">
        <v>0.3</v>
      </c>
      <c r="BQ84" s="99">
        <f t="shared" si="56"/>
        <v>862188</v>
      </c>
      <c r="BR84" s="108">
        <v>877381</v>
      </c>
      <c r="BS84" s="99">
        <f t="shared" si="57"/>
        <v>862188</v>
      </c>
      <c r="BT84" s="167">
        <f t="shared" si="58"/>
        <v>0.3</v>
      </c>
      <c r="BU84" s="95">
        <f t="shared" si="59"/>
        <v>0</v>
      </c>
      <c r="BV84" s="87" t="b">
        <f t="shared" si="60"/>
        <v>0</v>
      </c>
      <c r="BW84" s="117">
        <f t="shared" si="61"/>
        <v>0</v>
      </c>
      <c r="BX84" s="116">
        <f t="shared" si="62"/>
        <v>0</v>
      </c>
      <c r="BY84" s="95">
        <f t="shared" si="63"/>
        <v>0</v>
      </c>
      <c r="BZ84" s="87" t="b">
        <f t="shared" si="64"/>
        <v>1</v>
      </c>
      <c r="CA84" s="87">
        <f t="shared" si="65"/>
        <v>15.4688</v>
      </c>
      <c r="CB84" s="116">
        <f t="shared" si="66"/>
        <v>0.479939</v>
      </c>
      <c r="CC84" s="95">
        <f t="shared" si="67"/>
        <v>150</v>
      </c>
      <c r="CD84" s="95">
        <f t="shared" si="68"/>
        <v>0</v>
      </c>
      <c r="CE84" s="98">
        <v>411.3</v>
      </c>
      <c r="CF84" s="250">
        <f t="shared" si="69"/>
        <v>0.35299999999999998</v>
      </c>
      <c r="CG84" s="274">
        <f>IF(CF84&lt;0.06,1,IF(CF84&gt;=18.29,52,MATCH(CF84-0.001,'Weighting Factors'!$Y$5:$Y$156)+1))</f>
        <v>22</v>
      </c>
      <c r="CH84" s="243">
        <f>VLOOKUP(CG84, 'Weighting Factors'!$W$5:$Z$56,4)</f>
        <v>1150</v>
      </c>
      <c r="CI84" s="118">
        <f>('Weighting Factors'!$Q$5/'Weighting Factors'!$Q$14)</f>
        <v>1</v>
      </c>
      <c r="CJ84" s="245">
        <f t="shared" si="70"/>
        <v>166750</v>
      </c>
      <c r="CK84" s="245">
        <f>CJ84*'Weighting Factors'!$S$7</f>
        <v>166750</v>
      </c>
      <c r="CL84" s="245">
        <f t="shared" si="71"/>
        <v>166750</v>
      </c>
      <c r="CM84" s="95">
        <f>AM84/'Weighting Factors'!$Q$5</f>
        <v>40</v>
      </c>
      <c r="CN84" s="148">
        <v>0</v>
      </c>
      <c r="CO84" s="148">
        <v>0</v>
      </c>
      <c r="CP84" s="149">
        <v>0</v>
      </c>
      <c r="CQ84" s="151">
        <v>0</v>
      </c>
      <c r="CR84" s="99">
        <f>SUM((AV84*'Weighting Factors'!$Q$5)+'2019 Legal Max'!BA84)*CQ84</f>
        <v>0</v>
      </c>
      <c r="CS84" s="99">
        <f t="shared" si="72"/>
        <v>0</v>
      </c>
      <c r="CT84" s="106">
        <f t="shared" si="73"/>
        <v>0.3</v>
      </c>
      <c r="CU84" s="95">
        <f t="shared" si="74"/>
        <v>0</v>
      </c>
      <c r="CV84" s="95">
        <f t="shared" si="75"/>
        <v>0</v>
      </c>
      <c r="CW84" s="95">
        <f t="shared" si="76"/>
        <v>642</v>
      </c>
      <c r="CX84" s="99">
        <f>'LOB Transfers'!G83</f>
        <v>59232</v>
      </c>
      <c r="CY84" s="99">
        <f>'LOB Transfers'!J83</f>
        <v>0</v>
      </c>
      <c r="CZ84" s="87" t="s">
        <v>276</v>
      </c>
    </row>
    <row r="85" spans="1:104" ht="15" customHeight="1">
      <c r="A85" s="88">
        <v>273</v>
      </c>
      <c r="B85" s="87" t="s">
        <v>36</v>
      </c>
      <c r="C85" s="87" t="s">
        <v>598</v>
      </c>
      <c r="D85" s="95">
        <v>754.5</v>
      </c>
      <c r="E85" s="95">
        <v>0</v>
      </c>
      <c r="F85" s="95">
        <f t="shared" si="43"/>
        <v>754.5</v>
      </c>
      <c r="G85" s="95">
        <v>762.2</v>
      </c>
      <c r="H85" s="95">
        <v>0</v>
      </c>
      <c r="I85" s="95">
        <f t="shared" si="44"/>
        <v>762.2</v>
      </c>
      <c r="J85" s="95">
        <v>742.2</v>
      </c>
      <c r="K85" s="95">
        <v>0</v>
      </c>
      <c r="L85" s="95">
        <f t="shared" si="45"/>
        <v>742.2</v>
      </c>
      <c r="M85" s="95">
        <f>IF(ISNA(VLOOKUP($CZ85,'Audit Values'!$A$2:$BW$365,2,FALSE)),'Preliminary SO66'!C84,VLOOKUP($CZ85,'Audit Values'!$A$2:$BW$365,73,FALSE))</f>
        <v>765.1</v>
      </c>
      <c r="N85" s="95">
        <f>IF(ISNA(VLOOKUP($CZ85,'Audit Values'!$A$2:$BW$365,2,FALSE)),'Preliminary SO66'!F84,VLOOKUP($CZ85,'Audit Values'!$A$2:$BW$365,4,FALSE))</f>
        <v>0</v>
      </c>
      <c r="O85" s="95">
        <f t="shared" si="46"/>
        <v>765.1</v>
      </c>
      <c r="P85" s="95">
        <f>IF('Military Provision'!J86="YES", MAX('2019 Legal Max'!L85,'2019 Legal Max'!I85,AVERAGE('2019 Legal Max'!F85,'2019 Legal Max'!I85,'2019 Legal Max'!L85)), MAX(L85, I85))</f>
        <v>762.2</v>
      </c>
      <c r="Q85" s="95">
        <f>IF(ISNA(VLOOKUP($CZ85,'Audit Values'!$A$2:$BU$353,2,FALSE)),'Preliminary SO66'!AL84,VLOOKUP($CZ85,'Audit Values'!$A$2:$BU$3955,58,FALSE))</f>
        <v>16.5</v>
      </c>
      <c r="R85" s="95">
        <v>0</v>
      </c>
      <c r="S85" s="95">
        <f t="shared" si="78"/>
        <v>778.7</v>
      </c>
      <c r="T85" s="95">
        <f t="shared" si="47"/>
        <v>250.4</v>
      </c>
      <c r="U85" s="95">
        <f>IF(ISNA(VLOOKUP($CZ85,'Audit Values'!$A$2:$BW$317,2,FALSE)),'Preliminary SO66'!AM84,VLOOKUP($CZ85,'Audit Values'!$A$2:$BW$317,62,FALSE))</f>
        <v>23.9</v>
      </c>
      <c r="V85" s="95">
        <f>(U85/6)*'Weighting Factors'!$Q$7</f>
        <v>1.6</v>
      </c>
      <c r="W85" s="132">
        <f>IF(ISNA(VLOOKUP($CZ85,'Audit Values'!$A$2:$BW$353,2,FALSE)),'Preliminary SO66'!AN84,VLOOKUP($CZ85,'Audit Values'!$A$2:$BW$353,61,FALSE))</f>
        <v>15</v>
      </c>
      <c r="X85" s="95">
        <f>W85*'Weighting Factors'!$Q$8</f>
        <v>2.8</v>
      </c>
      <c r="Y85" s="95">
        <f t="shared" si="48"/>
        <v>2.8</v>
      </c>
      <c r="Z85" s="276">
        <f>IF(ISNA(VLOOKUP($CZ85,'Audit Values'!$A$2:$BW$317,2,FALSE)),'Preliminary SO66'!AO84,VLOOKUP($CZ85,'Audit Values'!$A$2:$BW$317,60,FALSE))</f>
        <v>223.8</v>
      </c>
      <c r="AA85" s="95">
        <f>Z85/6*'Weighting Factors'!$Q$6</f>
        <v>18.7</v>
      </c>
      <c r="AB85" s="99">
        <f>IF(ISNA(VLOOKUP($CZ85,'Audit Values'!$A$2:$BU$353,2,FALSE)),'Preliminary SO66'!AS84,VLOOKUP($CZ85,'Audit Values'!$A$2:$BU$353,63,FALSE))</f>
        <v>806</v>
      </c>
      <c r="AC85" s="99">
        <v>0</v>
      </c>
      <c r="AD85" s="99">
        <f>IF(ISNA(VLOOKUP($CZ85,'Audit Values'!$A$2:$BU$353,2,FALSE)),'Preliminary SO66'!AP84,VLOOKUP($CZ85,'Audit Values'!$A$2:$BU$353,64,FALSE))</f>
        <v>245</v>
      </c>
      <c r="AE85" s="95">
        <f>IF(A85=207, AD85,MAX(AC85,AD85))*'Weighting Factors'!$Q$9</f>
        <v>118.6</v>
      </c>
      <c r="AF85" s="95">
        <f t="shared" si="49"/>
        <v>0</v>
      </c>
      <c r="AG85" s="95">
        <f>IF(ISNA(VLOOKUP($CZ85,'Audit Values'!$A$2:$BW$353,2,FALSE)),'Preliminary SO66'!AG84,VLOOKUP($CZ85,'Audit Values'!$A$2:$BW$353,70,FALSE))</f>
        <v>0</v>
      </c>
      <c r="AH85" s="95">
        <f t="shared" si="50"/>
        <v>0</v>
      </c>
      <c r="AI85" s="95">
        <f>IF(ISNA(VLOOKUP($CZ85,'Audit Values'!$A$2:$BU$353,2,FALSE)),'Preliminary SO66'!AQ84,VLOOKUP($CZ85,'Audit Values'!$A$2:$BU$353,65,FALSE))</f>
        <v>0</v>
      </c>
      <c r="AJ85" s="95">
        <f>AI85*'Weighting Factors'!$Q$10</f>
        <v>0</v>
      </c>
      <c r="AK85" s="95">
        <f>IF(ISNA(VLOOKUP($CZ85,'Audit Values'!$A$2:$BU$353,2,FALSE)),'Preliminary SO66'!AR84,VLOOKUP($CZ85,'Audit Values'!$A$2:$BU$353,66,FALSE))</f>
        <v>115</v>
      </c>
      <c r="AL85" s="95"/>
      <c r="AM85" s="99">
        <f t="shared" si="51"/>
        <v>148350</v>
      </c>
      <c r="AN85" s="99">
        <v>203771</v>
      </c>
      <c r="AO85" s="95">
        <f>MAX(AN85, AM85)/'Weighting Factors'!$Q$5</f>
        <v>48.9</v>
      </c>
      <c r="AP85" s="95">
        <f>CN85/'Weighting Factors'!$Q$5</f>
        <v>0</v>
      </c>
      <c r="AQ85" s="95">
        <v>0</v>
      </c>
      <c r="AR85" s="95">
        <f>CS85/'Weighting Factors'!$Q$5</f>
        <v>0</v>
      </c>
      <c r="AS85" s="99">
        <v>1025001</v>
      </c>
      <c r="AT85" s="95">
        <f>AS85/'Weighting Factors'!$Q$5</f>
        <v>246.1</v>
      </c>
      <c r="AU85" s="95">
        <f>IF(ISNA(VLOOKUP($CZ85,'Audit Values'!$A$2:$BU$353,2,FALSE)),'Preliminary SO66'!X84,VLOOKUP($CZ85,'Audit Values'!$A$2:$BU$353,47,FALSE))</f>
        <v>1</v>
      </c>
      <c r="AV85" s="95">
        <f t="shared" si="52"/>
        <v>1465.2</v>
      </c>
      <c r="AW85" s="95">
        <f t="shared" si="53"/>
        <v>1219.0999999999999</v>
      </c>
      <c r="AX85" s="95">
        <f>IF(ISNA(VLOOKUP($CZ85,'Audit Values'!$A$2:$BU$353,2,FALSE)),'Preliminary SO66'!AA84,VLOOKUP($CZ85,'Audit Values'!$A$2:$BU$353,41,FALSE))</f>
        <v>0</v>
      </c>
      <c r="AY85" s="95">
        <f>IF(ISNA(VLOOKUP($CZ85,'Audit Values'!$A$2:$BU$353,2,FALSE)),'Preliminary SO66'!AB84,VLOOKUP($CZ85,'Audit Values'!$A$2:$BU$353,42,FALSE))</f>
        <v>0</v>
      </c>
      <c r="AZ85" s="114">
        <v>0</v>
      </c>
      <c r="BA85" s="99">
        <f>SUM(AX85*'Weighting Factors'!$T$10)+('2019 Legal Max'!AY85*'Weighting Factors'!$T$11)+('2019 Legal Max'!AZ85*'Weighting Factors'!$T$12)</f>
        <v>0</v>
      </c>
      <c r="BB85" s="158">
        <v>0</v>
      </c>
      <c r="BC85" s="88">
        <f>IF(ISNA(VLOOKUP($CZ85,'Audit Values'!$A$2:$BU$353,2,FALSE)),"",IF(AND('Weighting Factors'!H85&gt;0,VLOOKUP($CZ85,'Audit Values'!$A$2:$BU$353,51,FALSE)&lt;'Weighting Factors'!H85),'Weighting Factors'!H85,VLOOKUP($CZ85,'Audit Values'!$A$2:$BU$353,50,FALSE)))</f>
        <v>17</v>
      </c>
      <c r="BD85" s="88" t="str">
        <f>IF(ISNA(VLOOKUP($CZ85,'Audit Values'!$A$2:$BV$353,2,FALSE)),"",VLOOKUP($CZ85,'Audit Values'!$A$2:$BV$353,51,FALSE))</f>
        <v>A</v>
      </c>
      <c r="BE85" s="88" t="str">
        <f>IF('Weighting Factors'!H85="","",IF('Weighting Factors'!J85="Pending","PX","R"))</f>
        <v/>
      </c>
      <c r="BF85" s="97">
        <f>SUM((S85+T85+Y85+AA85+AE85+AH85+AJ85++AO85+AP85+AQ85+AU85+AR85)*'Weighting Factors'!$Q$5)+'2019 Legal Max'!BA85+'2019 Legal Max'!BB85</f>
        <v>5077552</v>
      </c>
      <c r="BG85" s="99">
        <f>SUM((AV85+AR85)*'Weighting Factors'!$Q$5)+BA85+'2019 Legal Max'!BB85</f>
        <v>6102558</v>
      </c>
      <c r="BH85" s="108">
        <f>IF('Weighting Factors'!H85&gt;0,'Weighting Factors'!H85,'Preliminary SO66'!AV84)</f>
        <v>6391193</v>
      </c>
      <c r="BI85" s="99">
        <f t="shared" si="77"/>
        <v>6102558</v>
      </c>
      <c r="BJ85" s="112"/>
      <c r="BK85" s="112">
        <f>'Weighting Factors'!F85</f>
        <v>0</v>
      </c>
      <c r="BL85" s="112">
        <f>'Weighting Factors'!E85</f>
        <v>0</v>
      </c>
      <c r="BM85" s="99">
        <f t="shared" si="54"/>
        <v>0</v>
      </c>
      <c r="BN85" s="99">
        <f t="shared" si="55"/>
        <v>6102558</v>
      </c>
      <c r="BO85" s="99">
        <f>SUM((S85+T85+Y85+AA85+AE85+AH85+AJ85++AO85+AP85+AQ85+AR85)*'Weighting Factors'!Q$12)+(MAX(AS85,'Weighting Factors'!B85))</f>
        <v>6494270</v>
      </c>
      <c r="BP85" s="122">
        <v>0.3</v>
      </c>
      <c r="BQ85" s="99">
        <f t="shared" si="56"/>
        <v>1948281</v>
      </c>
      <c r="BR85" s="108">
        <v>2035255</v>
      </c>
      <c r="BS85" s="99">
        <f t="shared" si="57"/>
        <v>1948281</v>
      </c>
      <c r="BT85" s="167">
        <f t="shared" si="58"/>
        <v>0.3</v>
      </c>
      <c r="BU85" s="95">
        <f t="shared" si="59"/>
        <v>0</v>
      </c>
      <c r="BV85" s="87" t="b">
        <f t="shared" si="60"/>
        <v>0</v>
      </c>
      <c r="BW85" s="117">
        <f t="shared" si="61"/>
        <v>0</v>
      </c>
      <c r="BX85" s="116">
        <f t="shared" si="62"/>
        <v>0</v>
      </c>
      <c r="BY85" s="95">
        <f t="shared" si="63"/>
        <v>0</v>
      </c>
      <c r="BZ85" s="87" t="b">
        <f t="shared" si="64"/>
        <v>1</v>
      </c>
      <c r="CA85" s="87">
        <f t="shared" si="65"/>
        <v>592.3913</v>
      </c>
      <c r="CB85" s="116">
        <f t="shared" si="66"/>
        <v>0.32154899999999997</v>
      </c>
      <c r="CC85" s="95">
        <f t="shared" si="67"/>
        <v>250.4</v>
      </c>
      <c r="CD85" s="95">
        <f t="shared" si="68"/>
        <v>0</v>
      </c>
      <c r="CE85" s="98">
        <v>565</v>
      </c>
      <c r="CF85" s="250">
        <f t="shared" si="69"/>
        <v>0.20399999999999999</v>
      </c>
      <c r="CG85" s="274">
        <f>IF(CF85&lt;0.06,1,IF(CF85&gt;=18.29,52,MATCH(CF85-0.001,'Weighting Factors'!$Y$5:$Y$156)+1))</f>
        <v>15</v>
      </c>
      <c r="CH85" s="243">
        <f>VLOOKUP(CG85, 'Weighting Factors'!$W$5:$Z$56,4)</f>
        <v>1290</v>
      </c>
      <c r="CI85" s="118">
        <f>('Weighting Factors'!$Q$5/'Weighting Factors'!$Q$14)</f>
        <v>1</v>
      </c>
      <c r="CJ85" s="245">
        <f t="shared" si="70"/>
        <v>148350</v>
      </c>
      <c r="CK85" s="245">
        <f>CJ85*'Weighting Factors'!$S$7</f>
        <v>148350</v>
      </c>
      <c r="CL85" s="245">
        <f t="shared" si="71"/>
        <v>148350</v>
      </c>
      <c r="CM85" s="95">
        <f>AM85/'Weighting Factors'!$Q$5</f>
        <v>35.6</v>
      </c>
      <c r="CN85" s="148">
        <v>0</v>
      </c>
      <c r="CO85" s="148">
        <v>0</v>
      </c>
      <c r="CP85" s="149">
        <v>0</v>
      </c>
      <c r="CQ85" s="151">
        <v>0</v>
      </c>
      <c r="CR85" s="99">
        <f>SUM((AV85*'Weighting Factors'!$Q$5)+'2019 Legal Max'!BA85)*CQ85</f>
        <v>0</v>
      </c>
      <c r="CS85" s="99">
        <f t="shared" si="72"/>
        <v>0</v>
      </c>
      <c r="CT85" s="106">
        <f t="shared" si="73"/>
        <v>0.30399999999999999</v>
      </c>
      <c r="CU85" s="95">
        <f t="shared" si="74"/>
        <v>0</v>
      </c>
      <c r="CV85" s="95">
        <f t="shared" si="75"/>
        <v>0</v>
      </c>
      <c r="CW85" s="95">
        <f t="shared" si="76"/>
        <v>1465.2</v>
      </c>
      <c r="CX85" s="99">
        <f>'LOB Transfers'!G84</f>
        <v>159564</v>
      </c>
      <c r="CY85" s="99">
        <f>'LOB Transfers'!J84</f>
        <v>3702</v>
      </c>
      <c r="CZ85" s="87" t="s">
        <v>277</v>
      </c>
    </row>
    <row r="86" spans="1:104" ht="15" customHeight="1">
      <c r="A86" s="88">
        <v>274</v>
      </c>
      <c r="B86" s="87" t="s">
        <v>37</v>
      </c>
      <c r="C86" s="87" t="s">
        <v>599</v>
      </c>
      <c r="D86" s="95">
        <v>387.8</v>
      </c>
      <c r="E86" s="95">
        <v>0</v>
      </c>
      <c r="F86" s="95">
        <f t="shared" si="43"/>
        <v>387.8</v>
      </c>
      <c r="G86" s="95">
        <v>402.1</v>
      </c>
      <c r="H86" s="95">
        <v>0</v>
      </c>
      <c r="I86" s="95">
        <f t="shared" si="44"/>
        <v>402.1</v>
      </c>
      <c r="J86" s="95">
        <v>392.3</v>
      </c>
      <c r="K86" s="95">
        <v>0</v>
      </c>
      <c r="L86" s="95">
        <f t="shared" si="45"/>
        <v>392.3</v>
      </c>
      <c r="M86" s="95">
        <f>IF(ISNA(VLOOKUP($CZ86,'Audit Values'!$A$2:$BW$365,2,FALSE)),'Preliminary SO66'!C85,VLOOKUP($CZ86,'Audit Values'!$A$2:$BW$365,73,FALSE))</f>
        <v>407.3</v>
      </c>
      <c r="N86" s="95">
        <f>IF(ISNA(VLOOKUP($CZ86,'Audit Values'!$A$2:$BW$365,2,FALSE)),'Preliminary SO66'!F85,VLOOKUP($CZ86,'Audit Values'!$A$2:$BW$365,4,FALSE))</f>
        <v>0</v>
      </c>
      <c r="O86" s="95">
        <f t="shared" si="46"/>
        <v>407.3</v>
      </c>
      <c r="P86" s="95">
        <f>IF('Military Provision'!J87="YES", MAX('2019 Legal Max'!L86,'2019 Legal Max'!I86,AVERAGE('2019 Legal Max'!F86,'2019 Legal Max'!I86,'2019 Legal Max'!L86)), MAX(L86, I86))</f>
        <v>402.1</v>
      </c>
      <c r="Q86" s="95">
        <f>IF(ISNA(VLOOKUP($CZ86,'Audit Values'!$A$2:$BU$353,2,FALSE)),'Preliminary SO66'!AL85,VLOOKUP($CZ86,'Audit Values'!$A$2:$BU$3955,58,FALSE))</f>
        <v>0</v>
      </c>
      <c r="R86" s="95">
        <v>0</v>
      </c>
      <c r="S86" s="95">
        <f t="shared" si="78"/>
        <v>402.1</v>
      </c>
      <c r="T86" s="95">
        <f t="shared" si="47"/>
        <v>180.7</v>
      </c>
      <c r="U86" s="95">
        <f>IF(ISNA(VLOOKUP($CZ86,'Audit Values'!$A$2:$BW$317,2,FALSE)),'Preliminary SO66'!AM85,VLOOKUP($CZ86,'Audit Values'!$A$2:$BW$317,62,FALSE))</f>
        <v>9</v>
      </c>
      <c r="V86" s="95">
        <f>(U86/6)*'Weighting Factors'!$Q$7</f>
        <v>0.6</v>
      </c>
      <c r="W86" s="132">
        <f>IF(ISNA(VLOOKUP($CZ86,'Audit Values'!$A$2:$BW$353,2,FALSE)),'Preliminary SO66'!AN85,VLOOKUP($CZ86,'Audit Values'!$A$2:$BW$353,61,FALSE))</f>
        <v>11</v>
      </c>
      <c r="X86" s="95">
        <f>W86*'Weighting Factors'!$Q$8</f>
        <v>2</v>
      </c>
      <c r="Y86" s="95">
        <f t="shared" si="48"/>
        <v>2</v>
      </c>
      <c r="Z86" s="276">
        <f>IF(ISNA(VLOOKUP($CZ86,'Audit Values'!$A$2:$BW$317,2,FALSE)),'Preliminary SO66'!AO85,VLOOKUP($CZ86,'Audit Values'!$A$2:$BW$317,60,FALSE))</f>
        <v>148.19999999999999</v>
      </c>
      <c r="AA86" s="95">
        <f>Z86/6*'Weighting Factors'!$Q$6</f>
        <v>12.4</v>
      </c>
      <c r="AB86" s="99">
        <f>IF(ISNA(VLOOKUP($CZ86,'Audit Values'!$A$2:$BU$353,2,FALSE)),'Preliminary SO66'!AS85,VLOOKUP($CZ86,'Audit Values'!$A$2:$BU$353,63,FALSE))</f>
        <v>450</v>
      </c>
      <c r="AC86" s="99">
        <v>0</v>
      </c>
      <c r="AD86" s="99">
        <f>IF(ISNA(VLOOKUP($CZ86,'Audit Values'!$A$2:$BU$353,2,FALSE)),'Preliminary SO66'!AP85,VLOOKUP($CZ86,'Audit Values'!$A$2:$BU$353,64,FALSE))</f>
        <v>138</v>
      </c>
      <c r="AE86" s="95">
        <f>IF(A86=207, AD86,MAX(AC86,AD86))*'Weighting Factors'!$Q$9</f>
        <v>66.8</v>
      </c>
      <c r="AF86" s="95">
        <f t="shared" si="49"/>
        <v>0</v>
      </c>
      <c r="AG86" s="95">
        <f>IF(ISNA(VLOOKUP($CZ86,'Audit Values'!$A$2:$BW$353,2,FALSE)),'Preliminary SO66'!AG85,VLOOKUP($CZ86,'Audit Values'!$A$2:$BW$353,70,FALSE))</f>
        <v>1</v>
      </c>
      <c r="AH86" s="95">
        <f t="shared" si="50"/>
        <v>1</v>
      </c>
      <c r="AI86" s="95">
        <f>IF(ISNA(VLOOKUP($CZ86,'Audit Values'!$A$2:$BU$353,2,FALSE)),'Preliminary SO66'!AQ85,VLOOKUP($CZ86,'Audit Values'!$A$2:$BU$353,65,FALSE))</f>
        <v>0</v>
      </c>
      <c r="AJ86" s="95">
        <f>AI86*'Weighting Factors'!$Q$10</f>
        <v>0</v>
      </c>
      <c r="AK86" s="95">
        <f>IF(ISNA(VLOOKUP($CZ86,'Audit Values'!$A$2:$BU$353,2,FALSE)),'Preliminary SO66'!AR85,VLOOKUP($CZ86,'Audit Values'!$A$2:$BU$353,66,FALSE))</f>
        <v>69.5</v>
      </c>
      <c r="AL86" s="95"/>
      <c r="AM86" s="99">
        <f t="shared" si="51"/>
        <v>100775</v>
      </c>
      <c r="AN86" s="99">
        <v>119412</v>
      </c>
      <c r="AO86" s="95">
        <f>MAX(AN86, AM86)/'Weighting Factors'!$Q$5</f>
        <v>28.7</v>
      </c>
      <c r="AP86" s="95">
        <f>CN86/'Weighting Factors'!$Q$5</f>
        <v>0</v>
      </c>
      <c r="AQ86" s="95">
        <v>0</v>
      </c>
      <c r="AR86" s="95">
        <f>CS86/'Weighting Factors'!$Q$5</f>
        <v>0</v>
      </c>
      <c r="AS86" s="99">
        <v>452096</v>
      </c>
      <c r="AT86" s="95">
        <f>AS86/'Weighting Factors'!$Q$5</f>
        <v>108.5</v>
      </c>
      <c r="AU86" s="95">
        <f>IF(ISNA(VLOOKUP($CZ86,'Audit Values'!$A$2:$BU$353,2,FALSE)),'Preliminary SO66'!X85,VLOOKUP($CZ86,'Audit Values'!$A$2:$BU$353,47,FALSE))</f>
        <v>0</v>
      </c>
      <c r="AV86" s="95">
        <f t="shared" si="52"/>
        <v>802.2</v>
      </c>
      <c r="AW86" s="95">
        <f t="shared" si="53"/>
        <v>693.7</v>
      </c>
      <c r="AX86" s="95">
        <f>IF(ISNA(VLOOKUP($CZ86,'Audit Values'!$A$2:$BU$353,2,FALSE)),'Preliminary SO66'!AA85,VLOOKUP($CZ86,'Audit Values'!$A$2:$BU$353,41,FALSE))</f>
        <v>0</v>
      </c>
      <c r="AY86" s="95">
        <f>IF(ISNA(VLOOKUP($CZ86,'Audit Values'!$A$2:$BU$353,2,FALSE)),'Preliminary SO66'!AB85,VLOOKUP($CZ86,'Audit Values'!$A$2:$BU$353,42,FALSE))</f>
        <v>0</v>
      </c>
      <c r="AZ86" s="114">
        <v>0</v>
      </c>
      <c r="BA86" s="99">
        <f>SUM(AX86*'Weighting Factors'!$T$10)+('2019 Legal Max'!AY86*'Weighting Factors'!$T$11)+('2019 Legal Max'!AZ86*'Weighting Factors'!$T$12)</f>
        <v>0</v>
      </c>
      <c r="BB86" s="158">
        <v>0</v>
      </c>
      <c r="BC86" s="88">
        <f>IF(ISNA(VLOOKUP($CZ86,'Audit Values'!$A$2:$BU$353,2,FALSE)),"",IF(AND('Weighting Factors'!H86&gt;0,VLOOKUP($CZ86,'Audit Values'!$A$2:$BU$353,51,FALSE)&lt;'Weighting Factors'!H86),'Weighting Factors'!H86,VLOOKUP($CZ86,'Audit Values'!$A$2:$BU$353,50,FALSE)))</f>
        <v>17</v>
      </c>
      <c r="BD86" s="88" t="str">
        <f>IF(ISNA(VLOOKUP($CZ86,'Audit Values'!$A$2:$BV$353,2,FALSE)),"",VLOOKUP($CZ86,'Audit Values'!$A$2:$BV$353,51,FALSE))</f>
        <v>A</v>
      </c>
      <c r="BE86" s="88" t="str">
        <f>IF('Weighting Factors'!H86="","",IF('Weighting Factors'!J86="Pending","PX","R"))</f>
        <v/>
      </c>
      <c r="BF86" s="97">
        <f>SUM((S86+T86+Y86+AA86+AE86+AH86+AJ86++AO86+AP86+AQ86+AU86+AR86)*'Weighting Factors'!$Q$5)+'2019 Legal Max'!BA86+'2019 Legal Max'!BB86</f>
        <v>2889261</v>
      </c>
      <c r="BG86" s="99">
        <f>SUM((AV86+AR86)*'Weighting Factors'!$Q$5)+BA86+'2019 Legal Max'!BB86</f>
        <v>3341163</v>
      </c>
      <c r="BH86" s="108">
        <f>IF('Weighting Factors'!H86&gt;0,'Weighting Factors'!H86,'Preliminary SO66'!AV85)</f>
        <v>3401972</v>
      </c>
      <c r="BI86" s="99">
        <f t="shared" si="77"/>
        <v>3341163</v>
      </c>
      <c r="BJ86" s="112"/>
      <c r="BK86" s="112">
        <f>'Weighting Factors'!F86</f>
        <v>-24324</v>
      </c>
      <c r="BL86" s="112">
        <f>'Weighting Factors'!E86</f>
        <v>-2836</v>
      </c>
      <c r="BM86" s="99">
        <f t="shared" si="54"/>
        <v>-27160</v>
      </c>
      <c r="BN86" s="99">
        <f t="shared" si="55"/>
        <v>3314003</v>
      </c>
      <c r="BO86" s="99">
        <f>SUM((S86+T86+Y86+AA86+AE86+AH86+AJ86++AO86+AP86+AQ86+AR86)*'Weighting Factors'!Q$12)+(MAX(AS86,'Weighting Factors'!B86))</f>
        <v>3622887</v>
      </c>
      <c r="BP86" s="122">
        <v>0.33</v>
      </c>
      <c r="BQ86" s="99">
        <f t="shared" si="56"/>
        <v>1195553</v>
      </c>
      <c r="BR86" s="108">
        <v>1100875</v>
      </c>
      <c r="BS86" s="99">
        <f t="shared" si="57"/>
        <v>1100875</v>
      </c>
      <c r="BT86" s="167">
        <f t="shared" si="58"/>
        <v>0.3039</v>
      </c>
      <c r="BU86" s="95">
        <f t="shared" si="59"/>
        <v>0</v>
      </c>
      <c r="BV86" s="87" t="b">
        <f t="shared" si="60"/>
        <v>0</v>
      </c>
      <c r="BW86" s="117">
        <f t="shared" si="61"/>
        <v>0</v>
      </c>
      <c r="BX86" s="116">
        <f t="shared" si="62"/>
        <v>0</v>
      </c>
      <c r="BY86" s="95">
        <f t="shared" si="63"/>
        <v>0</v>
      </c>
      <c r="BZ86" s="87" t="b">
        <f t="shared" si="64"/>
        <v>1</v>
      </c>
      <c r="CA86" s="87">
        <f t="shared" si="65"/>
        <v>126.3488</v>
      </c>
      <c r="CB86" s="116">
        <f t="shared" si="66"/>
        <v>0.44949800000000001</v>
      </c>
      <c r="CC86" s="95">
        <f t="shared" si="67"/>
        <v>180.7</v>
      </c>
      <c r="CD86" s="95">
        <f t="shared" si="68"/>
        <v>0</v>
      </c>
      <c r="CE86" s="98">
        <v>637</v>
      </c>
      <c r="CF86" s="250">
        <f t="shared" si="69"/>
        <v>0.109</v>
      </c>
      <c r="CG86" s="274">
        <f>IF(CF86&lt;0.06,1,IF(CF86&gt;=18.29,52,MATCH(CF86-0.001,'Weighting Factors'!$Y$5:$Y$156)+1))</f>
        <v>6</v>
      </c>
      <c r="CH86" s="243">
        <f>VLOOKUP(CG86, 'Weighting Factors'!$W$5:$Z$56,4)</f>
        <v>1450</v>
      </c>
      <c r="CI86" s="118">
        <f>('Weighting Factors'!$Q$5/'Weighting Factors'!$Q$14)</f>
        <v>1</v>
      </c>
      <c r="CJ86" s="245">
        <f t="shared" si="70"/>
        <v>100775</v>
      </c>
      <c r="CK86" s="245">
        <f>CJ86*'Weighting Factors'!$S$7</f>
        <v>100775</v>
      </c>
      <c r="CL86" s="245">
        <f t="shared" si="71"/>
        <v>100775</v>
      </c>
      <c r="CM86" s="95">
        <f>AM86/'Weighting Factors'!$Q$5</f>
        <v>24.2</v>
      </c>
      <c r="CN86" s="148">
        <v>0</v>
      </c>
      <c r="CO86" s="148">
        <v>0</v>
      </c>
      <c r="CP86" s="149">
        <v>0</v>
      </c>
      <c r="CQ86" s="151">
        <v>0</v>
      </c>
      <c r="CR86" s="99">
        <f>SUM((AV86*'Weighting Factors'!$Q$5)+'2019 Legal Max'!BA86)*CQ86</f>
        <v>0</v>
      </c>
      <c r="CS86" s="99">
        <f t="shared" si="72"/>
        <v>0</v>
      </c>
      <c r="CT86" s="106">
        <f t="shared" si="73"/>
        <v>0.30669999999999997</v>
      </c>
      <c r="CU86" s="95">
        <f t="shared" si="74"/>
        <v>0</v>
      </c>
      <c r="CV86" s="95">
        <f t="shared" si="75"/>
        <v>0</v>
      </c>
      <c r="CW86" s="95">
        <f t="shared" si="76"/>
        <v>802.2</v>
      </c>
      <c r="CX86" s="99">
        <f>'LOB Transfers'!G85</f>
        <v>91703</v>
      </c>
      <c r="CY86" s="99">
        <f>'LOB Transfers'!J85</f>
        <v>2752</v>
      </c>
      <c r="CZ86" s="87" t="s">
        <v>278</v>
      </c>
    </row>
    <row r="87" spans="1:104" ht="15" customHeight="1">
      <c r="A87" s="88">
        <v>275</v>
      </c>
      <c r="B87" s="87" t="s">
        <v>37</v>
      </c>
      <c r="C87" s="87" t="s">
        <v>600</v>
      </c>
      <c r="D87" s="95">
        <v>69.5</v>
      </c>
      <c r="E87" s="95">
        <v>0</v>
      </c>
      <c r="F87" s="95">
        <f t="shared" si="43"/>
        <v>69.5</v>
      </c>
      <c r="G87" s="95">
        <v>64.5</v>
      </c>
      <c r="H87" s="95">
        <v>0</v>
      </c>
      <c r="I87" s="95">
        <f t="shared" si="44"/>
        <v>64.5</v>
      </c>
      <c r="J87" s="95">
        <v>62.5</v>
      </c>
      <c r="K87" s="95">
        <v>0</v>
      </c>
      <c r="L87" s="95">
        <f t="shared" si="45"/>
        <v>62.5</v>
      </c>
      <c r="M87" s="95">
        <f>IF(ISNA(VLOOKUP($CZ87,'Audit Values'!$A$2:$BW$365,2,FALSE)),'Preliminary SO66'!C86,VLOOKUP($CZ87,'Audit Values'!$A$2:$BW$365,73,FALSE))</f>
        <v>68.5</v>
      </c>
      <c r="N87" s="95">
        <f>IF(ISNA(VLOOKUP($CZ87,'Audit Values'!$A$2:$BW$365,2,FALSE)),'Preliminary SO66'!F86,VLOOKUP($CZ87,'Audit Values'!$A$2:$BW$365,4,FALSE))</f>
        <v>0</v>
      </c>
      <c r="O87" s="95">
        <f t="shared" si="46"/>
        <v>68.5</v>
      </c>
      <c r="P87" s="95">
        <f>IF('Military Provision'!J88="YES", MAX('2019 Legal Max'!L87,'2019 Legal Max'!I87,AVERAGE('2019 Legal Max'!F87,'2019 Legal Max'!I87,'2019 Legal Max'!L87)), MAX(L87, I87))</f>
        <v>64.5</v>
      </c>
      <c r="Q87" s="95">
        <f>IF(ISNA(VLOOKUP($CZ87,'Audit Values'!$A$2:$BU$353,2,FALSE)),'Preliminary SO66'!AL86,VLOOKUP($CZ87,'Audit Values'!$A$2:$BU$3955,58,FALSE))</f>
        <v>0</v>
      </c>
      <c r="R87" s="95">
        <v>0</v>
      </c>
      <c r="S87" s="95">
        <f t="shared" si="78"/>
        <v>64.5</v>
      </c>
      <c r="T87" s="95">
        <f t="shared" si="47"/>
        <v>65.400000000000006</v>
      </c>
      <c r="U87" s="95">
        <f>IF(ISNA(VLOOKUP($CZ87,'Audit Values'!$A$2:$BW$317,2,FALSE)),'Preliminary SO66'!AM86,VLOOKUP($CZ87,'Audit Values'!$A$2:$BW$317,62,FALSE))</f>
        <v>0</v>
      </c>
      <c r="V87" s="95">
        <f>(U87/6)*'Weighting Factors'!$Q$7</f>
        <v>0</v>
      </c>
      <c r="W87" s="132">
        <f>IF(ISNA(VLOOKUP($CZ87,'Audit Values'!$A$2:$BW$353,2,FALSE)),'Preliminary SO66'!AN86,VLOOKUP($CZ87,'Audit Values'!$A$2:$BW$353,61,FALSE))</f>
        <v>0</v>
      </c>
      <c r="X87" s="95">
        <f>W87*'Weighting Factors'!$Q$8</f>
        <v>0</v>
      </c>
      <c r="Y87" s="95">
        <f t="shared" si="48"/>
        <v>0</v>
      </c>
      <c r="Z87" s="276">
        <f>IF(ISNA(VLOOKUP($CZ87,'Audit Values'!$A$2:$BW$317,2,FALSE)),'Preliminary SO66'!AO86,VLOOKUP($CZ87,'Audit Values'!$A$2:$BW$317,60,FALSE))</f>
        <v>0</v>
      </c>
      <c r="AA87" s="95">
        <f>Z87/6*'Weighting Factors'!$Q$6</f>
        <v>0</v>
      </c>
      <c r="AB87" s="99">
        <f>IF(ISNA(VLOOKUP($CZ87,'Audit Values'!$A$2:$BU$353,2,FALSE)),'Preliminary SO66'!AS86,VLOOKUP($CZ87,'Audit Values'!$A$2:$BU$353,63,FALSE))</f>
        <v>71</v>
      </c>
      <c r="AC87" s="99">
        <v>0</v>
      </c>
      <c r="AD87" s="99">
        <f>IF(ISNA(VLOOKUP($CZ87,'Audit Values'!$A$2:$BU$353,2,FALSE)),'Preliminary SO66'!AP86,VLOOKUP($CZ87,'Audit Values'!$A$2:$BU$353,64,FALSE))</f>
        <v>19</v>
      </c>
      <c r="AE87" s="95">
        <f>IF(A87=207, AD87,MAX(AC87,AD87))*'Weighting Factors'!$Q$9</f>
        <v>9.1999999999999993</v>
      </c>
      <c r="AF87" s="95">
        <f t="shared" si="49"/>
        <v>0</v>
      </c>
      <c r="AG87" s="95">
        <f>IF(ISNA(VLOOKUP($CZ87,'Audit Values'!$A$2:$BW$353,2,FALSE)),'Preliminary SO66'!AG86,VLOOKUP($CZ87,'Audit Values'!$A$2:$BW$353,70,FALSE))</f>
        <v>0.5</v>
      </c>
      <c r="AH87" s="95">
        <f t="shared" si="50"/>
        <v>0.5</v>
      </c>
      <c r="AI87" s="95">
        <f>IF(ISNA(VLOOKUP($CZ87,'Audit Values'!$A$2:$BU$353,2,FALSE)),'Preliminary SO66'!AQ86,VLOOKUP($CZ87,'Audit Values'!$A$2:$BU$353,65,FALSE))</f>
        <v>0</v>
      </c>
      <c r="AJ87" s="95">
        <f>AI87*'Weighting Factors'!$Q$10</f>
        <v>0</v>
      </c>
      <c r="AK87" s="95">
        <f>IF(ISNA(VLOOKUP($CZ87,'Audit Values'!$A$2:$BU$353,2,FALSE)),'Preliminary SO66'!AR86,VLOOKUP($CZ87,'Audit Values'!$A$2:$BU$353,66,FALSE))</f>
        <v>27</v>
      </c>
      <c r="AL87" s="95"/>
      <c r="AM87" s="99">
        <f t="shared" si="51"/>
        <v>43740</v>
      </c>
      <c r="AN87" s="99">
        <v>62788</v>
      </c>
      <c r="AO87" s="95">
        <f>MAX(AN87, AM87)/'Weighting Factors'!$Q$5</f>
        <v>15.1</v>
      </c>
      <c r="AP87" s="95">
        <f>CN87/'Weighting Factors'!$Q$5</f>
        <v>0</v>
      </c>
      <c r="AQ87" s="95">
        <v>0</v>
      </c>
      <c r="AR87" s="95">
        <f>CS87/'Weighting Factors'!$Q$5</f>
        <v>0</v>
      </c>
      <c r="AS87" s="99">
        <v>130179</v>
      </c>
      <c r="AT87" s="95">
        <f>AS87/'Weighting Factors'!$Q$5</f>
        <v>31.3</v>
      </c>
      <c r="AU87" s="95">
        <f>IF(ISNA(VLOOKUP($CZ87,'Audit Values'!$A$2:$BU$353,2,FALSE)),'Preliminary SO66'!X86,VLOOKUP($CZ87,'Audit Values'!$A$2:$BU$353,47,FALSE))</f>
        <v>0</v>
      </c>
      <c r="AV87" s="95">
        <f t="shared" si="52"/>
        <v>186</v>
      </c>
      <c r="AW87" s="95">
        <f t="shared" si="53"/>
        <v>154.69999999999999</v>
      </c>
      <c r="AX87" s="95">
        <f>IF(ISNA(VLOOKUP($CZ87,'Audit Values'!$A$2:$BU$353,2,FALSE)),'Preliminary SO66'!AA86,VLOOKUP($CZ87,'Audit Values'!$A$2:$BU$353,41,FALSE))</f>
        <v>0</v>
      </c>
      <c r="AY87" s="95">
        <f>IF(ISNA(VLOOKUP($CZ87,'Audit Values'!$A$2:$BU$353,2,FALSE)),'Preliminary SO66'!AB86,VLOOKUP($CZ87,'Audit Values'!$A$2:$BU$353,42,FALSE))</f>
        <v>0</v>
      </c>
      <c r="AZ87" s="114">
        <v>0</v>
      </c>
      <c r="BA87" s="99">
        <f>SUM(AX87*'Weighting Factors'!$T$10)+('2019 Legal Max'!AY87*'Weighting Factors'!$T$11)+('2019 Legal Max'!AZ87*'Weighting Factors'!$T$12)</f>
        <v>0</v>
      </c>
      <c r="BB87" s="158">
        <v>0</v>
      </c>
      <c r="BC87" s="88">
        <f>IF(ISNA(VLOOKUP($CZ87,'Audit Values'!$A$2:$BU$353,2,FALSE)),"",IF(AND('Weighting Factors'!H87&gt;0,VLOOKUP($CZ87,'Audit Values'!$A$2:$BU$353,51,FALSE)&lt;'Weighting Factors'!H87),'Weighting Factors'!H87,VLOOKUP($CZ87,'Audit Values'!$A$2:$BU$353,50,FALSE)))</f>
        <v>19</v>
      </c>
      <c r="BD87" s="88" t="str">
        <f>IF(ISNA(VLOOKUP($CZ87,'Audit Values'!$A$2:$BV$353,2,FALSE)),"",VLOOKUP($CZ87,'Audit Values'!$A$2:$BV$353,51,FALSE))</f>
        <v>A</v>
      </c>
      <c r="BE87" s="88" t="str">
        <f>IF('Weighting Factors'!H87="","",IF('Weighting Factors'!J87="Pending","PX","R"))</f>
        <v/>
      </c>
      <c r="BF87" s="97">
        <f>SUM((S87+T87+Y87+AA87+AE87+AH87+AJ87++AO87+AP87+AQ87+AU87+AR87)*'Weighting Factors'!$Q$5)+'2019 Legal Max'!BA87+'2019 Legal Max'!BB87</f>
        <v>644326</v>
      </c>
      <c r="BG87" s="99">
        <f>SUM((AV87+AR87)*'Weighting Factors'!$Q$5)+BA87+'2019 Legal Max'!BB87</f>
        <v>774690</v>
      </c>
      <c r="BH87" s="108">
        <f>IF('Weighting Factors'!H87&gt;0,'Weighting Factors'!H87,'Preliminary SO66'!AV86)</f>
        <v>793016</v>
      </c>
      <c r="BI87" s="99">
        <f t="shared" si="77"/>
        <v>774690</v>
      </c>
      <c r="BJ87" s="112"/>
      <c r="BK87" s="112">
        <f>'Weighting Factors'!F87</f>
        <v>-40</v>
      </c>
      <c r="BL87" s="112">
        <f>'Weighting Factors'!E87</f>
        <v>0</v>
      </c>
      <c r="BM87" s="99">
        <f t="shared" si="54"/>
        <v>-40</v>
      </c>
      <c r="BN87" s="99">
        <f t="shared" si="55"/>
        <v>774650</v>
      </c>
      <c r="BO87" s="99">
        <f>SUM((S87+T87+Y87+AA87+AE87+AH87+AJ87++AO87+AP87+AQ87+AR87)*'Weighting Factors'!Q$12)+(MAX(AS87,'Weighting Factors'!B87))</f>
        <v>824782</v>
      </c>
      <c r="BP87" s="122">
        <v>0.33</v>
      </c>
      <c r="BQ87" s="99">
        <f t="shared" si="56"/>
        <v>272178</v>
      </c>
      <c r="BR87" s="108">
        <v>278328</v>
      </c>
      <c r="BS87" s="99">
        <f t="shared" si="57"/>
        <v>272178</v>
      </c>
      <c r="BT87" s="167">
        <f t="shared" si="58"/>
        <v>0.33</v>
      </c>
      <c r="BU87" s="95">
        <f t="shared" si="59"/>
        <v>65.400000000000006</v>
      </c>
      <c r="BV87" s="87" t="b">
        <f t="shared" si="60"/>
        <v>0</v>
      </c>
      <c r="BW87" s="117">
        <f t="shared" si="61"/>
        <v>0</v>
      </c>
      <c r="BX87" s="116">
        <f t="shared" si="62"/>
        <v>0</v>
      </c>
      <c r="BY87" s="95">
        <f t="shared" si="63"/>
        <v>0</v>
      </c>
      <c r="BZ87" s="87" t="b">
        <f t="shared" si="64"/>
        <v>0</v>
      </c>
      <c r="CA87" s="87">
        <f t="shared" si="65"/>
        <v>0</v>
      </c>
      <c r="CB87" s="116">
        <f t="shared" si="66"/>
        <v>0</v>
      </c>
      <c r="CC87" s="95">
        <f t="shared" si="67"/>
        <v>0</v>
      </c>
      <c r="CD87" s="95">
        <f t="shared" si="68"/>
        <v>0</v>
      </c>
      <c r="CE87" s="98">
        <v>662</v>
      </c>
      <c r="CF87" s="250">
        <f t="shared" si="69"/>
        <v>4.1000000000000002E-2</v>
      </c>
      <c r="CG87" s="274">
        <f>IF(CF87&lt;0.06,1,IF(CF87&gt;=18.29,52,MATCH(CF87-0.001,'Weighting Factors'!$Y$5:$Y$156)+1))</f>
        <v>1</v>
      </c>
      <c r="CH87" s="243">
        <f>VLOOKUP(CG87, 'Weighting Factors'!$W$5:$Z$56,4)</f>
        <v>1620</v>
      </c>
      <c r="CI87" s="118">
        <f>('Weighting Factors'!$Q$5/'Weighting Factors'!$Q$14)</f>
        <v>1</v>
      </c>
      <c r="CJ87" s="245">
        <f t="shared" si="70"/>
        <v>43740</v>
      </c>
      <c r="CK87" s="245">
        <f>CJ87*'Weighting Factors'!$S$7</f>
        <v>43740</v>
      </c>
      <c r="CL87" s="245">
        <f t="shared" si="71"/>
        <v>43740</v>
      </c>
      <c r="CM87" s="95">
        <f>AM87/'Weighting Factors'!$Q$5</f>
        <v>10.5</v>
      </c>
      <c r="CN87" s="148">
        <v>0</v>
      </c>
      <c r="CO87" s="148">
        <v>0</v>
      </c>
      <c r="CP87" s="149">
        <v>0</v>
      </c>
      <c r="CQ87" s="151">
        <v>0</v>
      </c>
      <c r="CR87" s="99">
        <f>SUM((AV87*'Weighting Factors'!$Q$5)+'2019 Legal Max'!BA87)*CQ87</f>
        <v>0</v>
      </c>
      <c r="CS87" s="99">
        <f t="shared" si="72"/>
        <v>0</v>
      </c>
      <c r="CT87" s="106">
        <f t="shared" si="73"/>
        <v>0.2676</v>
      </c>
      <c r="CU87" s="95">
        <f t="shared" si="74"/>
        <v>0</v>
      </c>
      <c r="CV87" s="95">
        <f t="shared" si="75"/>
        <v>0</v>
      </c>
      <c r="CW87" s="95">
        <f t="shared" si="76"/>
        <v>186</v>
      </c>
      <c r="CX87" s="99">
        <f>'LOB Transfers'!G86</f>
        <v>13473</v>
      </c>
      <c r="CY87" s="99">
        <f>'LOB Transfers'!J86</f>
        <v>0</v>
      </c>
      <c r="CZ87" s="87" t="s">
        <v>279</v>
      </c>
    </row>
    <row r="88" spans="1:104" ht="15" customHeight="1">
      <c r="A88" s="88">
        <v>281</v>
      </c>
      <c r="B88" s="87" t="s">
        <v>38</v>
      </c>
      <c r="C88" s="87" t="s">
        <v>601</v>
      </c>
      <c r="D88" s="95">
        <v>359.8</v>
      </c>
      <c r="E88" s="95">
        <v>0</v>
      </c>
      <c r="F88" s="95">
        <f t="shared" si="43"/>
        <v>359.8</v>
      </c>
      <c r="G88" s="95">
        <v>362</v>
      </c>
      <c r="H88" s="95">
        <v>0</v>
      </c>
      <c r="I88" s="95">
        <f t="shared" si="44"/>
        <v>362</v>
      </c>
      <c r="J88" s="95">
        <v>378.5</v>
      </c>
      <c r="K88" s="95">
        <v>0</v>
      </c>
      <c r="L88" s="95">
        <f t="shared" si="45"/>
        <v>378.5</v>
      </c>
      <c r="M88" s="95">
        <f>IF(ISNA(VLOOKUP($CZ88,'Audit Values'!$A$2:$BW$365,2,FALSE)),'Preliminary SO66'!C87,VLOOKUP($CZ88,'Audit Values'!$A$2:$BW$365,73,FALSE))</f>
        <v>385.5</v>
      </c>
      <c r="N88" s="95">
        <f>IF(ISNA(VLOOKUP($CZ88,'Audit Values'!$A$2:$BW$365,2,FALSE)),'Preliminary SO66'!F87,VLOOKUP($CZ88,'Audit Values'!$A$2:$BW$365,4,FALSE))</f>
        <v>0</v>
      </c>
      <c r="O88" s="95">
        <f t="shared" si="46"/>
        <v>385.5</v>
      </c>
      <c r="P88" s="95">
        <f>IF('Military Provision'!J89="YES", MAX('2019 Legal Max'!L88,'2019 Legal Max'!I88,AVERAGE('2019 Legal Max'!F88,'2019 Legal Max'!I88,'2019 Legal Max'!L88)), MAX(L88, I88))</f>
        <v>378.5</v>
      </c>
      <c r="Q88" s="95">
        <f>IF(ISNA(VLOOKUP($CZ88,'Audit Values'!$A$2:$BU$353,2,FALSE)),'Preliminary SO66'!AL87,VLOOKUP($CZ88,'Audit Values'!$A$2:$BU$3955,58,FALSE))</f>
        <v>0</v>
      </c>
      <c r="R88" s="95">
        <v>0</v>
      </c>
      <c r="S88" s="95">
        <f t="shared" si="78"/>
        <v>378.5</v>
      </c>
      <c r="T88" s="95">
        <f t="shared" si="47"/>
        <v>173.2</v>
      </c>
      <c r="U88" s="95">
        <f>IF(ISNA(VLOOKUP($CZ88,'Audit Values'!$A$2:$BW$317,2,FALSE)),'Preliminary SO66'!AM87,VLOOKUP($CZ88,'Audit Values'!$A$2:$BW$317,62,FALSE))</f>
        <v>0</v>
      </c>
      <c r="V88" s="95">
        <f>(U88/6)*'Weighting Factors'!$Q$7</f>
        <v>0</v>
      </c>
      <c r="W88" s="132">
        <f>IF(ISNA(VLOOKUP($CZ88,'Audit Values'!$A$2:$BW$353,2,FALSE)),'Preliminary SO66'!AN87,VLOOKUP($CZ88,'Audit Values'!$A$2:$BW$353,61,FALSE))</f>
        <v>0</v>
      </c>
      <c r="X88" s="95">
        <f>W88*'Weighting Factors'!$Q$8</f>
        <v>0</v>
      </c>
      <c r="Y88" s="95">
        <f t="shared" si="48"/>
        <v>0</v>
      </c>
      <c r="Z88" s="276">
        <f>IF(ISNA(VLOOKUP($CZ88,'Audit Values'!$A$2:$BW$317,2,FALSE)),'Preliminary SO66'!AO87,VLOOKUP($CZ88,'Audit Values'!$A$2:$BW$317,60,FALSE))</f>
        <v>99.2</v>
      </c>
      <c r="AA88" s="95">
        <f>Z88/6*'Weighting Factors'!$Q$6</f>
        <v>8.3000000000000007</v>
      </c>
      <c r="AB88" s="99">
        <f>IF(ISNA(VLOOKUP($CZ88,'Audit Values'!$A$2:$BU$353,2,FALSE)),'Preliminary SO66'!AS87,VLOOKUP($CZ88,'Audit Values'!$A$2:$BU$353,63,FALSE))</f>
        <v>391</v>
      </c>
      <c r="AC88" s="99">
        <v>0</v>
      </c>
      <c r="AD88" s="99">
        <f>IF(ISNA(VLOOKUP($CZ88,'Audit Values'!$A$2:$BU$353,2,FALSE)),'Preliminary SO66'!AP87,VLOOKUP($CZ88,'Audit Values'!$A$2:$BU$353,64,FALSE))</f>
        <v>145</v>
      </c>
      <c r="AE88" s="95">
        <f>IF(A88=207, AD88,MAX(AC88,AD88))*'Weighting Factors'!$Q$9</f>
        <v>70.2</v>
      </c>
      <c r="AF88" s="95">
        <f t="shared" si="49"/>
        <v>2.1</v>
      </c>
      <c r="AG88" s="95">
        <f>IF(ISNA(VLOOKUP($CZ88,'Audit Values'!$A$2:$BW$353,2,FALSE)),'Preliminary SO66'!AG87,VLOOKUP($CZ88,'Audit Values'!$A$2:$BW$353,70,FALSE))</f>
        <v>2.1</v>
      </c>
      <c r="AH88" s="95">
        <f t="shared" si="50"/>
        <v>2.1</v>
      </c>
      <c r="AI88" s="95">
        <f>IF(ISNA(VLOOKUP($CZ88,'Audit Values'!$A$2:$BU$353,2,FALSE)),'Preliminary SO66'!AQ87,VLOOKUP($CZ88,'Audit Values'!$A$2:$BU$353,65,FALSE))</f>
        <v>0</v>
      </c>
      <c r="AJ88" s="95">
        <f>AI88*'Weighting Factors'!$Q$10</f>
        <v>0</v>
      </c>
      <c r="AK88" s="95">
        <f>IF(ISNA(VLOOKUP($CZ88,'Audit Values'!$A$2:$BU$353,2,FALSE)),'Preliminary SO66'!AR87,VLOOKUP($CZ88,'Audit Values'!$A$2:$BU$353,66,FALSE))</f>
        <v>84.5</v>
      </c>
      <c r="AL88" s="95"/>
      <c r="AM88" s="99">
        <f t="shared" si="51"/>
        <v>120835</v>
      </c>
      <c r="AN88" s="99">
        <v>166792</v>
      </c>
      <c r="AO88" s="95">
        <f>MAX(AN88, AM88)/'Weighting Factors'!$Q$5</f>
        <v>40</v>
      </c>
      <c r="AP88" s="95">
        <f>CN88/'Weighting Factors'!$Q$5</f>
        <v>0</v>
      </c>
      <c r="AQ88" s="95">
        <v>0</v>
      </c>
      <c r="AR88" s="95">
        <f>CS88/'Weighting Factors'!$Q$5</f>
        <v>0</v>
      </c>
      <c r="AS88" s="99">
        <v>310580</v>
      </c>
      <c r="AT88" s="95">
        <f>AS88/'Weighting Factors'!$Q$5</f>
        <v>74.599999999999994</v>
      </c>
      <c r="AU88" s="95">
        <f>IF(ISNA(VLOOKUP($CZ88,'Audit Values'!$A$2:$BU$353,2,FALSE)),'Preliminary SO66'!X87,VLOOKUP($CZ88,'Audit Values'!$A$2:$BU$353,47,FALSE))</f>
        <v>1</v>
      </c>
      <c r="AV88" s="95">
        <f t="shared" si="52"/>
        <v>747.9</v>
      </c>
      <c r="AW88" s="95">
        <f t="shared" si="53"/>
        <v>673.3</v>
      </c>
      <c r="AX88" s="95">
        <f>IF(ISNA(VLOOKUP($CZ88,'Audit Values'!$A$2:$BU$353,2,FALSE)),'Preliminary SO66'!AA87,VLOOKUP($CZ88,'Audit Values'!$A$2:$BU$353,41,FALSE))</f>
        <v>0</v>
      </c>
      <c r="AY88" s="95">
        <f>IF(ISNA(VLOOKUP($CZ88,'Audit Values'!$A$2:$BU$353,2,FALSE)),'Preliminary SO66'!AB87,VLOOKUP($CZ88,'Audit Values'!$A$2:$BU$353,42,FALSE))</f>
        <v>0</v>
      </c>
      <c r="AZ88" s="114">
        <v>0</v>
      </c>
      <c r="BA88" s="99">
        <f>SUM(AX88*'Weighting Factors'!$T$10)+('2019 Legal Max'!AY88*'Weighting Factors'!$T$11)+('2019 Legal Max'!AZ88*'Weighting Factors'!$T$12)</f>
        <v>0</v>
      </c>
      <c r="BB88" s="158">
        <v>0</v>
      </c>
      <c r="BC88" s="88">
        <f>IF(ISNA(VLOOKUP($CZ88,'Audit Values'!$A$2:$BU$353,2,FALSE)),"",IF(AND('Weighting Factors'!H88&gt;0,VLOOKUP($CZ88,'Audit Values'!$A$2:$BU$353,51,FALSE)&lt;'Weighting Factors'!H88),'Weighting Factors'!H88,VLOOKUP($CZ88,'Audit Values'!$A$2:$BU$353,50,FALSE)))</f>
        <v>3</v>
      </c>
      <c r="BD88" s="88" t="str">
        <f>IF(ISNA(VLOOKUP($CZ88,'Audit Values'!$A$2:$BV$353,2,FALSE)),"",VLOOKUP($CZ88,'Audit Values'!$A$2:$BV$353,51,FALSE))</f>
        <v>A</v>
      </c>
      <c r="BE88" s="88" t="str">
        <f>IF('Weighting Factors'!H88="","",IF('Weighting Factors'!J88="Pending","PX","R"))</f>
        <v/>
      </c>
      <c r="BF88" s="97">
        <f>SUM((S88+T88+Y88+AA88+AE88+AH88+AJ88++AO88+AP88+AQ88+AU88+AR88)*'Weighting Factors'!$Q$5)+'2019 Legal Max'!BA88+'2019 Legal Max'!BB88</f>
        <v>2804295</v>
      </c>
      <c r="BG88" s="99">
        <f>SUM((AV88+AR88)*'Weighting Factors'!$Q$5)+BA88+'2019 Legal Max'!BB88</f>
        <v>3115004</v>
      </c>
      <c r="BH88" s="108">
        <f>IF('Weighting Factors'!H88&gt;0,'Weighting Factors'!H88,'Preliminary SO66'!AV87)</f>
        <v>3214964</v>
      </c>
      <c r="BI88" s="99">
        <f t="shared" si="77"/>
        <v>3115004</v>
      </c>
      <c r="BJ88" s="112"/>
      <c r="BK88" s="112">
        <f>'Weighting Factors'!F88</f>
        <v>0</v>
      </c>
      <c r="BL88" s="112">
        <f>'Weighting Factors'!E88</f>
        <v>0</v>
      </c>
      <c r="BM88" s="99">
        <f t="shared" si="54"/>
        <v>0</v>
      </c>
      <c r="BN88" s="99">
        <f t="shared" si="55"/>
        <v>3115004</v>
      </c>
      <c r="BO88" s="99">
        <f>SUM((S88+T88+Y88+AA88+AE88+AH88+AJ88++AO88+AP88+AQ88+AR88)*'Weighting Factors'!Q$12)+(MAX(AS88,'Weighting Factors'!B88))</f>
        <v>3471406</v>
      </c>
      <c r="BP88" s="122">
        <v>0.3</v>
      </c>
      <c r="BQ88" s="99">
        <f t="shared" si="56"/>
        <v>1041422</v>
      </c>
      <c r="BR88" s="108">
        <v>1063782</v>
      </c>
      <c r="BS88" s="99">
        <f t="shared" si="57"/>
        <v>1041422</v>
      </c>
      <c r="BT88" s="167">
        <f t="shared" si="58"/>
        <v>0.3</v>
      </c>
      <c r="BU88" s="95">
        <f t="shared" si="59"/>
        <v>0</v>
      </c>
      <c r="BV88" s="87" t="b">
        <f t="shared" si="60"/>
        <v>0</v>
      </c>
      <c r="BW88" s="117">
        <f t="shared" si="61"/>
        <v>0</v>
      </c>
      <c r="BX88" s="116">
        <f t="shared" si="62"/>
        <v>0</v>
      </c>
      <c r="BY88" s="95">
        <f t="shared" si="63"/>
        <v>0</v>
      </c>
      <c r="BZ88" s="87" t="b">
        <f t="shared" si="64"/>
        <v>1</v>
      </c>
      <c r="CA88" s="87">
        <f t="shared" si="65"/>
        <v>97.143799999999999</v>
      </c>
      <c r="CB88" s="116">
        <f t="shared" si="66"/>
        <v>0.45751599999999998</v>
      </c>
      <c r="CC88" s="95">
        <f t="shared" si="67"/>
        <v>173.2</v>
      </c>
      <c r="CD88" s="95">
        <f t="shared" si="68"/>
        <v>0</v>
      </c>
      <c r="CE88" s="98">
        <v>728.3</v>
      </c>
      <c r="CF88" s="250">
        <f t="shared" si="69"/>
        <v>0.11600000000000001</v>
      </c>
      <c r="CG88" s="274">
        <f>IF(CF88&lt;0.06,1,IF(CF88&gt;=18.29,52,MATCH(CF88-0.001,'Weighting Factors'!$Y$5:$Y$156)+1))</f>
        <v>7</v>
      </c>
      <c r="CH88" s="243">
        <f>VLOOKUP(CG88, 'Weighting Factors'!$W$5:$Z$56,4)</f>
        <v>1430</v>
      </c>
      <c r="CI88" s="118">
        <f>('Weighting Factors'!$Q$5/'Weighting Factors'!$Q$14)</f>
        <v>1</v>
      </c>
      <c r="CJ88" s="245">
        <f t="shared" si="70"/>
        <v>120835</v>
      </c>
      <c r="CK88" s="245">
        <f>CJ88*'Weighting Factors'!$S$7</f>
        <v>120835</v>
      </c>
      <c r="CL88" s="245">
        <f t="shared" si="71"/>
        <v>120835</v>
      </c>
      <c r="CM88" s="95">
        <f>AM88/'Weighting Factors'!$Q$5</f>
        <v>29</v>
      </c>
      <c r="CN88" s="148">
        <v>0</v>
      </c>
      <c r="CO88" s="148">
        <v>0</v>
      </c>
      <c r="CP88" s="149">
        <v>0</v>
      </c>
      <c r="CQ88" s="151">
        <v>0</v>
      </c>
      <c r="CR88" s="99">
        <f>SUM((AV88*'Weighting Factors'!$Q$5)+'2019 Legal Max'!BA88)*CQ88</f>
        <v>0</v>
      </c>
      <c r="CS88" s="99">
        <f t="shared" si="72"/>
        <v>0</v>
      </c>
      <c r="CT88" s="106">
        <f t="shared" si="73"/>
        <v>0.37080000000000002</v>
      </c>
      <c r="CU88" s="95">
        <f t="shared" si="74"/>
        <v>0</v>
      </c>
      <c r="CV88" s="95">
        <f t="shared" si="75"/>
        <v>2.1</v>
      </c>
      <c r="CW88" s="95">
        <f t="shared" si="76"/>
        <v>747.9</v>
      </c>
      <c r="CX88" s="99">
        <f>'LOB Transfers'!G87</f>
        <v>97894</v>
      </c>
      <c r="CY88" s="99">
        <f>'LOB Transfers'!J87</f>
        <v>0</v>
      </c>
      <c r="CZ88" s="87" t="s">
        <v>280</v>
      </c>
    </row>
    <row r="89" spans="1:104" ht="15" customHeight="1">
      <c r="A89" s="88">
        <v>282</v>
      </c>
      <c r="B89" s="87" t="s">
        <v>39</v>
      </c>
      <c r="C89" s="87" t="s">
        <v>602</v>
      </c>
      <c r="D89" s="95">
        <v>326.5</v>
      </c>
      <c r="E89" s="95">
        <v>0</v>
      </c>
      <c r="F89" s="95">
        <f t="shared" si="43"/>
        <v>326.5</v>
      </c>
      <c r="G89" s="95">
        <v>338</v>
      </c>
      <c r="H89" s="95">
        <v>0</v>
      </c>
      <c r="I89" s="95">
        <f t="shared" si="44"/>
        <v>338</v>
      </c>
      <c r="J89" s="95">
        <v>350.5</v>
      </c>
      <c r="K89" s="95">
        <v>0</v>
      </c>
      <c r="L89" s="95">
        <f t="shared" si="45"/>
        <v>350.5</v>
      </c>
      <c r="M89" s="95">
        <f>IF(ISNA(VLOOKUP($CZ89,'Audit Values'!$A$2:$BW$365,2,FALSE)),'Preliminary SO66'!C88,VLOOKUP($CZ89,'Audit Values'!$A$2:$BW$365,73,FALSE))</f>
        <v>356</v>
      </c>
      <c r="N89" s="95">
        <f>IF(ISNA(VLOOKUP($CZ89,'Audit Values'!$A$2:$BW$365,2,FALSE)),'Preliminary SO66'!F88,VLOOKUP($CZ89,'Audit Values'!$A$2:$BW$365,4,FALSE))</f>
        <v>0</v>
      </c>
      <c r="O89" s="95">
        <f t="shared" si="46"/>
        <v>356</v>
      </c>
      <c r="P89" s="95">
        <f>IF('Military Provision'!J90="YES", MAX('2019 Legal Max'!L89,'2019 Legal Max'!I89,AVERAGE('2019 Legal Max'!F89,'2019 Legal Max'!I89,'2019 Legal Max'!L89)), MAX(L89, I89))</f>
        <v>350.5</v>
      </c>
      <c r="Q89" s="95">
        <f>IF(ISNA(VLOOKUP($CZ89,'Audit Values'!$A$2:$BU$353,2,FALSE)),'Preliminary SO66'!AL88,VLOOKUP($CZ89,'Audit Values'!$A$2:$BU$3955,58,FALSE))</f>
        <v>3</v>
      </c>
      <c r="R89" s="95">
        <v>0</v>
      </c>
      <c r="S89" s="95">
        <f t="shared" si="78"/>
        <v>353.5</v>
      </c>
      <c r="T89" s="95">
        <f t="shared" si="47"/>
        <v>164.7</v>
      </c>
      <c r="U89" s="95">
        <f>IF(ISNA(VLOOKUP($CZ89,'Audit Values'!$A$2:$BW$317,2,FALSE)),'Preliminary SO66'!AM88,VLOOKUP($CZ89,'Audit Values'!$A$2:$BW$317,62,FALSE))</f>
        <v>2</v>
      </c>
      <c r="V89" s="95">
        <f>(U89/6)*'Weighting Factors'!$Q$7</f>
        <v>0.1</v>
      </c>
      <c r="W89" s="132">
        <f>IF(ISNA(VLOOKUP($CZ89,'Audit Values'!$A$2:$BW$353,2,FALSE)),'Preliminary SO66'!AN88,VLOOKUP($CZ89,'Audit Values'!$A$2:$BW$353,61,FALSE))</f>
        <v>3</v>
      </c>
      <c r="X89" s="95">
        <f>W89*'Weighting Factors'!$Q$8</f>
        <v>0.6</v>
      </c>
      <c r="Y89" s="95">
        <f t="shared" si="48"/>
        <v>0.6</v>
      </c>
      <c r="Z89" s="276">
        <f>IF(ISNA(VLOOKUP($CZ89,'Audit Values'!$A$2:$BW$317,2,FALSE)),'Preliminary SO66'!AO88,VLOOKUP($CZ89,'Audit Values'!$A$2:$BW$317,60,FALSE))</f>
        <v>128.5</v>
      </c>
      <c r="AA89" s="95">
        <f>Z89/6*'Weighting Factors'!$Q$6</f>
        <v>10.7</v>
      </c>
      <c r="AB89" s="99">
        <f>IF(ISNA(VLOOKUP($CZ89,'Audit Values'!$A$2:$BU$353,2,FALSE)),'Preliminary SO66'!AS88,VLOOKUP($CZ89,'Audit Values'!$A$2:$BU$353,63,FALSE))</f>
        <v>364</v>
      </c>
      <c r="AC89" s="99">
        <v>0</v>
      </c>
      <c r="AD89" s="99">
        <f>IF(ISNA(VLOOKUP($CZ89,'Audit Values'!$A$2:$BU$353,2,FALSE)),'Preliminary SO66'!AP88,VLOOKUP($CZ89,'Audit Values'!$A$2:$BU$353,64,FALSE))</f>
        <v>156</v>
      </c>
      <c r="AE89" s="95">
        <f>IF(A89=207, AD89,MAX(AC89,AD89))*'Weighting Factors'!$Q$9</f>
        <v>75.5</v>
      </c>
      <c r="AF89" s="95">
        <f t="shared" si="49"/>
        <v>8.6</v>
      </c>
      <c r="AG89" s="95">
        <f>IF(ISNA(VLOOKUP($CZ89,'Audit Values'!$A$2:$BW$353,2,FALSE)),'Preliminary SO66'!AG88,VLOOKUP($CZ89,'Audit Values'!$A$2:$BW$353,70,FALSE))</f>
        <v>8.6</v>
      </c>
      <c r="AH89" s="95">
        <f t="shared" si="50"/>
        <v>8.6</v>
      </c>
      <c r="AI89" s="95">
        <f>IF(ISNA(VLOOKUP($CZ89,'Audit Values'!$A$2:$BU$353,2,FALSE)),'Preliminary SO66'!AQ88,VLOOKUP($CZ89,'Audit Values'!$A$2:$BU$353,65,FALSE))</f>
        <v>0</v>
      </c>
      <c r="AJ89" s="95">
        <f>AI89*'Weighting Factors'!$Q$10</f>
        <v>0</v>
      </c>
      <c r="AK89" s="95">
        <f>IF(ISNA(VLOOKUP($CZ89,'Audit Values'!$A$2:$BU$353,2,FALSE)),'Preliminary SO66'!AR88,VLOOKUP($CZ89,'Audit Values'!$A$2:$BU$353,66,FALSE))</f>
        <v>122</v>
      </c>
      <c r="AL89" s="95"/>
      <c r="AM89" s="99">
        <f t="shared" si="51"/>
        <v>152500</v>
      </c>
      <c r="AN89" s="99">
        <v>252691</v>
      </c>
      <c r="AO89" s="95">
        <f>MAX(AN89, AM89)/'Weighting Factors'!$Q$5</f>
        <v>60.7</v>
      </c>
      <c r="AP89" s="95">
        <f>CN89/'Weighting Factors'!$Q$5</f>
        <v>0</v>
      </c>
      <c r="AQ89" s="95">
        <v>0</v>
      </c>
      <c r="AR89" s="95">
        <f>CS89/'Weighting Factors'!$Q$5</f>
        <v>0</v>
      </c>
      <c r="AS89" s="99">
        <v>638177</v>
      </c>
      <c r="AT89" s="95">
        <f>AS89/'Weighting Factors'!$Q$5</f>
        <v>153.19999999999999</v>
      </c>
      <c r="AU89" s="95">
        <f>IF(ISNA(VLOOKUP($CZ89,'Audit Values'!$A$2:$BU$353,2,FALSE)),'Preliminary SO66'!X88,VLOOKUP($CZ89,'Audit Values'!$A$2:$BU$353,47,FALSE))</f>
        <v>0</v>
      </c>
      <c r="AV89" s="95">
        <f t="shared" si="52"/>
        <v>827.5</v>
      </c>
      <c r="AW89" s="95">
        <f t="shared" si="53"/>
        <v>674.3</v>
      </c>
      <c r="AX89" s="95">
        <f>IF(ISNA(VLOOKUP($CZ89,'Audit Values'!$A$2:$BU$353,2,FALSE)),'Preliminary SO66'!AA88,VLOOKUP($CZ89,'Audit Values'!$A$2:$BU$353,41,FALSE))</f>
        <v>0</v>
      </c>
      <c r="AY89" s="95">
        <f>IF(ISNA(VLOOKUP($CZ89,'Audit Values'!$A$2:$BU$353,2,FALSE)),'Preliminary SO66'!AB88,VLOOKUP($CZ89,'Audit Values'!$A$2:$BU$353,42,FALSE))</f>
        <v>0</v>
      </c>
      <c r="AZ89" s="114">
        <v>0</v>
      </c>
      <c r="BA89" s="99">
        <f>SUM(AX89*'Weighting Factors'!$T$10)+('2019 Legal Max'!AY89*'Weighting Factors'!$T$11)+('2019 Legal Max'!AZ89*'Weighting Factors'!$T$12)</f>
        <v>0</v>
      </c>
      <c r="BB89" s="158">
        <v>0</v>
      </c>
      <c r="BC89" s="88">
        <f>IF(ISNA(VLOOKUP($CZ89,'Audit Values'!$A$2:$BU$353,2,FALSE)),"",IF(AND('Weighting Factors'!H89&gt;0,VLOOKUP($CZ89,'Audit Values'!$A$2:$BU$353,51,FALSE)&lt;'Weighting Factors'!H89),'Weighting Factors'!H89,VLOOKUP($CZ89,'Audit Values'!$A$2:$BU$353,50,FALSE)))</f>
        <v>9</v>
      </c>
      <c r="BD89" s="88" t="str">
        <f>IF(ISNA(VLOOKUP($CZ89,'Audit Values'!$A$2:$BV$353,2,FALSE)),"",VLOOKUP($CZ89,'Audit Values'!$A$2:$BV$353,51,FALSE))</f>
        <v>A</v>
      </c>
      <c r="BE89" s="88" t="str">
        <f>IF('Weighting Factors'!H89="","",IF('Weighting Factors'!J89="Pending","PX","R"))</f>
        <v/>
      </c>
      <c r="BF89" s="97">
        <f>SUM((S89+T89+Y89+AA89+AE89+AH89+AJ89++AO89+AP89+AQ89+AU89+AR89)*'Weighting Factors'!$Q$5)+'2019 Legal Max'!BA89+'2019 Legal Max'!BB89</f>
        <v>2808460</v>
      </c>
      <c r="BG89" s="99">
        <f>SUM((AV89+AR89)*'Weighting Factors'!$Q$5)+BA89+'2019 Legal Max'!BB89</f>
        <v>3446538</v>
      </c>
      <c r="BH89" s="108">
        <f>IF('Weighting Factors'!H89&gt;0,'Weighting Factors'!H89,'Preliminary SO66'!AV88)</f>
        <v>3558576</v>
      </c>
      <c r="BI89" s="99">
        <f t="shared" si="77"/>
        <v>3446538</v>
      </c>
      <c r="BJ89" s="112"/>
      <c r="BK89" s="112">
        <f>'Weighting Factors'!F89</f>
        <v>0</v>
      </c>
      <c r="BL89" s="112">
        <f>'Weighting Factors'!E89</f>
        <v>0</v>
      </c>
      <c r="BM89" s="99">
        <f t="shared" si="54"/>
        <v>0</v>
      </c>
      <c r="BN89" s="99">
        <f t="shared" si="55"/>
        <v>3446538</v>
      </c>
      <c r="BO89" s="99">
        <f>SUM((S89+T89+Y89+AA89+AE89+AH89+AJ89++AO89+AP89+AQ89+AR89)*'Weighting Factors'!Q$12)+(MAX(AS89,'Weighting Factors'!B89))</f>
        <v>3665784</v>
      </c>
      <c r="BP89" s="122">
        <v>0.3</v>
      </c>
      <c r="BQ89" s="99">
        <f t="shared" si="56"/>
        <v>1099735</v>
      </c>
      <c r="BR89" s="108">
        <v>1135896</v>
      </c>
      <c r="BS89" s="99">
        <f t="shared" si="57"/>
        <v>1099735</v>
      </c>
      <c r="BT89" s="167">
        <f t="shared" si="58"/>
        <v>0.3</v>
      </c>
      <c r="BU89" s="95">
        <f t="shared" si="59"/>
        <v>0</v>
      </c>
      <c r="BV89" s="87" t="b">
        <f t="shared" si="60"/>
        <v>0</v>
      </c>
      <c r="BW89" s="117">
        <f t="shared" si="61"/>
        <v>0</v>
      </c>
      <c r="BX89" s="116">
        <f t="shared" si="62"/>
        <v>0</v>
      </c>
      <c r="BY89" s="95">
        <f t="shared" si="63"/>
        <v>0</v>
      </c>
      <c r="BZ89" s="87" t="b">
        <f t="shared" si="64"/>
        <v>1</v>
      </c>
      <c r="CA89" s="87">
        <f t="shared" si="65"/>
        <v>66.206299999999999</v>
      </c>
      <c r="CB89" s="116">
        <f t="shared" si="66"/>
        <v>0.46600999999999998</v>
      </c>
      <c r="CC89" s="95">
        <f t="shared" si="67"/>
        <v>164.7</v>
      </c>
      <c r="CD89" s="95">
        <f t="shared" si="68"/>
        <v>0</v>
      </c>
      <c r="CE89" s="98">
        <v>541</v>
      </c>
      <c r="CF89" s="250">
        <f t="shared" si="69"/>
        <v>0.22600000000000001</v>
      </c>
      <c r="CG89" s="274">
        <f>IF(CF89&lt;0.06,1,IF(CF89&gt;=18.29,52,MATCH(CF89-0.001,'Weighting Factors'!$Y$5:$Y$156)+1))</f>
        <v>17</v>
      </c>
      <c r="CH89" s="243">
        <f>VLOOKUP(CG89, 'Weighting Factors'!$W$5:$Z$56,4)</f>
        <v>1250</v>
      </c>
      <c r="CI89" s="118">
        <f>('Weighting Factors'!$Q$5/'Weighting Factors'!$Q$14)</f>
        <v>1</v>
      </c>
      <c r="CJ89" s="245">
        <f t="shared" si="70"/>
        <v>152500</v>
      </c>
      <c r="CK89" s="245">
        <f>CJ89*'Weighting Factors'!$S$7</f>
        <v>152500</v>
      </c>
      <c r="CL89" s="245">
        <f t="shared" si="71"/>
        <v>152500</v>
      </c>
      <c r="CM89" s="95">
        <f>AM89/'Weighting Factors'!$Q$5</f>
        <v>36.6</v>
      </c>
      <c r="CN89" s="148">
        <v>0</v>
      </c>
      <c r="CO89" s="148">
        <v>0</v>
      </c>
      <c r="CP89" s="149">
        <v>0</v>
      </c>
      <c r="CQ89" s="151">
        <v>0</v>
      </c>
      <c r="CR89" s="99">
        <f>SUM((AV89*'Weighting Factors'!$Q$5)+'2019 Legal Max'!BA89)*CQ89</f>
        <v>0</v>
      </c>
      <c r="CS89" s="99">
        <f t="shared" si="72"/>
        <v>0</v>
      </c>
      <c r="CT89" s="106">
        <f t="shared" si="73"/>
        <v>0.42859999999999998</v>
      </c>
      <c r="CU89" s="95">
        <f t="shared" si="74"/>
        <v>0</v>
      </c>
      <c r="CV89" s="95">
        <f t="shared" si="75"/>
        <v>8.6</v>
      </c>
      <c r="CW89" s="95">
        <f t="shared" si="76"/>
        <v>827.5</v>
      </c>
      <c r="CX89" s="99">
        <f>'LOB Transfers'!G88</f>
        <v>100736</v>
      </c>
      <c r="CY89" s="99">
        <f>'LOB Transfers'!J88</f>
        <v>770</v>
      </c>
      <c r="CZ89" s="87" t="s">
        <v>281</v>
      </c>
    </row>
    <row r="90" spans="1:104" ht="15" customHeight="1">
      <c r="A90" s="88">
        <v>283</v>
      </c>
      <c r="B90" s="87" t="s">
        <v>39</v>
      </c>
      <c r="C90" s="87" t="s">
        <v>603</v>
      </c>
      <c r="D90" s="95">
        <v>107.5</v>
      </c>
      <c r="E90" s="95">
        <v>0</v>
      </c>
      <c r="F90" s="95">
        <f t="shared" si="43"/>
        <v>107.5</v>
      </c>
      <c r="G90" s="95">
        <v>109.5</v>
      </c>
      <c r="H90" s="95">
        <v>0</v>
      </c>
      <c r="I90" s="95">
        <f t="shared" si="44"/>
        <v>109.5</v>
      </c>
      <c r="J90" s="95">
        <v>101</v>
      </c>
      <c r="K90" s="95">
        <v>0</v>
      </c>
      <c r="L90" s="95">
        <f t="shared" si="45"/>
        <v>101</v>
      </c>
      <c r="M90" s="95">
        <f>IF(ISNA(VLOOKUP($CZ90,'Audit Values'!$A$2:$BW$365,2,FALSE)),'Preliminary SO66'!C89,VLOOKUP($CZ90,'Audit Values'!$A$2:$BW$365,73,FALSE))</f>
        <v>89</v>
      </c>
      <c r="N90" s="95">
        <f>IF(ISNA(VLOOKUP($CZ90,'Audit Values'!$A$2:$BW$365,2,FALSE)),'Preliminary SO66'!F89,VLOOKUP($CZ90,'Audit Values'!$A$2:$BW$365,4,FALSE))</f>
        <v>0</v>
      </c>
      <c r="O90" s="95">
        <f t="shared" si="46"/>
        <v>89</v>
      </c>
      <c r="P90" s="95">
        <f>IF('Military Provision'!J91="YES", MAX('2019 Legal Max'!L90,'2019 Legal Max'!I90,AVERAGE('2019 Legal Max'!F90,'2019 Legal Max'!I90,'2019 Legal Max'!L90)), MAX(L90, I90))</f>
        <v>109.5</v>
      </c>
      <c r="Q90" s="95">
        <f>IF(ISNA(VLOOKUP($CZ90,'Audit Values'!$A$2:$BU$353,2,FALSE)),'Preliminary SO66'!AL89,VLOOKUP($CZ90,'Audit Values'!$A$2:$BU$3955,58,FALSE))</f>
        <v>1.5</v>
      </c>
      <c r="R90" s="95">
        <v>0</v>
      </c>
      <c r="S90" s="95">
        <f t="shared" si="78"/>
        <v>111</v>
      </c>
      <c r="T90" s="95">
        <f t="shared" si="47"/>
        <v>109.4</v>
      </c>
      <c r="U90" s="95">
        <f>IF(ISNA(VLOOKUP($CZ90,'Audit Values'!$A$2:$BW$317,2,FALSE)),'Preliminary SO66'!AM89,VLOOKUP($CZ90,'Audit Values'!$A$2:$BW$317,62,FALSE))</f>
        <v>0</v>
      </c>
      <c r="V90" s="95">
        <f>(U90/6)*'Weighting Factors'!$Q$7</f>
        <v>0</v>
      </c>
      <c r="W90" s="132">
        <f>IF(ISNA(VLOOKUP($CZ90,'Audit Values'!$A$2:$BW$353,2,FALSE)),'Preliminary SO66'!AN89,VLOOKUP($CZ90,'Audit Values'!$A$2:$BW$353,61,FALSE))</f>
        <v>0</v>
      </c>
      <c r="X90" s="95">
        <f>W90*'Weighting Factors'!$Q$8</f>
        <v>0</v>
      </c>
      <c r="Y90" s="95">
        <f t="shared" si="48"/>
        <v>0</v>
      </c>
      <c r="Z90" s="276">
        <f>IF(ISNA(VLOOKUP($CZ90,'Audit Values'!$A$2:$BW$317,2,FALSE)),'Preliminary SO66'!AO89,VLOOKUP($CZ90,'Audit Values'!$A$2:$BW$317,60,FALSE))</f>
        <v>47.3</v>
      </c>
      <c r="AA90" s="95">
        <f>Z90/6*'Weighting Factors'!$Q$6</f>
        <v>3.9</v>
      </c>
      <c r="AB90" s="99">
        <f>IF(ISNA(VLOOKUP($CZ90,'Audit Values'!$A$2:$BU$353,2,FALSE)),'Preliminary SO66'!AS89,VLOOKUP($CZ90,'Audit Values'!$A$2:$BU$353,63,FALSE))</f>
        <v>95</v>
      </c>
      <c r="AC90" s="99">
        <v>0</v>
      </c>
      <c r="AD90" s="99">
        <f>IF(ISNA(VLOOKUP($CZ90,'Audit Values'!$A$2:$BU$353,2,FALSE)),'Preliminary SO66'!AP89,VLOOKUP($CZ90,'Audit Values'!$A$2:$BU$353,64,FALSE))</f>
        <v>69</v>
      </c>
      <c r="AE90" s="95">
        <f>IF(A90=207, AD90,MAX(AC90,AD90))*'Weighting Factors'!$Q$9</f>
        <v>33.4</v>
      </c>
      <c r="AF90" s="95">
        <f t="shared" si="49"/>
        <v>7.2</v>
      </c>
      <c r="AG90" s="95">
        <f>IF(ISNA(VLOOKUP($CZ90,'Audit Values'!$A$2:$BW$353,2,FALSE)),'Preliminary SO66'!AG89,VLOOKUP($CZ90,'Audit Values'!$A$2:$BW$353,70,FALSE))</f>
        <v>7.2</v>
      </c>
      <c r="AH90" s="95">
        <f t="shared" si="50"/>
        <v>7.2</v>
      </c>
      <c r="AI90" s="95">
        <f>IF(ISNA(VLOOKUP($CZ90,'Audit Values'!$A$2:$BU$353,2,FALSE)),'Preliminary SO66'!AQ89,VLOOKUP($CZ90,'Audit Values'!$A$2:$BU$353,65,FALSE))</f>
        <v>0</v>
      </c>
      <c r="AJ90" s="95">
        <f>AI90*'Weighting Factors'!$Q$10</f>
        <v>0</v>
      </c>
      <c r="AK90" s="95">
        <f>IF(ISNA(VLOOKUP($CZ90,'Audit Values'!$A$2:$BU$353,2,FALSE)),'Preliminary SO66'!AR89,VLOOKUP($CZ90,'Audit Values'!$A$2:$BU$353,66,FALSE))</f>
        <v>21</v>
      </c>
      <c r="AL90" s="95"/>
      <c r="AM90" s="99">
        <f t="shared" si="51"/>
        <v>29190</v>
      </c>
      <c r="AN90" s="99">
        <v>60476</v>
      </c>
      <c r="AO90" s="95">
        <f>MAX(AN90, AM90)/'Weighting Factors'!$Q$5</f>
        <v>14.5</v>
      </c>
      <c r="AP90" s="95">
        <f>CN90/'Weighting Factors'!$Q$5</f>
        <v>0</v>
      </c>
      <c r="AQ90" s="95">
        <v>0</v>
      </c>
      <c r="AR90" s="95">
        <f>CS90/'Weighting Factors'!$Q$5</f>
        <v>0</v>
      </c>
      <c r="AS90" s="99">
        <v>269162</v>
      </c>
      <c r="AT90" s="95">
        <f>AS90/'Weighting Factors'!$Q$5</f>
        <v>64.599999999999994</v>
      </c>
      <c r="AU90" s="95">
        <f>IF(ISNA(VLOOKUP($CZ90,'Audit Values'!$A$2:$BU$353,2,FALSE)),'Preliminary SO66'!X89,VLOOKUP($CZ90,'Audit Values'!$A$2:$BU$353,47,FALSE))</f>
        <v>0</v>
      </c>
      <c r="AV90" s="95">
        <f t="shared" si="52"/>
        <v>344</v>
      </c>
      <c r="AW90" s="95">
        <f t="shared" si="53"/>
        <v>279.39999999999998</v>
      </c>
      <c r="AX90" s="95">
        <f>IF(ISNA(VLOOKUP($CZ90,'Audit Values'!$A$2:$BU$353,2,FALSE)),'Preliminary SO66'!AA89,VLOOKUP($CZ90,'Audit Values'!$A$2:$BU$353,41,FALSE))</f>
        <v>0</v>
      </c>
      <c r="AY90" s="95">
        <f>IF(ISNA(VLOOKUP($CZ90,'Audit Values'!$A$2:$BU$353,2,FALSE)),'Preliminary SO66'!AB89,VLOOKUP($CZ90,'Audit Values'!$A$2:$BU$353,42,FALSE))</f>
        <v>0</v>
      </c>
      <c r="AZ90" s="114">
        <v>0</v>
      </c>
      <c r="BA90" s="99">
        <f>SUM(AX90*'Weighting Factors'!$T$10)+('2019 Legal Max'!AY90*'Weighting Factors'!$T$11)+('2019 Legal Max'!AZ90*'Weighting Factors'!$T$12)</f>
        <v>0</v>
      </c>
      <c r="BB90" s="158">
        <v>0</v>
      </c>
      <c r="BC90" s="88">
        <f>IF(ISNA(VLOOKUP($CZ90,'Audit Values'!$A$2:$BU$353,2,FALSE)),"",IF(AND('Weighting Factors'!H90&gt;0,VLOOKUP($CZ90,'Audit Values'!$A$2:$BU$353,51,FALSE)&lt;'Weighting Factors'!H90),'Weighting Factors'!H90,VLOOKUP($CZ90,'Audit Values'!$A$2:$BU$353,50,FALSE)))</f>
        <v>8</v>
      </c>
      <c r="BD90" s="88" t="str">
        <f>IF(ISNA(VLOOKUP($CZ90,'Audit Values'!$A$2:$BV$353,2,FALSE)),"",VLOOKUP($CZ90,'Audit Values'!$A$2:$BV$353,51,FALSE))</f>
        <v>A</v>
      </c>
      <c r="BE90" s="88" t="str">
        <f>IF('Weighting Factors'!H90="","",IF('Weighting Factors'!J90="Pending","PX","R"))</f>
        <v/>
      </c>
      <c r="BF90" s="97">
        <f>SUM((S90+T90+Y90+AA90+AE90+AH90+AJ90++AO90+AP90+AQ90+AU90+AR90)*'Weighting Factors'!$Q$5)+'2019 Legal Max'!BA90+'2019 Legal Max'!BB90</f>
        <v>1163701</v>
      </c>
      <c r="BG90" s="99">
        <f>SUM((AV90+AR90)*'Weighting Factors'!$Q$5)+BA90+'2019 Legal Max'!BB90</f>
        <v>1432760</v>
      </c>
      <c r="BH90" s="108">
        <f>IF('Weighting Factors'!H90&gt;0,'Weighting Factors'!H90,'Preliminary SO66'!AV89)</f>
        <v>1528972</v>
      </c>
      <c r="BI90" s="99">
        <f t="shared" si="77"/>
        <v>1432760</v>
      </c>
      <c r="BJ90" s="112"/>
      <c r="BK90" s="112">
        <f>'Weighting Factors'!F90</f>
        <v>0</v>
      </c>
      <c r="BL90" s="112">
        <f>'Weighting Factors'!E90</f>
        <v>0</v>
      </c>
      <c r="BM90" s="99">
        <f t="shared" si="54"/>
        <v>0</v>
      </c>
      <c r="BN90" s="99">
        <f t="shared" si="55"/>
        <v>1432760</v>
      </c>
      <c r="BO90" s="99">
        <f>SUM((S90+T90+Y90+AA90+AE90+AH90+AJ90++AO90+AP90+AQ90+AR90)*'Weighting Factors'!Q$12)+(MAX(AS90,'Weighting Factors'!B90))</f>
        <v>1554418</v>
      </c>
      <c r="BP90" s="122">
        <v>0.3</v>
      </c>
      <c r="BQ90" s="99">
        <f t="shared" si="56"/>
        <v>466325</v>
      </c>
      <c r="BR90" s="108">
        <v>488282</v>
      </c>
      <c r="BS90" s="99">
        <f t="shared" si="57"/>
        <v>466325</v>
      </c>
      <c r="BT90" s="167">
        <f t="shared" si="58"/>
        <v>0.3</v>
      </c>
      <c r="BU90" s="95">
        <f t="shared" si="59"/>
        <v>0</v>
      </c>
      <c r="BV90" s="87" t="b">
        <f t="shared" si="60"/>
        <v>1</v>
      </c>
      <c r="BW90" s="117">
        <f t="shared" si="61"/>
        <v>106.205</v>
      </c>
      <c r="BX90" s="116">
        <f t="shared" si="62"/>
        <v>0.98517299999999997</v>
      </c>
      <c r="BY90" s="95">
        <f t="shared" si="63"/>
        <v>109.4</v>
      </c>
      <c r="BZ90" s="87" t="b">
        <f t="shared" si="64"/>
        <v>0</v>
      </c>
      <c r="CA90" s="87">
        <f t="shared" si="65"/>
        <v>0</v>
      </c>
      <c r="CB90" s="116">
        <f t="shared" si="66"/>
        <v>0</v>
      </c>
      <c r="CC90" s="95">
        <f t="shared" si="67"/>
        <v>0</v>
      </c>
      <c r="CD90" s="95">
        <f t="shared" si="68"/>
        <v>0</v>
      </c>
      <c r="CE90" s="98">
        <v>160</v>
      </c>
      <c r="CF90" s="250">
        <f t="shared" si="69"/>
        <v>0.13100000000000001</v>
      </c>
      <c r="CG90" s="274">
        <f>IF(CF90&lt;0.06,1,IF(CF90&gt;=18.29,52,MATCH(CF90-0.001,'Weighting Factors'!$Y$5:$Y$156)+1))</f>
        <v>9</v>
      </c>
      <c r="CH90" s="243">
        <f>VLOOKUP(CG90, 'Weighting Factors'!$W$5:$Z$56,4)</f>
        <v>1390</v>
      </c>
      <c r="CI90" s="118">
        <f>('Weighting Factors'!$Q$5/'Weighting Factors'!$Q$14)</f>
        <v>1</v>
      </c>
      <c r="CJ90" s="245">
        <f t="shared" si="70"/>
        <v>29190</v>
      </c>
      <c r="CK90" s="245">
        <f>CJ90*'Weighting Factors'!$S$7</f>
        <v>29190</v>
      </c>
      <c r="CL90" s="245">
        <f t="shared" si="71"/>
        <v>29190</v>
      </c>
      <c r="CM90" s="95">
        <f>AM90/'Weighting Factors'!$Q$5</f>
        <v>7</v>
      </c>
      <c r="CN90" s="148">
        <v>0</v>
      </c>
      <c r="CO90" s="148">
        <v>0</v>
      </c>
      <c r="CP90" s="149">
        <v>0</v>
      </c>
      <c r="CQ90" s="151">
        <v>0</v>
      </c>
      <c r="CR90" s="99">
        <f>SUM((AV90*'Weighting Factors'!$Q$5)+'2019 Legal Max'!BA90)*CQ90</f>
        <v>0</v>
      </c>
      <c r="CS90" s="99">
        <f t="shared" si="72"/>
        <v>0</v>
      </c>
      <c r="CT90" s="106">
        <f t="shared" si="73"/>
        <v>0.72629999999999995</v>
      </c>
      <c r="CU90" s="95">
        <f t="shared" si="74"/>
        <v>7.2</v>
      </c>
      <c r="CV90" s="95">
        <f t="shared" si="75"/>
        <v>0</v>
      </c>
      <c r="CW90" s="95">
        <f t="shared" si="76"/>
        <v>344</v>
      </c>
      <c r="CX90" s="99">
        <f>'LOB Transfers'!G89</f>
        <v>45467</v>
      </c>
      <c r="CY90" s="99">
        <f>'LOB Transfers'!J89</f>
        <v>0</v>
      </c>
      <c r="CZ90" s="87" t="s">
        <v>282</v>
      </c>
    </row>
    <row r="91" spans="1:104" ht="15" customHeight="1">
      <c r="A91" s="88">
        <v>284</v>
      </c>
      <c r="B91" s="87" t="s">
        <v>40</v>
      </c>
      <c r="C91" s="87" t="s">
        <v>604</v>
      </c>
      <c r="D91" s="95">
        <v>341.5</v>
      </c>
      <c r="E91" s="95">
        <v>0</v>
      </c>
      <c r="F91" s="95">
        <f t="shared" si="43"/>
        <v>341.5</v>
      </c>
      <c r="G91" s="95">
        <v>346</v>
      </c>
      <c r="H91" s="95">
        <v>0</v>
      </c>
      <c r="I91" s="95">
        <f t="shared" si="44"/>
        <v>346</v>
      </c>
      <c r="J91" s="95">
        <v>320</v>
      </c>
      <c r="K91" s="95">
        <v>0</v>
      </c>
      <c r="L91" s="95">
        <f t="shared" si="45"/>
        <v>320</v>
      </c>
      <c r="M91" s="95">
        <f>IF(ISNA(VLOOKUP($CZ91,'Audit Values'!$A$2:$BW$365,2,FALSE)),'Preliminary SO66'!C90,VLOOKUP($CZ91,'Audit Values'!$A$2:$BW$365,73,FALSE))</f>
        <v>346.7</v>
      </c>
      <c r="N91" s="95">
        <f>IF(ISNA(VLOOKUP($CZ91,'Audit Values'!$A$2:$BW$365,2,FALSE)),'Preliminary SO66'!F90,VLOOKUP($CZ91,'Audit Values'!$A$2:$BW$365,4,FALSE))</f>
        <v>0</v>
      </c>
      <c r="O91" s="95">
        <f t="shared" si="46"/>
        <v>346.7</v>
      </c>
      <c r="P91" s="95">
        <f>IF('Military Provision'!J92="YES", MAX('2019 Legal Max'!L91,'2019 Legal Max'!I91,AVERAGE('2019 Legal Max'!F91,'2019 Legal Max'!I91,'2019 Legal Max'!L91)), MAX(L91, I91))</f>
        <v>346</v>
      </c>
      <c r="Q91" s="95">
        <f>IF(ISNA(VLOOKUP($CZ91,'Audit Values'!$A$2:$BU$353,2,FALSE)),'Preliminary SO66'!AL90,VLOOKUP($CZ91,'Audit Values'!$A$2:$BU$3955,58,FALSE))</f>
        <v>0</v>
      </c>
      <c r="R91" s="95">
        <v>0</v>
      </c>
      <c r="S91" s="95">
        <f t="shared" si="78"/>
        <v>346</v>
      </c>
      <c r="T91" s="95">
        <f t="shared" si="47"/>
        <v>162.1</v>
      </c>
      <c r="U91" s="95">
        <f>IF(ISNA(VLOOKUP($CZ91,'Audit Values'!$A$2:$BW$317,2,FALSE)),'Preliminary SO66'!AM90,VLOOKUP($CZ91,'Audit Values'!$A$2:$BW$317,62,FALSE))</f>
        <v>0</v>
      </c>
      <c r="V91" s="95">
        <f>(U91/6)*'Weighting Factors'!$Q$7</f>
        <v>0</v>
      </c>
      <c r="W91" s="132">
        <f>IF(ISNA(VLOOKUP($CZ91,'Audit Values'!$A$2:$BW$353,2,FALSE)),'Preliminary SO66'!AN90,VLOOKUP($CZ91,'Audit Values'!$A$2:$BW$353,61,FALSE))</f>
        <v>0</v>
      </c>
      <c r="X91" s="95">
        <f>W91*'Weighting Factors'!$Q$8</f>
        <v>0</v>
      </c>
      <c r="Y91" s="95">
        <f t="shared" si="48"/>
        <v>0</v>
      </c>
      <c r="Z91" s="276">
        <f>IF(ISNA(VLOOKUP($CZ91,'Audit Values'!$A$2:$BW$317,2,FALSE)),'Preliminary SO66'!AO90,VLOOKUP($CZ91,'Audit Values'!$A$2:$BW$317,60,FALSE))</f>
        <v>92.7</v>
      </c>
      <c r="AA91" s="95">
        <f>Z91/6*'Weighting Factors'!$Q$6</f>
        <v>7.7</v>
      </c>
      <c r="AB91" s="99">
        <f>IF(ISNA(VLOOKUP($CZ91,'Audit Values'!$A$2:$BU$353,2,FALSE)),'Preliminary SO66'!AS90,VLOOKUP($CZ91,'Audit Values'!$A$2:$BU$353,63,FALSE))</f>
        <v>348</v>
      </c>
      <c r="AC91" s="99">
        <v>0</v>
      </c>
      <c r="AD91" s="99">
        <f>IF(ISNA(VLOOKUP($CZ91,'Audit Values'!$A$2:$BU$353,2,FALSE)),'Preliminary SO66'!AP90,VLOOKUP($CZ91,'Audit Values'!$A$2:$BU$353,64,FALSE))</f>
        <v>92</v>
      </c>
      <c r="AE91" s="95">
        <f>IF(A91=207, AD91,MAX(AC91,AD91))*'Weighting Factors'!$Q$9</f>
        <v>44.5</v>
      </c>
      <c r="AF91" s="95">
        <f t="shared" si="49"/>
        <v>0</v>
      </c>
      <c r="AG91" s="95">
        <f>IF(ISNA(VLOOKUP($CZ91,'Audit Values'!$A$2:$BW$353,2,FALSE)),'Preliminary SO66'!AG90,VLOOKUP($CZ91,'Audit Values'!$A$2:$BW$353,70,FALSE))</f>
        <v>0</v>
      </c>
      <c r="AH91" s="95">
        <f t="shared" si="50"/>
        <v>0</v>
      </c>
      <c r="AI91" s="95">
        <f>IF(ISNA(VLOOKUP($CZ91,'Audit Values'!$A$2:$BU$353,2,FALSE)),'Preliminary SO66'!AQ90,VLOOKUP($CZ91,'Audit Values'!$A$2:$BU$353,65,FALSE))</f>
        <v>0</v>
      </c>
      <c r="AJ91" s="95">
        <f>AI91*'Weighting Factors'!$Q$10</f>
        <v>0</v>
      </c>
      <c r="AK91" s="95">
        <f>IF(ISNA(VLOOKUP($CZ91,'Audit Values'!$A$2:$BU$353,2,FALSE)),'Preliminary SO66'!AR90,VLOOKUP($CZ91,'Audit Values'!$A$2:$BU$353,66,FALSE))</f>
        <v>180</v>
      </c>
      <c r="AL91" s="95"/>
      <c r="AM91" s="99">
        <f t="shared" si="51"/>
        <v>225000</v>
      </c>
      <c r="AN91" s="99">
        <v>268484</v>
      </c>
      <c r="AO91" s="95">
        <f>MAX(AN91, AM91)/'Weighting Factors'!$Q$5</f>
        <v>64.5</v>
      </c>
      <c r="AP91" s="95">
        <f>CN91/'Weighting Factors'!$Q$5</f>
        <v>0</v>
      </c>
      <c r="AQ91" s="95">
        <v>0</v>
      </c>
      <c r="AR91" s="95">
        <f>CS91/'Weighting Factors'!$Q$5</f>
        <v>0</v>
      </c>
      <c r="AS91" s="99">
        <v>336588</v>
      </c>
      <c r="AT91" s="95">
        <f>AS91/'Weighting Factors'!$Q$5</f>
        <v>80.8</v>
      </c>
      <c r="AU91" s="95">
        <f>IF(ISNA(VLOOKUP($CZ91,'Audit Values'!$A$2:$BU$353,2,FALSE)),'Preliminary SO66'!X90,VLOOKUP($CZ91,'Audit Values'!$A$2:$BU$353,47,FALSE))</f>
        <v>0</v>
      </c>
      <c r="AV91" s="95">
        <f t="shared" si="52"/>
        <v>705.6</v>
      </c>
      <c r="AW91" s="95">
        <f t="shared" si="53"/>
        <v>624.79999999999995</v>
      </c>
      <c r="AX91" s="95">
        <f>IF(ISNA(VLOOKUP($CZ91,'Audit Values'!$A$2:$BU$353,2,FALSE)),'Preliminary SO66'!AA90,VLOOKUP($CZ91,'Audit Values'!$A$2:$BU$353,41,FALSE))</f>
        <v>0</v>
      </c>
      <c r="AY91" s="95">
        <f>IF(ISNA(VLOOKUP($CZ91,'Audit Values'!$A$2:$BU$353,2,FALSE)),'Preliminary SO66'!AB90,VLOOKUP($CZ91,'Audit Values'!$A$2:$BU$353,42,FALSE))</f>
        <v>0.7</v>
      </c>
      <c r="AZ91" s="114">
        <v>0</v>
      </c>
      <c r="BA91" s="99">
        <f>SUM(AX91*'Weighting Factors'!$T$10)+('2019 Legal Max'!AY91*'Weighting Factors'!$T$11)+('2019 Legal Max'!AZ91*'Weighting Factors'!$T$12)</f>
        <v>1190</v>
      </c>
      <c r="BB91" s="158">
        <v>0</v>
      </c>
      <c r="BC91" s="88">
        <f>IF(ISNA(VLOOKUP($CZ91,'Audit Values'!$A$2:$BU$353,2,FALSE)),"",IF(AND('Weighting Factors'!H91&gt;0,VLOOKUP($CZ91,'Audit Values'!$A$2:$BU$353,51,FALSE)&lt;'Weighting Factors'!H91),'Weighting Factors'!H91,VLOOKUP($CZ91,'Audit Values'!$A$2:$BU$353,50,FALSE)))</f>
        <v>12</v>
      </c>
      <c r="BD91" s="88" t="str">
        <f>IF(ISNA(VLOOKUP($CZ91,'Audit Values'!$A$2:$BV$353,2,FALSE)),"",VLOOKUP($CZ91,'Audit Values'!$A$2:$BV$353,51,FALSE))</f>
        <v>A</v>
      </c>
      <c r="BE91" s="88" t="str">
        <f>IF('Weighting Factors'!H91="","",IF('Weighting Factors'!J91="Pending","PX","R"))</f>
        <v>R</v>
      </c>
      <c r="BF91" s="97">
        <f>SUM((S91+T91+Y91+AA91+AE91+AH91+AJ91++AO91+AP91+AQ91+AU91+AR91)*'Weighting Factors'!$Q$5)+'2019 Legal Max'!BA91+'2019 Legal Max'!BB91</f>
        <v>2603482</v>
      </c>
      <c r="BG91" s="99">
        <f>SUM((AV91+AR91)*'Weighting Factors'!$Q$5)+BA91+'2019 Legal Max'!BB91</f>
        <v>2940014</v>
      </c>
      <c r="BH91" s="108">
        <f>IF('Weighting Factors'!H91&gt;0,'Weighting Factors'!H91,'Preliminary SO66'!AV90)</f>
        <v>2940074</v>
      </c>
      <c r="BI91" s="99">
        <f t="shared" si="77"/>
        <v>2940014</v>
      </c>
      <c r="BJ91" s="112"/>
      <c r="BK91" s="112">
        <f>'Weighting Factors'!F91</f>
        <v>0</v>
      </c>
      <c r="BL91" s="112">
        <f>'Weighting Factors'!E91</f>
        <v>0</v>
      </c>
      <c r="BM91" s="99">
        <f t="shared" si="54"/>
        <v>0</v>
      </c>
      <c r="BN91" s="99">
        <f t="shared" si="55"/>
        <v>2940014</v>
      </c>
      <c r="BO91" s="99">
        <f>SUM((S91+T91+Y91+AA91+AE91+AH91+AJ91++AO91+AP91+AQ91+AR91)*'Weighting Factors'!Q$12)+(MAX(AS91,'Weighting Factors'!B91))</f>
        <v>3248409</v>
      </c>
      <c r="BP91" s="122">
        <v>0.3</v>
      </c>
      <c r="BQ91" s="99">
        <f t="shared" si="56"/>
        <v>974523</v>
      </c>
      <c r="BR91" s="108">
        <v>971559</v>
      </c>
      <c r="BS91" s="99">
        <f t="shared" si="57"/>
        <v>971559</v>
      </c>
      <c r="BT91" s="167">
        <f t="shared" si="58"/>
        <v>0.29909999999999998</v>
      </c>
      <c r="BU91" s="95">
        <f t="shared" si="59"/>
        <v>0</v>
      </c>
      <c r="BV91" s="87" t="b">
        <f t="shared" si="60"/>
        <v>0</v>
      </c>
      <c r="BW91" s="117">
        <f t="shared" si="61"/>
        <v>0</v>
      </c>
      <c r="BX91" s="116">
        <f t="shared" si="62"/>
        <v>0</v>
      </c>
      <c r="BY91" s="95">
        <f t="shared" si="63"/>
        <v>0</v>
      </c>
      <c r="BZ91" s="87" t="b">
        <f t="shared" si="64"/>
        <v>1</v>
      </c>
      <c r="CA91" s="87">
        <f t="shared" si="65"/>
        <v>56.924999999999997</v>
      </c>
      <c r="CB91" s="116">
        <f t="shared" si="66"/>
        <v>0.46855799999999997</v>
      </c>
      <c r="CC91" s="95">
        <f t="shared" si="67"/>
        <v>162.1</v>
      </c>
      <c r="CD91" s="95">
        <f t="shared" si="68"/>
        <v>0</v>
      </c>
      <c r="CE91" s="98">
        <v>780</v>
      </c>
      <c r="CF91" s="250">
        <f t="shared" si="69"/>
        <v>0.23100000000000001</v>
      </c>
      <c r="CG91" s="274">
        <f>IF(CF91&lt;0.06,1,IF(CF91&gt;=18.29,52,MATCH(CF91-0.001,'Weighting Factors'!$Y$5:$Y$156)+1))</f>
        <v>17</v>
      </c>
      <c r="CH91" s="243">
        <f>VLOOKUP(CG91, 'Weighting Factors'!$W$5:$Z$56,4)</f>
        <v>1250</v>
      </c>
      <c r="CI91" s="118">
        <f>('Weighting Factors'!$Q$5/'Weighting Factors'!$Q$14)</f>
        <v>1</v>
      </c>
      <c r="CJ91" s="245">
        <f t="shared" si="70"/>
        <v>225000</v>
      </c>
      <c r="CK91" s="245">
        <f>CJ91*'Weighting Factors'!$S$7</f>
        <v>225000</v>
      </c>
      <c r="CL91" s="245">
        <f t="shared" si="71"/>
        <v>225000</v>
      </c>
      <c r="CM91" s="95">
        <f>AM91/'Weighting Factors'!$Q$5</f>
        <v>54</v>
      </c>
      <c r="CN91" s="148">
        <v>0</v>
      </c>
      <c r="CO91" s="148">
        <v>0</v>
      </c>
      <c r="CP91" s="149">
        <v>0</v>
      </c>
      <c r="CQ91" s="151">
        <v>0</v>
      </c>
      <c r="CR91" s="99">
        <f>SUM((AV91*'Weighting Factors'!$Q$5)+'2019 Legal Max'!BA91)*CQ91</f>
        <v>0</v>
      </c>
      <c r="CS91" s="99">
        <f t="shared" si="72"/>
        <v>0</v>
      </c>
      <c r="CT91" s="106">
        <f t="shared" si="73"/>
        <v>0.26440000000000002</v>
      </c>
      <c r="CU91" s="95">
        <f t="shared" si="74"/>
        <v>0</v>
      </c>
      <c r="CV91" s="95">
        <f t="shared" si="75"/>
        <v>0</v>
      </c>
      <c r="CW91" s="95">
        <f t="shared" si="76"/>
        <v>705.6</v>
      </c>
      <c r="CX91" s="99">
        <f>'LOB Transfers'!G90</f>
        <v>61305</v>
      </c>
      <c r="CY91" s="99">
        <f>'LOB Transfers'!J90</f>
        <v>0</v>
      </c>
      <c r="CZ91" s="87" t="s">
        <v>283</v>
      </c>
    </row>
    <row r="92" spans="1:104" ht="15" customHeight="1">
      <c r="A92" s="88">
        <v>285</v>
      </c>
      <c r="B92" s="87" t="s">
        <v>41</v>
      </c>
      <c r="C92" s="87" t="s">
        <v>605</v>
      </c>
      <c r="D92" s="95">
        <v>172</v>
      </c>
      <c r="E92" s="95">
        <v>0</v>
      </c>
      <c r="F92" s="95">
        <f t="shared" si="43"/>
        <v>172</v>
      </c>
      <c r="G92" s="95">
        <v>182.5</v>
      </c>
      <c r="H92" s="95">
        <v>0</v>
      </c>
      <c r="I92" s="95">
        <f t="shared" si="44"/>
        <v>182.5</v>
      </c>
      <c r="J92" s="95">
        <v>149</v>
      </c>
      <c r="K92" s="95">
        <v>0</v>
      </c>
      <c r="L92" s="95">
        <f t="shared" si="45"/>
        <v>149</v>
      </c>
      <c r="M92" s="95">
        <f>IF(ISNA(VLOOKUP($CZ92,'Audit Values'!$A$2:$BW$365,2,FALSE)),'Preliminary SO66'!C91,VLOOKUP($CZ92,'Audit Values'!$A$2:$BW$365,73,FALSE))</f>
        <v>134</v>
      </c>
      <c r="N92" s="95">
        <f>IF(ISNA(VLOOKUP($CZ92,'Audit Values'!$A$2:$BW$365,2,FALSE)),'Preliminary SO66'!F91,VLOOKUP($CZ92,'Audit Values'!$A$2:$BW$365,4,FALSE))</f>
        <v>0</v>
      </c>
      <c r="O92" s="95">
        <f t="shared" si="46"/>
        <v>134</v>
      </c>
      <c r="P92" s="95">
        <f>IF('Military Provision'!J93="YES", MAX('2019 Legal Max'!L92,'2019 Legal Max'!I92,AVERAGE('2019 Legal Max'!F92,'2019 Legal Max'!I92,'2019 Legal Max'!L92)), MAX(L92, I92))</f>
        <v>182.5</v>
      </c>
      <c r="Q92" s="95">
        <f>IF(ISNA(VLOOKUP($CZ92,'Audit Values'!$A$2:$BU$353,2,FALSE)),'Preliminary SO66'!AL91,VLOOKUP($CZ92,'Audit Values'!$A$2:$BU$3955,58,FALSE))</f>
        <v>0</v>
      </c>
      <c r="R92" s="95">
        <v>0</v>
      </c>
      <c r="S92" s="95">
        <f t="shared" si="78"/>
        <v>182.5</v>
      </c>
      <c r="T92" s="95">
        <f t="shared" si="47"/>
        <v>145.19999999999999</v>
      </c>
      <c r="U92" s="95">
        <f>IF(ISNA(VLOOKUP($CZ92,'Audit Values'!$A$2:$BW$317,2,FALSE)),'Preliminary SO66'!AM91,VLOOKUP($CZ92,'Audit Values'!$A$2:$BW$317,62,FALSE))</f>
        <v>0</v>
      </c>
      <c r="V92" s="95">
        <f>(U92/6)*'Weighting Factors'!$Q$7</f>
        <v>0</v>
      </c>
      <c r="W92" s="132">
        <f>IF(ISNA(VLOOKUP($CZ92,'Audit Values'!$A$2:$BW$353,2,FALSE)),'Preliminary SO66'!AN91,VLOOKUP($CZ92,'Audit Values'!$A$2:$BW$353,61,FALSE))</f>
        <v>0</v>
      </c>
      <c r="X92" s="95">
        <f>W92*'Weighting Factors'!$Q$8</f>
        <v>0</v>
      </c>
      <c r="Y92" s="95">
        <f t="shared" si="48"/>
        <v>0</v>
      </c>
      <c r="Z92" s="276">
        <f>IF(ISNA(VLOOKUP($CZ92,'Audit Values'!$A$2:$BW$317,2,FALSE)),'Preliminary SO66'!AO91,VLOOKUP($CZ92,'Audit Values'!$A$2:$BW$317,60,FALSE))</f>
        <v>0</v>
      </c>
      <c r="AA92" s="95">
        <f>Z92/6*'Weighting Factors'!$Q$6</f>
        <v>0</v>
      </c>
      <c r="AB92" s="99">
        <f>IF(ISNA(VLOOKUP($CZ92,'Audit Values'!$A$2:$BU$353,2,FALSE)),'Preliminary SO66'!AS91,VLOOKUP($CZ92,'Audit Values'!$A$2:$BU$353,63,FALSE))</f>
        <v>137</v>
      </c>
      <c r="AC92" s="99">
        <v>0</v>
      </c>
      <c r="AD92" s="99">
        <f>IF(ISNA(VLOOKUP($CZ92,'Audit Values'!$A$2:$BU$353,2,FALSE)),'Preliminary SO66'!AP91,VLOOKUP($CZ92,'Audit Values'!$A$2:$BU$353,64,FALSE))</f>
        <v>71</v>
      </c>
      <c r="AE92" s="95">
        <f>IF(A92=207, AD92,MAX(AC92,AD92))*'Weighting Factors'!$Q$9</f>
        <v>34.4</v>
      </c>
      <c r="AF92" s="95">
        <f t="shared" si="49"/>
        <v>7.5</v>
      </c>
      <c r="AG92" s="95">
        <f>IF(ISNA(VLOOKUP($CZ92,'Audit Values'!$A$2:$BW$353,2,FALSE)),'Preliminary SO66'!AG91,VLOOKUP($CZ92,'Audit Values'!$A$2:$BW$353,70,FALSE))</f>
        <v>7.5</v>
      </c>
      <c r="AH92" s="95">
        <f t="shared" si="50"/>
        <v>7.5</v>
      </c>
      <c r="AI92" s="95">
        <f>IF(ISNA(VLOOKUP($CZ92,'Audit Values'!$A$2:$BU$353,2,FALSE)),'Preliminary SO66'!AQ91,VLOOKUP($CZ92,'Audit Values'!$A$2:$BU$353,65,FALSE))</f>
        <v>0</v>
      </c>
      <c r="AJ92" s="95">
        <f>AI92*'Weighting Factors'!$Q$10</f>
        <v>0</v>
      </c>
      <c r="AK92" s="95">
        <f>IF(ISNA(VLOOKUP($CZ92,'Audit Values'!$A$2:$BU$353,2,FALSE)),'Preliminary SO66'!AR91,VLOOKUP($CZ92,'Audit Values'!$A$2:$BU$353,66,FALSE))</f>
        <v>16</v>
      </c>
      <c r="AL92" s="95"/>
      <c r="AM92" s="99">
        <f t="shared" si="51"/>
        <v>25280</v>
      </c>
      <c r="AN92" s="99">
        <v>51617</v>
      </c>
      <c r="AO92" s="95">
        <f>MAX(AN92, AM92)/'Weighting Factors'!$Q$5</f>
        <v>12.4</v>
      </c>
      <c r="AP92" s="95">
        <f>CN92/'Weighting Factors'!$Q$5</f>
        <v>0</v>
      </c>
      <c r="AQ92" s="95">
        <v>0</v>
      </c>
      <c r="AR92" s="95">
        <f>CS92/'Weighting Factors'!$Q$5</f>
        <v>0</v>
      </c>
      <c r="AS92" s="99">
        <v>176866</v>
      </c>
      <c r="AT92" s="95">
        <f>AS92/'Weighting Factors'!$Q$5</f>
        <v>42.5</v>
      </c>
      <c r="AU92" s="95">
        <f>IF(ISNA(VLOOKUP($CZ92,'Audit Values'!$A$2:$BU$353,2,FALSE)),'Preliminary SO66'!X91,VLOOKUP($CZ92,'Audit Values'!$A$2:$BU$353,47,FALSE))</f>
        <v>0</v>
      </c>
      <c r="AV92" s="95">
        <f t="shared" si="52"/>
        <v>424.5</v>
      </c>
      <c r="AW92" s="95">
        <f t="shared" si="53"/>
        <v>382</v>
      </c>
      <c r="AX92" s="95">
        <f>IF(ISNA(VLOOKUP($CZ92,'Audit Values'!$A$2:$BU$353,2,FALSE)),'Preliminary SO66'!AA91,VLOOKUP($CZ92,'Audit Values'!$A$2:$BU$353,41,FALSE))</f>
        <v>0</v>
      </c>
      <c r="AY92" s="95">
        <f>IF(ISNA(VLOOKUP($CZ92,'Audit Values'!$A$2:$BU$353,2,FALSE)),'Preliminary SO66'!AB91,VLOOKUP($CZ92,'Audit Values'!$A$2:$BU$353,42,FALSE))</f>
        <v>0</v>
      </c>
      <c r="AZ92" s="114">
        <v>0</v>
      </c>
      <c r="BA92" s="99">
        <f>SUM(AX92*'Weighting Factors'!$T$10)+('2019 Legal Max'!AY92*'Weighting Factors'!$T$11)+('2019 Legal Max'!AZ92*'Weighting Factors'!$T$12)</f>
        <v>0</v>
      </c>
      <c r="BB92" s="158">
        <v>0</v>
      </c>
      <c r="BC92" s="88">
        <f>IF(ISNA(VLOOKUP($CZ92,'Audit Values'!$A$2:$BU$353,2,FALSE)),"",IF(AND('Weighting Factors'!H92&gt;0,VLOOKUP($CZ92,'Audit Values'!$A$2:$BU$353,51,FALSE)&lt;'Weighting Factors'!H92),'Weighting Factors'!H92,VLOOKUP($CZ92,'Audit Values'!$A$2:$BU$353,50,FALSE)))</f>
        <v>13</v>
      </c>
      <c r="BD92" s="88" t="str">
        <f>IF(ISNA(VLOOKUP($CZ92,'Audit Values'!$A$2:$BV$353,2,FALSE)),"",VLOOKUP($CZ92,'Audit Values'!$A$2:$BV$353,51,FALSE))</f>
        <v>A</v>
      </c>
      <c r="BE92" s="88" t="str">
        <f>IF('Weighting Factors'!H92="","",IF('Weighting Factors'!J92="Pending","PX","R"))</f>
        <v/>
      </c>
      <c r="BF92" s="97">
        <f>SUM((S92+T92+Y92+AA92+AE92+AH92+AJ92++AO92+AP92+AQ92+AU92+AR92)*'Weighting Factors'!$Q$5)+'2019 Legal Max'!BA92+'2019 Legal Max'!BB92</f>
        <v>1591030</v>
      </c>
      <c r="BG92" s="99">
        <f>SUM((AV92+AR92)*'Weighting Factors'!$Q$5)+BA92+'2019 Legal Max'!BB92</f>
        <v>1768043</v>
      </c>
      <c r="BH92" s="108">
        <f>IF('Weighting Factors'!H92&gt;0,'Weighting Factors'!H92,'Preliminary SO66'!AV91)</f>
        <v>1838848</v>
      </c>
      <c r="BI92" s="99">
        <f t="shared" si="77"/>
        <v>1768043</v>
      </c>
      <c r="BJ92" s="112"/>
      <c r="BK92" s="112">
        <f>'Weighting Factors'!F92</f>
        <v>-12482</v>
      </c>
      <c r="BL92" s="112">
        <f>'Weighting Factors'!E92</f>
        <v>0</v>
      </c>
      <c r="BM92" s="99">
        <f t="shared" si="54"/>
        <v>-12482</v>
      </c>
      <c r="BN92" s="99">
        <f t="shared" si="55"/>
        <v>1755561</v>
      </c>
      <c r="BO92" s="99">
        <f>SUM((S92+T92+Y92+AA92+AE92+AH92+AJ92++AO92+AP92+AQ92+AR92)*'Weighting Factors'!Q$12)+(MAX(AS92,'Weighting Factors'!B92))</f>
        <v>1892046</v>
      </c>
      <c r="BP92" s="122">
        <v>0.3</v>
      </c>
      <c r="BQ92" s="99">
        <f t="shared" si="56"/>
        <v>567614</v>
      </c>
      <c r="BR92" s="108">
        <v>425000</v>
      </c>
      <c r="BS92" s="99">
        <f t="shared" si="57"/>
        <v>425000</v>
      </c>
      <c r="BT92" s="167">
        <f t="shared" si="58"/>
        <v>0.22459999999999999</v>
      </c>
      <c r="BU92" s="95">
        <f t="shared" si="59"/>
        <v>0</v>
      </c>
      <c r="BV92" s="87" t="b">
        <f t="shared" si="60"/>
        <v>1</v>
      </c>
      <c r="BW92" s="117">
        <f t="shared" si="61"/>
        <v>796.53800000000001</v>
      </c>
      <c r="BX92" s="116">
        <f t="shared" si="62"/>
        <v>0.79564599999999996</v>
      </c>
      <c r="BY92" s="95">
        <f t="shared" si="63"/>
        <v>145.19999999999999</v>
      </c>
      <c r="BZ92" s="87" t="b">
        <f t="shared" si="64"/>
        <v>0</v>
      </c>
      <c r="CA92" s="87">
        <f t="shared" si="65"/>
        <v>0</v>
      </c>
      <c r="CB92" s="116">
        <f t="shared" si="66"/>
        <v>0</v>
      </c>
      <c r="CC92" s="95">
        <f t="shared" si="67"/>
        <v>0</v>
      </c>
      <c r="CD92" s="95">
        <f t="shared" si="68"/>
        <v>0</v>
      </c>
      <c r="CE92" s="98">
        <v>259</v>
      </c>
      <c r="CF92" s="250">
        <f t="shared" si="69"/>
        <v>6.2E-2</v>
      </c>
      <c r="CG92" s="274">
        <f>IF(CF92&lt;0.06,1,IF(CF92&gt;=18.29,52,MATCH(CF92-0.001,'Weighting Factors'!$Y$5:$Y$156)+1))</f>
        <v>2</v>
      </c>
      <c r="CH92" s="243">
        <f>VLOOKUP(CG92, 'Weighting Factors'!$W$5:$Z$56,4)</f>
        <v>1580</v>
      </c>
      <c r="CI92" s="118">
        <f>('Weighting Factors'!$Q$5/'Weighting Factors'!$Q$14)</f>
        <v>1</v>
      </c>
      <c r="CJ92" s="245">
        <f t="shared" si="70"/>
        <v>25280</v>
      </c>
      <c r="CK92" s="245">
        <f>CJ92*'Weighting Factors'!$S$7</f>
        <v>25280</v>
      </c>
      <c r="CL92" s="245">
        <f t="shared" si="71"/>
        <v>25280</v>
      </c>
      <c r="CM92" s="95">
        <f>AM92/'Weighting Factors'!$Q$5</f>
        <v>6.1</v>
      </c>
      <c r="CN92" s="148">
        <v>0</v>
      </c>
      <c r="CO92" s="148">
        <v>0</v>
      </c>
      <c r="CP92" s="149">
        <v>0</v>
      </c>
      <c r="CQ92" s="151">
        <v>0</v>
      </c>
      <c r="CR92" s="99">
        <f>SUM((AV92*'Weighting Factors'!$Q$5)+'2019 Legal Max'!BA92)*CQ92</f>
        <v>0</v>
      </c>
      <c r="CS92" s="99">
        <f t="shared" si="72"/>
        <v>0</v>
      </c>
      <c r="CT92" s="106">
        <f t="shared" si="73"/>
        <v>0.51819999999999999</v>
      </c>
      <c r="CU92" s="95">
        <f t="shared" si="74"/>
        <v>7.5</v>
      </c>
      <c r="CV92" s="95">
        <f t="shared" si="75"/>
        <v>0</v>
      </c>
      <c r="CW92" s="95">
        <f t="shared" si="76"/>
        <v>424.5</v>
      </c>
      <c r="CX92" s="99">
        <f>'LOB Transfers'!G91</f>
        <v>34425</v>
      </c>
      <c r="CY92" s="99">
        <f>'LOB Transfers'!J91</f>
        <v>0</v>
      </c>
      <c r="CZ92" s="87" t="s">
        <v>284</v>
      </c>
    </row>
    <row r="93" spans="1:104" ht="15" customHeight="1">
      <c r="A93" s="88">
        <v>286</v>
      </c>
      <c r="B93" s="87" t="s">
        <v>41</v>
      </c>
      <c r="C93" s="87" t="s">
        <v>606</v>
      </c>
      <c r="D93" s="95">
        <v>360.9</v>
      </c>
      <c r="E93" s="95">
        <v>0</v>
      </c>
      <c r="F93" s="95">
        <f t="shared" si="43"/>
        <v>360.9</v>
      </c>
      <c r="G93" s="95">
        <v>358.7</v>
      </c>
      <c r="H93" s="95">
        <v>0</v>
      </c>
      <c r="I93" s="95">
        <f t="shared" si="44"/>
        <v>358.7</v>
      </c>
      <c r="J93" s="95">
        <v>352</v>
      </c>
      <c r="K93" s="95">
        <v>0</v>
      </c>
      <c r="L93" s="95">
        <f t="shared" si="45"/>
        <v>352</v>
      </c>
      <c r="M93" s="95">
        <f>IF(ISNA(VLOOKUP($CZ93,'Audit Values'!$A$2:$BW$365,2,FALSE)),'Preliminary SO66'!C92,VLOOKUP($CZ93,'Audit Values'!$A$2:$BW$365,73,FALSE))</f>
        <v>355.7</v>
      </c>
      <c r="N93" s="95">
        <f>IF(ISNA(VLOOKUP($CZ93,'Audit Values'!$A$2:$BW$365,2,FALSE)),'Preliminary SO66'!F92,VLOOKUP($CZ93,'Audit Values'!$A$2:$BW$365,4,FALSE))</f>
        <v>0</v>
      </c>
      <c r="O93" s="95">
        <f t="shared" si="46"/>
        <v>355.7</v>
      </c>
      <c r="P93" s="95">
        <f>IF('Military Provision'!J94="YES", MAX('2019 Legal Max'!L93,'2019 Legal Max'!I93,AVERAGE('2019 Legal Max'!F93,'2019 Legal Max'!I93,'2019 Legal Max'!L93)), MAX(L93, I93))</f>
        <v>358.7</v>
      </c>
      <c r="Q93" s="95">
        <f>IF(ISNA(VLOOKUP($CZ93,'Audit Values'!$A$2:$BU$353,2,FALSE)),'Preliminary SO66'!AL92,VLOOKUP($CZ93,'Audit Values'!$A$2:$BU$3955,58,FALSE))</f>
        <v>3.5</v>
      </c>
      <c r="R93" s="95">
        <v>0</v>
      </c>
      <c r="S93" s="95">
        <f t="shared" si="78"/>
        <v>362.2</v>
      </c>
      <c r="T93" s="95">
        <f t="shared" si="47"/>
        <v>167.7</v>
      </c>
      <c r="U93" s="95">
        <f>IF(ISNA(VLOOKUP($CZ93,'Audit Values'!$A$2:$BW$317,2,FALSE)),'Preliminary SO66'!AM92,VLOOKUP($CZ93,'Audit Values'!$A$2:$BW$317,62,FALSE))</f>
        <v>0</v>
      </c>
      <c r="V93" s="95">
        <f>(U93/6)*'Weighting Factors'!$Q$7</f>
        <v>0</v>
      </c>
      <c r="W93" s="132">
        <f>IF(ISNA(VLOOKUP($CZ93,'Audit Values'!$A$2:$BW$353,2,FALSE)),'Preliminary SO66'!AN92,VLOOKUP($CZ93,'Audit Values'!$A$2:$BW$353,61,FALSE))</f>
        <v>0</v>
      </c>
      <c r="X93" s="95">
        <f>W93*'Weighting Factors'!$Q$8</f>
        <v>0</v>
      </c>
      <c r="Y93" s="95">
        <f t="shared" si="48"/>
        <v>0</v>
      </c>
      <c r="Z93" s="276">
        <f>IF(ISNA(VLOOKUP($CZ93,'Audit Values'!$A$2:$BW$317,2,FALSE)),'Preliminary SO66'!AO92,VLOOKUP($CZ93,'Audit Values'!$A$2:$BW$317,60,FALSE))</f>
        <v>52.3</v>
      </c>
      <c r="AA93" s="95">
        <f>Z93/6*'Weighting Factors'!$Q$6</f>
        <v>4.4000000000000004</v>
      </c>
      <c r="AB93" s="99">
        <f>IF(ISNA(VLOOKUP($CZ93,'Audit Values'!$A$2:$BU$353,2,FALSE)),'Preliminary SO66'!AS92,VLOOKUP($CZ93,'Audit Values'!$A$2:$BU$353,63,FALSE))</f>
        <v>369</v>
      </c>
      <c r="AC93" s="99">
        <v>0</v>
      </c>
      <c r="AD93" s="99">
        <f>IF(ISNA(VLOOKUP($CZ93,'Audit Values'!$A$2:$BU$353,2,FALSE)),'Preliminary SO66'!AP92,VLOOKUP($CZ93,'Audit Values'!$A$2:$BU$353,64,FALSE))</f>
        <v>174</v>
      </c>
      <c r="AE93" s="95">
        <f>IF(A93=207, AD93,MAX(AC93,AD93))*'Weighting Factors'!$Q$9</f>
        <v>84.2</v>
      </c>
      <c r="AF93" s="95">
        <f t="shared" si="49"/>
        <v>14.8</v>
      </c>
      <c r="AG93" s="95">
        <f>IF(ISNA(VLOOKUP($CZ93,'Audit Values'!$A$2:$BW$353,2,FALSE)),'Preliminary SO66'!AG92,VLOOKUP($CZ93,'Audit Values'!$A$2:$BW$353,70,FALSE))</f>
        <v>14.1</v>
      </c>
      <c r="AH93" s="95">
        <f t="shared" si="50"/>
        <v>14.8</v>
      </c>
      <c r="AI93" s="95">
        <f>IF(ISNA(VLOOKUP($CZ93,'Audit Values'!$A$2:$BU$353,2,FALSE)),'Preliminary SO66'!AQ92,VLOOKUP($CZ93,'Audit Values'!$A$2:$BU$353,65,FALSE))</f>
        <v>0</v>
      </c>
      <c r="AJ93" s="95">
        <f>AI93*'Weighting Factors'!$Q$10</f>
        <v>0</v>
      </c>
      <c r="AK93" s="95">
        <f>IF(ISNA(VLOOKUP($CZ93,'Audit Values'!$A$2:$BU$353,2,FALSE)),'Preliminary SO66'!AR92,VLOOKUP($CZ93,'Audit Values'!$A$2:$BU$353,66,FALSE))</f>
        <v>94</v>
      </c>
      <c r="AL93" s="95"/>
      <c r="AM93" s="99">
        <f t="shared" si="51"/>
        <v>115620</v>
      </c>
      <c r="AN93" s="99">
        <v>171029</v>
      </c>
      <c r="AO93" s="95">
        <f>MAX(AN93, AM93)/'Weighting Factors'!$Q$5</f>
        <v>41.1</v>
      </c>
      <c r="AP93" s="95">
        <f>CN93/'Weighting Factors'!$Q$5</f>
        <v>0</v>
      </c>
      <c r="AQ93" s="95">
        <v>0</v>
      </c>
      <c r="AR93" s="95">
        <f>CS93/'Weighting Factors'!$Q$5</f>
        <v>0</v>
      </c>
      <c r="AS93" s="99">
        <v>478497</v>
      </c>
      <c r="AT93" s="95">
        <f>AS93/'Weighting Factors'!$Q$5</f>
        <v>114.9</v>
      </c>
      <c r="AU93" s="95">
        <f>IF(ISNA(VLOOKUP($CZ93,'Audit Values'!$A$2:$BU$353,2,FALSE)),'Preliminary SO66'!X92,VLOOKUP($CZ93,'Audit Values'!$A$2:$BU$353,47,FALSE))</f>
        <v>0</v>
      </c>
      <c r="AV93" s="95">
        <f t="shared" si="52"/>
        <v>789.3</v>
      </c>
      <c r="AW93" s="95">
        <f t="shared" si="53"/>
        <v>674.4</v>
      </c>
      <c r="AX93" s="95">
        <f>IF(ISNA(VLOOKUP($CZ93,'Audit Values'!$A$2:$BU$353,2,FALSE)),'Preliminary SO66'!AA92,VLOOKUP($CZ93,'Audit Values'!$A$2:$BU$353,41,FALSE))</f>
        <v>0</v>
      </c>
      <c r="AY93" s="95">
        <f>IF(ISNA(VLOOKUP($CZ93,'Audit Values'!$A$2:$BU$353,2,FALSE)),'Preliminary SO66'!AB92,VLOOKUP($CZ93,'Audit Values'!$A$2:$BU$353,42,FALSE))</f>
        <v>0</v>
      </c>
      <c r="AZ93" s="114">
        <v>0</v>
      </c>
      <c r="BA93" s="99">
        <f>SUM(AX93*'Weighting Factors'!$T$10)+('2019 Legal Max'!AY93*'Weighting Factors'!$T$11)+('2019 Legal Max'!AZ93*'Weighting Factors'!$T$12)</f>
        <v>0</v>
      </c>
      <c r="BB93" s="158">
        <v>0</v>
      </c>
      <c r="BC93" s="88">
        <f>IF(ISNA(VLOOKUP($CZ93,'Audit Values'!$A$2:$BU$353,2,FALSE)),"",IF(AND('Weighting Factors'!H93&gt;0,VLOOKUP($CZ93,'Audit Values'!$A$2:$BU$353,51,FALSE)&lt;'Weighting Factors'!H93),'Weighting Factors'!H93,VLOOKUP($CZ93,'Audit Values'!$A$2:$BU$353,50,FALSE)))</f>
        <v>12</v>
      </c>
      <c r="BD93" s="88" t="str">
        <f>IF(ISNA(VLOOKUP($CZ93,'Audit Values'!$A$2:$BV$353,2,FALSE)),"",VLOOKUP($CZ93,'Audit Values'!$A$2:$BV$353,51,FALSE))</f>
        <v>A</v>
      </c>
      <c r="BE93" s="88" t="str">
        <f>IF('Weighting Factors'!H93="","",IF('Weighting Factors'!J93="Pending","PX","R"))</f>
        <v/>
      </c>
      <c r="BF93" s="97">
        <f>SUM((S93+T93+Y93+AA93+AE93+AH93+AJ93++AO93+AP93+AQ93+AU93+AR93)*'Weighting Factors'!$Q$5)+'2019 Legal Max'!BA93+'2019 Legal Max'!BB93</f>
        <v>2808876</v>
      </c>
      <c r="BG93" s="99">
        <f>SUM((AV93+AR93)*'Weighting Factors'!$Q$5)+BA93+'2019 Legal Max'!BB93</f>
        <v>3287435</v>
      </c>
      <c r="BH93" s="108">
        <f>IF('Weighting Factors'!H93&gt;0,'Weighting Factors'!H93,'Preliminary SO66'!AV92)</f>
        <v>3389065</v>
      </c>
      <c r="BI93" s="99">
        <f t="shared" si="77"/>
        <v>3287435</v>
      </c>
      <c r="BJ93" s="112"/>
      <c r="BK93" s="112">
        <f>'Weighting Factors'!F93</f>
        <v>0</v>
      </c>
      <c r="BL93" s="112">
        <f>'Weighting Factors'!E93</f>
        <v>0</v>
      </c>
      <c r="BM93" s="99">
        <f t="shared" si="54"/>
        <v>0</v>
      </c>
      <c r="BN93" s="99">
        <f t="shared" si="55"/>
        <v>3287435</v>
      </c>
      <c r="BO93" s="99">
        <f>SUM((S93+T93+Y93+AA93+AE93+AH93+AJ93++AO93+AP93+AQ93+AR93)*'Weighting Factors'!Q$12)+(MAX(AS93,'Weighting Factors'!B93))</f>
        <v>3531296</v>
      </c>
      <c r="BP93" s="122">
        <v>0.3</v>
      </c>
      <c r="BQ93" s="99">
        <f t="shared" si="56"/>
        <v>1059389</v>
      </c>
      <c r="BR93" s="108">
        <v>1088753</v>
      </c>
      <c r="BS93" s="99">
        <f t="shared" si="57"/>
        <v>1059389</v>
      </c>
      <c r="BT93" s="167">
        <f t="shared" si="58"/>
        <v>0.3</v>
      </c>
      <c r="BU93" s="95">
        <f t="shared" si="59"/>
        <v>0</v>
      </c>
      <c r="BV93" s="87" t="b">
        <f t="shared" si="60"/>
        <v>0</v>
      </c>
      <c r="BW93" s="117">
        <f t="shared" si="61"/>
        <v>0</v>
      </c>
      <c r="BX93" s="116">
        <f t="shared" si="62"/>
        <v>0</v>
      </c>
      <c r="BY93" s="95">
        <f t="shared" si="63"/>
        <v>0</v>
      </c>
      <c r="BZ93" s="87" t="b">
        <f t="shared" si="64"/>
        <v>1</v>
      </c>
      <c r="CA93" s="87">
        <f t="shared" si="65"/>
        <v>76.972499999999997</v>
      </c>
      <c r="CB93" s="116">
        <f t="shared" si="66"/>
        <v>0.46305400000000002</v>
      </c>
      <c r="CC93" s="95">
        <f t="shared" si="67"/>
        <v>167.7</v>
      </c>
      <c r="CD93" s="95">
        <f t="shared" si="68"/>
        <v>0</v>
      </c>
      <c r="CE93" s="98">
        <v>382.5</v>
      </c>
      <c r="CF93" s="250">
        <f t="shared" si="69"/>
        <v>0.246</v>
      </c>
      <c r="CG93" s="274">
        <f>IF(CF93&lt;0.06,1,IF(CF93&gt;=18.29,52,MATCH(CF93-0.001,'Weighting Factors'!$Y$5:$Y$156)+1))</f>
        <v>18</v>
      </c>
      <c r="CH93" s="243">
        <f>VLOOKUP(CG93, 'Weighting Factors'!$W$5:$Z$56,4)</f>
        <v>1230</v>
      </c>
      <c r="CI93" s="118">
        <f>('Weighting Factors'!$Q$5/'Weighting Factors'!$Q$14)</f>
        <v>1</v>
      </c>
      <c r="CJ93" s="245">
        <f t="shared" si="70"/>
        <v>115620</v>
      </c>
      <c r="CK93" s="245">
        <f>CJ93*'Weighting Factors'!$S$7</f>
        <v>115620</v>
      </c>
      <c r="CL93" s="245">
        <f t="shared" si="71"/>
        <v>115620</v>
      </c>
      <c r="CM93" s="95">
        <f>AM93/'Weighting Factors'!$Q$5</f>
        <v>27.8</v>
      </c>
      <c r="CN93" s="148">
        <v>0</v>
      </c>
      <c r="CO93" s="148">
        <v>0</v>
      </c>
      <c r="CP93" s="149">
        <v>0</v>
      </c>
      <c r="CQ93" s="151">
        <v>0</v>
      </c>
      <c r="CR93" s="99">
        <f>SUM((AV93*'Weighting Factors'!$Q$5)+'2019 Legal Max'!BA93)*CQ93</f>
        <v>0</v>
      </c>
      <c r="CS93" s="99">
        <f t="shared" si="72"/>
        <v>0</v>
      </c>
      <c r="CT93" s="106">
        <f t="shared" si="73"/>
        <v>0.47149999999999997</v>
      </c>
      <c r="CU93" s="95">
        <f t="shared" si="74"/>
        <v>0</v>
      </c>
      <c r="CV93" s="95">
        <f t="shared" si="75"/>
        <v>14.8</v>
      </c>
      <c r="CW93" s="95">
        <f t="shared" si="76"/>
        <v>789.3</v>
      </c>
      <c r="CX93" s="99">
        <f>'LOB Transfers'!G92</f>
        <v>113567</v>
      </c>
      <c r="CY93" s="99">
        <f>'LOB Transfers'!J92</f>
        <v>0</v>
      </c>
      <c r="CZ93" s="87" t="s">
        <v>285</v>
      </c>
    </row>
    <row r="94" spans="1:104" ht="15" customHeight="1">
      <c r="A94" s="88">
        <v>287</v>
      </c>
      <c r="B94" s="87" t="s">
        <v>42</v>
      </c>
      <c r="C94" s="87" t="s">
        <v>607</v>
      </c>
      <c r="D94" s="95">
        <v>566.5</v>
      </c>
      <c r="E94" s="95">
        <v>0</v>
      </c>
      <c r="F94" s="95">
        <f t="shared" si="43"/>
        <v>566.5</v>
      </c>
      <c r="G94" s="95">
        <v>588.5</v>
      </c>
      <c r="H94" s="95">
        <v>0</v>
      </c>
      <c r="I94" s="95">
        <f t="shared" si="44"/>
        <v>588.5</v>
      </c>
      <c r="J94" s="95">
        <v>597.6</v>
      </c>
      <c r="K94" s="95">
        <v>0</v>
      </c>
      <c r="L94" s="95">
        <f t="shared" si="45"/>
        <v>597.6</v>
      </c>
      <c r="M94" s="95">
        <f>IF(ISNA(VLOOKUP($CZ94,'Audit Values'!$A$2:$BW$365,2,FALSE)),'Preliminary SO66'!C93,VLOOKUP($CZ94,'Audit Values'!$A$2:$BW$365,73,FALSE))</f>
        <v>609.5</v>
      </c>
      <c r="N94" s="95">
        <f>IF(ISNA(VLOOKUP($CZ94,'Audit Values'!$A$2:$BW$365,2,FALSE)),'Preliminary SO66'!F93,VLOOKUP($CZ94,'Audit Values'!$A$2:$BW$365,4,FALSE))</f>
        <v>0</v>
      </c>
      <c r="O94" s="95">
        <f t="shared" si="46"/>
        <v>609.5</v>
      </c>
      <c r="P94" s="95">
        <f>IF('Military Provision'!J95="YES", MAX('2019 Legal Max'!L94,'2019 Legal Max'!I94,AVERAGE('2019 Legal Max'!F94,'2019 Legal Max'!I94,'2019 Legal Max'!L94)), MAX(L94, I94))</f>
        <v>597.6</v>
      </c>
      <c r="Q94" s="95">
        <f>IF(ISNA(VLOOKUP($CZ94,'Audit Values'!$A$2:$BU$353,2,FALSE)),'Preliminary SO66'!AL93,VLOOKUP($CZ94,'Audit Values'!$A$2:$BU$3955,58,FALSE))</f>
        <v>5</v>
      </c>
      <c r="R94" s="95">
        <v>0</v>
      </c>
      <c r="S94" s="95">
        <f t="shared" si="78"/>
        <v>602.6</v>
      </c>
      <c r="T94" s="95">
        <f t="shared" si="47"/>
        <v>229.8</v>
      </c>
      <c r="U94" s="95">
        <f>IF(ISNA(VLOOKUP($CZ94,'Audit Values'!$A$2:$BW$317,2,FALSE)),'Preliminary SO66'!AM93,VLOOKUP($CZ94,'Audit Values'!$A$2:$BW$317,62,FALSE))</f>
        <v>0</v>
      </c>
      <c r="V94" s="95">
        <f>(U94/6)*'Weighting Factors'!$Q$7</f>
        <v>0</v>
      </c>
      <c r="W94" s="132">
        <f>IF(ISNA(VLOOKUP($CZ94,'Audit Values'!$A$2:$BW$353,2,FALSE)),'Preliminary SO66'!AN93,VLOOKUP($CZ94,'Audit Values'!$A$2:$BW$353,61,FALSE))</f>
        <v>0</v>
      </c>
      <c r="X94" s="95">
        <f>W94*'Weighting Factors'!$Q$8</f>
        <v>0</v>
      </c>
      <c r="Y94" s="95">
        <f t="shared" si="48"/>
        <v>0</v>
      </c>
      <c r="Z94" s="276">
        <f>IF(ISNA(VLOOKUP($CZ94,'Audit Values'!$A$2:$BW$317,2,FALSE)),'Preliminary SO66'!AO93,VLOOKUP($CZ94,'Audit Values'!$A$2:$BW$317,60,FALSE))</f>
        <v>193.6</v>
      </c>
      <c r="AA94" s="95">
        <f>Z94/6*'Weighting Factors'!$Q$6</f>
        <v>16.100000000000001</v>
      </c>
      <c r="AB94" s="99">
        <f>IF(ISNA(VLOOKUP($CZ94,'Audit Values'!$A$2:$BU$353,2,FALSE)),'Preliminary SO66'!AS93,VLOOKUP($CZ94,'Audit Values'!$A$2:$BU$353,63,FALSE))</f>
        <v>629</v>
      </c>
      <c r="AC94" s="99">
        <v>0</v>
      </c>
      <c r="AD94" s="99">
        <f>IF(ISNA(VLOOKUP($CZ94,'Audit Values'!$A$2:$BU$353,2,FALSE)),'Preliminary SO66'!AP93,VLOOKUP($CZ94,'Audit Values'!$A$2:$BU$353,64,FALSE))</f>
        <v>244</v>
      </c>
      <c r="AE94" s="95">
        <f>IF(A94=207, AD94,MAX(AC94,AD94))*'Weighting Factors'!$Q$9</f>
        <v>118.1</v>
      </c>
      <c r="AF94" s="95">
        <f t="shared" si="49"/>
        <v>6.5</v>
      </c>
      <c r="AG94" s="95">
        <f>IF(ISNA(VLOOKUP($CZ94,'Audit Values'!$A$2:$BW$353,2,FALSE)),'Preliminary SO66'!AG93,VLOOKUP($CZ94,'Audit Values'!$A$2:$BW$353,70,FALSE))</f>
        <v>6.7</v>
      </c>
      <c r="AH94" s="95">
        <f t="shared" si="50"/>
        <v>6.7</v>
      </c>
      <c r="AI94" s="95">
        <f>IF(ISNA(VLOOKUP($CZ94,'Audit Values'!$A$2:$BU$353,2,FALSE)),'Preliminary SO66'!AQ93,VLOOKUP($CZ94,'Audit Values'!$A$2:$BU$353,65,FALSE))</f>
        <v>0</v>
      </c>
      <c r="AJ94" s="95">
        <f>AI94*'Weighting Factors'!$Q$10</f>
        <v>0</v>
      </c>
      <c r="AK94" s="95">
        <f>IF(ISNA(VLOOKUP($CZ94,'Audit Values'!$A$2:$BU$353,2,FALSE)),'Preliminary SO66'!AR93,VLOOKUP($CZ94,'Audit Values'!$A$2:$BU$353,66,FALSE))</f>
        <v>402</v>
      </c>
      <c r="AL94" s="95"/>
      <c r="AM94" s="99">
        <f t="shared" si="51"/>
        <v>349740</v>
      </c>
      <c r="AN94" s="99">
        <v>359006</v>
      </c>
      <c r="AO94" s="95">
        <f>MAX(AN94, AM94)/'Weighting Factors'!$Q$5</f>
        <v>86.2</v>
      </c>
      <c r="AP94" s="95">
        <f>CN94/'Weighting Factors'!$Q$5</f>
        <v>0</v>
      </c>
      <c r="AQ94" s="95">
        <v>0</v>
      </c>
      <c r="AR94" s="95">
        <f>CS94/'Weighting Factors'!$Q$5</f>
        <v>0</v>
      </c>
      <c r="AS94" s="99">
        <v>828481</v>
      </c>
      <c r="AT94" s="95">
        <f>AS94/'Weighting Factors'!$Q$5</f>
        <v>198.9</v>
      </c>
      <c r="AU94" s="95">
        <f>IF(ISNA(VLOOKUP($CZ94,'Audit Values'!$A$2:$BU$353,2,FALSE)),'Preliminary SO66'!X93,VLOOKUP($CZ94,'Audit Values'!$A$2:$BU$353,47,FALSE))</f>
        <v>0</v>
      </c>
      <c r="AV94" s="95">
        <f t="shared" si="52"/>
        <v>1258.4000000000001</v>
      </c>
      <c r="AW94" s="95">
        <f t="shared" si="53"/>
        <v>1059.5</v>
      </c>
      <c r="AX94" s="95">
        <f>IF(ISNA(VLOOKUP($CZ94,'Audit Values'!$A$2:$BU$353,2,FALSE)),'Preliminary SO66'!AA93,VLOOKUP($CZ94,'Audit Values'!$A$2:$BU$353,41,FALSE))</f>
        <v>0</v>
      </c>
      <c r="AY94" s="95">
        <f>IF(ISNA(VLOOKUP($CZ94,'Audit Values'!$A$2:$BU$353,2,FALSE)),'Preliminary SO66'!AB93,VLOOKUP($CZ94,'Audit Values'!$A$2:$BU$353,42,FALSE))</f>
        <v>0</v>
      </c>
      <c r="AZ94" s="114">
        <v>0</v>
      </c>
      <c r="BA94" s="99">
        <f>SUM(AX94*'Weighting Factors'!$T$10)+('2019 Legal Max'!AY94*'Weighting Factors'!$T$11)+('2019 Legal Max'!AZ94*'Weighting Factors'!$T$12)</f>
        <v>0</v>
      </c>
      <c r="BB94" s="158">
        <v>0</v>
      </c>
      <c r="BC94" s="88">
        <f>IF(ISNA(VLOOKUP($CZ94,'Audit Values'!$A$2:$BU$353,2,FALSE)),"",IF(AND('Weighting Factors'!H94&gt;0,VLOOKUP($CZ94,'Audit Values'!$A$2:$BU$353,51,FALSE)&lt;'Weighting Factors'!H94),'Weighting Factors'!H94,VLOOKUP($CZ94,'Audit Values'!$A$2:$BU$353,50,FALSE)))</f>
        <v>15</v>
      </c>
      <c r="BD94" s="88" t="str">
        <f>IF(ISNA(VLOOKUP($CZ94,'Audit Values'!$A$2:$BV$353,2,FALSE)),"",VLOOKUP($CZ94,'Audit Values'!$A$2:$BV$353,51,FALSE))</f>
        <v>A</v>
      </c>
      <c r="BE94" s="88" t="str">
        <f>IF('Weighting Factors'!H94="","",IF('Weighting Factors'!J94="Pending","PX","R"))</f>
        <v/>
      </c>
      <c r="BF94" s="97">
        <f>SUM((S94+T94+Y94+AA94+AE94+AH94+AJ94++AO94+AP94+AQ94+AU94+AR94)*'Weighting Factors'!$Q$5)+'2019 Legal Max'!BA94+'2019 Legal Max'!BB94</f>
        <v>4412818</v>
      </c>
      <c r="BG94" s="99">
        <f>SUM((AV94+AR94)*'Weighting Factors'!$Q$5)+BA94+'2019 Legal Max'!BB94</f>
        <v>5241236</v>
      </c>
      <c r="BH94" s="108">
        <f>IF('Weighting Factors'!H94&gt;0,'Weighting Factors'!H94,'Preliminary SO66'!AV93)</f>
        <v>5433243</v>
      </c>
      <c r="BI94" s="99">
        <f t="shared" si="77"/>
        <v>5241236</v>
      </c>
      <c r="BJ94" s="112"/>
      <c r="BK94" s="112">
        <f>'Weighting Factors'!F94</f>
        <v>-33750</v>
      </c>
      <c r="BL94" s="112">
        <f>'Weighting Factors'!E94</f>
        <v>0</v>
      </c>
      <c r="BM94" s="99">
        <f t="shared" si="54"/>
        <v>-33750</v>
      </c>
      <c r="BN94" s="99">
        <f t="shared" si="55"/>
        <v>5207486</v>
      </c>
      <c r="BO94" s="99">
        <f>SUM((S94+T94+Y94+AA94+AE94+AH94+AJ94++AO94+AP94+AQ94+AR94)*'Weighting Factors'!Q$12)+(MAX(AS94,'Weighting Factors'!B94))</f>
        <v>5685279</v>
      </c>
      <c r="BP94" s="122">
        <v>0.3</v>
      </c>
      <c r="BQ94" s="99">
        <f t="shared" si="56"/>
        <v>1705584</v>
      </c>
      <c r="BR94" s="108">
        <v>1733867</v>
      </c>
      <c r="BS94" s="99">
        <f t="shared" si="57"/>
        <v>1705584</v>
      </c>
      <c r="BT94" s="167">
        <f t="shared" si="58"/>
        <v>0.3</v>
      </c>
      <c r="BU94" s="95">
        <f t="shared" si="59"/>
        <v>0</v>
      </c>
      <c r="BV94" s="87" t="b">
        <f t="shared" si="60"/>
        <v>0</v>
      </c>
      <c r="BW94" s="117">
        <f t="shared" si="61"/>
        <v>0</v>
      </c>
      <c r="BX94" s="116">
        <f t="shared" si="62"/>
        <v>0</v>
      </c>
      <c r="BY94" s="95">
        <f t="shared" si="63"/>
        <v>0</v>
      </c>
      <c r="BZ94" s="87" t="b">
        <f t="shared" si="64"/>
        <v>1</v>
      </c>
      <c r="CA94" s="87">
        <f t="shared" si="65"/>
        <v>374.46749999999997</v>
      </c>
      <c r="CB94" s="116">
        <f t="shared" si="66"/>
        <v>0.38137799999999999</v>
      </c>
      <c r="CC94" s="95">
        <f t="shared" si="67"/>
        <v>229.8</v>
      </c>
      <c r="CD94" s="95">
        <f t="shared" si="68"/>
        <v>0</v>
      </c>
      <c r="CE94" s="98">
        <v>227</v>
      </c>
      <c r="CF94" s="250">
        <f t="shared" si="69"/>
        <v>1.7709999999999999</v>
      </c>
      <c r="CG94" s="274">
        <f>IF(CF94&lt;0.06,1,IF(CF94&gt;=18.29,52,MATCH(CF94-0.001,'Weighting Factors'!$Y$5:$Y$156)+1))</f>
        <v>36</v>
      </c>
      <c r="CH94" s="243">
        <f>VLOOKUP(CG94, 'Weighting Factors'!$W$5:$Z$56,4)</f>
        <v>870</v>
      </c>
      <c r="CI94" s="118">
        <f>('Weighting Factors'!$Q$5/'Weighting Factors'!$Q$14)</f>
        <v>1</v>
      </c>
      <c r="CJ94" s="245">
        <f t="shared" si="70"/>
        <v>349740</v>
      </c>
      <c r="CK94" s="245">
        <f>CJ94*'Weighting Factors'!$S$7</f>
        <v>349740</v>
      </c>
      <c r="CL94" s="245">
        <f t="shared" si="71"/>
        <v>349740</v>
      </c>
      <c r="CM94" s="95">
        <f>AM94/'Weighting Factors'!$Q$5</f>
        <v>84</v>
      </c>
      <c r="CN94" s="148">
        <v>0</v>
      </c>
      <c r="CO94" s="148">
        <v>0</v>
      </c>
      <c r="CP94" s="149">
        <v>0</v>
      </c>
      <c r="CQ94" s="151">
        <v>0</v>
      </c>
      <c r="CR94" s="99">
        <f>SUM((AV94*'Weighting Factors'!$Q$5)+'2019 Legal Max'!BA94)*CQ94</f>
        <v>0</v>
      </c>
      <c r="CS94" s="99">
        <f t="shared" si="72"/>
        <v>0</v>
      </c>
      <c r="CT94" s="106">
        <f t="shared" si="73"/>
        <v>0.38790000000000002</v>
      </c>
      <c r="CU94" s="95">
        <f t="shared" si="74"/>
        <v>0</v>
      </c>
      <c r="CV94" s="95">
        <f t="shared" si="75"/>
        <v>6.5</v>
      </c>
      <c r="CW94" s="95">
        <f t="shared" si="76"/>
        <v>1258.4000000000001</v>
      </c>
      <c r="CX94" s="99">
        <f>'LOB Transfers'!G93</f>
        <v>160666</v>
      </c>
      <c r="CY94" s="99">
        <f>'LOB Transfers'!J93</f>
        <v>0</v>
      </c>
      <c r="CZ94" s="87" t="s">
        <v>286</v>
      </c>
    </row>
    <row r="95" spans="1:104" ht="15" customHeight="1">
      <c r="A95" s="88">
        <v>288</v>
      </c>
      <c r="B95" s="87" t="s">
        <v>42</v>
      </c>
      <c r="C95" s="87" t="s">
        <v>608</v>
      </c>
      <c r="D95" s="95">
        <v>533</v>
      </c>
      <c r="E95" s="95">
        <v>0</v>
      </c>
      <c r="F95" s="95">
        <f t="shared" si="43"/>
        <v>533</v>
      </c>
      <c r="G95" s="95">
        <v>538.6</v>
      </c>
      <c r="H95" s="95">
        <v>0</v>
      </c>
      <c r="I95" s="95">
        <f t="shared" si="44"/>
        <v>538.6</v>
      </c>
      <c r="J95" s="95">
        <v>531.9</v>
      </c>
      <c r="K95" s="95">
        <v>0</v>
      </c>
      <c r="L95" s="95">
        <f t="shared" si="45"/>
        <v>531.9</v>
      </c>
      <c r="M95" s="95">
        <f>IF(ISNA(VLOOKUP($CZ95,'Audit Values'!$A$2:$BW$365,2,FALSE)),'Preliminary SO66'!C94,VLOOKUP($CZ95,'Audit Values'!$A$2:$BW$365,73,FALSE))</f>
        <v>499.6</v>
      </c>
      <c r="N95" s="95">
        <f>IF(ISNA(VLOOKUP($CZ95,'Audit Values'!$A$2:$BW$365,2,FALSE)),'Preliminary SO66'!F94,VLOOKUP($CZ95,'Audit Values'!$A$2:$BW$365,4,FALSE))</f>
        <v>0</v>
      </c>
      <c r="O95" s="95">
        <f t="shared" si="46"/>
        <v>499.6</v>
      </c>
      <c r="P95" s="95">
        <f>IF('Military Provision'!J96="YES", MAX('2019 Legal Max'!L95,'2019 Legal Max'!I95,AVERAGE('2019 Legal Max'!F95,'2019 Legal Max'!I95,'2019 Legal Max'!L95)), MAX(L95, I95))</f>
        <v>538.6</v>
      </c>
      <c r="Q95" s="95">
        <f>IF(ISNA(VLOOKUP($CZ95,'Audit Values'!$A$2:$BU$353,2,FALSE)),'Preliminary SO66'!AL94,VLOOKUP($CZ95,'Audit Values'!$A$2:$BU$3955,58,FALSE))</f>
        <v>4</v>
      </c>
      <c r="R95" s="95">
        <v>0</v>
      </c>
      <c r="S95" s="95">
        <f t="shared" si="78"/>
        <v>542.6</v>
      </c>
      <c r="T95" s="95">
        <f t="shared" si="47"/>
        <v>218</v>
      </c>
      <c r="U95" s="95">
        <f>IF(ISNA(VLOOKUP($CZ95,'Audit Values'!$A$2:$BW$317,2,FALSE)),'Preliminary SO66'!AM94,VLOOKUP($CZ95,'Audit Values'!$A$2:$BW$317,62,FALSE))</f>
        <v>0.5</v>
      </c>
      <c r="V95" s="95">
        <f>(U95/6)*'Weighting Factors'!$Q$7</f>
        <v>0</v>
      </c>
      <c r="W95" s="132">
        <f>IF(ISNA(VLOOKUP($CZ95,'Audit Values'!$A$2:$BW$353,2,FALSE)),'Preliminary SO66'!AN94,VLOOKUP($CZ95,'Audit Values'!$A$2:$BW$353,61,FALSE))</f>
        <v>1</v>
      </c>
      <c r="X95" s="95">
        <f>W95*'Weighting Factors'!$Q$8</f>
        <v>0.2</v>
      </c>
      <c r="Y95" s="95">
        <f t="shared" si="48"/>
        <v>0.2</v>
      </c>
      <c r="Z95" s="276">
        <f>IF(ISNA(VLOOKUP($CZ95,'Audit Values'!$A$2:$BW$317,2,FALSE)),'Preliminary SO66'!AO94,VLOOKUP($CZ95,'Audit Values'!$A$2:$BW$317,60,FALSE))</f>
        <v>227.9</v>
      </c>
      <c r="AA95" s="95">
        <f>Z95/6*'Weighting Factors'!$Q$6</f>
        <v>19</v>
      </c>
      <c r="AB95" s="99">
        <f>IF(ISNA(VLOOKUP($CZ95,'Audit Values'!$A$2:$BU$353,2,FALSE)),'Preliminary SO66'!AS94,VLOOKUP($CZ95,'Audit Values'!$A$2:$BU$353,63,FALSE))</f>
        <v>512</v>
      </c>
      <c r="AC95" s="99">
        <v>0</v>
      </c>
      <c r="AD95" s="99">
        <f>IF(ISNA(VLOOKUP($CZ95,'Audit Values'!$A$2:$BU$353,2,FALSE)),'Preliminary SO66'!AP94,VLOOKUP($CZ95,'Audit Values'!$A$2:$BU$353,64,FALSE))</f>
        <v>236</v>
      </c>
      <c r="AE95" s="95">
        <f>IF(A95=207, AD95,MAX(AC95,AD95))*'Weighting Factors'!$Q$9</f>
        <v>114.2</v>
      </c>
      <c r="AF95" s="95">
        <f t="shared" si="49"/>
        <v>18.3</v>
      </c>
      <c r="AG95" s="95">
        <f>IF(ISNA(VLOOKUP($CZ95,'Audit Values'!$A$2:$BW$353,2,FALSE)),'Preliminary SO66'!AG94,VLOOKUP($CZ95,'Audit Values'!$A$2:$BW$353,70,FALSE))</f>
        <v>18.5</v>
      </c>
      <c r="AH95" s="95">
        <f t="shared" si="50"/>
        <v>18.5</v>
      </c>
      <c r="AI95" s="95">
        <f>IF(ISNA(VLOOKUP($CZ95,'Audit Values'!$A$2:$BU$353,2,FALSE)),'Preliminary SO66'!AQ94,VLOOKUP($CZ95,'Audit Values'!$A$2:$BU$353,65,FALSE))</f>
        <v>0</v>
      </c>
      <c r="AJ95" s="95">
        <f>AI95*'Weighting Factors'!$Q$10</f>
        <v>0</v>
      </c>
      <c r="AK95" s="95">
        <f>IF(ISNA(VLOOKUP($CZ95,'Audit Values'!$A$2:$BU$353,2,FALSE)),'Preliminary SO66'!AR94,VLOOKUP($CZ95,'Audit Values'!$A$2:$BU$353,66,FALSE))</f>
        <v>357</v>
      </c>
      <c r="AL95" s="95"/>
      <c r="AM95" s="99">
        <f t="shared" si="51"/>
        <v>289170</v>
      </c>
      <c r="AN95" s="99">
        <v>358621</v>
      </c>
      <c r="AO95" s="95">
        <f>MAX(AN95, AM95)/'Weighting Factors'!$Q$5</f>
        <v>86.1</v>
      </c>
      <c r="AP95" s="95">
        <f>CN95/'Weighting Factors'!$Q$5</f>
        <v>0</v>
      </c>
      <c r="AQ95" s="95">
        <v>0</v>
      </c>
      <c r="AR95" s="95">
        <f>CS95/'Weighting Factors'!$Q$5</f>
        <v>0</v>
      </c>
      <c r="AS95" s="99">
        <v>587092</v>
      </c>
      <c r="AT95" s="95">
        <f>AS95/'Weighting Factors'!$Q$5</f>
        <v>141</v>
      </c>
      <c r="AU95" s="95">
        <f>IF(ISNA(VLOOKUP($CZ95,'Audit Values'!$A$2:$BU$353,2,FALSE)),'Preliminary SO66'!X94,VLOOKUP($CZ95,'Audit Values'!$A$2:$BU$353,47,FALSE))</f>
        <v>0</v>
      </c>
      <c r="AV95" s="95">
        <f t="shared" si="52"/>
        <v>1139.5999999999999</v>
      </c>
      <c r="AW95" s="95">
        <f t="shared" si="53"/>
        <v>998.6</v>
      </c>
      <c r="AX95" s="95">
        <f>IF(ISNA(VLOOKUP($CZ95,'Audit Values'!$A$2:$BU$353,2,FALSE)),'Preliminary SO66'!AA94,VLOOKUP($CZ95,'Audit Values'!$A$2:$BU$353,41,FALSE))</f>
        <v>7</v>
      </c>
      <c r="AY95" s="95">
        <f>IF(ISNA(VLOOKUP($CZ95,'Audit Values'!$A$2:$BU$353,2,FALSE)),'Preliminary SO66'!AB94,VLOOKUP($CZ95,'Audit Values'!$A$2:$BU$353,42,FALSE))</f>
        <v>0.9</v>
      </c>
      <c r="AZ95" s="114">
        <v>5</v>
      </c>
      <c r="BA95" s="99">
        <f>SUM(AX95*'Weighting Factors'!$T$10)+('2019 Legal Max'!AY95*'Weighting Factors'!$T$11)+('2019 Legal Max'!AZ95*'Weighting Factors'!$T$12)</f>
        <v>40075</v>
      </c>
      <c r="BB95" s="158">
        <v>0</v>
      </c>
      <c r="BC95" s="88">
        <f>IF(ISNA(VLOOKUP($CZ95,'Audit Values'!$A$2:$BU$353,2,FALSE)),"",IF(AND('Weighting Factors'!H95&gt;0,VLOOKUP($CZ95,'Audit Values'!$A$2:$BU$353,51,FALSE)&lt;'Weighting Factors'!H95),'Weighting Factors'!H95,VLOOKUP($CZ95,'Audit Values'!$A$2:$BU$353,50,FALSE)))</f>
        <v>22</v>
      </c>
      <c r="BD95" s="88" t="str">
        <f>IF(ISNA(VLOOKUP($CZ95,'Audit Values'!$A$2:$BV$353,2,FALSE)),"",VLOOKUP($CZ95,'Audit Values'!$A$2:$BV$353,51,FALSE))</f>
        <v>A</v>
      </c>
      <c r="BE95" s="88" t="str">
        <f>IF('Weighting Factors'!H95="","",IF('Weighting Factors'!J95="Pending","PX","R"))</f>
        <v/>
      </c>
      <c r="BF95" s="97">
        <f>SUM((S95+T95+Y95+AA95+AE95+AH95+AJ95++AO95+AP95+AQ95+AU95+AR95)*'Weighting Factors'!$Q$5)+'2019 Legal Max'!BA95+'2019 Legal Max'!BB95</f>
        <v>4199244</v>
      </c>
      <c r="BG95" s="99">
        <f>SUM((AV95+AR95)*'Weighting Factors'!$Q$5)+BA95+'2019 Legal Max'!BB95</f>
        <v>4786509</v>
      </c>
      <c r="BH95" s="108">
        <f>IF('Weighting Factors'!H95&gt;0,'Weighting Factors'!H95,'Preliminary SO66'!AV94)</f>
        <v>4918074</v>
      </c>
      <c r="BI95" s="99">
        <f t="shared" si="77"/>
        <v>4786509</v>
      </c>
      <c r="BJ95" s="112"/>
      <c r="BK95" s="112">
        <f>'Weighting Factors'!F95</f>
        <v>0</v>
      </c>
      <c r="BL95" s="112">
        <f>'Weighting Factors'!E95</f>
        <v>0</v>
      </c>
      <c r="BM95" s="99">
        <f t="shared" si="54"/>
        <v>0</v>
      </c>
      <c r="BN95" s="99">
        <f t="shared" si="55"/>
        <v>4786509</v>
      </c>
      <c r="BO95" s="99">
        <f>SUM((S95+T95+Y95+AA95+AE95+AH95+AJ95++AO95+AP95+AQ95+AR95)*'Weighting Factors'!Q$12)+(MAX(AS95,'Weighting Factors'!B95))</f>
        <v>5070806</v>
      </c>
      <c r="BP95" s="122">
        <v>0.3</v>
      </c>
      <c r="BQ95" s="99">
        <f t="shared" si="56"/>
        <v>1521242</v>
      </c>
      <c r="BR95" s="108">
        <v>1569083</v>
      </c>
      <c r="BS95" s="99">
        <f t="shared" si="57"/>
        <v>1521242</v>
      </c>
      <c r="BT95" s="167">
        <f t="shared" si="58"/>
        <v>0.3</v>
      </c>
      <c r="BU95" s="95">
        <f t="shared" si="59"/>
        <v>0</v>
      </c>
      <c r="BV95" s="87" t="b">
        <f t="shared" si="60"/>
        <v>0</v>
      </c>
      <c r="BW95" s="117">
        <f t="shared" si="61"/>
        <v>0</v>
      </c>
      <c r="BX95" s="116">
        <f t="shared" si="62"/>
        <v>0</v>
      </c>
      <c r="BY95" s="95">
        <f t="shared" si="63"/>
        <v>0</v>
      </c>
      <c r="BZ95" s="87" t="b">
        <f t="shared" si="64"/>
        <v>1</v>
      </c>
      <c r="CA95" s="87">
        <f t="shared" si="65"/>
        <v>300.21749999999997</v>
      </c>
      <c r="CB95" s="116">
        <f t="shared" si="66"/>
        <v>0.40176299999999998</v>
      </c>
      <c r="CC95" s="95">
        <f t="shared" si="67"/>
        <v>218</v>
      </c>
      <c r="CD95" s="95">
        <f t="shared" si="68"/>
        <v>0</v>
      </c>
      <c r="CE95" s="98">
        <v>142.1</v>
      </c>
      <c r="CF95" s="250">
        <f t="shared" si="69"/>
        <v>2.512</v>
      </c>
      <c r="CG95" s="274">
        <f>IF(CF95&lt;0.06,1,IF(CF95&gt;=18.29,52,MATCH(CF95-0.001,'Weighting Factors'!$Y$5:$Y$156)+1))</f>
        <v>39</v>
      </c>
      <c r="CH95" s="243">
        <f>VLOOKUP(CG95, 'Weighting Factors'!$W$5:$Z$56,4)</f>
        <v>810</v>
      </c>
      <c r="CI95" s="118">
        <f>('Weighting Factors'!$Q$5/'Weighting Factors'!$Q$14)</f>
        <v>1</v>
      </c>
      <c r="CJ95" s="245">
        <f t="shared" si="70"/>
        <v>289170</v>
      </c>
      <c r="CK95" s="245">
        <f>CJ95*'Weighting Factors'!$S$7</f>
        <v>289170</v>
      </c>
      <c r="CL95" s="245">
        <f t="shared" si="71"/>
        <v>289170</v>
      </c>
      <c r="CM95" s="95">
        <f>AM95/'Weighting Factors'!$Q$5</f>
        <v>69.400000000000006</v>
      </c>
      <c r="CN95" s="148">
        <v>0</v>
      </c>
      <c r="CO95" s="148">
        <v>0</v>
      </c>
      <c r="CP95" s="149">
        <v>0</v>
      </c>
      <c r="CQ95" s="151">
        <v>0</v>
      </c>
      <c r="CR95" s="99">
        <f>SUM((AV95*'Weighting Factors'!$Q$5)+'2019 Legal Max'!BA95)*CQ95</f>
        <v>0</v>
      </c>
      <c r="CS95" s="99">
        <f t="shared" si="72"/>
        <v>0</v>
      </c>
      <c r="CT95" s="106">
        <f t="shared" si="73"/>
        <v>0.46089999999999998</v>
      </c>
      <c r="CU95" s="95">
        <f t="shared" si="74"/>
        <v>0</v>
      </c>
      <c r="CV95" s="95">
        <f t="shared" si="75"/>
        <v>18.3</v>
      </c>
      <c r="CW95" s="95">
        <f t="shared" si="76"/>
        <v>1139.5999999999999</v>
      </c>
      <c r="CX95" s="99">
        <f>'LOB Transfers'!G94</f>
        <v>153037</v>
      </c>
      <c r="CY95" s="99">
        <f>'LOB Transfers'!J94</f>
        <v>304</v>
      </c>
      <c r="CZ95" s="87" t="s">
        <v>287</v>
      </c>
    </row>
    <row r="96" spans="1:104" ht="15" customHeight="1">
      <c r="A96" s="88">
        <v>289</v>
      </c>
      <c r="B96" s="87" t="s">
        <v>42</v>
      </c>
      <c r="C96" s="87" t="s">
        <v>609</v>
      </c>
      <c r="D96" s="95">
        <v>753</v>
      </c>
      <c r="E96" s="95">
        <v>0</v>
      </c>
      <c r="F96" s="95">
        <f t="shared" si="43"/>
        <v>753</v>
      </c>
      <c r="G96" s="95">
        <v>775.5</v>
      </c>
      <c r="H96" s="95">
        <v>0</v>
      </c>
      <c r="I96" s="95">
        <f t="shared" si="44"/>
        <v>775.5</v>
      </c>
      <c r="J96" s="95">
        <v>776</v>
      </c>
      <c r="K96" s="95">
        <v>0</v>
      </c>
      <c r="L96" s="95">
        <f t="shared" si="45"/>
        <v>776</v>
      </c>
      <c r="M96" s="95">
        <f>IF(ISNA(VLOOKUP($CZ96,'Audit Values'!$A$2:$BW$365,2,FALSE)),'Preliminary SO66'!C95,VLOOKUP($CZ96,'Audit Values'!$A$2:$BW$365,73,FALSE))</f>
        <v>780.5</v>
      </c>
      <c r="N96" s="95">
        <f>IF(ISNA(VLOOKUP($CZ96,'Audit Values'!$A$2:$BW$365,2,FALSE)),'Preliminary SO66'!F95,VLOOKUP($CZ96,'Audit Values'!$A$2:$BW$365,4,FALSE))</f>
        <v>0</v>
      </c>
      <c r="O96" s="95">
        <f t="shared" si="46"/>
        <v>780.5</v>
      </c>
      <c r="P96" s="95">
        <f>IF('Military Provision'!J97="YES", MAX('2019 Legal Max'!L96,'2019 Legal Max'!I96,AVERAGE('2019 Legal Max'!F96,'2019 Legal Max'!I96,'2019 Legal Max'!L96)), MAX(L96, I96))</f>
        <v>776</v>
      </c>
      <c r="Q96" s="95">
        <f>IF(ISNA(VLOOKUP($CZ96,'Audit Values'!$A$2:$BU$353,2,FALSE)),'Preliminary SO66'!AL95,VLOOKUP($CZ96,'Audit Values'!$A$2:$BU$3955,58,FALSE))</f>
        <v>0</v>
      </c>
      <c r="R96" s="95">
        <v>0</v>
      </c>
      <c r="S96" s="95">
        <f t="shared" si="78"/>
        <v>776</v>
      </c>
      <c r="T96" s="95">
        <f t="shared" si="47"/>
        <v>250.2</v>
      </c>
      <c r="U96" s="95">
        <f>IF(ISNA(VLOOKUP($CZ96,'Audit Values'!$A$2:$BW$317,2,FALSE)),'Preliminary SO66'!AM95,VLOOKUP($CZ96,'Audit Values'!$A$2:$BW$317,62,FALSE))</f>
        <v>0</v>
      </c>
      <c r="V96" s="95">
        <f>(U96/6)*'Weighting Factors'!$Q$7</f>
        <v>0</v>
      </c>
      <c r="W96" s="132">
        <f>IF(ISNA(VLOOKUP($CZ96,'Audit Values'!$A$2:$BW$353,2,FALSE)),'Preliminary SO66'!AN95,VLOOKUP($CZ96,'Audit Values'!$A$2:$BW$353,61,FALSE))</f>
        <v>0</v>
      </c>
      <c r="X96" s="95">
        <f>W96*'Weighting Factors'!$Q$8</f>
        <v>0</v>
      </c>
      <c r="Y96" s="95">
        <f t="shared" si="48"/>
        <v>0</v>
      </c>
      <c r="Z96" s="276">
        <f>IF(ISNA(VLOOKUP($CZ96,'Audit Values'!$A$2:$BW$317,2,FALSE)),'Preliminary SO66'!AO95,VLOOKUP($CZ96,'Audit Values'!$A$2:$BW$317,60,FALSE))</f>
        <v>251.7</v>
      </c>
      <c r="AA96" s="95">
        <f>Z96/6*'Weighting Factors'!$Q$6</f>
        <v>21</v>
      </c>
      <c r="AB96" s="99">
        <f>IF(ISNA(VLOOKUP($CZ96,'Audit Values'!$A$2:$BU$353,2,FALSE)),'Preliminary SO66'!AS95,VLOOKUP($CZ96,'Audit Values'!$A$2:$BU$353,63,FALSE))</f>
        <v>793</v>
      </c>
      <c r="AC96" s="99">
        <v>0</v>
      </c>
      <c r="AD96" s="99">
        <f>IF(ISNA(VLOOKUP($CZ96,'Audit Values'!$A$2:$BU$353,2,FALSE)),'Preliminary SO66'!AP95,VLOOKUP($CZ96,'Audit Values'!$A$2:$BU$353,64,FALSE))</f>
        <v>170</v>
      </c>
      <c r="AE96" s="95">
        <f>IF(A96=207, AD96,MAX(AC96,AD96))*'Weighting Factors'!$Q$9</f>
        <v>82.3</v>
      </c>
      <c r="AF96" s="95">
        <f t="shared" si="49"/>
        <v>0</v>
      </c>
      <c r="AG96" s="95">
        <f>IF(ISNA(VLOOKUP($CZ96,'Audit Values'!$A$2:$BW$353,2,FALSE)),'Preliminary SO66'!AG95,VLOOKUP($CZ96,'Audit Values'!$A$2:$BW$353,70,FALSE))</f>
        <v>0</v>
      </c>
      <c r="AH96" s="95">
        <f t="shared" si="50"/>
        <v>0</v>
      </c>
      <c r="AI96" s="95">
        <f>IF(ISNA(VLOOKUP($CZ96,'Audit Values'!$A$2:$BU$353,2,FALSE)),'Preliminary SO66'!AQ95,VLOOKUP($CZ96,'Audit Values'!$A$2:$BU$353,65,FALSE))</f>
        <v>0</v>
      </c>
      <c r="AJ96" s="95">
        <f>AI96*'Weighting Factors'!$Q$10</f>
        <v>0</v>
      </c>
      <c r="AK96" s="95">
        <f>IF(ISNA(VLOOKUP($CZ96,'Audit Values'!$A$2:$BU$353,2,FALSE)),'Preliminary SO66'!AR95,VLOOKUP($CZ96,'Audit Values'!$A$2:$BU$353,66,FALSE))</f>
        <v>267.5</v>
      </c>
      <c r="AL96" s="95"/>
      <c r="AM96" s="99">
        <f t="shared" si="51"/>
        <v>222025</v>
      </c>
      <c r="AN96" s="99">
        <v>230735</v>
      </c>
      <c r="AO96" s="95">
        <f>MAX(AN96, AM96)/'Weighting Factors'!$Q$5</f>
        <v>55.4</v>
      </c>
      <c r="AP96" s="95">
        <f>CN96/'Weighting Factors'!$Q$5</f>
        <v>0</v>
      </c>
      <c r="AQ96" s="95">
        <v>0</v>
      </c>
      <c r="AR96" s="95">
        <f>CS96/'Weighting Factors'!$Q$5</f>
        <v>0</v>
      </c>
      <c r="AS96" s="99">
        <v>859895</v>
      </c>
      <c r="AT96" s="95">
        <f>AS96/'Weighting Factors'!$Q$5</f>
        <v>206.5</v>
      </c>
      <c r="AU96" s="95">
        <f>IF(ISNA(VLOOKUP($CZ96,'Audit Values'!$A$2:$BU$353,2,FALSE)),'Preliminary SO66'!X95,VLOOKUP($CZ96,'Audit Values'!$A$2:$BU$353,47,FALSE))</f>
        <v>1</v>
      </c>
      <c r="AV96" s="95">
        <f t="shared" si="52"/>
        <v>1392.4</v>
      </c>
      <c r="AW96" s="95">
        <f t="shared" si="53"/>
        <v>1185.9000000000001</v>
      </c>
      <c r="AX96" s="95">
        <f>IF(ISNA(VLOOKUP($CZ96,'Audit Values'!$A$2:$BU$353,2,FALSE)),'Preliminary SO66'!AA95,VLOOKUP($CZ96,'Audit Values'!$A$2:$BU$353,41,FALSE))</f>
        <v>1</v>
      </c>
      <c r="AY96" s="95">
        <f>IF(ISNA(VLOOKUP($CZ96,'Audit Values'!$A$2:$BU$353,2,FALSE)),'Preliminary SO66'!AB95,VLOOKUP($CZ96,'Audit Values'!$A$2:$BU$353,42,FALSE))</f>
        <v>0</v>
      </c>
      <c r="AZ96" s="114">
        <v>0</v>
      </c>
      <c r="BA96" s="99">
        <f>SUM(AX96*'Weighting Factors'!$T$10)+('2019 Legal Max'!AY96*'Weighting Factors'!$T$11)+('2019 Legal Max'!AZ96*'Weighting Factors'!$T$12)</f>
        <v>5000</v>
      </c>
      <c r="BB96" s="158">
        <v>0</v>
      </c>
      <c r="BC96" s="88">
        <f>IF(ISNA(VLOOKUP($CZ96,'Audit Values'!$A$2:$BU$353,2,FALSE)),"",IF(AND('Weighting Factors'!H96&gt;0,VLOOKUP($CZ96,'Audit Values'!$A$2:$BU$353,51,FALSE)&lt;'Weighting Factors'!H96),'Weighting Factors'!H96,VLOOKUP($CZ96,'Audit Values'!$A$2:$BU$353,50,FALSE)))</f>
        <v>17</v>
      </c>
      <c r="BD96" s="88" t="str">
        <f>IF(ISNA(VLOOKUP($CZ96,'Audit Values'!$A$2:$BV$353,2,FALSE)),"",VLOOKUP($CZ96,'Audit Values'!$A$2:$BV$353,51,FALSE))</f>
        <v>A</v>
      </c>
      <c r="BE96" s="88" t="str">
        <f>IF('Weighting Factors'!H96="","",IF('Weighting Factors'!J96="Pending","PX","R"))</f>
        <v/>
      </c>
      <c r="BF96" s="97">
        <f>SUM((S96+T96+Y96+AA96+AE96+AH96+AJ96++AO96+AP96+AQ96+AU96+AR96)*'Weighting Factors'!$Q$5)+'2019 Legal Max'!BA96+'2019 Legal Max'!BB96</f>
        <v>4944274</v>
      </c>
      <c r="BG96" s="99">
        <f>SUM((AV96+AR96)*'Weighting Factors'!$Q$5)+BA96+'2019 Legal Max'!BB96</f>
        <v>5804346</v>
      </c>
      <c r="BH96" s="108">
        <f>IF('Weighting Factors'!H96&gt;0,'Weighting Factors'!H96,'Preliminary SO66'!AV95)</f>
        <v>6008433</v>
      </c>
      <c r="BI96" s="99">
        <f t="shared" si="77"/>
        <v>5804346</v>
      </c>
      <c r="BJ96" s="112"/>
      <c r="BK96" s="112">
        <f>'Weighting Factors'!F96</f>
        <v>0</v>
      </c>
      <c r="BL96" s="112">
        <f>'Weighting Factors'!E96</f>
        <v>0</v>
      </c>
      <c r="BM96" s="99">
        <f t="shared" si="54"/>
        <v>0</v>
      </c>
      <c r="BN96" s="99">
        <f t="shared" si="55"/>
        <v>5804346</v>
      </c>
      <c r="BO96" s="99">
        <f>SUM((S96+T96+Y96+AA96+AE96+AH96+AJ96++AO96+AP96+AQ96+AR96)*'Weighting Factors'!Q$12)+(MAX(AS96,'Weighting Factors'!B96))</f>
        <v>6180096</v>
      </c>
      <c r="BP96" s="122">
        <v>0.3</v>
      </c>
      <c r="BQ96" s="99">
        <f t="shared" si="56"/>
        <v>1854029</v>
      </c>
      <c r="BR96" s="108">
        <v>1915771</v>
      </c>
      <c r="BS96" s="99">
        <f t="shared" si="57"/>
        <v>1854029</v>
      </c>
      <c r="BT96" s="167">
        <f t="shared" si="58"/>
        <v>0.3</v>
      </c>
      <c r="BU96" s="95">
        <f t="shared" si="59"/>
        <v>0</v>
      </c>
      <c r="BV96" s="87" t="b">
        <f t="shared" si="60"/>
        <v>0</v>
      </c>
      <c r="BW96" s="117">
        <f t="shared" si="61"/>
        <v>0</v>
      </c>
      <c r="BX96" s="116">
        <f t="shared" si="62"/>
        <v>0</v>
      </c>
      <c r="BY96" s="95">
        <f t="shared" si="63"/>
        <v>0</v>
      </c>
      <c r="BZ96" s="87" t="b">
        <f t="shared" si="64"/>
        <v>1</v>
      </c>
      <c r="CA96" s="87">
        <f t="shared" si="65"/>
        <v>589.04999999999995</v>
      </c>
      <c r="CB96" s="116">
        <f t="shared" si="66"/>
        <v>0.32246599999999997</v>
      </c>
      <c r="CC96" s="95">
        <f t="shared" si="67"/>
        <v>250.2</v>
      </c>
      <c r="CD96" s="95">
        <f t="shared" si="68"/>
        <v>0</v>
      </c>
      <c r="CE96" s="98">
        <v>130</v>
      </c>
      <c r="CF96" s="250">
        <f t="shared" si="69"/>
        <v>2.0579999999999998</v>
      </c>
      <c r="CG96" s="274">
        <f>IF(CF96&lt;0.06,1,IF(CF96&gt;=18.29,52,MATCH(CF96-0.001,'Weighting Factors'!$Y$5:$Y$156)+1))</f>
        <v>38</v>
      </c>
      <c r="CH96" s="243">
        <f>VLOOKUP(CG96, 'Weighting Factors'!$W$5:$Z$56,4)</f>
        <v>830</v>
      </c>
      <c r="CI96" s="118">
        <f>('Weighting Factors'!$Q$5/'Weighting Factors'!$Q$14)</f>
        <v>1</v>
      </c>
      <c r="CJ96" s="245">
        <f t="shared" si="70"/>
        <v>222025</v>
      </c>
      <c r="CK96" s="245">
        <f>CJ96*'Weighting Factors'!$S$7</f>
        <v>222025</v>
      </c>
      <c r="CL96" s="245">
        <f t="shared" si="71"/>
        <v>222025</v>
      </c>
      <c r="CM96" s="95">
        <f>AM96/'Weighting Factors'!$Q$5</f>
        <v>53.3</v>
      </c>
      <c r="CN96" s="148">
        <v>0</v>
      </c>
      <c r="CO96" s="148">
        <v>0</v>
      </c>
      <c r="CP96" s="149">
        <v>0</v>
      </c>
      <c r="CQ96" s="151">
        <v>0</v>
      </c>
      <c r="CR96" s="99">
        <f>SUM((AV96*'Weighting Factors'!$Q$5)+'2019 Legal Max'!BA96)*CQ96</f>
        <v>0</v>
      </c>
      <c r="CS96" s="99">
        <f t="shared" si="72"/>
        <v>0</v>
      </c>
      <c r="CT96" s="106">
        <f t="shared" si="73"/>
        <v>0.21440000000000001</v>
      </c>
      <c r="CU96" s="95">
        <f t="shared" si="74"/>
        <v>0</v>
      </c>
      <c r="CV96" s="95">
        <f t="shared" si="75"/>
        <v>0</v>
      </c>
      <c r="CW96" s="95">
        <f t="shared" si="76"/>
        <v>1392.4</v>
      </c>
      <c r="CX96" s="99">
        <f>'LOB Transfers'!G95</f>
        <v>109573</v>
      </c>
      <c r="CY96" s="99">
        <f>'LOB Transfers'!J95</f>
        <v>0</v>
      </c>
      <c r="CZ96" s="87" t="s">
        <v>288</v>
      </c>
    </row>
    <row r="97" spans="1:104" ht="15" customHeight="1">
      <c r="A97" s="88">
        <v>290</v>
      </c>
      <c r="B97" s="87" t="s">
        <v>42</v>
      </c>
      <c r="C97" s="87" t="s">
        <v>610</v>
      </c>
      <c r="D97" s="95">
        <v>2294.3000000000002</v>
      </c>
      <c r="E97" s="95">
        <v>0</v>
      </c>
      <c r="F97" s="95">
        <f t="shared" si="43"/>
        <v>2294.3000000000002</v>
      </c>
      <c r="G97" s="95">
        <v>2396.9</v>
      </c>
      <c r="H97" s="95">
        <v>0</v>
      </c>
      <c r="I97" s="95">
        <f t="shared" si="44"/>
        <v>2396.9</v>
      </c>
      <c r="J97" s="95">
        <v>2342</v>
      </c>
      <c r="K97" s="95">
        <v>0</v>
      </c>
      <c r="L97" s="95">
        <f t="shared" si="45"/>
        <v>2342</v>
      </c>
      <c r="M97" s="95">
        <f>IF(ISNA(VLOOKUP($CZ97,'Audit Values'!$A$2:$BW$365,2,FALSE)),'Preliminary SO66'!C96,VLOOKUP($CZ97,'Audit Values'!$A$2:$BW$365,73,FALSE))</f>
        <v>2334.5</v>
      </c>
      <c r="N97" s="95">
        <f>IF(ISNA(VLOOKUP($CZ97,'Audit Values'!$A$2:$BW$365,2,FALSE)),'Preliminary SO66'!F96,VLOOKUP($CZ97,'Audit Values'!$A$2:$BW$365,4,FALSE))</f>
        <v>0</v>
      </c>
      <c r="O97" s="95">
        <f t="shared" si="46"/>
        <v>2334.5</v>
      </c>
      <c r="P97" s="95">
        <f>IF('Military Provision'!J98="YES", MAX('2019 Legal Max'!L97,'2019 Legal Max'!I97,AVERAGE('2019 Legal Max'!F97,'2019 Legal Max'!I97,'2019 Legal Max'!L97)), MAX(L97, I97))</f>
        <v>2396.9</v>
      </c>
      <c r="Q97" s="95">
        <f>IF(ISNA(VLOOKUP($CZ97,'Audit Values'!$A$2:$BU$353,2,FALSE)),'Preliminary SO66'!AL96,VLOOKUP($CZ97,'Audit Values'!$A$2:$BU$3955,58,FALSE))</f>
        <v>15.5</v>
      </c>
      <c r="R97" s="95">
        <v>0</v>
      </c>
      <c r="S97" s="95">
        <f t="shared" si="78"/>
        <v>2412.4</v>
      </c>
      <c r="T97" s="95">
        <f t="shared" si="47"/>
        <v>84.5</v>
      </c>
      <c r="U97" s="95">
        <f>IF(ISNA(VLOOKUP($CZ97,'Audit Values'!$A$2:$BW$317,2,FALSE)),'Preliminary SO66'!AM96,VLOOKUP($CZ97,'Audit Values'!$A$2:$BW$317,62,FALSE))</f>
        <v>14.1</v>
      </c>
      <c r="V97" s="95">
        <f>(U97/6)*'Weighting Factors'!$Q$7</f>
        <v>0.9</v>
      </c>
      <c r="W97" s="132">
        <f>IF(ISNA(VLOOKUP($CZ97,'Audit Values'!$A$2:$BW$353,2,FALSE)),'Preliminary SO66'!AN96,VLOOKUP($CZ97,'Audit Values'!$A$2:$BW$353,61,FALSE))</f>
        <v>20</v>
      </c>
      <c r="X97" s="95">
        <f>W97*'Weighting Factors'!$Q$8</f>
        <v>3.7</v>
      </c>
      <c r="Y97" s="95">
        <f t="shared" si="48"/>
        <v>3.7</v>
      </c>
      <c r="Z97" s="276">
        <f>IF(ISNA(VLOOKUP($CZ97,'Audit Values'!$A$2:$BW$317,2,FALSE)),'Preliminary SO66'!AO96,VLOOKUP($CZ97,'Audit Values'!$A$2:$BW$317,60,FALSE))</f>
        <v>833.6</v>
      </c>
      <c r="AA97" s="95">
        <f>Z97/6*'Weighting Factors'!$Q$6</f>
        <v>69.5</v>
      </c>
      <c r="AB97" s="99">
        <f>IF(ISNA(VLOOKUP($CZ97,'Audit Values'!$A$2:$BU$353,2,FALSE)),'Preliminary SO66'!AS96,VLOOKUP($CZ97,'Audit Values'!$A$2:$BU$353,63,FALSE))</f>
        <v>2390</v>
      </c>
      <c r="AC97" s="99">
        <v>0</v>
      </c>
      <c r="AD97" s="99">
        <f>IF(ISNA(VLOOKUP($CZ97,'Audit Values'!$A$2:$BU$353,2,FALSE)),'Preliminary SO66'!AP96,VLOOKUP($CZ97,'Audit Values'!$A$2:$BU$353,64,FALSE))</f>
        <v>946</v>
      </c>
      <c r="AE97" s="95">
        <f>IF(A97=207, AD97,MAX(AC97,AD97))*'Weighting Factors'!$Q$9</f>
        <v>457.9</v>
      </c>
      <c r="AF97" s="95">
        <f t="shared" si="49"/>
        <v>30.3</v>
      </c>
      <c r="AG97" s="95">
        <f>IF(ISNA(VLOOKUP($CZ97,'Audit Values'!$A$2:$BW$353,2,FALSE)),'Preliminary SO66'!AG96,VLOOKUP($CZ97,'Audit Values'!$A$2:$BW$353,70,FALSE))</f>
        <v>45.3</v>
      </c>
      <c r="AH97" s="95">
        <f t="shared" si="50"/>
        <v>45.3</v>
      </c>
      <c r="AI97" s="95">
        <f>IF(ISNA(VLOOKUP($CZ97,'Audit Values'!$A$2:$BU$353,2,FALSE)),'Preliminary SO66'!AQ96,VLOOKUP($CZ97,'Audit Values'!$A$2:$BU$353,65,FALSE))</f>
        <v>524.6</v>
      </c>
      <c r="AJ97" s="95">
        <f>AI97*'Weighting Factors'!$Q$10</f>
        <v>131.19999999999999</v>
      </c>
      <c r="AK97" s="95">
        <f>IF(ISNA(VLOOKUP($CZ97,'Audit Values'!$A$2:$BU$353,2,FALSE)),'Preliminary SO66'!AR96,VLOOKUP($CZ97,'Audit Values'!$A$2:$BU$353,66,FALSE))</f>
        <v>109</v>
      </c>
      <c r="AL97" s="95"/>
      <c r="AM97" s="99">
        <f t="shared" si="51"/>
        <v>105730</v>
      </c>
      <c r="AN97" s="99">
        <v>407156</v>
      </c>
      <c r="AO97" s="95">
        <f>MAX(AN97, AM97)/'Weighting Factors'!$Q$5</f>
        <v>97.8</v>
      </c>
      <c r="AP97" s="95">
        <f>CN97/'Weighting Factors'!$Q$5</f>
        <v>0</v>
      </c>
      <c r="AQ97" s="95">
        <v>0</v>
      </c>
      <c r="AR97" s="95">
        <f>CS97/'Weighting Factors'!$Q$5</f>
        <v>0</v>
      </c>
      <c r="AS97" s="99">
        <v>2541077</v>
      </c>
      <c r="AT97" s="95">
        <f>AS97/'Weighting Factors'!$Q$5</f>
        <v>610.1</v>
      </c>
      <c r="AU97" s="95">
        <f>IF(ISNA(VLOOKUP($CZ97,'Audit Values'!$A$2:$BU$353,2,FALSE)),'Preliminary SO66'!X96,VLOOKUP($CZ97,'Audit Values'!$A$2:$BU$353,47,FALSE))</f>
        <v>0</v>
      </c>
      <c r="AV97" s="95">
        <f t="shared" si="52"/>
        <v>3912.4</v>
      </c>
      <c r="AW97" s="95">
        <f t="shared" si="53"/>
        <v>3302.3</v>
      </c>
      <c r="AX97" s="95">
        <f>IF(ISNA(VLOOKUP($CZ97,'Audit Values'!$A$2:$BU$353,2,FALSE)),'Preliminary SO66'!AA96,VLOOKUP($CZ97,'Audit Values'!$A$2:$BU$353,41,FALSE))</f>
        <v>14</v>
      </c>
      <c r="AY97" s="95">
        <f>IF(ISNA(VLOOKUP($CZ97,'Audit Values'!$A$2:$BU$353,2,FALSE)),'Preliminary SO66'!AB96,VLOOKUP($CZ97,'Audit Values'!$A$2:$BU$353,42,FALSE))</f>
        <v>3.8</v>
      </c>
      <c r="AZ97" s="114">
        <v>1</v>
      </c>
      <c r="BA97" s="99">
        <f>SUM(AX97*'Weighting Factors'!$T$10)+('2019 Legal Max'!AY97*'Weighting Factors'!$T$11)+('2019 Legal Max'!AZ97*'Weighting Factors'!$T$12)</f>
        <v>77169</v>
      </c>
      <c r="BB97" s="158">
        <v>0</v>
      </c>
      <c r="BC97" s="88">
        <f>IF(ISNA(VLOOKUP($CZ97,'Audit Values'!$A$2:$BU$353,2,FALSE)),"",IF(AND('Weighting Factors'!H97&gt;0,VLOOKUP($CZ97,'Audit Values'!$A$2:$BU$353,51,FALSE)&lt;'Weighting Factors'!H97),'Weighting Factors'!H97,VLOOKUP($CZ97,'Audit Values'!$A$2:$BU$353,50,FALSE)))</f>
        <v>25</v>
      </c>
      <c r="BD97" s="88" t="str">
        <f>IF(ISNA(VLOOKUP($CZ97,'Audit Values'!$A$2:$BV$353,2,FALSE)),"",VLOOKUP($CZ97,'Audit Values'!$A$2:$BV$353,51,FALSE))</f>
        <v>A</v>
      </c>
      <c r="BE97" s="88" t="str">
        <f>IF('Weighting Factors'!H97="","",IF('Weighting Factors'!J97="Pending","PX","R"))</f>
        <v/>
      </c>
      <c r="BF97" s="97">
        <f>SUM((S97+T97+Y97+AA97+AE97+AH97+AJ97++AO97+AP97+AQ97+AU97+AR97)*'Weighting Factors'!$Q$5)+'2019 Legal Max'!BA97+'2019 Legal Max'!BB97</f>
        <v>13831249</v>
      </c>
      <c r="BG97" s="99">
        <f>SUM((AV97+AR97)*'Weighting Factors'!$Q$5)+BA97+'2019 Legal Max'!BB97</f>
        <v>16372315</v>
      </c>
      <c r="BH97" s="108">
        <f>IF('Weighting Factors'!H97&gt;0,'Weighting Factors'!H97,'Preliminary SO66'!AV96)</f>
        <v>16947260</v>
      </c>
      <c r="BI97" s="99">
        <f t="shared" si="77"/>
        <v>16372315</v>
      </c>
      <c r="BJ97" s="112"/>
      <c r="BK97" s="112">
        <f>'Weighting Factors'!F97</f>
        <v>-36184</v>
      </c>
      <c r="BL97" s="112">
        <f>'Weighting Factors'!E97</f>
        <v>0</v>
      </c>
      <c r="BM97" s="99">
        <f t="shared" si="54"/>
        <v>-36184</v>
      </c>
      <c r="BN97" s="99">
        <f t="shared" si="55"/>
        <v>16336131</v>
      </c>
      <c r="BO97" s="99">
        <f>SUM((S97+T97+Y97+AA97+AE97+AH97+AJ97++AO97+AP97+AQ97+AR97)*'Weighting Factors'!Q$12)+(MAX(AS97,'Weighting Factors'!B97))</f>
        <v>17368404</v>
      </c>
      <c r="BP97" s="122">
        <v>0.3</v>
      </c>
      <c r="BQ97" s="99">
        <f t="shared" si="56"/>
        <v>5210521</v>
      </c>
      <c r="BR97" s="108">
        <v>5402798</v>
      </c>
      <c r="BS97" s="99">
        <f t="shared" si="57"/>
        <v>5210521</v>
      </c>
      <c r="BT97" s="167">
        <f t="shared" si="58"/>
        <v>0.3</v>
      </c>
      <c r="BU97" s="95">
        <f t="shared" si="59"/>
        <v>0</v>
      </c>
      <c r="BV97" s="87" t="b">
        <f t="shared" si="60"/>
        <v>0</v>
      </c>
      <c r="BW97" s="117">
        <f t="shared" si="61"/>
        <v>0</v>
      </c>
      <c r="BX97" s="116">
        <f t="shared" si="62"/>
        <v>0</v>
      </c>
      <c r="BY97" s="95">
        <f t="shared" si="63"/>
        <v>0</v>
      </c>
      <c r="BZ97" s="87" t="b">
        <f t="shared" si="64"/>
        <v>0</v>
      </c>
      <c r="CA97" s="87">
        <f t="shared" si="65"/>
        <v>0</v>
      </c>
      <c r="CB97" s="116">
        <f t="shared" si="66"/>
        <v>0</v>
      </c>
      <c r="CC97" s="95">
        <f t="shared" si="67"/>
        <v>0</v>
      </c>
      <c r="CD97" s="95">
        <f t="shared" si="68"/>
        <v>84.5</v>
      </c>
      <c r="CE97" s="98">
        <v>115.9</v>
      </c>
      <c r="CF97" s="250">
        <f t="shared" si="69"/>
        <v>0.94</v>
      </c>
      <c r="CG97" s="274">
        <f>IF(CF97&lt;0.06,1,IF(CF97&gt;=18.29,52,MATCH(CF97-0.001,'Weighting Factors'!$Y$5:$Y$156)+1))</f>
        <v>31</v>
      </c>
      <c r="CH97" s="243">
        <f>VLOOKUP(CG97, 'Weighting Factors'!$W$5:$Z$56,4)</f>
        <v>970</v>
      </c>
      <c r="CI97" s="118">
        <f>('Weighting Factors'!$Q$5/'Weighting Factors'!$Q$14)</f>
        <v>1</v>
      </c>
      <c r="CJ97" s="245">
        <f t="shared" si="70"/>
        <v>105730</v>
      </c>
      <c r="CK97" s="245">
        <f>CJ97*'Weighting Factors'!$S$7</f>
        <v>105730</v>
      </c>
      <c r="CL97" s="245">
        <f t="shared" si="71"/>
        <v>105730</v>
      </c>
      <c r="CM97" s="95">
        <f>AM97/'Weighting Factors'!$Q$5</f>
        <v>25.4</v>
      </c>
      <c r="CN97" s="148">
        <v>0</v>
      </c>
      <c r="CO97" s="148">
        <v>0</v>
      </c>
      <c r="CP97" s="149">
        <v>0</v>
      </c>
      <c r="CQ97" s="151">
        <v>0</v>
      </c>
      <c r="CR97" s="99">
        <f>SUM((AV97*'Weighting Factors'!$Q$5)+'2019 Legal Max'!BA97)*CQ97</f>
        <v>0</v>
      </c>
      <c r="CS97" s="99">
        <f t="shared" si="72"/>
        <v>0</v>
      </c>
      <c r="CT97" s="106">
        <f t="shared" si="73"/>
        <v>0.39579999999999999</v>
      </c>
      <c r="CU97" s="95">
        <f t="shared" si="74"/>
        <v>0</v>
      </c>
      <c r="CV97" s="95">
        <f t="shared" si="75"/>
        <v>30.3</v>
      </c>
      <c r="CW97" s="95">
        <f t="shared" si="76"/>
        <v>3912.4</v>
      </c>
      <c r="CX97" s="99">
        <f>'LOB Transfers'!G96</f>
        <v>612236</v>
      </c>
      <c r="CY97" s="99">
        <f>'LOB Transfers'!J96</f>
        <v>4689</v>
      </c>
      <c r="CZ97" s="87" t="s">
        <v>289</v>
      </c>
    </row>
    <row r="98" spans="1:104" ht="15" customHeight="1">
      <c r="A98" s="88">
        <v>291</v>
      </c>
      <c r="B98" s="87" t="s">
        <v>43</v>
      </c>
      <c r="C98" s="87" t="s">
        <v>611</v>
      </c>
      <c r="D98" s="95">
        <v>85.5</v>
      </c>
      <c r="E98" s="95">
        <v>0</v>
      </c>
      <c r="F98" s="95">
        <f t="shared" si="43"/>
        <v>85.5</v>
      </c>
      <c r="G98" s="95">
        <v>79</v>
      </c>
      <c r="H98" s="95">
        <v>0</v>
      </c>
      <c r="I98" s="95">
        <f t="shared" si="44"/>
        <v>79</v>
      </c>
      <c r="J98" s="95">
        <v>69</v>
      </c>
      <c r="K98" s="95">
        <v>0</v>
      </c>
      <c r="L98" s="95">
        <f t="shared" si="45"/>
        <v>69</v>
      </c>
      <c r="M98" s="95">
        <f>IF(ISNA(VLOOKUP($CZ98,'Audit Values'!$A$2:$BW$365,2,FALSE)),'Preliminary SO66'!C97,VLOOKUP($CZ98,'Audit Values'!$A$2:$BW$365,73,FALSE))</f>
        <v>73.900000000000006</v>
      </c>
      <c r="N98" s="95">
        <f>IF(ISNA(VLOOKUP($CZ98,'Audit Values'!$A$2:$BW$365,2,FALSE)),'Preliminary SO66'!F97,VLOOKUP($CZ98,'Audit Values'!$A$2:$BW$365,4,FALSE))</f>
        <v>0</v>
      </c>
      <c r="O98" s="95">
        <f t="shared" si="46"/>
        <v>73.900000000000006</v>
      </c>
      <c r="P98" s="95">
        <f>IF('Military Provision'!J99="YES", MAX('2019 Legal Max'!L98,'2019 Legal Max'!I98,AVERAGE('2019 Legal Max'!F98,'2019 Legal Max'!I98,'2019 Legal Max'!L98)), MAX(L98, I98))</f>
        <v>79</v>
      </c>
      <c r="Q98" s="95">
        <f>IF(ISNA(VLOOKUP($CZ98,'Audit Values'!$A$2:$BU$353,2,FALSE)),'Preliminary SO66'!AL97,VLOOKUP($CZ98,'Audit Values'!$A$2:$BU$3955,58,FALSE))</f>
        <v>0</v>
      </c>
      <c r="R98" s="95">
        <v>0</v>
      </c>
      <c r="S98" s="95">
        <f t="shared" si="78"/>
        <v>79</v>
      </c>
      <c r="T98" s="95">
        <f t="shared" si="47"/>
        <v>80.099999999999994</v>
      </c>
      <c r="U98" s="95">
        <f>IF(ISNA(VLOOKUP($CZ98,'Audit Values'!$A$2:$BW$317,2,FALSE)),'Preliminary SO66'!AM97,VLOOKUP($CZ98,'Audit Values'!$A$2:$BW$317,62,FALSE))</f>
        <v>0</v>
      </c>
      <c r="V98" s="95">
        <f>(U98/6)*'Weighting Factors'!$Q$7</f>
        <v>0</v>
      </c>
      <c r="W98" s="132">
        <f>IF(ISNA(VLOOKUP($CZ98,'Audit Values'!$A$2:$BW$353,2,FALSE)),'Preliminary SO66'!AN97,VLOOKUP($CZ98,'Audit Values'!$A$2:$BW$353,61,FALSE))</f>
        <v>0</v>
      </c>
      <c r="X98" s="95">
        <f>W98*'Weighting Factors'!$Q$8</f>
        <v>0</v>
      </c>
      <c r="Y98" s="95">
        <f t="shared" si="48"/>
        <v>0</v>
      </c>
      <c r="Z98" s="276">
        <f>IF(ISNA(VLOOKUP($CZ98,'Audit Values'!$A$2:$BW$317,2,FALSE)),'Preliminary SO66'!AO97,VLOOKUP($CZ98,'Audit Values'!$A$2:$BW$317,60,FALSE))</f>
        <v>6.5</v>
      </c>
      <c r="AA98" s="95">
        <f>Z98/6*'Weighting Factors'!$Q$6</f>
        <v>0.5</v>
      </c>
      <c r="AB98" s="99">
        <f>IF(ISNA(VLOOKUP($CZ98,'Audit Values'!$A$2:$BU$353,2,FALSE)),'Preliminary SO66'!AS97,VLOOKUP($CZ98,'Audit Values'!$A$2:$BU$353,63,FALSE))</f>
        <v>77</v>
      </c>
      <c r="AC98" s="99">
        <v>0</v>
      </c>
      <c r="AD98" s="99">
        <f>IF(ISNA(VLOOKUP($CZ98,'Audit Values'!$A$2:$BU$353,2,FALSE)),'Preliminary SO66'!AP97,VLOOKUP($CZ98,'Audit Values'!$A$2:$BU$353,64,FALSE))</f>
        <v>27</v>
      </c>
      <c r="AE98" s="95">
        <f>IF(A98=207, AD98,MAX(AC98,AD98))*'Weighting Factors'!$Q$9</f>
        <v>13.1</v>
      </c>
      <c r="AF98" s="95">
        <f t="shared" si="49"/>
        <v>0</v>
      </c>
      <c r="AG98" s="95">
        <f>IF(ISNA(VLOOKUP($CZ98,'Audit Values'!$A$2:$BW$353,2,FALSE)),'Preliminary SO66'!AG97,VLOOKUP($CZ98,'Audit Values'!$A$2:$BW$353,70,FALSE))</f>
        <v>0.8</v>
      </c>
      <c r="AH98" s="95">
        <f t="shared" si="50"/>
        <v>0.8</v>
      </c>
      <c r="AI98" s="95">
        <f>IF(ISNA(VLOOKUP($CZ98,'Audit Values'!$A$2:$BU$353,2,FALSE)),'Preliminary SO66'!AQ97,VLOOKUP($CZ98,'Audit Values'!$A$2:$BU$353,65,FALSE))</f>
        <v>0</v>
      </c>
      <c r="AJ98" s="95">
        <f>AI98*'Weighting Factors'!$Q$10</f>
        <v>0</v>
      </c>
      <c r="AK98" s="95">
        <f>IF(ISNA(VLOOKUP($CZ98,'Audit Values'!$A$2:$BU$353,2,FALSE)),'Preliminary SO66'!AR97,VLOOKUP($CZ98,'Audit Values'!$A$2:$BU$353,66,FALSE))</f>
        <v>26</v>
      </c>
      <c r="AL98" s="95"/>
      <c r="AM98" s="99">
        <f t="shared" si="51"/>
        <v>38480</v>
      </c>
      <c r="AN98" s="99">
        <v>58936</v>
      </c>
      <c r="AO98" s="95">
        <f>MAX(AN98, AM98)/'Weighting Factors'!$Q$5</f>
        <v>14.2</v>
      </c>
      <c r="AP98" s="95">
        <f>CN98/'Weighting Factors'!$Q$5</f>
        <v>0</v>
      </c>
      <c r="AQ98" s="95">
        <v>0</v>
      </c>
      <c r="AR98" s="95">
        <f>CS98/'Weighting Factors'!$Q$5</f>
        <v>0</v>
      </c>
      <c r="AS98" s="99">
        <v>123292</v>
      </c>
      <c r="AT98" s="95">
        <f>AS98/'Weighting Factors'!$Q$5</f>
        <v>29.6</v>
      </c>
      <c r="AU98" s="95">
        <f>IF(ISNA(VLOOKUP($CZ98,'Audit Values'!$A$2:$BU$353,2,FALSE)),'Preliminary SO66'!X97,VLOOKUP($CZ98,'Audit Values'!$A$2:$BU$353,47,FALSE))</f>
        <v>0</v>
      </c>
      <c r="AV98" s="95">
        <f t="shared" si="52"/>
        <v>217.3</v>
      </c>
      <c r="AW98" s="95">
        <f t="shared" si="53"/>
        <v>187.7</v>
      </c>
      <c r="AX98" s="95">
        <f>IF(ISNA(VLOOKUP($CZ98,'Audit Values'!$A$2:$BU$353,2,FALSE)),'Preliminary SO66'!AA97,VLOOKUP($CZ98,'Audit Values'!$A$2:$BU$353,41,FALSE))</f>
        <v>0</v>
      </c>
      <c r="AY98" s="95">
        <f>IF(ISNA(VLOOKUP($CZ98,'Audit Values'!$A$2:$BU$353,2,FALSE)),'Preliminary SO66'!AB97,VLOOKUP($CZ98,'Audit Values'!$A$2:$BU$353,42,FALSE))</f>
        <v>0</v>
      </c>
      <c r="AZ98" s="114">
        <v>0</v>
      </c>
      <c r="BA98" s="99">
        <f>SUM(AX98*'Weighting Factors'!$T$10)+('2019 Legal Max'!AY98*'Weighting Factors'!$T$11)+('2019 Legal Max'!AZ98*'Weighting Factors'!$T$12)</f>
        <v>0</v>
      </c>
      <c r="BB98" s="158">
        <v>0</v>
      </c>
      <c r="BC98" s="88">
        <f>IF(ISNA(VLOOKUP($CZ98,'Audit Values'!$A$2:$BU$353,2,FALSE)),"",IF(AND('Weighting Factors'!H98&gt;0,VLOOKUP($CZ98,'Audit Values'!$A$2:$BU$353,51,FALSE)&lt;'Weighting Factors'!H98),'Weighting Factors'!H98,VLOOKUP($CZ98,'Audit Values'!$A$2:$BU$353,50,FALSE)))</f>
        <v>16</v>
      </c>
      <c r="BD98" s="88" t="str">
        <f>IF(ISNA(VLOOKUP($CZ98,'Audit Values'!$A$2:$BV$353,2,FALSE)),"",VLOOKUP($CZ98,'Audit Values'!$A$2:$BV$353,51,FALSE))</f>
        <v>A</v>
      </c>
      <c r="BE98" s="88" t="str">
        <f>IF('Weighting Factors'!H98="","",IF('Weighting Factors'!J98="Pending","PX","R"))</f>
        <v>R</v>
      </c>
      <c r="BF98" s="97">
        <f>SUM((S98+T98+Y98+AA98+AE98+AH98+AJ98++AO98+AP98+AQ98+AU98+AR98)*'Weighting Factors'!$Q$5)+'2019 Legal Max'!BA98+'2019 Legal Max'!BB98</f>
        <v>781771</v>
      </c>
      <c r="BG98" s="99">
        <f>SUM((AV98+AR98)*'Weighting Factors'!$Q$5)+BA98+'2019 Legal Max'!BB98</f>
        <v>905055</v>
      </c>
      <c r="BH98" s="108">
        <f>IF('Weighting Factors'!H98&gt;0,'Weighting Factors'!H98,'Preliminary SO66'!AV97)</f>
        <v>917133</v>
      </c>
      <c r="BI98" s="99">
        <f t="shared" si="77"/>
        <v>905055</v>
      </c>
      <c r="BJ98" s="112"/>
      <c r="BK98" s="112">
        <f>'Weighting Factors'!F98</f>
        <v>0</v>
      </c>
      <c r="BL98" s="112">
        <f>'Weighting Factors'!E98</f>
        <v>0</v>
      </c>
      <c r="BM98" s="99">
        <f t="shared" si="54"/>
        <v>0</v>
      </c>
      <c r="BN98" s="99">
        <f t="shared" si="55"/>
        <v>905055</v>
      </c>
      <c r="BO98" s="99">
        <f>SUM((S98+T98+Y98+AA98+AE98+AH98+AJ98++AO98+AP98+AQ98+AR98)*'Weighting Factors'!Q$12)+(MAX(AS98,'Weighting Factors'!B98))</f>
        <v>966065</v>
      </c>
      <c r="BP98" s="122">
        <v>0.3</v>
      </c>
      <c r="BQ98" s="99">
        <f t="shared" si="56"/>
        <v>289820</v>
      </c>
      <c r="BR98" s="108">
        <v>264000</v>
      </c>
      <c r="BS98" s="99">
        <f t="shared" si="57"/>
        <v>264000</v>
      </c>
      <c r="BT98" s="167">
        <f t="shared" si="58"/>
        <v>0.27329999999999999</v>
      </c>
      <c r="BU98" s="95">
        <f t="shared" si="59"/>
        <v>80.099999999999994</v>
      </c>
      <c r="BV98" s="87" t="b">
        <f t="shared" si="60"/>
        <v>0</v>
      </c>
      <c r="BW98" s="117">
        <f t="shared" si="61"/>
        <v>0</v>
      </c>
      <c r="BX98" s="116">
        <f t="shared" si="62"/>
        <v>0</v>
      </c>
      <c r="BY98" s="95">
        <f t="shared" si="63"/>
        <v>0</v>
      </c>
      <c r="BZ98" s="87" t="b">
        <f t="shared" si="64"/>
        <v>0</v>
      </c>
      <c r="CA98" s="87">
        <f t="shared" si="65"/>
        <v>0</v>
      </c>
      <c r="CB98" s="116">
        <f t="shared" si="66"/>
        <v>0</v>
      </c>
      <c r="CC98" s="95">
        <f t="shared" si="67"/>
        <v>0</v>
      </c>
      <c r="CD98" s="95">
        <f t="shared" si="68"/>
        <v>0</v>
      </c>
      <c r="CE98" s="98">
        <v>267.8</v>
      </c>
      <c r="CF98" s="250">
        <f t="shared" si="69"/>
        <v>9.7000000000000003E-2</v>
      </c>
      <c r="CG98" s="274">
        <f>IF(CF98&lt;0.06,1,IF(CF98&gt;=18.29,52,MATCH(CF98-0.001,'Weighting Factors'!$Y$5:$Y$156)+1))</f>
        <v>5</v>
      </c>
      <c r="CH98" s="243">
        <f>VLOOKUP(CG98, 'Weighting Factors'!$W$5:$Z$56,4)</f>
        <v>1480</v>
      </c>
      <c r="CI98" s="118">
        <f>('Weighting Factors'!$Q$5/'Weighting Factors'!$Q$14)</f>
        <v>1</v>
      </c>
      <c r="CJ98" s="245">
        <f t="shared" si="70"/>
        <v>38480</v>
      </c>
      <c r="CK98" s="245">
        <f>CJ98*'Weighting Factors'!$S$7</f>
        <v>38480</v>
      </c>
      <c r="CL98" s="245">
        <f t="shared" si="71"/>
        <v>38480</v>
      </c>
      <c r="CM98" s="95">
        <f>AM98/'Weighting Factors'!$Q$5</f>
        <v>9.1999999999999993</v>
      </c>
      <c r="CN98" s="148">
        <v>0</v>
      </c>
      <c r="CO98" s="148">
        <v>0</v>
      </c>
      <c r="CP98" s="149">
        <v>0</v>
      </c>
      <c r="CQ98" s="151">
        <v>0</v>
      </c>
      <c r="CR98" s="99">
        <f>SUM((AV98*'Weighting Factors'!$Q$5)+'2019 Legal Max'!BA98)*CQ98</f>
        <v>0</v>
      </c>
      <c r="CS98" s="99">
        <f t="shared" si="72"/>
        <v>0</v>
      </c>
      <c r="CT98" s="106">
        <f t="shared" si="73"/>
        <v>0.35060000000000002</v>
      </c>
      <c r="CU98" s="95">
        <f t="shared" si="74"/>
        <v>0</v>
      </c>
      <c r="CV98" s="95">
        <f t="shared" si="75"/>
        <v>0</v>
      </c>
      <c r="CW98" s="95">
        <f t="shared" si="76"/>
        <v>217.3</v>
      </c>
      <c r="CX98" s="99">
        <f>'LOB Transfers'!G97</f>
        <v>15919</v>
      </c>
      <c r="CY98" s="99">
        <f>'LOB Transfers'!J97</f>
        <v>0</v>
      </c>
      <c r="CZ98" s="87" t="s">
        <v>290</v>
      </c>
    </row>
    <row r="99" spans="1:104" ht="15" customHeight="1">
      <c r="A99" s="88">
        <v>292</v>
      </c>
      <c r="B99" s="87" t="s">
        <v>43</v>
      </c>
      <c r="C99" s="87" t="s">
        <v>612</v>
      </c>
      <c r="D99" s="95">
        <v>102</v>
      </c>
      <c r="E99" s="95">
        <v>0</v>
      </c>
      <c r="F99" s="95">
        <f t="shared" si="43"/>
        <v>102</v>
      </c>
      <c r="G99" s="95">
        <v>112</v>
      </c>
      <c r="H99" s="95">
        <v>0</v>
      </c>
      <c r="I99" s="95">
        <f t="shared" si="44"/>
        <v>112</v>
      </c>
      <c r="J99" s="95">
        <v>111.5</v>
      </c>
      <c r="K99" s="95">
        <v>0</v>
      </c>
      <c r="L99" s="95">
        <f t="shared" si="45"/>
        <v>111.5</v>
      </c>
      <c r="M99" s="95">
        <f>IF(ISNA(VLOOKUP($CZ99,'Audit Values'!$A$2:$BW$365,2,FALSE)),'Preliminary SO66'!C98,VLOOKUP($CZ99,'Audit Values'!$A$2:$BW$365,73,FALSE))</f>
        <v>103.5</v>
      </c>
      <c r="N99" s="95">
        <f>IF(ISNA(VLOOKUP($CZ99,'Audit Values'!$A$2:$BW$365,2,FALSE)),'Preliminary SO66'!F98,VLOOKUP($CZ99,'Audit Values'!$A$2:$BW$365,4,FALSE))</f>
        <v>0</v>
      </c>
      <c r="O99" s="95">
        <f t="shared" si="46"/>
        <v>103.5</v>
      </c>
      <c r="P99" s="95">
        <f>IF('Military Provision'!J100="YES", MAX('2019 Legal Max'!L99,'2019 Legal Max'!I99,AVERAGE('2019 Legal Max'!F99,'2019 Legal Max'!I99,'2019 Legal Max'!L99)), MAX(L99, I99))</f>
        <v>112</v>
      </c>
      <c r="Q99" s="95">
        <f>IF(ISNA(VLOOKUP($CZ99,'Audit Values'!$A$2:$BU$353,2,FALSE)),'Preliminary SO66'!AL98,VLOOKUP($CZ99,'Audit Values'!$A$2:$BU$3955,58,FALSE))</f>
        <v>0</v>
      </c>
      <c r="R99" s="95">
        <v>0</v>
      </c>
      <c r="S99" s="95">
        <f t="shared" si="78"/>
        <v>112</v>
      </c>
      <c r="T99" s="95">
        <f t="shared" si="47"/>
        <v>110</v>
      </c>
      <c r="U99" s="95">
        <f>IF(ISNA(VLOOKUP($CZ99,'Audit Values'!$A$2:$BW$317,2,FALSE)),'Preliminary SO66'!AM98,VLOOKUP($CZ99,'Audit Values'!$A$2:$BW$317,62,FALSE))</f>
        <v>0</v>
      </c>
      <c r="V99" s="95">
        <f>(U99/6)*'Weighting Factors'!$Q$7</f>
        <v>0</v>
      </c>
      <c r="W99" s="132">
        <f>IF(ISNA(VLOOKUP($CZ99,'Audit Values'!$A$2:$BW$353,2,FALSE)),'Preliminary SO66'!AN98,VLOOKUP($CZ99,'Audit Values'!$A$2:$BW$353,61,FALSE))</f>
        <v>0</v>
      </c>
      <c r="X99" s="95">
        <f>W99*'Weighting Factors'!$Q$8</f>
        <v>0</v>
      </c>
      <c r="Y99" s="95">
        <f t="shared" si="48"/>
        <v>0</v>
      </c>
      <c r="Z99" s="276">
        <f>IF(ISNA(VLOOKUP($CZ99,'Audit Values'!$A$2:$BW$317,2,FALSE)),'Preliminary SO66'!AO98,VLOOKUP($CZ99,'Audit Values'!$A$2:$BW$317,60,FALSE))</f>
        <v>9.8000000000000007</v>
      </c>
      <c r="AA99" s="95">
        <f>Z99/6*'Weighting Factors'!$Q$6</f>
        <v>0.8</v>
      </c>
      <c r="AB99" s="99">
        <f>IF(ISNA(VLOOKUP($CZ99,'Audit Values'!$A$2:$BU$353,2,FALSE)),'Preliminary SO66'!AS98,VLOOKUP($CZ99,'Audit Values'!$A$2:$BU$353,63,FALSE))</f>
        <v>105</v>
      </c>
      <c r="AC99" s="99">
        <v>0</v>
      </c>
      <c r="AD99" s="99">
        <f>IF(ISNA(VLOOKUP($CZ99,'Audit Values'!$A$2:$BU$353,2,FALSE)),'Preliminary SO66'!AP98,VLOOKUP($CZ99,'Audit Values'!$A$2:$BU$353,64,FALSE))</f>
        <v>33</v>
      </c>
      <c r="AE99" s="95">
        <f>IF(A99=207, AD99,MAX(AC99,AD99))*'Weighting Factors'!$Q$9</f>
        <v>16</v>
      </c>
      <c r="AF99" s="95">
        <f t="shared" si="49"/>
        <v>0</v>
      </c>
      <c r="AG99" s="95">
        <f>IF(ISNA(VLOOKUP($CZ99,'Audit Values'!$A$2:$BW$353,2,FALSE)),'Preliminary SO66'!AG98,VLOOKUP($CZ99,'Audit Values'!$A$2:$BW$353,70,FALSE))</f>
        <v>1.1000000000000001</v>
      </c>
      <c r="AH99" s="95">
        <f t="shared" si="50"/>
        <v>1.1000000000000001</v>
      </c>
      <c r="AI99" s="95">
        <f>IF(ISNA(VLOOKUP($CZ99,'Audit Values'!$A$2:$BU$353,2,FALSE)),'Preliminary SO66'!AQ98,VLOOKUP($CZ99,'Audit Values'!$A$2:$BU$353,65,FALSE))</f>
        <v>0</v>
      </c>
      <c r="AJ99" s="95">
        <f>AI99*'Weighting Factors'!$Q$10</f>
        <v>0</v>
      </c>
      <c r="AK99" s="95">
        <f>IF(ISNA(VLOOKUP($CZ99,'Audit Values'!$A$2:$BU$353,2,FALSE)),'Preliminary SO66'!AR98,VLOOKUP($CZ99,'Audit Values'!$A$2:$BU$353,66,FALSE))</f>
        <v>57</v>
      </c>
      <c r="AL99" s="95"/>
      <c r="AM99" s="99">
        <f t="shared" si="51"/>
        <v>79230</v>
      </c>
      <c r="AN99" s="99">
        <v>115175</v>
      </c>
      <c r="AO99" s="95">
        <f>MAX(AN99, AM99)/'Weighting Factors'!$Q$5</f>
        <v>27.7</v>
      </c>
      <c r="AP99" s="95">
        <f>CN99/'Weighting Factors'!$Q$5</f>
        <v>0</v>
      </c>
      <c r="AQ99" s="95">
        <v>0</v>
      </c>
      <c r="AR99" s="95">
        <f>CS99/'Weighting Factors'!$Q$5</f>
        <v>0</v>
      </c>
      <c r="AS99" s="99">
        <v>148466</v>
      </c>
      <c r="AT99" s="95">
        <f>AS99/'Weighting Factors'!$Q$5</f>
        <v>35.6</v>
      </c>
      <c r="AU99" s="95">
        <f>IF(ISNA(VLOOKUP($CZ99,'Audit Values'!$A$2:$BU$353,2,FALSE)),'Preliminary SO66'!X98,VLOOKUP($CZ99,'Audit Values'!$A$2:$BU$353,47,FALSE))</f>
        <v>0</v>
      </c>
      <c r="AV99" s="95">
        <f t="shared" si="52"/>
        <v>303.2</v>
      </c>
      <c r="AW99" s="95">
        <f t="shared" si="53"/>
        <v>267.60000000000002</v>
      </c>
      <c r="AX99" s="95">
        <f>IF(ISNA(VLOOKUP($CZ99,'Audit Values'!$A$2:$BU$353,2,FALSE)),'Preliminary SO66'!AA98,VLOOKUP($CZ99,'Audit Values'!$A$2:$BU$353,41,FALSE))</f>
        <v>0</v>
      </c>
      <c r="AY99" s="95">
        <f>IF(ISNA(VLOOKUP($CZ99,'Audit Values'!$A$2:$BU$353,2,FALSE)),'Preliminary SO66'!AB98,VLOOKUP($CZ99,'Audit Values'!$A$2:$BU$353,42,FALSE))</f>
        <v>0</v>
      </c>
      <c r="AZ99" s="114">
        <v>0</v>
      </c>
      <c r="BA99" s="99">
        <f>SUM(AX99*'Weighting Factors'!$T$10)+('2019 Legal Max'!AY99*'Weighting Factors'!$T$11)+('2019 Legal Max'!AZ99*'Weighting Factors'!$T$12)</f>
        <v>0</v>
      </c>
      <c r="BB99" s="158">
        <v>0</v>
      </c>
      <c r="BC99" s="88">
        <f>IF(ISNA(VLOOKUP($CZ99,'Audit Values'!$A$2:$BU$353,2,FALSE)),"",IF(AND('Weighting Factors'!H99&gt;0,VLOOKUP($CZ99,'Audit Values'!$A$2:$BU$353,51,FALSE)&lt;'Weighting Factors'!H99),'Weighting Factors'!H99,VLOOKUP($CZ99,'Audit Values'!$A$2:$BU$353,50,FALSE)))</f>
        <v>25</v>
      </c>
      <c r="BD99" s="88" t="str">
        <f>IF(ISNA(VLOOKUP($CZ99,'Audit Values'!$A$2:$BV$353,2,FALSE)),"",VLOOKUP($CZ99,'Audit Values'!$A$2:$BV$353,51,FALSE))</f>
        <v>A</v>
      </c>
      <c r="BE99" s="88" t="str">
        <f>IF('Weighting Factors'!H99="","",IF('Weighting Factors'!J99="Pending","PX","R"))</f>
        <v>R</v>
      </c>
      <c r="BF99" s="97">
        <f>SUM((S99+T99+Y99+AA99+AE99+AH99+AJ99++AO99+AP99+AQ99+AU99+AR99)*'Weighting Factors'!$Q$5)+'2019 Legal Max'!BA99+'2019 Legal Max'!BB99</f>
        <v>1114554</v>
      </c>
      <c r="BG99" s="99">
        <f>SUM((AV99+AR99)*'Weighting Factors'!$Q$5)+BA99+'2019 Legal Max'!BB99</f>
        <v>1262828</v>
      </c>
      <c r="BH99" s="108">
        <f>IF('Weighting Factors'!H99&gt;0,'Weighting Factors'!H99,'Preliminary SO66'!AV98)</f>
        <v>1279072</v>
      </c>
      <c r="BI99" s="99">
        <f t="shared" si="77"/>
        <v>1262828</v>
      </c>
      <c r="BJ99" s="112"/>
      <c r="BK99" s="112">
        <f>'Weighting Factors'!F99</f>
        <v>-14457</v>
      </c>
      <c r="BL99" s="112">
        <f>'Weighting Factors'!E99</f>
        <v>0</v>
      </c>
      <c r="BM99" s="99">
        <f t="shared" si="54"/>
        <v>-14457</v>
      </c>
      <c r="BN99" s="99">
        <f t="shared" si="55"/>
        <v>1248371</v>
      </c>
      <c r="BO99" s="99">
        <f>SUM((S99+T99+Y99+AA99+AE99+AH99+AJ99++AO99+AP99+AQ99+AR99)*'Weighting Factors'!Q$12)+(MAX(AS99,'Weighting Factors'!B99))</f>
        <v>1398989</v>
      </c>
      <c r="BP99" s="122">
        <v>0.3</v>
      </c>
      <c r="BQ99" s="99">
        <f t="shared" si="56"/>
        <v>419697</v>
      </c>
      <c r="BR99" s="108">
        <v>416329</v>
      </c>
      <c r="BS99" s="99">
        <f t="shared" si="57"/>
        <v>416329</v>
      </c>
      <c r="BT99" s="167">
        <f t="shared" si="58"/>
        <v>0.29759999999999998</v>
      </c>
      <c r="BU99" s="95">
        <f t="shared" si="59"/>
        <v>0</v>
      </c>
      <c r="BV99" s="87" t="b">
        <f t="shared" si="60"/>
        <v>1</v>
      </c>
      <c r="BW99" s="117">
        <f t="shared" si="61"/>
        <v>115.86</v>
      </c>
      <c r="BX99" s="116">
        <f t="shared" si="62"/>
        <v>0.98252300000000004</v>
      </c>
      <c r="BY99" s="95">
        <f t="shared" si="63"/>
        <v>110</v>
      </c>
      <c r="BZ99" s="87" t="b">
        <f t="shared" si="64"/>
        <v>0</v>
      </c>
      <c r="CA99" s="87">
        <f t="shared" si="65"/>
        <v>0</v>
      </c>
      <c r="CB99" s="116">
        <f t="shared" si="66"/>
        <v>0</v>
      </c>
      <c r="CC99" s="95">
        <f t="shared" si="67"/>
        <v>0</v>
      </c>
      <c r="CD99" s="95">
        <f t="shared" si="68"/>
        <v>0</v>
      </c>
      <c r="CE99" s="98">
        <v>437</v>
      </c>
      <c r="CF99" s="250">
        <f t="shared" si="69"/>
        <v>0.13</v>
      </c>
      <c r="CG99" s="274">
        <f>IF(CF99&lt;0.06,1,IF(CF99&gt;=18.29,52,MATCH(CF99-0.001,'Weighting Factors'!$Y$5:$Y$156)+1))</f>
        <v>9</v>
      </c>
      <c r="CH99" s="243">
        <f>VLOOKUP(CG99, 'Weighting Factors'!$W$5:$Z$56,4)</f>
        <v>1390</v>
      </c>
      <c r="CI99" s="118">
        <f>('Weighting Factors'!$Q$5/'Weighting Factors'!$Q$14)</f>
        <v>1</v>
      </c>
      <c r="CJ99" s="245">
        <f t="shared" si="70"/>
        <v>79230</v>
      </c>
      <c r="CK99" s="245">
        <f>CJ99*'Weighting Factors'!$S$7</f>
        <v>79230</v>
      </c>
      <c r="CL99" s="245">
        <f t="shared" si="71"/>
        <v>79230</v>
      </c>
      <c r="CM99" s="95">
        <f>AM99/'Weighting Factors'!$Q$5</f>
        <v>19</v>
      </c>
      <c r="CN99" s="148">
        <v>0</v>
      </c>
      <c r="CO99" s="148">
        <v>0</v>
      </c>
      <c r="CP99" s="149">
        <v>0</v>
      </c>
      <c r="CQ99" s="151">
        <v>0</v>
      </c>
      <c r="CR99" s="99">
        <f>SUM((AV99*'Weighting Factors'!$Q$5)+'2019 Legal Max'!BA99)*CQ99</f>
        <v>0</v>
      </c>
      <c r="CS99" s="99">
        <f t="shared" si="72"/>
        <v>0</v>
      </c>
      <c r="CT99" s="106">
        <f t="shared" si="73"/>
        <v>0.31430000000000002</v>
      </c>
      <c r="CU99" s="95">
        <f t="shared" si="74"/>
        <v>0</v>
      </c>
      <c r="CV99" s="95">
        <f t="shared" si="75"/>
        <v>0</v>
      </c>
      <c r="CW99" s="95">
        <f t="shared" si="76"/>
        <v>303.2</v>
      </c>
      <c r="CX99" s="99">
        <f>'LOB Transfers'!G98</f>
        <v>21982</v>
      </c>
      <c r="CY99" s="99">
        <f>'LOB Transfers'!J98</f>
        <v>0</v>
      </c>
      <c r="CZ99" s="87" t="s">
        <v>291</v>
      </c>
    </row>
    <row r="100" spans="1:104" ht="15" customHeight="1">
      <c r="A100" s="88">
        <v>293</v>
      </c>
      <c r="B100" s="87" t="s">
        <v>43</v>
      </c>
      <c r="C100" s="87" t="s">
        <v>613</v>
      </c>
      <c r="D100" s="95">
        <v>269</v>
      </c>
      <c r="E100" s="95">
        <v>0</v>
      </c>
      <c r="F100" s="95">
        <f t="shared" si="43"/>
        <v>269</v>
      </c>
      <c r="G100" s="95">
        <v>295.5</v>
      </c>
      <c r="H100" s="95">
        <v>0</v>
      </c>
      <c r="I100" s="95">
        <f t="shared" si="44"/>
        <v>295.5</v>
      </c>
      <c r="J100" s="95">
        <v>283</v>
      </c>
      <c r="K100" s="95">
        <v>0</v>
      </c>
      <c r="L100" s="95">
        <f t="shared" si="45"/>
        <v>283</v>
      </c>
      <c r="M100" s="95">
        <f>IF(ISNA(VLOOKUP($CZ100,'Audit Values'!$A$2:$BW$365,2,FALSE)),'Preliminary SO66'!C99,VLOOKUP($CZ100,'Audit Values'!$A$2:$BW$365,73,FALSE))</f>
        <v>300</v>
      </c>
      <c r="N100" s="95">
        <f>IF(ISNA(VLOOKUP($CZ100,'Audit Values'!$A$2:$BW$365,2,FALSE)),'Preliminary SO66'!F99,VLOOKUP($CZ100,'Audit Values'!$A$2:$BW$365,4,FALSE))</f>
        <v>0</v>
      </c>
      <c r="O100" s="95">
        <f t="shared" si="46"/>
        <v>300</v>
      </c>
      <c r="P100" s="95">
        <f>IF('Military Provision'!J101="YES", MAX('2019 Legal Max'!L100,'2019 Legal Max'!I100,AVERAGE('2019 Legal Max'!F100,'2019 Legal Max'!I100,'2019 Legal Max'!L100)), MAX(L100, I100))</f>
        <v>295.5</v>
      </c>
      <c r="Q100" s="95">
        <f>IF(ISNA(VLOOKUP($CZ100,'Audit Values'!$A$2:$BU$353,2,FALSE)),'Preliminary SO66'!AL99,VLOOKUP($CZ100,'Audit Values'!$A$2:$BU$3955,58,FALSE))</f>
        <v>4</v>
      </c>
      <c r="R100" s="95">
        <v>0</v>
      </c>
      <c r="S100" s="95">
        <f t="shared" si="78"/>
        <v>299.5</v>
      </c>
      <c r="T100" s="95">
        <f t="shared" si="47"/>
        <v>145.4</v>
      </c>
      <c r="U100" s="95">
        <f>IF(ISNA(VLOOKUP($CZ100,'Audit Values'!$A$2:$BW$317,2,FALSE)),'Preliminary SO66'!AM99,VLOOKUP($CZ100,'Audit Values'!$A$2:$BW$317,62,FALSE))</f>
        <v>10.1</v>
      </c>
      <c r="V100" s="95">
        <f>(U100/6)*'Weighting Factors'!$Q$7</f>
        <v>0.7</v>
      </c>
      <c r="W100" s="132">
        <f>IF(ISNA(VLOOKUP($CZ100,'Audit Values'!$A$2:$BW$353,2,FALSE)),'Preliminary SO66'!AN99,VLOOKUP($CZ100,'Audit Values'!$A$2:$BW$353,61,FALSE))</f>
        <v>10</v>
      </c>
      <c r="X100" s="95">
        <f>W100*'Weighting Factors'!$Q$8</f>
        <v>1.9</v>
      </c>
      <c r="Y100" s="95">
        <f t="shared" si="48"/>
        <v>1.9</v>
      </c>
      <c r="Z100" s="276">
        <f>IF(ISNA(VLOOKUP($CZ100,'Audit Values'!$A$2:$BW$317,2,FALSE)),'Preliminary SO66'!AO99,VLOOKUP($CZ100,'Audit Values'!$A$2:$BW$317,60,FALSE))</f>
        <v>44.1</v>
      </c>
      <c r="AA100" s="95">
        <f>Z100/6*'Weighting Factors'!$Q$6</f>
        <v>3.7</v>
      </c>
      <c r="AB100" s="99">
        <f>IF(ISNA(VLOOKUP($CZ100,'Audit Values'!$A$2:$BU$353,2,FALSE)),'Preliminary SO66'!AS99,VLOOKUP($CZ100,'Audit Values'!$A$2:$BU$353,63,FALSE))</f>
        <v>315</v>
      </c>
      <c r="AC100" s="99">
        <v>0</v>
      </c>
      <c r="AD100" s="99">
        <f>IF(ISNA(VLOOKUP($CZ100,'Audit Values'!$A$2:$BU$353,2,FALSE)),'Preliminary SO66'!AP99,VLOOKUP($CZ100,'Audit Values'!$A$2:$BU$353,64,FALSE))</f>
        <v>72</v>
      </c>
      <c r="AE100" s="95">
        <f>IF(A100=207, AD100,MAX(AC100,AD100))*'Weighting Factors'!$Q$9</f>
        <v>34.799999999999997</v>
      </c>
      <c r="AF100" s="95">
        <f t="shared" si="49"/>
        <v>0</v>
      </c>
      <c r="AG100" s="95">
        <f>IF(ISNA(VLOOKUP($CZ100,'Audit Values'!$A$2:$BW$353,2,FALSE)),'Preliminary SO66'!AG99,VLOOKUP($CZ100,'Audit Values'!$A$2:$BW$353,70,FALSE))</f>
        <v>0</v>
      </c>
      <c r="AH100" s="95">
        <f t="shared" si="50"/>
        <v>0</v>
      </c>
      <c r="AI100" s="95">
        <f>IF(ISNA(VLOOKUP($CZ100,'Audit Values'!$A$2:$BU$353,2,FALSE)),'Preliminary SO66'!AQ99,VLOOKUP($CZ100,'Audit Values'!$A$2:$BU$353,65,FALSE))</f>
        <v>0</v>
      </c>
      <c r="AJ100" s="95">
        <f>AI100*'Weighting Factors'!$Q$10</f>
        <v>0</v>
      </c>
      <c r="AK100" s="95">
        <f>IF(ISNA(VLOOKUP($CZ100,'Audit Values'!$A$2:$BU$353,2,FALSE)),'Preliminary SO66'!AR99,VLOOKUP($CZ100,'Audit Values'!$A$2:$BU$353,66,FALSE))</f>
        <v>89</v>
      </c>
      <c r="AL100" s="95"/>
      <c r="AM100" s="99">
        <f t="shared" si="51"/>
        <v>111250</v>
      </c>
      <c r="AN100" s="99">
        <v>103234</v>
      </c>
      <c r="AO100" s="95">
        <f>MAX(AN100, AM100)/'Weighting Factors'!$Q$5</f>
        <v>26.7</v>
      </c>
      <c r="AP100" s="95">
        <f>CN100/'Weighting Factors'!$Q$5</f>
        <v>0</v>
      </c>
      <c r="AQ100" s="95">
        <v>0</v>
      </c>
      <c r="AR100" s="95">
        <f>CS100/'Weighting Factors'!$Q$5</f>
        <v>0</v>
      </c>
      <c r="AS100" s="99">
        <v>388572</v>
      </c>
      <c r="AT100" s="95">
        <f>AS100/'Weighting Factors'!$Q$5</f>
        <v>93.3</v>
      </c>
      <c r="AU100" s="95">
        <f>IF(ISNA(VLOOKUP($CZ100,'Audit Values'!$A$2:$BU$353,2,FALSE)),'Preliminary SO66'!X99,VLOOKUP($CZ100,'Audit Values'!$A$2:$BU$353,47,FALSE))</f>
        <v>0</v>
      </c>
      <c r="AV100" s="95">
        <f t="shared" si="52"/>
        <v>605.29999999999995</v>
      </c>
      <c r="AW100" s="95">
        <f t="shared" si="53"/>
        <v>512</v>
      </c>
      <c r="AX100" s="95">
        <f>IF(ISNA(VLOOKUP($CZ100,'Audit Values'!$A$2:$BU$353,2,FALSE)),'Preliminary SO66'!AA99,VLOOKUP($CZ100,'Audit Values'!$A$2:$BU$353,41,FALSE))</f>
        <v>0</v>
      </c>
      <c r="AY100" s="95">
        <f>IF(ISNA(VLOOKUP($CZ100,'Audit Values'!$A$2:$BU$353,2,FALSE)),'Preliminary SO66'!AB99,VLOOKUP($CZ100,'Audit Values'!$A$2:$BU$353,42,FALSE))</f>
        <v>0</v>
      </c>
      <c r="AZ100" s="114">
        <v>0</v>
      </c>
      <c r="BA100" s="99">
        <f>SUM(AX100*'Weighting Factors'!$T$10)+('2019 Legal Max'!AY100*'Weighting Factors'!$T$11)+('2019 Legal Max'!AZ100*'Weighting Factors'!$T$12)</f>
        <v>0</v>
      </c>
      <c r="BB100" s="158">
        <v>0</v>
      </c>
      <c r="BC100" s="88">
        <f>IF(ISNA(VLOOKUP($CZ100,'Audit Values'!$A$2:$BU$353,2,FALSE)),"",IF(AND('Weighting Factors'!H100&gt;0,VLOOKUP($CZ100,'Audit Values'!$A$2:$BU$353,51,FALSE)&lt;'Weighting Factors'!H100),'Weighting Factors'!H100,VLOOKUP($CZ100,'Audit Values'!$A$2:$BU$353,50,FALSE)))</f>
        <v>16</v>
      </c>
      <c r="BD100" s="88" t="str">
        <f>IF(ISNA(VLOOKUP($CZ100,'Audit Values'!$A$2:$BV$353,2,FALSE)),"",VLOOKUP($CZ100,'Audit Values'!$A$2:$BV$353,51,FALSE))</f>
        <v>A</v>
      </c>
      <c r="BE100" s="88" t="str">
        <f>IF('Weighting Factors'!H100="","",IF('Weighting Factors'!J100="Pending","PX","R"))</f>
        <v/>
      </c>
      <c r="BF100" s="97">
        <f>SUM((S100+T100+Y100+AA100+AE100+AH100+AJ100++AO100+AP100+AQ100+AU100+AR100)*'Weighting Factors'!$Q$5)+'2019 Legal Max'!BA100+'2019 Legal Max'!BB100</f>
        <v>2132480</v>
      </c>
      <c r="BG100" s="99">
        <f>SUM((AV100+AR100)*'Weighting Factors'!$Q$5)+BA100+'2019 Legal Max'!BB100</f>
        <v>2521075</v>
      </c>
      <c r="BH100" s="108">
        <f>IF('Weighting Factors'!H100&gt;0,'Weighting Factors'!H100,'Preliminary SO66'!AV99)</f>
        <v>2559393</v>
      </c>
      <c r="BI100" s="99">
        <f t="shared" si="77"/>
        <v>2521075</v>
      </c>
      <c r="BJ100" s="112"/>
      <c r="BK100" s="112">
        <f>'Weighting Factors'!F100</f>
        <v>0</v>
      </c>
      <c r="BL100" s="112">
        <f>'Weighting Factors'!E100</f>
        <v>0</v>
      </c>
      <c r="BM100" s="99">
        <f t="shared" si="54"/>
        <v>0</v>
      </c>
      <c r="BN100" s="99">
        <f t="shared" si="55"/>
        <v>2521075</v>
      </c>
      <c r="BO100" s="99">
        <f>SUM((S100+T100+Y100+AA100+AE100+AH100+AJ100++AO100+AP100+AQ100+AR100)*'Weighting Factors'!Q$12)+(MAX(AS100,'Weighting Factors'!B100))</f>
        <v>2687452</v>
      </c>
      <c r="BP100" s="122">
        <v>0.31</v>
      </c>
      <c r="BQ100" s="99">
        <f t="shared" si="56"/>
        <v>833110</v>
      </c>
      <c r="BR100" s="108">
        <v>845158</v>
      </c>
      <c r="BS100" s="99">
        <f t="shared" si="57"/>
        <v>833110</v>
      </c>
      <c r="BT100" s="167">
        <f t="shared" si="58"/>
        <v>0.31</v>
      </c>
      <c r="BU100" s="95">
        <f t="shared" si="59"/>
        <v>0</v>
      </c>
      <c r="BV100" s="87" t="b">
        <f t="shared" si="60"/>
        <v>1</v>
      </c>
      <c r="BW100" s="117">
        <f t="shared" si="61"/>
        <v>1926.173</v>
      </c>
      <c r="BX100" s="116">
        <f t="shared" si="62"/>
        <v>0.48551100000000003</v>
      </c>
      <c r="BY100" s="95">
        <f t="shared" si="63"/>
        <v>145.4</v>
      </c>
      <c r="BZ100" s="87" t="b">
        <f t="shared" si="64"/>
        <v>0</v>
      </c>
      <c r="CA100" s="87">
        <f t="shared" si="65"/>
        <v>0</v>
      </c>
      <c r="CB100" s="116">
        <f t="shared" si="66"/>
        <v>0</v>
      </c>
      <c r="CC100" s="95">
        <f t="shared" si="67"/>
        <v>0</v>
      </c>
      <c r="CD100" s="95">
        <f t="shared" si="68"/>
        <v>0</v>
      </c>
      <c r="CE100" s="98">
        <v>400.8</v>
      </c>
      <c r="CF100" s="250">
        <f t="shared" si="69"/>
        <v>0.222</v>
      </c>
      <c r="CG100" s="274">
        <f>IF(CF100&lt;0.06,1,IF(CF100&gt;=18.29,52,MATCH(CF100-0.001,'Weighting Factors'!$Y$5:$Y$156)+1))</f>
        <v>17</v>
      </c>
      <c r="CH100" s="243">
        <f>VLOOKUP(CG100, 'Weighting Factors'!$W$5:$Z$56,4)</f>
        <v>1250</v>
      </c>
      <c r="CI100" s="118">
        <f>('Weighting Factors'!$Q$5/'Weighting Factors'!$Q$14)</f>
        <v>1</v>
      </c>
      <c r="CJ100" s="245">
        <f t="shared" si="70"/>
        <v>111250</v>
      </c>
      <c r="CK100" s="245">
        <f>CJ100*'Weighting Factors'!$S$7</f>
        <v>111250</v>
      </c>
      <c r="CL100" s="245">
        <f t="shared" si="71"/>
        <v>111250</v>
      </c>
      <c r="CM100" s="95">
        <f>AM100/'Weighting Factors'!$Q$5</f>
        <v>26.7</v>
      </c>
      <c r="CN100" s="148">
        <v>0</v>
      </c>
      <c r="CO100" s="148">
        <v>0</v>
      </c>
      <c r="CP100" s="149">
        <v>0</v>
      </c>
      <c r="CQ100" s="151">
        <v>0</v>
      </c>
      <c r="CR100" s="99">
        <f>SUM((AV100*'Weighting Factors'!$Q$5)+'2019 Legal Max'!BA100)*CQ100</f>
        <v>0</v>
      </c>
      <c r="CS100" s="99">
        <f t="shared" si="72"/>
        <v>0</v>
      </c>
      <c r="CT100" s="106">
        <f t="shared" si="73"/>
        <v>0.2286</v>
      </c>
      <c r="CU100" s="95">
        <f t="shared" si="74"/>
        <v>0</v>
      </c>
      <c r="CV100" s="95">
        <f t="shared" si="75"/>
        <v>0</v>
      </c>
      <c r="CW100" s="95">
        <f t="shared" si="76"/>
        <v>605.29999999999995</v>
      </c>
      <c r="CX100" s="99">
        <f>'LOB Transfers'!G99</f>
        <v>48237</v>
      </c>
      <c r="CY100" s="99">
        <f>'LOB Transfers'!J99</f>
        <v>2666</v>
      </c>
      <c r="CZ100" s="87" t="s">
        <v>292</v>
      </c>
    </row>
    <row r="101" spans="1:104" ht="15" customHeight="1">
      <c r="A101" s="88">
        <v>294</v>
      </c>
      <c r="B101" s="87" t="s">
        <v>44</v>
      </c>
      <c r="C101" s="87" t="s">
        <v>614</v>
      </c>
      <c r="D101" s="95">
        <v>310.5</v>
      </c>
      <c r="E101" s="95">
        <v>0</v>
      </c>
      <c r="F101" s="95">
        <f t="shared" si="43"/>
        <v>310.5</v>
      </c>
      <c r="G101" s="95">
        <v>336</v>
      </c>
      <c r="H101" s="95">
        <v>0</v>
      </c>
      <c r="I101" s="95">
        <f t="shared" si="44"/>
        <v>336</v>
      </c>
      <c r="J101" s="95">
        <v>341.4</v>
      </c>
      <c r="K101" s="95">
        <v>0</v>
      </c>
      <c r="L101" s="95">
        <f t="shared" si="45"/>
        <v>341.4</v>
      </c>
      <c r="M101" s="95">
        <f>IF(ISNA(VLOOKUP($CZ101,'Audit Values'!$A$2:$BW$365,2,FALSE)),'Preliminary SO66'!C100,VLOOKUP($CZ101,'Audit Values'!$A$2:$BW$365,73,FALSE))</f>
        <v>336.7</v>
      </c>
      <c r="N101" s="95">
        <f>IF(ISNA(VLOOKUP($CZ101,'Audit Values'!$A$2:$BW$365,2,FALSE)),'Preliminary SO66'!F100,VLOOKUP($CZ101,'Audit Values'!$A$2:$BW$365,4,FALSE))</f>
        <v>0</v>
      </c>
      <c r="O101" s="95">
        <f t="shared" si="46"/>
        <v>336.7</v>
      </c>
      <c r="P101" s="95">
        <f>IF('Military Provision'!J102="YES", MAX('2019 Legal Max'!L101,'2019 Legal Max'!I101,AVERAGE('2019 Legal Max'!F101,'2019 Legal Max'!I101,'2019 Legal Max'!L101)), MAX(L101, I101))</f>
        <v>341.4</v>
      </c>
      <c r="Q101" s="95">
        <f>IF(ISNA(VLOOKUP($CZ101,'Audit Values'!$A$2:$BU$353,2,FALSE)),'Preliminary SO66'!AL100,VLOOKUP($CZ101,'Audit Values'!$A$2:$BU$3955,58,FALSE))</f>
        <v>6</v>
      </c>
      <c r="R101" s="95">
        <v>0</v>
      </c>
      <c r="S101" s="95">
        <f t="shared" si="78"/>
        <v>347.4</v>
      </c>
      <c r="T101" s="95">
        <f t="shared" si="47"/>
        <v>162.6</v>
      </c>
      <c r="U101" s="95">
        <f>IF(ISNA(VLOOKUP($CZ101,'Audit Values'!$A$2:$BW$317,2,FALSE)),'Preliminary SO66'!AM100,VLOOKUP($CZ101,'Audit Values'!$A$2:$BW$317,62,FALSE))</f>
        <v>0</v>
      </c>
      <c r="V101" s="95">
        <f>(U101/6)*'Weighting Factors'!$Q$7</f>
        <v>0</v>
      </c>
      <c r="W101" s="132">
        <f>IF(ISNA(VLOOKUP($CZ101,'Audit Values'!$A$2:$BW$353,2,FALSE)),'Preliminary SO66'!AN100,VLOOKUP($CZ101,'Audit Values'!$A$2:$BW$353,61,FALSE))</f>
        <v>0</v>
      </c>
      <c r="X101" s="95">
        <f>W101*'Weighting Factors'!$Q$8</f>
        <v>0</v>
      </c>
      <c r="Y101" s="95">
        <f t="shared" si="48"/>
        <v>0</v>
      </c>
      <c r="Z101" s="276">
        <f>IF(ISNA(VLOOKUP($CZ101,'Audit Values'!$A$2:$BW$317,2,FALSE)),'Preliminary SO66'!AO100,VLOOKUP($CZ101,'Audit Values'!$A$2:$BW$317,60,FALSE))</f>
        <v>52.3</v>
      </c>
      <c r="AA101" s="95">
        <f>Z101/6*'Weighting Factors'!$Q$6</f>
        <v>4.4000000000000004</v>
      </c>
      <c r="AB101" s="99">
        <f>IF(ISNA(VLOOKUP($CZ101,'Audit Values'!$A$2:$BU$353,2,FALSE)),'Preliminary SO66'!AS100,VLOOKUP($CZ101,'Audit Values'!$A$2:$BU$353,63,FALSE))</f>
        <v>354</v>
      </c>
      <c r="AC101" s="99">
        <v>0</v>
      </c>
      <c r="AD101" s="99">
        <f>IF(ISNA(VLOOKUP($CZ101,'Audit Values'!$A$2:$BU$353,2,FALSE)),'Preliminary SO66'!AP100,VLOOKUP($CZ101,'Audit Values'!$A$2:$BU$353,64,FALSE))</f>
        <v>110</v>
      </c>
      <c r="AE101" s="95">
        <f>IF(A101=207, AD101,MAX(AC101,AD101))*'Weighting Factors'!$Q$9</f>
        <v>53.2</v>
      </c>
      <c r="AF101" s="95">
        <f t="shared" si="49"/>
        <v>0</v>
      </c>
      <c r="AG101" s="95">
        <f>IF(ISNA(VLOOKUP($CZ101,'Audit Values'!$A$2:$BW$353,2,FALSE)),'Preliminary SO66'!AG100,VLOOKUP($CZ101,'Audit Values'!$A$2:$BW$353,70,FALSE))</f>
        <v>1.3</v>
      </c>
      <c r="AH101" s="95">
        <f t="shared" si="50"/>
        <v>1.3</v>
      </c>
      <c r="AI101" s="95">
        <f>IF(ISNA(VLOOKUP($CZ101,'Audit Values'!$A$2:$BU$353,2,FALSE)),'Preliminary SO66'!AQ100,VLOOKUP($CZ101,'Audit Values'!$A$2:$BU$353,65,FALSE))</f>
        <v>0</v>
      </c>
      <c r="AJ101" s="95">
        <f>AI101*'Weighting Factors'!$Q$10</f>
        <v>0</v>
      </c>
      <c r="AK101" s="95">
        <f>IF(ISNA(VLOOKUP($CZ101,'Audit Values'!$A$2:$BU$353,2,FALSE)),'Preliminary SO66'!AR100,VLOOKUP($CZ101,'Audit Values'!$A$2:$BU$353,66,FALSE))</f>
        <v>83</v>
      </c>
      <c r="AL101" s="95"/>
      <c r="AM101" s="99">
        <f t="shared" si="51"/>
        <v>120350</v>
      </c>
      <c r="AN101" s="99">
        <v>142139</v>
      </c>
      <c r="AO101" s="95">
        <f>MAX(AN101, AM101)/'Weighting Factors'!$Q$5</f>
        <v>34.1</v>
      </c>
      <c r="AP101" s="95">
        <f>CN101/'Weighting Factors'!$Q$5</f>
        <v>0</v>
      </c>
      <c r="AQ101" s="95">
        <v>0</v>
      </c>
      <c r="AR101" s="95">
        <f>CS101/'Weighting Factors'!$Q$5</f>
        <v>0</v>
      </c>
      <c r="AS101" s="99">
        <v>328879</v>
      </c>
      <c r="AT101" s="95">
        <f>AS101/'Weighting Factors'!$Q$5</f>
        <v>79</v>
      </c>
      <c r="AU101" s="95">
        <f>IF(ISNA(VLOOKUP($CZ101,'Audit Values'!$A$2:$BU$353,2,FALSE)),'Preliminary SO66'!X100,VLOOKUP($CZ101,'Audit Values'!$A$2:$BU$353,47,FALSE))</f>
        <v>0</v>
      </c>
      <c r="AV101" s="95">
        <f t="shared" si="52"/>
        <v>682</v>
      </c>
      <c r="AW101" s="95">
        <f t="shared" si="53"/>
        <v>603</v>
      </c>
      <c r="AX101" s="95">
        <f>IF(ISNA(VLOOKUP($CZ101,'Audit Values'!$A$2:$BU$353,2,FALSE)),'Preliminary SO66'!AA100,VLOOKUP($CZ101,'Audit Values'!$A$2:$BU$353,41,FALSE))</f>
        <v>0</v>
      </c>
      <c r="AY101" s="95">
        <f>IF(ISNA(VLOOKUP($CZ101,'Audit Values'!$A$2:$BU$353,2,FALSE)),'Preliminary SO66'!AB100,VLOOKUP($CZ101,'Audit Values'!$A$2:$BU$353,42,FALSE))</f>
        <v>0</v>
      </c>
      <c r="AZ101" s="114">
        <v>0</v>
      </c>
      <c r="BA101" s="99">
        <f>SUM(AX101*'Weighting Factors'!$T$10)+('2019 Legal Max'!AY101*'Weighting Factors'!$T$11)+('2019 Legal Max'!AZ101*'Weighting Factors'!$T$12)</f>
        <v>0</v>
      </c>
      <c r="BB101" s="158">
        <v>0</v>
      </c>
      <c r="BC101" s="88">
        <f>IF(ISNA(VLOOKUP($CZ101,'Audit Values'!$A$2:$BU$353,2,FALSE)),"",IF(AND('Weighting Factors'!H101&gt;0,VLOOKUP($CZ101,'Audit Values'!$A$2:$BU$353,51,FALSE)&lt;'Weighting Factors'!H101),'Weighting Factors'!H101,VLOOKUP($CZ101,'Audit Values'!$A$2:$BU$353,50,FALSE)))</f>
        <v>16</v>
      </c>
      <c r="BD101" s="88" t="str">
        <f>IF(ISNA(VLOOKUP($CZ101,'Audit Values'!$A$2:$BV$353,2,FALSE)),"",VLOOKUP($CZ101,'Audit Values'!$A$2:$BV$353,51,FALSE))</f>
        <v>A</v>
      </c>
      <c r="BE101" s="88" t="str">
        <f>IF('Weighting Factors'!H101="","",IF('Weighting Factors'!J101="Pending","PX","R"))</f>
        <v/>
      </c>
      <c r="BF101" s="97">
        <f>SUM((S101+T101+Y101+AA101+AE101+AH101+AJ101++AO101+AP101+AQ101+AU101+AR101)*'Weighting Factors'!$Q$5)+'2019 Legal Max'!BA101+'2019 Legal Max'!BB101</f>
        <v>2511495</v>
      </c>
      <c r="BG101" s="99">
        <f>SUM((AV101+AR101)*'Weighting Factors'!$Q$5)+BA101+'2019 Legal Max'!BB101</f>
        <v>2840530</v>
      </c>
      <c r="BH101" s="108">
        <f>IF('Weighting Factors'!H101&gt;0,'Weighting Factors'!H101,'Preliminary SO66'!AV100)</f>
        <v>2923830</v>
      </c>
      <c r="BI101" s="99">
        <f t="shared" si="77"/>
        <v>2840530</v>
      </c>
      <c r="BJ101" s="112"/>
      <c r="BK101" s="112">
        <f>'Weighting Factors'!F101</f>
        <v>0</v>
      </c>
      <c r="BL101" s="112">
        <f>'Weighting Factors'!E101</f>
        <v>0</v>
      </c>
      <c r="BM101" s="99">
        <f t="shared" si="54"/>
        <v>0</v>
      </c>
      <c r="BN101" s="99">
        <f t="shared" si="55"/>
        <v>2840530</v>
      </c>
      <c r="BO101" s="99">
        <f>SUM((S101+T101+Y101+AA101+AE101+AH101+AJ101++AO101+AP101+AQ101+AR101)*'Weighting Factors'!Q$12)+(MAX(AS101,'Weighting Factors'!B101))</f>
        <v>3043494</v>
      </c>
      <c r="BP101" s="122">
        <v>0.3</v>
      </c>
      <c r="BQ101" s="99">
        <f t="shared" si="56"/>
        <v>913048</v>
      </c>
      <c r="BR101" s="108">
        <v>936625</v>
      </c>
      <c r="BS101" s="99">
        <f t="shared" si="57"/>
        <v>913048</v>
      </c>
      <c r="BT101" s="167">
        <f t="shared" si="58"/>
        <v>0.3</v>
      </c>
      <c r="BU101" s="95">
        <f t="shared" si="59"/>
        <v>0</v>
      </c>
      <c r="BV101" s="87" t="b">
        <f t="shared" si="60"/>
        <v>0</v>
      </c>
      <c r="BW101" s="117">
        <f t="shared" si="61"/>
        <v>0</v>
      </c>
      <c r="BX101" s="116">
        <f t="shared" si="62"/>
        <v>0</v>
      </c>
      <c r="BY101" s="95">
        <f t="shared" si="63"/>
        <v>0</v>
      </c>
      <c r="BZ101" s="87" t="b">
        <f t="shared" si="64"/>
        <v>1</v>
      </c>
      <c r="CA101" s="87">
        <f t="shared" si="65"/>
        <v>58.657499999999999</v>
      </c>
      <c r="CB101" s="116">
        <f t="shared" si="66"/>
        <v>0.468082</v>
      </c>
      <c r="CC101" s="95">
        <f t="shared" si="67"/>
        <v>162.6</v>
      </c>
      <c r="CD101" s="95">
        <f t="shared" si="68"/>
        <v>0</v>
      </c>
      <c r="CE101" s="98">
        <v>828</v>
      </c>
      <c r="CF101" s="250">
        <f t="shared" si="69"/>
        <v>0.1</v>
      </c>
      <c r="CG101" s="274">
        <f>IF(CF101&lt;0.06,1,IF(CF101&gt;=18.29,52,MATCH(CF101-0.001,'Weighting Factors'!$Y$5:$Y$156)+1))</f>
        <v>6</v>
      </c>
      <c r="CH101" s="243">
        <f>VLOOKUP(CG101, 'Weighting Factors'!$W$5:$Z$56,4)</f>
        <v>1450</v>
      </c>
      <c r="CI101" s="118">
        <f>('Weighting Factors'!$Q$5/'Weighting Factors'!$Q$14)</f>
        <v>1</v>
      </c>
      <c r="CJ101" s="245">
        <f t="shared" si="70"/>
        <v>120350</v>
      </c>
      <c r="CK101" s="245">
        <f>CJ101*'Weighting Factors'!$S$7</f>
        <v>120350</v>
      </c>
      <c r="CL101" s="245">
        <f t="shared" si="71"/>
        <v>120350</v>
      </c>
      <c r="CM101" s="95">
        <f>AM101/'Weighting Factors'!$Q$5</f>
        <v>28.9</v>
      </c>
      <c r="CN101" s="148">
        <v>0</v>
      </c>
      <c r="CO101" s="148">
        <v>0</v>
      </c>
      <c r="CP101" s="149">
        <v>0</v>
      </c>
      <c r="CQ101" s="151">
        <v>0</v>
      </c>
      <c r="CR101" s="99">
        <f>SUM((AV101*'Weighting Factors'!$Q$5)+'2019 Legal Max'!BA101)*CQ101</f>
        <v>0</v>
      </c>
      <c r="CS101" s="99">
        <f t="shared" si="72"/>
        <v>0</v>
      </c>
      <c r="CT101" s="106">
        <f t="shared" si="73"/>
        <v>0.31069999999999998</v>
      </c>
      <c r="CU101" s="95">
        <f t="shared" si="74"/>
        <v>0</v>
      </c>
      <c r="CV101" s="95">
        <f t="shared" si="75"/>
        <v>0</v>
      </c>
      <c r="CW101" s="95">
        <f t="shared" si="76"/>
        <v>682</v>
      </c>
      <c r="CX101" s="99">
        <f>'LOB Transfers'!G100</f>
        <v>71857</v>
      </c>
      <c r="CY101" s="99">
        <f>'LOB Transfers'!J100</f>
        <v>0</v>
      </c>
      <c r="CZ101" s="87" t="s">
        <v>293</v>
      </c>
    </row>
    <row r="102" spans="1:104" ht="15" customHeight="1">
      <c r="A102" s="88">
        <v>297</v>
      </c>
      <c r="B102" s="87" t="s">
        <v>6</v>
      </c>
      <c r="C102" s="87" t="s">
        <v>615</v>
      </c>
      <c r="D102" s="95">
        <v>270</v>
      </c>
      <c r="E102" s="95">
        <v>0</v>
      </c>
      <c r="F102" s="95">
        <f t="shared" si="43"/>
        <v>270</v>
      </c>
      <c r="G102" s="95">
        <v>281.5</v>
      </c>
      <c r="H102" s="95">
        <v>0</v>
      </c>
      <c r="I102" s="95">
        <f t="shared" si="44"/>
        <v>281.5</v>
      </c>
      <c r="J102" s="95">
        <v>278</v>
      </c>
      <c r="K102" s="95">
        <v>0</v>
      </c>
      <c r="L102" s="95">
        <f t="shared" si="45"/>
        <v>278</v>
      </c>
      <c r="M102" s="95">
        <f>IF(ISNA(VLOOKUP($CZ102,'Audit Values'!$A$2:$BW$365,2,FALSE)),'Preliminary SO66'!C101,VLOOKUP($CZ102,'Audit Values'!$A$2:$BW$365,73,FALSE))</f>
        <v>261.5</v>
      </c>
      <c r="N102" s="95">
        <f>IF(ISNA(VLOOKUP($CZ102,'Audit Values'!$A$2:$BW$365,2,FALSE)),'Preliminary SO66'!F101,VLOOKUP($CZ102,'Audit Values'!$A$2:$BW$365,4,FALSE))</f>
        <v>0</v>
      </c>
      <c r="O102" s="95">
        <f t="shared" si="46"/>
        <v>261.5</v>
      </c>
      <c r="P102" s="95">
        <f>IF('Military Provision'!J103="YES", MAX('2019 Legal Max'!L102,'2019 Legal Max'!I102,AVERAGE('2019 Legal Max'!F102,'2019 Legal Max'!I102,'2019 Legal Max'!L102)), MAX(L102, I102))</f>
        <v>281.5</v>
      </c>
      <c r="Q102" s="95">
        <f>IF(ISNA(VLOOKUP($CZ102,'Audit Values'!$A$2:$BU$353,2,FALSE)),'Preliminary SO66'!AL101,VLOOKUP($CZ102,'Audit Values'!$A$2:$BU$3955,58,FALSE))</f>
        <v>0</v>
      </c>
      <c r="R102" s="95">
        <v>0</v>
      </c>
      <c r="S102" s="95">
        <f t="shared" si="78"/>
        <v>281.5</v>
      </c>
      <c r="T102" s="95">
        <f t="shared" si="47"/>
        <v>150.1</v>
      </c>
      <c r="U102" s="95">
        <f>IF(ISNA(VLOOKUP($CZ102,'Audit Values'!$A$2:$BW$317,2,FALSE)),'Preliminary SO66'!AM101,VLOOKUP($CZ102,'Audit Values'!$A$2:$BW$317,62,FALSE))</f>
        <v>13.4</v>
      </c>
      <c r="V102" s="95">
        <f>(U102/6)*'Weighting Factors'!$Q$7</f>
        <v>0.9</v>
      </c>
      <c r="W102" s="132">
        <f>IF(ISNA(VLOOKUP($CZ102,'Audit Values'!$A$2:$BW$353,2,FALSE)),'Preliminary SO66'!AN101,VLOOKUP($CZ102,'Audit Values'!$A$2:$BW$353,61,FALSE))</f>
        <v>20</v>
      </c>
      <c r="X102" s="95">
        <f>W102*'Weighting Factors'!$Q$8</f>
        <v>3.7</v>
      </c>
      <c r="Y102" s="95">
        <f t="shared" si="48"/>
        <v>3.7</v>
      </c>
      <c r="Z102" s="276">
        <f>IF(ISNA(VLOOKUP($CZ102,'Audit Values'!$A$2:$BW$317,2,FALSE)),'Preliminary SO66'!AO101,VLOOKUP($CZ102,'Audit Values'!$A$2:$BW$317,60,FALSE))</f>
        <v>79.5</v>
      </c>
      <c r="AA102" s="95">
        <f>Z102/6*'Weighting Factors'!$Q$6</f>
        <v>6.6</v>
      </c>
      <c r="AB102" s="99">
        <f>IF(ISNA(VLOOKUP($CZ102,'Audit Values'!$A$2:$BU$353,2,FALSE)),'Preliminary SO66'!AS101,VLOOKUP($CZ102,'Audit Values'!$A$2:$BU$353,63,FALSE))</f>
        <v>264</v>
      </c>
      <c r="AC102" s="99">
        <v>0</v>
      </c>
      <c r="AD102" s="99">
        <f>IF(ISNA(VLOOKUP($CZ102,'Audit Values'!$A$2:$BU$353,2,FALSE)),'Preliminary SO66'!AP101,VLOOKUP($CZ102,'Audit Values'!$A$2:$BU$353,64,FALSE))</f>
        <v>79</v>
      </c>
      <c r="AE102" s="95">
        <f>IF(A102=207, AD102,MAX(AC102,AD102))*'Weighting Factors'!$Q$9</f>
        <v>38.200000000000003</v>
      </c>
      <c r="AF102" s="95">
        <f t="shared" si="49"/>
        <v>0</v>
      </c>
      <c r="AG102" s="95">
        <f>IF(ISNA(VLOOKUP($CZ102,'Audit Values'!$A$2:$BW$353,2,FALSE)),'Preliminary SO66'!AG101,VLOOKUP($CZ102,'Audit Values'!$A$2:$BW$353,70,FALSE))</f>
        <v>0</v>
      </c>
      <c r="AH102" s="95">
        <f t="shared" si="50"/>
        <v>0</v>
      </c>
      <c r="AI102" s="95">
        <f>IF(ISNA(VLOOKUP($CZ102,'Audit Values'!$A$2:$BU$353,2,FALSE)),'Preliminary SO66'!AQ101,VLOOKUP($CZ102,'Audit Values'!$A$2:$BU$353,65,FALSE))</f>
        <v>0</v>
      </c>
      <c r="AJ102" s="95">
        <f>AI102*'Weighting Factors'!$Q$10</f>
        <v>0</v>
      </c>
      <c r="AK102" s="95">
        <f>IF(ISNA(VLOOKUP($CZ102,'Audit Values'!$A$2:$BU$353,2,FALSE)),'Preliminary SO66'!AR101,VLOOKUP($CZ102,'Audit Values'!$A$2:$BU$353,66,FALSE))</f>
        <v>63</v>
      </c>
      <c r="AL102" s="95"/>
      <c r="AM102" s="99">
        <f t="shared" si="51"/>
        <v>93240</v>
      </c>
      <c r="AN102" s="99">
        <v>106315</v>
      </c>
      <c r="AO102" s="95">
        <f>MAX(AN102, AM102)/'Weighting Factors'!$Q$5</f>
        <v>25.5</v>
      </c>
      <c r="AP102" s="95">
        <f>CN102/'Weighting Factors'!$Q$5</f>
        <v>0</v>
      </c>
      <c r="AQ102" s="95">
        <v>0</v>
      </c>
      <c r="AR102" s="95">
        <f>CS102/'Weighting Factors'!$Q$5</f>
        <v>0</v>
      </c>
      <c r="AS102" s="99">
        <v>237615</v>
      </c>
      <c r="AT102" s="95">
        <f>AS102/'Weighting Factors'!$Q$5</f>
        <v>57.1</v>
      </c>
      <c r="AU102" s="95">
        <f>IF(ISNA(VLOOKUP($CZ102,'Audit Values'!$A$2:$BU$353,2,FALSE)),'Preliminary SO66'!X101,VLOOKUP($CZ102,'Audit Values'!$A$2:$BU$353,47,FALSE))</f>
        <v>0</v>
      </c>
      <c r="AV102" s="95">
        <f t="shared" si="52"/>
        <v>562.70000000000005</v>
      </c>
      <c r="AW102" s="95">
        <f t="shared" si="53"/>
        <v>505.6</v>
      </c>
      <c r="AX102" s="95">
        <f>IF(ISNA(VLOOKUP($CZ102,'Audit Values'!$A$2:$BU$353,2,FALSE)),'Preliminary SO66'!AA101,VLOOKUP($CZ102,'Audit Values'!$A$2:$BU$353,41,FALSE))</f>
        <v>0</v>
      </c>
      <c r="AY102" s="95">
        <f>IF(ISNA(VLOOKUP($CZ102,'Audit Values'!$A$2:$BU$353,2,FALSE)),'Preliminary SO66'!AB101,VLOOKUP($CZ102,'Audit Values'!$A$2:$BU$353,42,FALSE))</f>
        <v>0</v>
      </c>
      <c r="AZ102" s="114">
        <v>0</v>
      </c>
      <c r="BA102" s="99">
        <f>SUM(AX102*'Weighting Factors'!$T$10)+('2019 Legal Max'!AY102*'Weighting Factors'!$T$11)+('2019 Legal Max'!AZ102*'Weighting Factors'!$T$12)</f>
        <v>0</v>
      </c>
      <c r="BB102" s="158">
        <v>0</v>
      </c>
      <c r="BC102" s="88">
        <f>IF(ISNA(VLOOKUP($CZ102,'Audit Values'!$A$2:$BU$353,2,FALSE)),"",IF(AND('Weighting Factors'!H102&gt;0,VLOOKUP($CZ102,'Audit Values'!$A$2:$BU$353,51,FALSE)&lt;'Weighting Factors'!H102),'Weighting Factors'!H102,VLOOKUP($CZ102,'Audit Values'!$A$2:$BU$353,50,FALSE)))</f>
        <v>17</v>
      </c>
      <c r="BD102" s="88" t="str">
        <f>IF(ISNA(VLOOKUP($CZ102,'Audit Values'!$A$2:$BV$353,2,FALSE)),"",VLOOKUP($CZ102,'Audit Values'!$A$2:$BV$353,51,FALSE))</f>
        <v>A</v>
      </c>
      <c r="BE102" s="88" t="str">
        <f>IF('Weighting Factors'!H102="","",IF('Weighting Factors'!J102="Pending","PX","R"))</f>
        <v/>
      </c>
      <c r="BF102" s="97">
        <f>SUM((S102+T102+Y102+AA102+AE102+AH102+AJ102++AO102+AP102+AQ102+AU102+AR102)*'Weighting Factors'!$Q$5)+'2019 Legal Max'!BA102+'2019 Legal Max'!BB102</f>
        <v>2105824</v>
      </c>
      <c r="BG102" s="99">
        <f>SUM((AV102+AR102)*'Weighting Factors'!$Q$5)+BA102+'2019 Legal Max'!BB102</f>
        <v>2343646</v>
      </c>
      <c r="BH102" s="108">
        <f>IF('Weighting Factors'!H102&gt;0,'Weighting Factors'!H102,'Preliminary SO66'!AV101)</f>
        <v>2488171</v>
      </c>
      <c r="BI102" s="99">
        <f t="shared" si="77"/>
        <v>2343646</v>
      </c>
      <c r="BJ102" s="112"/>
      <c r="BK102" s="112">
        <f>'Weighting Factors'!F102</f>
        <v>0</v>
      </c>
      <c r="BL102" s="112">
        <f>'Weighting Factors'!E102</f>
        <v>0</v>
      </c>
      <c r="BM102" s="99">
        <f t="shared" si="54"/>
        <v>0</v>
      </c>
      <c r="BN102" s="99">
        <f t="shared" si="55"/>
        <v>2343646</v>
      </c>
      <c r="BO102" s="99">
        <f>SUM((S102+T102+Y102+AA102+AE102+AH102+AJ102++AO102+AP102+AQ102+AR102)*'Weighting Factors'!Q$12)+(MAX(AS102,'Weighting Factors'!B102))</f>
        <v>2507759</v>
      </c>
      <c r="BP102" s="122">
        <v>0.3</v>
      </c>
      <c r="BQ102" s="99">
        <f t="shared" si="56"/>
        <v>752328</v>
      </c>
      <c r="BR102" s="108">
        <v>796436</v>
      </c>
      <c r="BS102" s="99">
        <f t="shared" si="57"/>
        <v>752328</v>
      </c>
      <c r="BT102" s="167">
        <f t="shared" si="58"/>
        <v>0.3</v>
      </c>
      <c r="BU102" s="95">
        <f t="shared" si="59"/>
        <v>0</v>
      </c>
      <c r="BV102" s="87" t="b">
        <f t="shared" si="60"/>
        <v>1</v>
      </c>
      <c r="BW102" s="117">
        <f t="shared" si="61"/>
        <v>1752.383</v>
      </c>
      <c r="BX102" s="116">
        <f t="shared" si="62"/>
        <v>0.53322499999999995</v>
      </c>
      <c r="BY102" s="95">
        <f t="shared" si="63"/>
        <v>150.1</v>
      </c>
      <c r="BZ102" s="87" t="b">
        <f t="shared" si="64"/>
        <v>0</v>
      </c>
      <c r="CA102" s="87">
        <f t="shared" si="65"/>
        <v>0</v>
      </c>
      <c r="CB102" s="116">
        <f t="shared" si="66"/>
        <v>0</v>
      </c>
      <c r="CC102" s="95">
        <f t="shared" si="67"/>
        <v>0</v>
      </c>
      <c r="CD102" s="95">
        <f t="shared" si="68"/>
        <v>0</v>
      </c>
      <c r="CE102" s="98">
        <v>640</v>
      </c>
      <c r="CF102" s="250">
        <f t="shared" si="69"/>
        <v>9.8000000000000004E-2</v>
      </c>
      <c r="CG102" s="274">
        <f>IF(CF102&lt;0.06,1,IF(CF102&gt;=18.29,52,MATCH(CF102-0.001,'Weighting Factors'!$Y$5:$Y$156)+1))</f>
        <v>5</v>
      </c>
      <c r="CH102" s="243">
        <f>VLOOKUP(CG102, 'Weighting Factors'!$W$5:$Z$56,4)</f>
        <v>1480</v>
      </c>
      <c r="CI102" s="118">
        <f>('Weighting Factors'!$Q$5/'Weighting Factors'!$Q$14)</f>
        <v>1</v>
      </c>
      <c r="CJ102" s="245">
        <f t="shared" si="70"/>
        <v>93240</v>
      </c>
      <c r="CK102" s="245">
        <f>CJ102*'Weighting Factors'!$S$7</f>
        <v>93240</v>
      </c>
      <c r="CL102" s="245">
        <f t="shared" si="71"/>
        <v>93240</v>
      </c>
      <c r="CM102" s="95">
        <f>AM102/'Weighting Factors'!$Q$5</f>
        <v>22.4</v>
      </c>
      <c r="CN102" s="148">
        <v>0</v>
      </c>
      <c r="CO102" s="148">
        <v>0</v>
      </c>
      <c r="CP102" s="149">
        <v>0</v>
      </c>
      <c r="CQ102" s="151">
        <v>0</v>
      </c>
      <c r="CR102" s="99">
        <f>SUM((AV102*'Weighting Factors'!$Q$5)+'2019 Legal Max'!BA102)*CQ102</f>
        <v>0</v>
      </c>
      <c r="CS102" s="99">
        <f t="shared" si="72"/>
        <v>0</v>
      </c>
      <c r="CT102" s="106">
        <f t="shared" si="73"/>
        <v>0.29920000000000002</v>
      </c>
      <c r="CU102" s="95">
        <f t="shared" si="74"/>
        <v>0</v>
      </c>
      <c r="CV102" s="95">
        <f t="shared" si="75"/>
        <v>0</v>
      </c>
      <c r="CW102" s="95">
        <f t="shared" si="76"/>
        <v>562.70000000000005</v>
      </c>
      <c r="CX102" s="99">
        <f>'LOB Transfers'!G101</f>
        <v>51083</v>
      </c>
      <c r="CY102" s="99">
        <f>'LOB Transfers'!J101</f>
        <v>4965</v>
      </c>
      <c r="CZ102" s="87" t="s">
        <v>294</v>
      </c>
    </row>
    <row r="103" spans="1:104" ht="15" customHeight="1">
      <c r="A103" s="88">
        <v>298</v>
      </c>
      <c r="B103" s="87" t="s">
        <v>45</v>
      </c>
      <c r="C103" s="87" t="s">
        <v>616</v>
      </c>
      <c r="D103" s="95">
        <v>339.5</v>
      </c>
      <c r="E103" s="95">
        <v>0</v>
      </c>
      <c r="F103" s="95">
        <f t="shared" si="43"/>
        <v>339.5</v>
      </c>
      <c r="G103" s="95">
        <v>335.5</v>
      </c>
      <c r="H103" s="95">
        <v>0</v>
      </c>
      <c r="I103" s="95">
        <f t="shared" si="44"/>
        <v>335.5</v>
      </c>
      <c r="J103" s="95">
        <v>338</v>
      </c>
      <c r="K103" s="95">
        <v>0</v>
      </c>
      <c r="L103" s="95">
        <f t="shared" si="45"/>
        <v>338</v>
      </c>
      <c r="M103" s="95">
        <f>IF(ISNA(VLOOKUP($CZ103,'Audit Values'!$A$2:$BW$365,2,FALSE)),'Preliminary SO66'!C102,VLOOKUP($CZ103,'Audit Values'!$A$2:$BW$365,73,FALSE))</f>
        <v>330.3</v>
      </c>
      <c r="N103" s="95">
        <f>IF(ISNA(VLOOKUP($CZ103,'Audit Values'!$A$2:$BW$365,2,FALSE)),'Preliminary SO66'!F102,VLOOKUP($CZ103,'Audit Values'!$A$2:$BW$365,4,FALSE))</f>
        <v>0</v>
      </c>
      <c r="O103" s="95">
        <f t="shared" si="46"/>
        <v>330.3</v>
      </c>
      <c r="P103" s="95">
        <f>IF('Military Provision'!J104="YES", MAX('2019 Legal Max'!L103,'2019 Legal Max'!I103,AVERAGE('2019 Legal Max'!F103,'2019 Legal Max'!I103,'2019 Legal Max'!L103)), MAX(L103, I103))</f>
        <v>338</v>
      </c>
      <c r="Q103" s="95">
        <f>IF(ISNA(VLOOKUP($CZ103,'Audit Values'!$A$2:$BU$353,2,FALSE)),'Preliminary SO66'!AL102,VLOOKUP($CZ103,'Audit Values'!$A$2:$BU$3955,58,FALSE))</f>
        <v>5.5</v>
      </c>
      <c r="R103" s="95">
        <v>0</v>
      </c>
      <c r="S103" s="95">
        <f t="shared" si="78"/>
        <v>343.5</v>
      </c>
      <c r="T103" s="95">
        <f t="shared" si="47"/>
        <v>161.19999999999999</v>
      </c>
      <c r="U103" s="95">
        <f>IF(ISNA(VLOOKUP($CZ103,'Audit Values'!$A$2:$BW$317,2,FALSE)),'Preliminary SO66'!AM102,VLOOKUP($CZ103,'Audit Values'!$A$2:$BW$317,62,FALSE))</f>
        <v>1.3</v>
      </c>
      <c r="V103" s="95">
        <f>(U103/6)*'Weighting Factors'!$Q$7</f>
        <v>0.1</v>
      </c>
      <c r="W103" s="132">
        <f>IF(ISNA(VLOOKUP($CZ103,'Audit Values'!$A$2:$BW$353,2,FALSE)),'Preliminary SO66'!AN102,VLOOKUP($CZ103,'Audit Values'!$A$2:$BW$353,61,FALSE))</f>
        <v>2</v>
      </c>
      <c r="X103" s="95">
        <f>W103*'Weighting Factors'!$Q$8</f>
        <v>0.4</v>
      </c>
      <c r="Y103" s="95">
        <f t="shared" si="48"/>
        <v>0.4</v>
      </c>
      <c r="Z103" s="276">
        <f>IF(ISNA(VLOOKUP($CZ103,'Audit Values'!$A$2:$BW$317,2,FALSE)),'Preliminary SO66'!AO102,VLOOKUP($CZ103,'Audit Values'!$A$2:$BW$317,60,FALSE))</f>
        <v>75.099999999999994</v>
      </c>
      <c r="AA103" s="95">
        <f>Z103/6*'Weighting Factors'!$Q$6</f>
        <v>6.3</v>
      </c>
      <c r="AB103" s="99">
        <f>IF(ISNA(VLOOKUP($CZ103,'Audit Values'!$A$2:$BU$353,2,FALSE)),'Preliminary SO66'!AS102,VLOOKUP($CZ103,'Audit Values'!$A$2:$BU$353,63,FALSE))</f>
        <v>343</v>
      </c>
      <c r="AC103" s="99">
        <v>0</v>
      </c>
      <c r="AD103" s="99">
        <f>IF(ISNA(VLOOKUP($CZ103,'Audit Values'!$A$2:$BU$353,2,FALSE)),'Preliminary SO66'!AP102,VLOOKUP($CZ103,'Audit Values'!$A$2:$BU$353,64,FALSE))</f>
        <v>126</v>
      </c>
      <c r="AE103" s="95">
        <f>IF(A103=207, AD103,MAX(AC103,AD103))*'Weighting Factors'!$Q$9</f>
        <v>61</v>
      </c>
      <c r="AF103" s="95">
        <f t="shared" si="49"/>
        <v>1.5</v>
      </c>
      <c r="AG103" s="95">
        <f>IF(ISNA(VLOOKUP($CZ103,'Audit Values'!$A$2:$BW$353,2,FALSE)),'Preliminary SO66'!AG102,VLOOKUP($CZ103,'Audit Values'!$A$2:$BW$353,70,FALSE))</f>
        <v>1.7</v>
      </c>
      <c r="AH103" s="95">
        <f t="shared" si="50"/>
        <v>1.7</v>
      </c>
      <c r="AI103" s="95">
        <f>IF(ISNA(VLOOKUP($CZ103,'Audit Values'!$A$2:$BU$353,2,FALSE)),'Preliminary SO66'!AQ102,VLOOKUP($CZ103,'Audit Values'!$A$2:$BU$353,65,FALSE))</f>
        <v>0</v>
      </c>
      <c r="AJ103" s="95">
        <f>AI103*'Weighting Factors'!$Q$10</f>
        <v>0</v>
      </c>
      <c r="AK103" s="95">
        <f>IF(ISNA(VLOOKUP($CZ103,'Audit Values'!$A$2:$BU$353,2,FALSE)),'Preliminary SO66'!AR102,VLOOKUP($CZ103,'Audit Values'!$A$2:$BU$353,66,FALSE))</f>
        <v>122</v>
      </c>
      <c r="AL103" s="95"/>
      <c r="AM103" s="99">
        <f t="shared" si="51"/>
        <v>147620</v>
      </c>
      <c r="AN103" s="99">
        <v>181429</v>
      </c>
      <c r="AO103" s="95">
        <f>MAX(AN103, AM103)/'Weighting Factors'!$Q$5</f>
        <v>43.6</v>
      </c>
      <c r="AP103" s="95">
        <f>CN103/'Weighting Factors'!$Q$5</f>
        <v>0</v>
      </c>
      <c r="AQ103" s="95">
        <v>0</v>
      </c>
      <c r="AR103" s="95">
        <f>CS103/'Weighting Factors'!$Q$5</f>
        <v>0</v>
      </c>
      <c r="AS103" s="99">
        <v>418776</v>
      </c>
      <c r="AT103" s="95">
        <f>AS103/'Weighting Factors'!$Q$5</f>
        <v>100.5</v>
      </c>
      <c r="AU103" s="95">
        <f>IF(ISNA(VLOOKUP($CZ103,'Audit Values'!$A$2:$BU$353,2,FALSE)),'Preliminary SO66'!X102,VLOOKUP($CZ103,'Audit Values'!$A$2:$BU$353,47,FALSE))</f>
        <v>0</v>
      </c>
      <c r="AV103" s="95">
        <f t="shared" si="52"/>
        <v>718.2</v>
      </c>
      <c r="AW103" s="95">
        <f t="shared" si="53"/>
        <v>617.70000000000005</v>
      </c>
      <c r="AX103" s="95">
        <f>IF(ISNA(VLOOKUP($CZ103,'Audit Values'!$A$2:$BU$353,2,FALSE)),'Preliminary SO66'!AA102,VLOOKUP($CZ103,'Audit Values'!$A$2:$BU$353,41,FALSE))</f>
        <v>0</v>
      </c>
      <c r="AY103" s="95">
        <f>IF(ISNA(VLOOKUP($CZ103,'Audit Values'!$A$2:$BU$353,2,FALSE)),'Preliminary SO66'!AB102,VLOOKUP($CZ103,'Audit Values'!$A$2:$BU$353,42,FALSE))</f>
        <v>0</v>
      </c>
      <c r="AZ103" s="114">
        <v>0</v>
      </c>
      <c r="BA103" s="99">
        <f>SUM(AX103*'Weighting Factors'!$T$10)+('2019 Legal Max'!AY103*'Weighting Factors'!$T$11)+('2019 Legal Max'!AZ103*'Weighting Factors'!$T$12)</f>
        <v>0</v>
      </c>
      <c r="BB103" s="158">
        <v>0</v>
      </c>
      <c r="BC103" s="88">
        <f>IF(ISNA(VLOOKUP($CZ103,'Audit Values'!$A$2:$BU$353,2,FALSE)),"",IF(AND('Weighting Factors'!H103&gt;0,VLOOKUP($CZ103,'Audit Values'!$A$2:$BU$353,51,FALSE)&lt;'Weighting Factors'!H103),'Weighting Factors'!H103,VLOOKUP($CZ103,'Audit Values'!$A$2:$BU$353,50,FALSE)))</f>
        <v>5</v>
      </c>
      <c r="BD103" s="88" t="str">
        <f>IF(ISNA(VLOOKUP($CZ103,'Audit Values'!$A$2:$BV$353,2,FALSE)),"",VLOOKUP($CZ103,'Audit Values'!$A$2:$BV$353,51,FALSE))</f>
        <v>A</v>
      </c>
      <c r="BE103" s="88" t="str">
        <f>IF('Weighting Factors'!H103="","",IF('Weighting Factors'!J103="Pending","PX","R"))</f>
        <v/>
      </c>
      <c r="BF103" s="97">
        <f>SUM((S103+T103+Y103+AA103+AE103+AH103+AJ103++AO103+AP103+AQ103+AU103+AR103)*'Weighting Factors'!$Q$5)+'2019 Legal Max'!BA103+'2019 Legal Max'!BB103</f>
        <v>2572721</v>
      </c>
      <c r="BG103" s="99">
        <f>SUM((AV103+AR103)*'Weighting Factors'!$Q$5)+BA103+'2019 Legal Max'!BB103</f>
        <v>2991303</v>
      </c>
      <c r="BH103" s="108">
        <f>IF('Weighting Factors'!H103&gt;0,'Weighting Factors'!H103,'Preliminary SO66'!AV102)</f>
        <v>3190807</v>
      </c>
      <c r="BI103" s="99">
        <f t="shared" si="77"/>
        <v>2991303</v>
      </c>
      <c r="BJ103" s="112"/>
      <c r="BK103" s="112">
        <f>'Weighting Factors'!F103</f>
        <v>0</v>
      </c>
      <c r="BL103" s="112">
        <f>'Weighting Factors'!E103</f>
        <v>0</v>
      </c>
      <c r="BM103" s="99">
        <f t="shared" si="54"/>
        <v>0</v>
      </c>
      <c r="BN103" s="99">
        <f t="shared" si="55"/>
        <v>2991303</v>
      </c>
      <c r="BO103" s="99">
        <f>SUM((S103+T103+Y103+AA103+AE103+AH103+AJ103++AO103+AP103+AQ103+AR103)*'Weighting Factors'!Q$12)+(MAX(AS103,'Weighting Factors'!B103))</f>
        <v>3192249</v>
      </c>
      <c r="BP103" s="122">
        <v>0.3</v>
      </c>
      <c r="BQ103" s="99">
        <f t="shared" si="56"/>
        <v>957675</v>
      </c>
      <c r="BR103" s="108">
        <v>1018586</v>
      </c>
      <c r="BS103" s="99">
        <f t="shared" si="57"/>
        <v>957675</v>
      </c>
      <c r="BT103" s="167">
        <f t="shared" si="58"/>
        <v>0.3</v>
      </c>
      <c r="BU103" s="95">
        <f t="shared" si="59"/>
        <v>0</v>
      </c>
      <c r="BV103" s="87" t="b">
        <f t="shared" si="60"/>
        <v>0</v>
      </c>
      <c r="BW103" s="117">
        <f t="shared" si="61"/>
        <v>0</v>
      </c>
      <c r="BX103" s="116">
        <f t="shared" si="62"/>
        <v>0</v>
      </c>
      <c r="BY103" s="95">
        <f t="shared" si="63"/>
        <v>0</v>
      </c>
      <c r="BZ103" s="87" t="b">
        <f t="shared" si="64"/>
        <v>1</v>
      </c>
      <c r="CA103" s="87">
        <f t="shared" si="65"/>
        <v>53.831299999999999</v>
      </c>
      <c r="CB103" s="116">
        <f t="shared" si="66"/>
        <v>0.46940700000000002</v>
      </c>
      <c r="CC103" s="95">
        <f t="shared" si="67"/>
        <v>161.19999999999999</v>
      </c>
      <c r="CD103" s="95">
        <f t="shared" si="68"/>
        <v>0</v>
      </c>
      <c r="CE103" s="98">
        <v>444</v>
      </c>
      <c r="CF103" s="250">
        <f t="shared" si="69"/>
        <v>0.27500000000000002</v>
      </c>
      <c r="CG103" s="274">
        <f>IF(CF103&lt;0.06,1,IF(CF103&gt;=18.29,52,MATCH(CF103-0.001,'Weighting Factors'!$Y$5:$Y$156)+1))</f>
        <v>19</v>
      </c>
      <c r="CH103" s="243">
        <f>VLOOKUP(CG103, 'Weighting Factors'!$W$5:$Z$56,4)</f>
        <v>1210</v>
      </c>
      <c r="CI103" s="118">
        <f>('Weighting Factors'!$Q$5/'Weighting Factors'!$Q$14)</f>
        <v>1</v>
      </c>
      <c r="CJ103" s="245">
        <f t="shared" si="70"/>
        <v>147620</v>
      </c>
      <c r="CK103" s="245">
        <f>CJ103*'Weighting Factors'!$S$7</f>
        <v>147620</v>
      </c>
      <c r="CL103" s="245">
        <f t="shared" si="71"/>
        <v>147620</v>
      </c>
      <c r="CM103" s="95">
        <f>AM103/'Weighting Factors'!$Q$5</f>
        <v>35.4</v>
      </c>
      <c r="CN103" s="148">
        <v>0</v>
      </c>
      <c r="CO103" s="148">
        <v>0</v>
      </c>
      <c r="CP103" s="149">
        <v>0</v>
      </c>
      <c r="CQ103" s="151">
        <v>0</v>
      </c>
      <c r="CR103" s="99">
        <f>SUM((AV103*'Weighting Factors'!$Q$5)+'2019 Legal Max'!BA103)*CQ103</f>
        <v>0</v>
      </c>
      <c r="CS103" s="99">
        <f t="shared" si="72"/>
        <v>0</v>
      </c>
      <c r="CT103" s="106">
        <f t="shared" si="73"/>
        <v>0.36730000000000002</v>
      </c>
      <c r="CU103" s="95">
        <f t="shared" si="74"/>
        <v>0</v>
      </c>
      <c r="CV103" s="95">
        <f t="shared" si="75"/>
        <v>1.5</v>
      </c>
      <c r="CW103" s="95">
        <f t="shared" si="76"/>
        <v>718.2</v>
      </c>
      <c r="CX103" s="99">
        <f>'LOB Transfers'!G102</f>
        <v>81977</v>
      </c>
      <c r="CY103" s="99">
        <f>'LOB Transfers'!J102</f>
        <v>575</v>
      </c>
      <c r="CZ103" s="87" t="s">
        <v>295</v>
      </c>
    </row>
    <row r="104" spans="1:104" ht="15" customHeight="1">
      <c r="A104" s="88">
        <v>299</v>
      </c>
      <c r="B104" s="87" t="s">
        <v>45</v>
      </c>
      <c r="C104" s="87" t="s">
        <v>617</v>
      </c>
      <c r="D104" s="95">
        <v>225.4</v>
      </c>
      <c r="E104" s="95">
        <v>0</v>
      </c>
      <c r="F104" s="95">
        <f t="shared" si="43"/>
        <v>225.4</v>
      </c>
      <c r="G104" s="95">
        <v>239.8</v>
      </c>
      <c r="H104" s="95">
        <v>0</v>
      </c>
      <c r="I104" s="95">
        <f t="shared" si="44"/>
        <v>239.8</v>
      </c>
      <c r="J104" s="95">
        <v>241.2</v>
      </c>
      <c r="K104" s="95">
        <v>0</v>
      </c>
      <c r="L104" s="95">
        <f t="shared" si="45"/>
        <v>241.2</v>
      </c>
      <c r="M104" s="95">
        <f>IF(ISNA(VLOOKUP($CZ104,'Audit Values'!$A$2:$BW$365,2,FALSE)),'Preliminary SO66'!C103,VLOOKUP($CZ104,'Audit Values'!$A$2:$BW$365,73,FALSE))</f>
        <v>230.1</v>
      </c>
      <c r="N104" s="95">
        <f>IF(ISNA(VLOOKUP($CZ104,'Audit Values'!$A$2:$BW$365,2,FALSE)),'Preliminary SO66'!F103,VLOOKUP($CZ104,'Audit Values'!$A$2:$BW$365,4,FALSE))</f>
        <v>0</v>
      </c>
      <c r="O104" s="95">
        <f t="shared" si="46"/>
        <v>230.1</v>
      </c>
      <c r="P104" s="95">
        <f>IF('Military Provision'!J105="YES", MAX('2019 Legal Max'!L104,'2019 Legal Max'!I104,AVERAGE('2019 Legal Max'!F104,'2019 Legal Max'!I104,'2019 Legal Max'!L104)), MAX(L104, I104))</f>
        <v>241.2</v>
      </c>
      <c r="Q104" s="95">
        <f>IF(ISNA(VLOOKUP($CZ104,'Audit Values'!$A$2:$BU$353,2,FALSE)),'Preliminary SO66'!AL103,VLOOKUP($CZ104,'Audit Values'!$A$2:$BU$3955,58,FALSE))</f>
        <v>4</v>
      </c>
      <c r="R104" s="95">
        <v>0</v>
      </c>
      <c r="S104" s="95">
        <f t="shared" si="78"/>
        <v>245.2</v>
      </c>
      <c r="T104" s="95">
        <f t="shared" si="47"/>
        <v>154.30000000000001</v>
      </c>
      <c r="U104" s="95">
        <f>IF(ISNA(VLOOKUP($CZ104,'Audit Values'!$A$2:$BW$317,2,FALSE)),'Preliminary SO66'!AM103,VLOOKUP($CZ104,'Audit Values'!$A$2:$BW$317,62,FALSE))</f>
        <v>0</v>
      </c>
      <c r="V104" s="95">
        <f>(U104/6)*'Weighting Factors'!$Q$7</f>
        <v>0</v>
      </c>
      <c r="W104" s="132">
        <f>IF(ISNA(VLOOKUP($CZ104,'Audit Values'!$A$2:$BW$353,2,FALSE)),'Preliminary SO66'!AN103,VLOOKUP($CZ104,'Audit Values'!$A$2:$BW$353,61,FALSE))</f>
        <v>0</v>
      </c>
      <c r="X104" s="95">
        <f>W104*'Weighting Factors'!$Q$8</f>
        <v>0</v>
      </c>
      <c r="Y104" s="95">
        <f t="shared" si="48"/>
        <v>0</v>
      </c>
      <c r="Z104" s="276">
        <f>IF(ISNA(VLOOKUP($CZ104,'Audit Values'!$A$2:$BW$317,2,FALSE)),'Preliminary SO66'!AO103,VLOOKUP($CZ104,'Audit Values'!$A$2:$BW$317,60,FALSE))</f>
        <v>68.2</v>
      </c>
      <c r="AA104" s="95">
        <f>Z104/6*'Weighting Factors'!$Q$6</f>
        <v>5.7</v>
      </c>
      <c r="AB104" s="99">
        <f>IF(ISNA(VLOOKUP($CZ104,'Audit Values'!$A$2:$BU$353,2,FALSE)),'Preliminary SO66'!AS103,VLOOKUP($CZ104,'Audit Values'!$A$2:$BU$353,63,FALSE))</f>
        <v>240</v>
      </c>
      <c r="AC104" s="99">
        <v>0</v>
      </c>
      <c r="AD104" s="99">
        <f>IF(ISNA(VLOOKUP($CZ104,'Audit Values'!$A$2:$BU$353,2,FALSE)),'Preliminary SO66'!AP103,VLOOKUP($CZ104,'Audit Values'!$A$2:$BU$353,64,FALSE))</f>
        <v>89</v>
      </c>
      <c r="AE104" s="95">
        <f>IF(A104=207, AD104,MAX(AC104,AD104))*'Weighting Factors'!$Q$9</f>
        <v>43.1</v>
      </c>
      <c r="AF104" s="95">
        <f t="shared" si="49"/>
        <v>1.3</v>
      </c>
      <c r="AG104" s="95">
        <f>IF(ISNA(VLOOKUP($CZ104,'Audit Values'!$A$2:$BW$353,2,FALSE)),'Preliminary SO66'!AG103,VLOOKUP($CZ104,'Audit Values'!$A$2:$BW$353,70,FALSE))</f>
        <v>4.5</v>
      </c>
      <c r="AH104" s="95">
        <f t="shared" si="50"/>
        <v>4.5</v>
      </c>
      <c r="AI104" s="95">
        <f>IF(ISNA(VLOOKUP($CZ104,'Audit Values'!$A$2:$BU$353,2,FALSE)),'Preliminary SO66'!AQ103,VLOOKUP($CZ104,'Audit Values'!$A$2:$BU$353,65,FALSE))</f>
        <v>0</v>
      </c>
      <c r="AJ104" s="95">
        <f>AI104*'Weighting Factors'!$Q$10</f>
        <v>0</v>
      </c>
      <c r="AK104" s="95">
        <f>IF(ISNA(VLOOKUP($CZ104,'Audit Values'!$A$2:$BU$353,2,FALSE)),'Preliminary SO66'!AR103,VLOOKUP($CZ104,'Audit Values'!$A$2:$BU$353,66,FALSE))</f>
        <v>158</v>
      </c>
      <c r="AL104" s="95"/>
      <c r="AM104" s="99">
        <f t="shared" si="51"/>
        <v>194340</v>
      </c>
      <c r="AN104" s="99">
        <v>230735</v>
      </c>
      <c r="AO104" s="95">
        <f>MAX(AN104, AM104)/'Weighting Factors'!$Q$5</f>
        <v>55.4</v>
      </c>
      <c r="AP104" s="95">
        <f>CN104/'Weighting Factors'!$Q$5</f>
        <v>0</v>
      </c>
      <c r="AQ104" s="95">
        <v>0</v>
      </c>
      <c r="AR104" s="95">
        <f>CS104/'Weighting Factors'!$Q$5</f>
        <v>0</v>
      </c>
      <c r="AS104" s="99">
        <v>269208</v>
      </c>
      <c r="AT104" s="95">
        <f>AS104/'Weighting Factors'!$Q$5</f>
        <v>64.599999999999994</v>
      </c>
      <c r="AU104" s="95">
        <f>IF(ISNA(VLOOKUP($CZ104,'Audit Values'!$A$2:$BU$353,2,FALSE)),'Preliminary SO66'!X103,VLOOKUP($CZ104,'Audit Values'!$A$2:$BU$353,47,FALSE))</f>
        <v>0</v>
      </c>
      <c r="AV104" s="95">
        <f t="shared" si="52"/>
        <v>572.79999999999995</v>
      </c>
      <c r="AW104" s="95">
        <f t="shared" si="53"/>
        <v>508.2</v>
      </c>
      <c r="AX104" s="95">
        <f>IF(ISNA(VLOOKUP($CZ104,'Audit Values'!$A$2:$BU$353,2,FALSE)),'Preliminary SO66'!AA103,VLOOKUP($CZ104,'Audit Values'!$A$2:$BU$353,41,FALSE))</f>
        <v>0</v>
      </c>
      <c r="AY104" s="95">
        <f>IF(ISNA(VLOOKUP($CZ104,'Audit Values'!$A$2:$BU$353,2,FALSE)),'Preliminary SO66'!AB103,VLOOKUP($CZ104,'Audit Values'!$A$2:$BU$353,42,FALSE))</f>
        <v>0</v>
      </c>
      <c r="AZ104" s="114">
        <v>0</v>
      </c>
      <c r="BA104" s="99">
        <f>SUM(AX104*'Weighting Factors'!$T$10)+('2019 Legal Max'!AY104*'Weighting Factors'!$T$11)+('2019 Legal Max'!AZ104*'Weighting Factors'!$T$12)</f>
        <v>0</v>
      </c>
      <c r="BB104" s="158">
        <v>0</v>
      </c>
      <c r="BC104" s="88">
        <f>IF(ISNA(VLOOKUP($CZ104,'Audit Values'!$A$2:$BU$353,2,FALSE)),"",IF(AND('Weighting Factors'!H104&gt;0,VLOOKUP($CZ104,'Audit Values'!$A$2:$BU$353,51,FALSE)&lt;'Weighting Factors'!H104),'Weighting Factors'!H104,VLOOKUP($CZ104,'Audit Values'!$A$2:$BU$353,50,FALSE)))</f>
        <v>17</v>
      </c>
      <c r="BD104" s="88" t="str">
        <f>IF(ISNA(VLOOKUP($CZ104,'Audit Values'!$A$2:$BV$353,2,FALSE)),"",VLOOKUP($CZ104,'Audit Values'!$A$2:$BV$353,51,FALSE))</f>
        <v>A</v>
      </c>
      <c r="BE104" s="88" t="str">
        <f>IF('Weighting Factors'!H104="","",IF('Weighting Factors'!J104="Pending","PX","R"))</f>
        <v/>
      </c>
      <c r="BF104" s="97">
        <f>SUM((S104+T104+Y104+AA104+AE104+AH104+AJ104++AO104+AP104+AQ104+AU104+AR104)*'Weighting Factors'!$Q$5)+'2019 Legal Max'!BA104+'2019 Legal Max'!BB104</f>
        <v>2116653</v>
      </c>
      <c r="BG104" s="99">
        <f>SUM((AV104+AR104)*'Weighting Factors'!$Q$5)+BA104+'2019 Legal Max'!BB104</f>
        <v>2385712</v>
      </c>
      <c r="BH104" s="108">
        <f>IF('Weighting Factors'!H104&gt;0,'Weighting Factors'!H104,'Preliminary SO66'!AV103)</f>
        <v>2387378</v>
      </c>
      <c r="BI104" s="99">
        <f t="shared" si="77"/>
        <v>2385712</v>
      </c>
      <c r="BJ104" s="112"/>
      <c r="BK104" s="112">
        <f>'Weighting Factors'!F104</f>
        <v>-15905</v>
      </c>
      <c r="BL104" s="112">
        <f>'Weighting Factors'!E104</f>
        <v>0</v>
      </c>
      <c r="BM104" s="99">
        <f t="shared" si="54"/>
        <v>-15905</v>
      </c>
      <c r="BN104" s="99">
        <f t="shared" si="55"/>
        <v>2369807</v>
      </c>
      <c r="BO104" s="99">
        <f>SUM((S104+T104+Y104+AA104+AE104+AH104+AJ104++AO104+AP104+AQ104+AR104)*'Weighting Factors'!Q$12)+(MAX(AS104,'Weighting Factors'!B104))</f>
        <v>2551026</v>
      </c>
      <c r="BP104" s="122">
        <v>0.3</v>
      </c>
      <c r="BQ104" s="99">
        <f t="shared" si="56"/>
        <v>765308</v>
      </c>
      <c r="BR104" s="108">
        <v>600000</v>
      </c>
      <c r="BS104" s="99">
        <f t="shared" si="57"/>
        <v>600000</v>
      </c>
      <c r="BT104" s="167">
        <f t="shared" si="58"/>
        <v>0.23519999999999999</v>
      </c>
      <c r="BU104" s="95">
        <f t="shared" si="59"/>
        <v>0</v>
      </c>
      <c r="BV104" s="87" t="b">
        <f t="shared" si="60"/>
        <v>1</v>
      </c>
      <c r="BW104" s="117">
        <f t="shared" si="61"/>
        <v>1401.9059999999999</v>
      </c>
      <c r="BX104" s="116">
        <f t="shared" si="62"/>
        <v>0.62944599999999995</v>
      </c>
      <c r="BY104" s="95">
        <f t="shared" si="63"/>
        <v>154.30000000000001</v>
      </c>
      <c r="BZ104" s="87" t="b">
        <f t="shared" si="64"/>
        <v>0</v>
      </c>
      <c r="CA104" s="87">
        <f t="shared" si="65"/>
        <v>0</v>
      </c>
      <c r="CB104" s="116">
        <f t="shared" si="66"/>
        <v>0</v>
      </c>
      <c r="CC104" s="95">
        <f t="shared" si="67"/>
        <v>0</v>
      </c>
      <c r="CD104" s="95">
        <f t="shared" si="68"/>
        <v>0</v>
      </c>
      <c r="CE104" s="98">
        <v>623</v>
      </c>
      <c r="CF104" s="250">
        <f t="shared" si="69"/>
        <v>0.254</v>
      </c>
      <c r="CG104" s="274">
        <f>IF(CF104&lt;0.06,1,IF(CF104&gt;=18.29,52,MATCH(CF104-0.001,'Weighting Factors'!$Y$5:$Y$156)+1))</f>
        <v>18</v>
      </c>
      <c r="CH104" s="243">
        <f>VLOOKUP(CG104, 'Weighting Factors'!$W$5:$Z$56,4)</f>
        <v>1230</v>
      </c>
      <c r="CI104" s="118">
        <f>('Weighting Factors'!$Q$5/'Weighting Factors'!$Q$14)</f>
        <v>1</v>
      </c>
      <c r="CJ104" s="245">
        <f t="shared" si="70"/>
        <v>194340</v>
      </c>
      <c r="CK104" s="245">
        <f>CJ104*'Weighting Factors'!$S$7</f>
        <v>194340</v>
      </c>
      <c r="CL104" s="245">
        <f t="shared" si="71"/>
        <v>194340</v>
      </c>
      <c r="CM104" s="95">
        <f>AM104/'Weighting Factors'!$Q$5</f>
        <v>46.7</v>
      </c>
      <c r="CN104" s="148">
        <v>0</v>
      </c>
      <c r="CO104" s="148">
        <v>0</v>
      </c>
      <c r="CP104" s="149">
        <v>0</v>
      </c>
      <c r="CQ104" s="151">
        <v>0</v>
      </c>
      <c r="CR104" s="99">
        <f>SUM((AV104*'Weighting Factors'!$Q$5)+'2019 Legal Max'!BA104)*CQ104</f>
        <v>0</v>
      </c>
      <c r="CS104" s="99">
        <f t="shared" si="72"/>
        <v>0</v>
      </c>
      <c r="CT104" s="106">
        <f t="shared" si="73"/>
        <v>0.37080000000000002</v>
      </c>
      <c r="CU104" s="95">
        <f t="shared" si="74"/>
        <v>0</v>
      </c>
      <c r="CV104" s="95">
        <f t="shared" si="75"/>
        <v>1.3</v>
      </c>
      <c r="CW104" s="95">
        <f t="shared" si="76"/>
        <v>572.79999999999995</v>
      </c>
      <c r="CX104" s="99">
        <f>'LOB Transfers'!G103</f>
        <v>45480</v>
      </c>
      <c r="CY104" s="99">
        <f>'LOB Transfers'!J103</f>
        <v>0</v>
      </c>
      <c r="CZ104" s="87" t="s">
        <v>296</v>
      </c>
    </row>
    <row r="105" spans="1:104" ht="15" customHeight="1">
      <c r="A105" s="88">
        <v>300</v>
      </c>
      <c r="B105" s="87" t="s">
        <v>46</v>
      </c>
      <c r="C105" s="87" t="s">
        <v>618</v>
      </c>
      <c r="D105" s="95">
        <v>313</v>
      </c>
      <c r="E105" s="95">
        <v>0</v>
      </c>
      <c r="F105" s="95">
        <f t="shared" si="43"/>
        <v>313</v>
      </c>
      <c r="G105" s="95">
        <v>316.5</v>
      </c>
      <c r="H105" s="95">
        <v>0</v>
      </c>
      <c r="I105" s="95">
        <f t="shared" si="44"/>
        <v>316.5</v>
      </c>
      <c r="J105" s="95">
        <v>319</v>
      </c>
      <c r="K105" s="95">
        <v>0</v>
      </c>
      <c r="L105" s="95">
        <f t="shared" si="45"/>
        <v>319</v>
      </c>
      <c r="M105" s="95">
        <f>IF(ISNA(VLOOKUP($CZ105,'Audit Values'!$A$2:$BW$365,2,FALSE)),'Preliminary SO66'!C104,VLOOKUP($CZ105,'Audit Values'!$A$2:$BW$365,73,FALSE))</f>
        <v>312.5</v>
      </c>
      <c r="N105" s="95">
        <f>IF(ISNA(VLOOKUP($CZ105,'Audit Values'!$A$2:$BW$365,2,FALSE)),'Preliminary SO66'!F104,VLOOKUP($CZ105,'Audit Values'!$A$2:$BW$365,4,FALSE))</f>
        <v>0</v>
      </c>
      <c r="O105" s="95">
        <f t="shared" si="46"/>
        <v>312.5</v>
      </c>
      <c r="P105" s="95">
        <f>IF('Military Provision'!J106="YES", MAX('2019 Legal Max'!L105,'2019 Legal Max'!I105,AVERAGE('2019 Legal Max'!F105,'2019 Legal Max'!I105,'2019 Legal Max'!L105)), MAX(L105, I105))</f>
        <v>319</v>
      </c>
      <c r="Q105" s="95">
        <f>IF(ISNA(VLOOKUP($CZ105,'Audit Values'!$A$2:$BU$353,2,FALSE)),'Preliminary SO66'!AL104,VLOOKUP($CZ105,'Audit Values'!$A$2:$BU$3955,58,FALSE))</f>
        <v>0</v>
      </c>
      <c r="R105" s="95">
        <v>0</v>
      </c>
      <c r="S105" s="95">
        <f t="shared" si="78"/>
        <v>319</v>
      </c>
      <c r="T105" s="95">
        <f t="shared" si="47"/>
        <v>152.4</v>
      </c>
      <c r="U105" s="95">
        <f>IF(ISNA(VLOOKUP($CZ105,'Audit Values'!$A$2:$BW$317,2,FALSE)),'Preliminary SO66'!AM104,VLOOKUP($CZ105,'Audit Values'!$A$2:$BW$317,62,FALSE))</f>
        <v>0</v>
      </c>
      <c r="V105" s="95">
        <f>(U105/6)*'Weighting Factors'!$Q$7</f>
        <v>0</v>
      </c>
      <c r="W105" s="132">
        <f>IF(ISNA(VLOOKUP($CZ105,'Audit Values'!$A$2:$BW$353,2,FALSE)),'Preliminary SO66'!AN104,VLOOKUP($CZ105,'Audit Values'!$A$2:$BW$353,61,FALSE))</f>
        <v>0</v>
      </c>
      <c r="X105" s="95">
        <f>W105*'Weighting Factors'!$Q$8</f>
        <v>0</v>
      </c>
      <c r="Y105" s="95">
        <f t="shared" si="48"/>
        <v>0</v>
      </c>
      <c r="Z105" s="276">
        <f>IF(ISNA(VLOOKUP($CZ105,'Audit Values'!$A$2:$BW$317,2,FALSE)),'Preliminary SO66'!AO104,VLOOKUP($CZ105,'Audit Values'!$A$2:$BW$317,60,FALSE))</f>
        <v>35.799999999999997</v>
      </c>
      <c r="AA105" s="95">
        <f>Z105/6*'Weighting Factors'!$Q$6</f>
        <v>3</v>
      </c>
      <c r="AB105" s="99">
        <f>IF(ISNA(VLOOKUP($CZ105,'Audit Values'!$A$2:$BU$353,2,FALSE)),'Preliminary SO66'!AS104,VLOOKUP($CZ105,'Audit Values'!$A$2:$BU$353,63,FALSE))</f>
        <v>316</v>
      </c>
      <c r="AC105" s="99">
        <v>0</v>
      </c>
      <c r="AD105" s="99">
        <f>IF(ISNA(VLOOKUP($CZ105,'Audit Values'!$A$2:$BU$353,2,FALSE)),'Preliminary SO66'!AP104,VLOOKUP($CZ105,'Audit Values'!$A$2:$BU$353,64,FALSE))</f>
        <v>84</v>
      </c>
      <c r="AE105" s="95">
        <f>IF(A105=207, AD105,MAX(AC105,AD105))*'Weighting Factors'!$Q$9</f>
        <v>40.700000000000003</v>
      </c>
      <c r="AF105" s="95">
        <f t="shared" si="49"/>
        <v>0</v>
      </c>
      <c r="AG105" s="95">
        <f>IF(ISNA(VLOOKUP($CZ105,'Audit Values'!$A$2:$BW$353,2,FALSE)),'Preliminary SO66'!AG104,VLOOKUP($CZ105,'Audit Values'!$A$2:$BW$353,70,FALSE))</f>
        <v>0</v>
      </c>
      <c r="AH105" s="95">
        <f t="shared" si="50"/>
        <v>0</v>
      </c>
      <c r="AI105" s="95">
        <f>IF(ISNA(VLOOKUP($CZ105,'Audit Values'!$A$2:$BU$353,2,FALSE)),'Preliminary SO66'!AQ104,VLOOKUP($CZ105,'Audit Values'!$A$2:$BU$353,65,FALSE))</f>
        <v>0</v>
      </c>
      <c r="AJ105" s="95">
        <f>AI105*'Weighting Factors'!$Q$10</f>
        <v>0</v>
      </c>
      <c r="AK105" s="95">
        <f>IF(ISNA(VLOOKUP($CZ105,'Audit Values'!$A$2:$BU$353,2,FALSE)),'Preliminary SO66'!AR104,VLOOKUP($CZ105,'Audit Values'!$A$2:$BU$353,66,FALSE))</f>
        <v>191</v>
      </c>
      <c r="AL105" s="95"/>
      <c r="AM105" s="99">
        <f t="shared" si="51"/>
        <v>238750</v>
      </c>
      <c r="AN105" s="99">
        <v>302767</v>
      </c>
      <c r="AO105" s="95">
        <f>MAX(AN105, AM105)/'Weighting Factors'!$Q$5</f>
        <v>72.7</v>
      </c>
      <c r="AP105" s="95">
        <f>CN105/'Weighting Factors'!$Q$5</f>
        <v>0</v>
      </c>
      <c r="AQ105" s="95">
        <v>0</v>
      </c>
      <c r="AR105" s="95">
        <f>CS105/'Weighting Factors'!$Q$5</f>
        <v>0</v>
      </c>
      <c r="AS105" s="99">
        <v>446313</v>
      </c>
      <c r="AT105" s="95">
        <f>AS105/'Weighting Factors'!$Q$5</f>
        <v>107.2</v>
      </c>
      <c r="AU105" s="95">
        <f>IF(ISNA(VLOOKUP($CZ105,'Audit Values'!$A$2:$BU$353,2,FALSE)),'Preliminary SO66'!X104,VLOOKUP($CZ105,'Audit Values'!$A$2:$BU$353,47,FALSE))</f>
        <v>0</v>
      </c>
      <c r="AV105" s="95">
        <f t="shared" si="52"/>
        <v>695</v>
      </c>
      <c r="AW105" s="95">
        <f t="shared" si="53"/>
        <v>587.79999999999995</v>
      </c>
      <c r="AX105" s="95">
        <f>IF(ISNA(VLOOKUP($CZ105,'Audit Values'!$A$2:$BU$353,2,FALSE)),'Preliminary SO66'!AA104,VLOOKUP($CZ105,'Audit Values'!$A$2:$BU$353,41,FALSE))</f>
        <v>0</v>
      </c>
      <c r="AY105" s="95">
        <f>IF(ISNA(VLOOKUP($CZ105,'Audit Values'!$A$2:$BU$353,2,FALSE)),'Preliminary SO66'!AB104,VLOOKUP($CZ105,'Audit Values'!$A$2:$BU$353,42,FALSE))</f>
        <v>0</v>
      </c>
      <c r="AZ105" s="114">
        <v>0</v>
      </c>
      <c r="BA105" s="99">
        <f>SUM(AX105*'Weighting Factors'!$T$10)+('2019 Legal Max'!AY105*'Weighting Factors'!$T$11)+('2019 Legal Max'!AZ105*'Weighting Factors'!$T$12)</f>
        <v>0</v>
      </c>
      <c r="BB105" s="158">
        <v>0</v>
      </c>
      <c r="BC105" s="88">
        <f>IF(ISNA(VLOOKUP($CZ105,'Audit Values'!$A$2:$BU$353,2,FALSE)),"",IF(AND('Weighting Factors'!H105&gt;0,VLOOKUP($CZ105,'Audit Values'!$A$2:$BU$353,51,FALSE)&lt;'Weighting Factors'!H105),'Weighting Factors'!H105,VLOOKUP($CZ105,'Audit Values'!$A$2:$BU$353,50,FALSE)))</f>
        <v>17</v>
      </c>
      <c r="BD105" s="88" t="str">
        <f>IF(ISNA(VLOOKUP($CZ105,'Audit Values'!$A$2:$BV$353,2,FALSE)),"",VLOOKUP($CZ105,'Audit Values'!$A$2:$BV$353,51,FALSE))</f>
        <v>A</v>
      </c>
      <c r="BE105" s="88" t="str">
        <f>IF('Weighting Factors'!H105="","",IF('Weighting Factors'!J105="Pending","PX","R"))</f>
        <v/>
      </c>
      <c r="BF105" s="97">
        <f>SUM((S105+T105+Y105+AA105+AE105+AH105+AJ105++AO105+AP105+AQ105+AU105+AR105)*'Weighting Factors'!$Q$5)+'2019 Legal Max'!BA105+'2019 Legal Max'!BB105</f>
        <v>2448187</v>
      </c>
      <c r="BG105" s="99">
        <f>SUM((AV105+AR105)*'Weighting Factors'!$Q$5)+BA105+'2019 Legal Max'!BB105</f>
        <v>2894675</v>
      </c>
      <c r="BH105" s="108">
        <f>IF('Weighting Factors'!H105&gt;0,'Weighting Factors'!H105,'Preliminary SO66'!AV104)</f>
        <v>3097307</v>
      </c>
      <c r="BI105" s="99">
        <f t="shared" si="77"/>
        <v>2894675</v>
      </c>
      <c r="BJ105" s="112"/>
      <c r="BK105" s="112">
        <f>'Weighting Factors'!F105</f>
        <v>0</v>
      </c>
      <c r="BL105" s="112">
        <f>'Weighting Factors'!E105</f>
        <v>0</v>
      </c>
      <c r="BM105" s="99">
        <f t="shared" si="54"/>
        <v>0</v>
      </c>
      <c r="BN105" s="99">
        <f t="shared" si="55"/>
        <v>2894675</v>
      </c>
      <c r="BO105" s="99">
        <f>SUM((S105+T105+Y105+AA105+AE105+AH105+AJ105++AO105+AP105+AQ105+AR105)*'Weighting Factors'!Q$12)+(MAX(AS105,'Weighting Factors'!B105))</f>
        <v>3085535</v>
      </c>
      <c r="BP105" s="122">
        <v>0.3</v>
      </c>
      <c r="BQ105" s="99">
        <f t="shared" si="56"/>
        <v>925661</v>
      </c>
      <c r="BR105" s="108">
        <v>966180</v>
      </c>
      <c r="BS105" s="99">
        <f t="shared" si="57"/>
        <v>925661</v>
      </c>
      <c r="BT105" s="167">
        <f t="shared" si="58"/>
        <v>0.3</v>
      </c>
      <c r="BU105" s="95">
        <f t="shared" si="59"/>
        <v>0</v>
      </c>
      <c r="BV105" s="87" t="b">
        <f t="shared" si="60"/>
        <v>0</v>
      </c>
      <c r="BW105" s="117">
        <f t="shared" si="61"/>
        <v>0</v>
      </c>
      <c r="BX105" s="116">
        <f t="shared" si="62"/>
        <v>0</v>
      </c>
      <c r="BY105" s="95">
        <f t="shared" si="63"/>
        <v>0</v>
      </c>
      <c r="BZ105" s="87" t="b">
        <f t="shared" si="64"/>
        <v>1</v>
      </c>
      <c r="CA105" s="87">
        <f t="shared" si="65"/>
        <v>23.512499999999999</v>
      </c>
      <c r="CB105" s="116">
        <f t="shared" si="66"/>
        <v>0.47773100000000002</v>
      </c>
      <c r="CC105" s="95">
        <f t="shared" si="67"/>
        <v>152.4</v>
      </c>
      <c r="CD105" s="95">
        <f t="shared" si="68"/>
        <v>0</v>
      </c>
      <c r="CE105" s="98">
        <v>864</v>
      </c>
      <c r="CF105" s="250">
        <f t="shared" si="69"/>
        <v>0.221</v>
      </c>
      <c r="CG105" s="274">
        <f>IF(CF105&lt;0.06,1,IF(CF105&gt;=18.29,52,MATCH(CF105-0.001,'Weighting Factors'!$Y$5:$Y$156)+1))</f>
        <v>17</v>
      </c>
      <c r="CH105" s="243">
        <f>VLOOKUP(CG105, 'Weighting Factors'!$W$5:$Z$56,4)</f>
        <v>1250</v>
      </c>
      <c r="CI105" s="118">
        <f>('Weighting Factors'!$Q$5/'Weighting Factors'!$Q$14)</f>
        <v>1</v>
      </c>
      <c r="CJ105" s="245">
        <f t="shared" si="70"/>
        <v>238750</v>
      </c>
      <c r="CK105" s="245">
        <f>CJ105*'Weighting Factors'!$S$7</f>
        <v>238750</v>
      </c>
      <c r="CL105" s="245">
        <f t="shared" si="71"/>
        <v>238750</v>
      </c>
      <c r="CM105" s="95">
        <f>AM105/'Weighting Factors'!$Q$5</f>
        <v>57.3</v>
      </c>
      <c r="CN105" s="148">
        <v>0</v>
      </c>
      <c r="CO105" s="148">
        <v>0</v>
      </c>
      <c r="CP105" s="149">
        <v>0</v>
      </c>
      <c r="CQ105" s="151">
        <v>0</v>
      </c>
      <c r="CR105" s="99">
        <f>SUM((AV105*'Weighting Factors'!$Q$5)+'2019 Legal Max'!BA105)*CQ105</f>
        <v>0</v>
      </c>
      <c r="CS105" s="99">
        <f t="shared" si="72"/>
        <v>0</v>
      </c>
      <c r="CT105" s="106">
        <f t="shared" si="73"/>
        <v>0.26579999999999998</v>
      </c>
      <c r="CU105" s="95">
        <f t="shared" si="74"/>
        <v>0</v>
      </c>
      <c r="CV105" s="95">
        <f t="shared" si="75"/>
        <v>0</v>
      </c>
      <c r="CW105" s="95">
        <f t="shared" si="76"/>
        <v>695</v>
      </c>
      <c r="CX105" s="99">
        <f>'LOB Transfers'!G104</f>
        <v>54244</v>
      </c>
      <c r="CY105" s="99">
        <f>'LOB Transfers'!J104</f>
        <v>0</v>
      </c>
      <c r="CZ105" s="87" t="s">
        <v>297</v>
      </c>
    </row>
    <row r="106" spans="1:104" ht="15" customHeight="1">
      <c r="A106" s="88">
        <v>303</v>
      </c>
      <c r="B106" s="87" t="s">
        <v>47</v>
      </c>
      <c r="C106" s="87" t="s">
        <v>619</v>
      </c>
      <c r="D106" s="95">
        <v>281.10000000000002</v>
      </c>
      <c r="E106" s="95">
        <v>0</v>
      </c>
      <c r="F106" s="95">
        <f t="shared" si="43"/>
        <v>281.10000000000002</v>
      </c>
      <c r="G106" s="95">
        <v>297.89999999999998</v>
      </c>
      <c r="H106" s="95">
        <v>0</v>
      </c>
      <c r="I106" s="95">
        <f t="shared" si="44"/>
        <v>297.89999999999998</v>
      </c>
      <c r="J106" s="95">
        <v>272.10000000000002</v>
      </c>
      <c r="K106" s="95">
        <v>0</v>
      </c>
      <c r="L106" s="95">
        <f t="shared" si="45"/>
        <v>272.10000000000002</v>
      </c>
      <c r="M106" s="95">
        <f>IF(ISNA(VLOOKUP($CZ106,'Audit Values'!$A$2:$BW$365,2,FALSE)),'Preliminary SO66'!C105,VLOOKUP($CZ106,'Audit Values'!$A$2:$BW$365,73,FALSE))</f>
        <v>278.5</v>
      </c>
      <c r="N106" s="95">
        <f>IF(ISNA(VLOOKUP($CZ106,'Audit Values'!$A$2:$BW$365,2,FALSE)),'Preliminary SO66'!F105,VLOOKUP($CZ106,'Audit Values'!$A$2:$BW$365,4,FALSE))</f>
        <v>0</v>
      </c>
      <c r="O106" s="95">
        <f t="shared" si="46"/>
        <v>278.5</v>
      </c>
      <c r="P106" s="95">
        <f>IF('Military Provision'!J107="YES", MAX('2019 Legal Max'!L106,'2019 Legal Max'!I106,AVERAGE('2019 Legal Max'!F106,'2019 Legal Max'!I106,'2019 Legal Max'!L106)), MAX(L106, I106))</f>
        <v>297.89999999999998</v>
      </c>
      <c r="Q106" s="95">
        <f>IF(ISNA(VLOOKUP($CZ106,'Audit Values'!$A$2:$BU$353,2,FALSE)),'Preliminary SO66'!AL105,VLOOKUP($CZ106,'Audit Values'!$A$2:$BU$3955,58,FALSE))</f>
        <v>5</v>
      </c>
      <c r="R106" s="95">
        <v>0</v>
      </c>
      <c r="S106" s="95">
        <f t="shared" si="78"/>
        <v>302.89999999999998</v>
      </c>
      <c r="T106" s="95">
        <f t="shared" si="47"/>
        <v>146.4</v>
      </c>
      <c r="U106" s="95">
        <f>IF(ISNA(VLOOKUP($CZ106,'Audit Values'!$A$2:$BW$317,2,FALSE)),'Preliminary SO66'!AM105,VLOOKUP($CZ106,'Audit Values'!$A$2:$BW$317,62,FALSE))</f>
        <v>118.3</v>
      </c>
      <c r="V106" s="95">
        <f>(U106/6)*'Weighting Factors'!$Q$7</f>
        <v>7.8</v>
      </c>
      <c r="W106" s="132">
        <f>IF(ISNA(VLOOKUP($CZ106,'Audit Values'!$A$2:$BW$353,2,FALSE)),'Preliminary SO66'!AN105,VLOOKUP($CZ106,'Audit Values'!$A$2:$BW$353,61,FALSE))</f>
        <v>42</v>
      </c>
      <c r="X106" s="95">
        <f>W106*'Weighting Factors'!$Q$8</f>
        <v>7.8</v>
      </c>
      <c r="Y106" s="95">
        <f t="shared" si="48"/>
        <v>7.8</v>
      </c>
      <c r="Z106" s="276">
        <f>IF(ISNA(VLOOKUP($CZ106,'Audit Values'!$A$2:$BW$317,2,FALSE)),'Preliminary SO66'!AO105,VLOOKUP($CZ106,'Audit Values'!$A$2:$BW$317,60,FALSE))</f>
        <v>178.6</v>
      </c>
      <c r="AA106" s="95">
        <f>Z106/6*'Weighting Factors'!$Q$6</f>
        <v>14.9</v>
      </c>
      <c r="AB106" s="99">
        <f>IF(ISNA(VLOOKUP($CZ106,'Audit Values'!$A$2:$BU$353,2,FALSE)),'Preliminary SO66'!AS105,VLOOKUP($CZ106,'Audit Values'!$A$2:$BU$353,63,FALSE))</f>
        <v>294</v>
      </c>
      <c r="AC106" s="99">
        <v>0</v>
      </c>
      <c r="AD106" s="99">
        <f>IF(ISNA(VLOOKUP($CZ106,'Audit Values'!$A$2:$BU$353,2,FALSE)),'Preliminary SO66'!AP105,VLOOKUP($CZ106,'Audit Values'!$A$2:$BU$353,64,FALSE))</f>
        <v>87</v>
      </c>
      <c r="AE106" s="95">
        <f>IF(A106=207, AD106,MAX(AC106,AD106))*'Weighting Factors'!$Q$9</f>
        <v>42.1</v>
      </c>
      <c r="AF106" s="95">
        <f t="shared" si="49"/>
        <v>0</v>
      </c>
      <c r="AG106" s="95">
        <f>IF(ISNA(VLOOKUP($CZ106,'Audit Values'!$A$2:$BW$353,2,FALSE)),'Preliminary SO66'!AG105,VLOOKUP($CZ106,'Audit Values'!$A$2:$BW$353,70,FALSE))</f>
        <v>0</v>
      </c>
      <c r="AH106" s="95">
        <f t="shared" si="50"/>
        <v>0</v>
      </c>
      <c r="AI106" s="95">
        <f>IF(ISNA(VLOOKUP($CZ106,'Audit Values'!$A$2:$BU$353,2,FALSE)),'Preliminary SO66'!AQ105,VLOOKUP($CZ106,'Audit Values'!$A$2:$BU$353,65,FALSE))</f>
        <v>0</v>
      </c>
      <c r="AJ106" s="95">
        <f>AI106*'Weighting Factors'!$Q$10</f>
        <v>0</v>
      </c>
      <c r="AK106" s="95">
        <f>IF(ISNA(VLOOKUP($CZ106,'Audit Values'!$A$2:$BU$353,2,FALSE)),'Preliminary SO66'!AR105,VLOOKUP($CZ106,'Audit Values'!$A$2:$BU$353,66,FALSE))</f>
        <v>26.5</v>
      </c>
      <c r="AL106" s="95"/>
      <c r="AM106" s="99">
        <f t="shared" si="51"/>
        <v>42930</v>
      </c>
      <c r="AN106" s="99">
        <v>80122</v>
      </c>
      <c r="AO106" s="95">
        <f>MAX(AN106, AM106)/'Weighting Factors'!$Q$5</f>
        <v>19.2</v>
      </c>
      <c r="AP106" s="95">
        <f>CN106/'Weighting Factors'!$Q$5</f>
        <v>0</v>
      </c>
      <c r="AQ106" s="95">
        <v>0</v>
      </c>
      <c r="AR106" s="95">
        <f>CS106/'Weighting Factors'!$Q$5</f>
        <v>0</v>
      </c>
      <c r="AS106" s="99">
        <v>185739</v>
      </c>
      <c r="AT106" s="95">
        <f>AS106/'Weighting Factors'!$Q$5</f>
        <v>44.6</v>
      </c>
      <c r="AU106" s="95">
        <f>IF(ISNA(VLOOKUP($CZ106,'Audit Values'!$A$2:$BU$353,2,FALSE)),'Preliminary SO66'!X105,VLOOKUP($CZ106,'Audit Values'!$A$2:$BU$353,47,FALSE))</f>
        <v>0</v>
      </c>
      <c r="AV106" s="95">
        <f t="shared" si="52"/>
        <v>577.9</v>
      </c>
      <c r="AW106" s="95">
        <f t="shared" si="53"/>
        <v>533.29999999999995</v>
      </c>
      <c r="AX106" s="95">
        <f>IF(ISNA(VLOOKUP($CZ106,'Audit Values'!$A$2:$BU$353,2,FALSE)),'Preliminary SO66'!AA105,VLOOKUP($CZ106,'Audit Values'!$A$2:$BU$353,41,FALSE))</f>
        <v>0</v>
      </c>
      <c r="AY106" s="95">
        <f>IF(ISNA(VLOOKUP($CZ106,'Audit Values'!$A$2:$BU$353,2,FALSE)),'Preliminary SO66'!AB105,VLOOKUP($CZ106,'Audit Values'!$A$2:$BU$353,42,FALSE))</f>
        <v>0</v>
      </c>
      <c r="AZ106" s="114">
        <v>0</v>
      </c>
      <c r="BA106" s="99">
        <f>SUM(AX106*'Weighting Factors'!$T$10)+('2019 Legal Max'!AY106*'Weighting Factors'!$T$11)+('2019 Legal Max'!AZ106*'Weighting Factors'!$T$12)</f>
        <v>0</v>
      </c>
      <c r="BB106" s="158">
        <v>0</v>
      </c>
      <c r="BC106" s="88">
        <f>IF(ISNA(VLOOKUP($CZ106,'Audit Values'!$A$2:$BU$353,2,FALSE)),"",IF(AND('Weighting Factors'!H106&gt;0,VLOOKUP($CZ106,'Audit Values'!$A$2:$BU$353,51,FALSE)&lt;'Weighting Factors'!H106),'Weighting Factors'!H106,VLOOKUP($CZ106,'Audit Values'!$A$2:$BU$353,50,FALSE)))</f>
        <v>3</v>
      </c>
      <c r="BD106" s="88" t="str">
        <f>IF(ISNA(VLOOKUP($CZ106,'Audit Values'!$A$2:$BV$353,2,FALSE)),"",VLOOKUP($CZ106,'Audit Values'!$A$2:$BV$353,51,FALSE))</f>
        <v>A</v>
      </c>
      <c r="BE106" s="88" t="str">
        <f>IF('Weighting Factors'!H106="","",IF('Weighting Factors'!J106="Pending","PX","R"))</f>
        <v/>
      </c>
      <c r="BF106" s="97">
        <f>SUM((S106+T106+Y106+AA106+AE106+AH106+AJ106++AO106+AP106+AQ106+AU106+AR106)*'Weighting Factors'!$Q$5)+'2019 Legal Max'!BA106+'2019 Legal Max'!BB106</f>
        <v>2221195</v>
      </c>
      <c r="BG106" s="99">
        <f>SUM((AV106+AR106)*'Weighting Factors'!$Q$5)+BA106+'2019 Legal Max'!BB106</f>
        <v>2406954</v>
      </c>
      <c r="BH106" s="108">
        <f>IF('Weighting Factors'!H106&gt;0,'Weighting Factors'!H106,'Preliminary SO66'!AV105)</f>
        <v>2520242</v>
      </c>
      <c r="BI106" s="99">
        <f t="shared" si="77"/>
        <v>2406954</v>
      </c>
      <c r="BJ106" s="112"/>
      <c r="BK106" s="112">
        <f>'Weighting Factors'!F106</f>
        <v>0</v>
      </c>
      <c r="BL106" s="112">
        <f>'Weighting Factors'!E106</f>
        <v>0</v>
      </c>
      <c r="BM106" s="99">
        <f t="shared" si="54"/>
        <v>0</v>
      </c>
      <c r="BN106" s="99">
        <f t="shared" si="55"/>
        <v>2406954</v>
      </c>
      <c r="BO106" s="99">
        <f>SUM((S106+T106+Y106+AA106+AE106+AH106+AJ106++AO106+AP106+AQ106+AR106)*'Weighting Factors'!Q$12)+(MAX(AS106,'Weighting Factors'!B106))</f>
        <v>2624258</v>
      </c>
      <c r="BP106" s="122">
        <v>0.3</v>
      </c>
      <c r="BQ106" s="99">
        <f t="shared" si="56"/>
        <v>787277</v>
      </c>
      <c r="BR106" s="108">
        <v>740000</v>
      </c>
      <c r="BS106" s="99">
        <f t="shared" si="57"/>
        <v>740000</v>
      </c>
      <c r="BT106" s="167">
        <f t="shared" si="58"/>
        <v>0.28199999999999997</v>
      </c>
      <c r="BU106" s="95">
        <f t="shared" si="59"/>
        <v>0</v>
      </c>
      <c r="BV106" s="87" t="b">
        <f t="shared" si="60"/>
        <v>0</v>
      </c>
      <c r="BW106" s="117">
        <f t="shared" si="61"/>
        <v>0</v>
      </c>
      <c r="BX106" s="116">
        <f t="shared" si="62"/>
        <v>0</v>
      </c>
      <c r="BY106" s="95">
        <f t="shared" si="63"/>
        <v>0</v>
      </c>
      <c r="BZ106" s="87" t="b">
        <f t="shared" si="64"/>
        <v>1</v>
      </c>
      <c r="CA106" s="87">
        <f t="shared" si="65"/>
        <v>3.5886999999999998</v>
      </c>
      <c r="CB106" s="116">
        <f t="shared" si="66"/>
        <v>0.48320099999999999</v>
      </c>
      <c r="CC106" s="95">
        <f t="shared" si="67"/>
        <v>146.4</v>
      </c>
      <c r="CD106" s="95">
        <f t="shared" si="68"/>
        <v>0</v>
      </c>
      <c r="CE106" s="98">
        <v>517.79999999999995</v>
      </c>
      <c r="CF106" s="250">
        <f t="shared" si="69"/>
        <v>5.0999999999999997E-2</v>
      </c>
      <c r="CG106" s="274">
        <f>IF(CF106&lt;0.06,1,IF(CF106&gt;=18.29,52,MATCH(CF106-0.001,'Weighting Factors'!$Y$5:$Y$156)+1))</f>
        <v>1</v>
      </c>
      <c r="CH106" s="243">
        <f>VLOOKUP(CG106, 'Weighting Factors'!$W$5:$Z$56,4)</f>
        <v>1620</v>
      </c>
      <c r="CI106" s="118">
        <f>('Weighting Factors'!$Q$5/'Weighting Factors'!$Q$14)</f>
        <v>1</v>
      </c>
      <c r="CJ106" s="245">
        <f t="shared" si="70"/>
        <v>42930</v>
      </c>
      <c r="CK106" s="245">
        <f>CJ106*'Weighting Factors'!$S$7</f>
        <v>42930</v>
      </c>
      <c r="CL106" s="245">
        <f t="shared" si="71"/>
        <v>42930</v>
      </c>
      <c r="CM106" s="95">
        <f>AM106/'Weighting Factors'!$Q$5</f>
        <v>10.3</v>
      </c>
      <c r="CN106" s="148">
        <v>0</v>
      </c>
      <c r="CO106" s="148">
        <v>0</v>
      </c>
      <c r="CP106" s="149">
        <v>0</v>
      </c>
      <c r="CQ106" s="151">
        <v>0</v>
      </c>
      <c r="CR106" s="99">
        <f>SUM((AV106*'Weighting Factors'!$Q$5)+'2019 Legal Max'!BA106)*CQ106</f>
        <v>0</v>
      </c>
      <c r="CS106" s="99">
        <f t="shared" si="72"/>
        <v>0</v>
      </c>
      <c r="CT106" s="106">
        <f t="shared" si="73"/>
        <v>0.2959</v>
      </c>
      <c r="CU106" s="95">
        <f t="shared" si="74"/>
        <v>0</v>
      </c>
      <c r="CV106" s="95">
        <f t="shared" si="75"/>
        <v>0</v>
      </c>
      <c r="CW106" s="95">
        <f t="shared" si="76"/>
        <v>577.9</v>
      </c>
      <c r="CX106" s="99">
        <f>'LOB Transfers'!G105</f>
        <v>54390</v>
      </c>
      <c r="CY106" s="99">
        <f>'LOB Transfers'!J105</f>
        <v>10064</v>
      </c>
      <c r="CZ106" s="87" t="s">
        <v>298</v>
      </c>
    </row>
    <row r="107" spans="1:104" ht="15" customHeight="1">
      <c r="A107" s="88">
        <v>305</v>
      </c>
      <c r="B107" s="87" t="s">
        <v>48</v>
      </c>
      <c r="C107" s="87" t="s">
        <v>620</v>
      </c>
      <c r="D107" s="95">
        <v>6883</v>
      </c>
      <c r="E107" s="95">
        <v>0</v>
      </c>
      <c r="F107" s="95">
        <f t="shared" si="43"/>
        <v>6883</v>
      </c>
      <c r="G107" s="95">
        <v>7090.8</v>
      </c>
      <c r="H107" s="95">
        <v>0</v>
      </c>
      <c r="I107" s="95">
        <f t="shared" si="44"/>
        <v>7090.8</v>
      </c>
      <c r="J107" s="95">
        <v>7147</v>
      </c>
      <c r="K107" s="95">
        <v>0</v>
      </c>
      <c r="L107" s="95">
        <f t="shared" si="45"/>
        <v>7147</v>
      </c>
      <c r="M107" s="95">
        <f>IF(ISNA(VLOOKUP($CZ107,'Audit Values'!$A$2:$BW$365,2,FALSE)),'Preliminary SO66'!C106,VLOOKUP($CZ107,'Audit Values'!$A$2:$BW$365,73,FALSE))</f>
        <v>7031</v>
      </c>
      <c r="N107" s="95">
        <f>IF(ISNA(VLOOKUP($CZ107,'Audit Values'!$A$2:$BW$365,2,FALSE)),'Preliminary SO66'!F106,VLOOKUP($CZ107,'Audit Values'!$A$2:$BW$365,4,FALSE))</f>
        <v>0</v>
      </c>
      <c r="O107" s="95">
        <f t="shared" si="46"/>
        <v>7031</v>
      </c>
      <c r="P107" s="95">
        <f>IF('Military Provision'!J108="YES", MAX('2019 Legal Max'!L107,'2019 Legal Max'!I107,AVERAGE('2019 Legal Max'!F107,'2019 Legal Max'!I107,'2019 Legal Max'!L107)), MAX(L107, I107))</f>
        <v>7147</v>
      </c>
      <c r="Q107" s="95">
        <f>IF(ISNA(VLOOKUP($CZ107,'Audit Values'!$A$2:$BU$353,2,FALSE)),'Preliminary SO66'!AL106,VLOOKUP($CZ107,'Audit Values'!$A$2:$BU$3955,58,FALSE))</f>
        <v>29</v>
      </c>
      <c r="R107" s="95">
        <v>0</v>
      </c>
      <c r="S107" s="95">
        <f t="shared" si="78"/>
        <v>7176</v>
      </c>
      <c r="T107" s="95">
        <f t="shared" si="47"/>
        <v>251.4</v>
      </c>
      <c r="U107" s="95">
        <f>IF(ISNA(VLOOKUP($CZ107,'Audit Values'!$A$2:$BW$317,2,FALSE)),'Preliminary SO66'!AM106,VLOOKUP($CZ107,'Audit Values'!$A$2:$BW$317,62,FALSE))</f>
        <v>1580.9</v>
      </c>
      <c r="V107" s="95">
        <f>(U107/6)*'Weighting Factors'!$Q$7</f>
        <v>104.1</v>
      </c>
      <c r="W107" s="132">
        <f>IF(ISNA(VLOOKUP($CZ107,'Audit Values'!$A$2:$BW$353,2,FALSE)),'Preliminary SO66'!AN106,VLOOKUP($CZ107,'Audit Values'!$A$2:$BW$353,61,FALSE))</f>
        <v>701</v>
      </c>
      <c r="X107" s="95">
        <f>W107*'Weighting Factors'!$Q$8</f>
        <v>129.69999999999999</v>
      </c>
      <c r="Y107" s="95">
        <f t="shared" si="48"/>
        <v>129.69999999999999</v>
      </c>
      <c r="Z107" s="276">
        <f>IF(ISNA(VLOOKUP($CZ107,'Audit Values'!$A$2:$BW$317,2,FALSE)),'Preliminary SO66'!AO106,VLOOKUP($CZ107,'Audit Values'!$A$2:$BW$317,60,FALSE))</f>
        <v>1784.9</v>
      </c>
      <c r="AA107" s="95">
        <f>Z107/6*'Weighting Factors'!$Q$6</f>
        <v>148.69999999999999</v>
      </c>
      <c r="AB107" s="99">
        <f>IF(ISNA(VLOOKUP($CZ107,'Audit Values'!$A$2:$BU$353,2,FALSE)),'Preliminary SO66'!AS106,VLOOKUP($CZ107,'Audit Values'!$A$2:$BU$353,63,FALSE))</f>
        <v>7180</v>
      </c>
      <c r="AC107" s="99">
        <v>0</v>
      </c>
      <c r="AD107" s="99">
        <f>IF(ISNA(VLOOKUP($CZ107,'Audit Values'!$A$2:$BU$353,2,FALSE)),'Preliminary SO66'!AP106,VLOOKUP($CZ107,'Audit Values'!$A$2:$BU$353,64,FALSE))</f>
        <v>3261</v>
      </c>
      <c r="AE107" s="95">
        <f>IF(A107=207, AD107,MAX(AC107,AD107))*'Weighting Factors'!$Q$9</f>
        <v>1578.3</v>
      </c>
      <c r="AF107" s="95">
        <f t="shared" si="49"/>
        <v>237.9</v>
      </c>
      <c r="AG107" s="95">
        <f>IF(ISNA(VLOOKUP($CZ107,'Audit Values'!$A$2:$BW$353,2,FALSE)),'Preliminary SO66'!AG106,VLOOKUP($CZ107,'Audit Values'!$A$2:$BW$353,70,FALSE))</f>
        <v>215.2</v>
      </c>
      <c r="AH107" s="95">
        <f t="shared" si="50"/>
        <v>237.9</v>
      </c>
      <c r="AI107" s="95">
        <f>IF(ISNA(VLOOKUP($CZ107,'Audit Values'!$A$2:$BU$353,2,FALSE)),'Preliminary SO66'!AQ106,VLOOKUP($CZ107,'Audit Values'!$A$2:$BU$353,65,FALSE))</f>
        <v>1185.9000000000001</v>
      </c>
      <c r="AJ107" s="95">
        <f>AI107*'Weighting Factors'!$Q$10</f>
        <v>296.5</v>
      </c>
      <c r="AK107" s="95">
        <f>IF(ISNA(VLOOKUP($CZ107,'Audit Values'!$A$2:$BU$353,2,FALSE)),'Preliminary SO66'!AR106,VLOOKUP($CZ107,'Audit Values'!$A$2:$BU$353,66,FALSE))</f>
        <v>1080</v>
      </c>
      <c r="AL107" s="95"/>
      <c r="AM107" s="99">
        <f t="shared" si="51"/>
        <v>658800</v>
      </c>
      <c r="AN107" s="99">
        <v>650603</v>
      </c>
      <c r="AO107" s="95">
        <f>MAX(AN107, AM107)/'Weighting Factors'!$Q$5</f>
        <v>158.19999999999999</v>
      </c>
      <c r="AP107" s="95">
        <f>CN107/'Weighting Factors'!$Q$5</f>
        <v>0</v>
      </c>
      <c r="AQ107" s="95">
        <v>0</v>
      </c>
      <c r="AR107" s="95">
        <f>CS107/'Weighting Factors'!$Q$5</f>
        <v>0</v>
      </c>
      <c r="AS107" s="99">
        <v>7698652</v>
      </c>
      <c r="AT107" s="95">
        <f>AS107/'Weighting Factors'!$Q$5</f>
        <v>1848.4</v>
      </c>
      <c r="AU107" s="95">
        <f>IF(ISNA(VLOOKUP($CZ107,'Audit Values'!$A$2:$BU$353,2,FALSE)),'Preliminary SO66'!X106,VLOOKUP($CZ107,'Audit Values'!$A$2:$BU$353,47,FALSE))</f>
        <v>1</v>
      </c>
      <c r="AV107" s="95">
        <f t="shared" si="52"/>
        <v>11826.1</v>
      </c>
      <c r="AW107" s="95">
        <f t="shared" si="53"/>
        <v>9977.7000000000007</v>
      </c>
      <c r="AX107" s="95">
        <f>IF(ISNA(VLOOKUP($CZ107,'Audit Values'!$A$2:$BU$353,2,FALSE)),'Preliminary SO66'!AA106,VLOOKUP($CZ107,'Audit Values'!$A$2:$BU$353,41,FALSE))</f>
        <v>0</v>
      </c>
      <c r="AY107" s="95">
        <f>IF(ISNA(VLOOKUP($CZ107,'Audit Values'!$A$2:$BU$353,2,FALSE)),'Preliminary SO66'!AB106,VLOOKUP($CZ107,'Audit Values'!$A$2:$BU$353,42,FALSE))</f>
        <v>1.6</v>
      </c>
      <c r="AZ107" s="114">
        <v>95</v>
      </c>
      <c r="BA107" s="99">
        <f>SUM(AX107*'Weighting Factors'!$T$10)+('2019 Legal Max'!AY107*'Weighting Factors'!$T$11)+('2019 Legal Max'!AZ107*'Weighting Factors'!$T$12)</f>
        <v>70075</v>
      </c>
      <c r="BB107" s="158">
        <v>0</v>
      </c>
      <c r="BC107" s="88">
        <f>IF(ISNA(VLOOKUP($CZ107,'Audit Values'!$A$2:$BU$353,2,FALSE)),"",IF(AND('Weighting Factors'!H107&gt;0,VLOOKUP($CZ107,'Audit Values'!$A$2:$BU$353,51,FALSE)&lt;'Weighting Factors'!H107),'Weighting Factors'!H107,VLOOKUP($CZ107,'Audit Values'!$A$2:$BU$353,50,FALSE)))</f>
        <v>21</v>
      </c>
      <c r="BD107" s="88" t="str">
        <f>IF(ISNA(VLOOKUP($CZ107,'Audit Values'!$A$2:$BV$353,2,FALSE)),"",VLOOKUP($CZ107,'Audit Values'!$A$2:$BV$353,51,FALSE))</f>
        <v>A</v>
      </c>
      <c r="BE107" s="88" t="str">
        <f>IF('Weighting Factors'!H107="","",IF('Weighting Factors'!J107="Pending","PX","R"))</f>
        <v/>
      </c>
      <c r="BF107" s="97">
        <f>SUM((S107+T107+Y107+AA107+AE107+AH107+AJ107++AO107+AP107+AQ107+AU107+AR107)*'Weighting Factors'!$Q$5)+'2019 Legal Max'!BA107+'2019 Legal Max'!BB107</f>
        <v>41627196</v>
      </c>
      <c r="BG107" s="99">
        <f>SUM((AV107+AR107)*'Weighting Factors'!$Q$5)+BA107+'2019 Legal Max'!BB107</f>
        <v>49325782</v>
      </c>
      <c r="BH107" s="108">
        <f>IF('Weighting Factors'!H107&gt;0,'Weighting Factors'!H107,'Preliminary SO66'!AV106)</f>
        <v>50991018</v>
      </c>
      <c r="BI107" s="99">
        <f t="shared" si="77"/>
        <v>49325782</v>
      </c>
      <c r="BJ107" s="112"/>
      <c r="BK107" s="112">
        <f>'Weighting Factors'!F107</f>
        <v>0</v>
      </c>
      <c r="BL107" s="112">
        <f>'Weighting Factors'!E107</f>
        <v>0</v>
      </c>
      <c r="BM107" s="99">
        <f t="shared" si="54"/>
        <v>0</v>
      </c>
      <c r="BN107" s="99">
        <f t="shared" si="55"/>
        <v>49325782</v>
      </c>
      <c r="BO107" s="99">
        <f>SUM((S107+T107+Y107+AA107+AE107+AH107+AJ107++AO107+AP107+AQ107+AR107)*'Weighting Factors'!Q$12)+(MAX(AS107,'Weighting Factors'!B107))</f>
        <v>52494035</v>
      </c>
      <c r="BP107" s="122">
        <v>0.33</v>
      </c>
      <c r="BQ107" s="99">
        <f t="shared" si="56"/>
        <v>17323032</v>
      </c>
      <c r="BR107" s="108">
        <v>16600000</v>
      </c>
      <c r="BS107" s="99">
        <f t="shared" si="57"/>
        <v>16600000</v>
      </c>
      <c r="BT107" s="167">
        <f t="shared" si="58"/>
        <v>0.31619999999999998</v>
      </c>
      <c r="BU107" s="95">
        <f t="shared" si="59"/>
        <v>0</v>
      </c>
      <c r="BV107" s="87" t="b">
        <f t="shared" si="60"/>
        <v>0</v>
      </c>
      <c r="BW107" s="117">
        <f t="shared" si="61"/>
        <v>0</v>
      </c>
      <c r="BX107" s="116">
        <f t="shared" si="62"/>
        <v>0</v>
      </c>
      <c r="BY107" s="95">
        <f t="shared" si="63"/>
        <v>0</v>
      </c>
      <c r="BZ107" s="87" t="b">
        <f t="shared" si="64"/>
        <v>0</v>
      </c>
      <c r="CA107" s="87">
        <f t="shared" si="65"/>
        <v>0</v>
      </c>
      <c r="CB107" s="116">
        <f t="shared" si="66"/>
        <v>0</v>
      </c>
      <c r="CC107" s="95">
        <f t="shared" si="67"/>
        <v>0</v>
      </c>
      <c r="CD107" s="95">
        <f t="shared" si="68"/>
        <v>251.4</v>
      </c>
      <c r="CE107" s="98">
        <v>93</v>
      </c>
      <c r="CF107" s="250">
        <f t="shared" si="69"/>
        <v>11.613</v>
      </c>
      <c r="CG107" s="274">
        <f>IF(CF107&lt;0.06,1,IF(CF107&gt;=18.29,52,MATCH(CF107-0.001,'Weighting Factors'!$Y$5:$Y$156)+1))</f>
        <v>49</v>
      </c>
      <c r="CH107" s="243">
        <f>VLOOKUP(CG107, 'Weighting Factors'!$W$5:$Z$56,4)</f>
        <v>610</v>
      </c>
      <c r="CI107" s="118">
        <f>('Weighting Factors'!$Q$5/'Weighting Factors'!$Q$14)</f>
        <v>1</v>
      </c>
      <c r="CJ107" s="245">
        <f t="shared" si="70"/>
        <v>658800</v>
      </c>
      <c r="CK107" s="245">
        <f>CJ107*'Weighting Factors'!$S$7</f>
        <v>658800</v>
      </c>
      <c r="CL107" s="245">
        <f t="shared" si="71"/>
        <v>658800</v>
      </c>
      <c r="CM107" s="95">
        <f>AM107/'Weighting Factors'!$Q$5</f>
        <v>158.19999999999999</v>
      </c>
      <c r="CN107" s="148">
        <v>0</v>
      </c>
      <c r="CO107" s="148">
        <v>0</v>
      </c>
      <c r="CP107" s="149">
        <v>0</v>
      </c>
      <c r="CQ107" s="151">
        <v>0</v>
      </c>
      <c r="CR107" s="99">
        <f>SUM((AV107*'Weighting Factors'!$Q$5)+'2019 Legal Max'!BA107)*CQ107</f>
        <v>0</v>
      </c>
      <c r="CS107" s="99">
        <f t="shared" si="72"/>
        <v>0</v>
      </c>
      <c r="CT107" s="106">
        <f t="shared" si="73"/>
        <v>0.45419999999999999</v>
      </c>
      <c r="CU107" s="95">
        <f t="shared" si="74"/>
        <v>0</v>
      </c>
      <c r="CV107" s="95">
        <f t="shared" si="75"/>
        <v>237.9</v>
      </c>
      <c r="CW107" s="95">
        <f t="shared" si="76"/>
        <v>11826.1</v>
      </c>
      <c r="CX107" s="99">
        <f>'LOB Transfers'!G106</f>
        <v>2221080</v>
      </c>
      <c r="CY107" s="99">
        <f>'LOB Transfers'!J106</f>
        <v>182600</v>
      </c>
      <c r="CZ107" s="87" t="s">
        <v>299</v>
      </c>
    </row>
    <row r="108" spans="1:104" ht="15" customHeight="1">
      <c r="A108" s="88">
        <v>306</v>
      </c>
      <c r="B108" s="87" t="s">
        <v>48</v>
      </c>
      <c r="C108" s="87" t="s">
        <v>621</v>
      </c>
      <c r="D108" s="95">
        <v>670.5</v>
      </c>
      <c r="E108" s="95">
        <v>0</v>
      </c>
      <c r="F108" s="95">
        <f t="shared" si="43"/>
        <v>670.5</v>
      </c>
      <c r="G108" s="95">
        <v>691</v>
      </c>
      <c r="H108" s="95">
        <v>0</v>
      </c>
      <c r="I108" s="95">
        <f t="shared" si="44"/>
        <v>691</v>
      </c>
      <c r="J108" s="95">
        <v>658</v>
      </c>
      <c r="K108" s="95">
        <v>0</v>
      </c>
      <c r="L108" s="95">
        <f t="shared" si="45"/>
        <v>658</v>
      </c>
      <c r="M108" s="95">
        <f>IF(ISNA(VLOOKUP($CZ108,'Audit Values'!$A$2:$BW$365,2,FALSE)),'Preliminary SO66'!C107,VLOOKUP($CZ108,'Audit Values'!$A$2:$BW$365,73,FALSE))</f>
        <v>687.5</v>
      </c>
      <c r="N108" s="95">
        <f>IF(ISNA(VLOOKUP($CZ108,'Audit Values'!$A$2:$BW$365,2,FALSE)),'Preliminary SO66'!F107,VLOOKUP($CZ108,'Audit Values'!$A$2:$BW$365,4,FALSE))</f>
        <v>0</v>
      </c>
      <c r="O108" s="95">
        <f t="shared" si="46"/>
        <v>687.5</v>
      </c>
      <c r="P108" s="95">
        <f>IF('Military Provision'!J109="YES", MAX('2019 Legal Max'!L108,'2019 Legal Max'!I108,AVERAGE('2019 Legal Max'!F108,'2019 Legal Max'!I108,'2019 Legal Max'!L108)), MAX(L108, I108))</f>
        <v>691</v>
      </c>
      <c r="Q108" s="95">
        <f>IF(ISNA(VLOOKUP($CZ108,'Audit Values'!$A$2:$BU$353,2,FALSE)),'Preliminary SO66'!AL107,VLOOKUP($CZ108,'Audit Values'!$A$2:$BU$3955,58,FALSE))</f>
        <v>0</v>
      </c>
      <c r="R108" s="95">
        <v>0</v>
      </c>
      <c r="S108" s="95">
        <f t="shared" si="78"/>
        <v>691</v>
      </c>
      <c r="T108" s="95">
        <f t="shared" si="47"/>
        <v>242.8</v>
      </c>
      <c r="U108" s="95">
        <f>IF(ISNA(VLOOKUP($CZ108,'Audit Values'!$A$2:$BW$317,2,FALSE)),'Preliminary SO66'!AM107,VLOOKUP($CZ108,'Audit Values'!$A$2:$BW$317,62,FALSE))</f>
        <v>0</v>
      </c>
      <c r="V108" s="95">
        <f>(U108/6)*'Weighting Factors'!$Q$7</f>
        <v>0</v>
      </c>
      <c r="W108" s="132">
        <f>IF(ISNA(VLOOKUP($CZ108,'Audit Values'!$A$2:$BW$353,2,FALSE)),'Preliminary SO66'!AN107,VLOOKUP($CZ108,'Audit Values'!$A$2:$BW$353,61,FALSE))</f>
        <v>0</v>
      </c>
      <c r="X108" s="95">
        <f>W108*'Weighting Factors'!$Q$8</f>
        <v>0</v>
      </c>
      <c r="Y108" s="95">
        <f t="shared" si="48"/>
        <v>0</v>
      </c>
      <c r="Z108" s="276">
        <f>IF(ISNA(VLOOKUP($CZ108,'Audit Values'!$A$2:$BW$317,2,FALSE)),'Preliminary SO66'!AO107,VLOOKUP($CZ108,'Audit Values'!$A$2:$BW$317,60,FALSE))</f>
        <v>280.60000000000002</v>
      </c>
      <c r="AA108" s="95">
        <f>Z108/6*'Weighting Factors'!$Q$6</f>
        <v>23.4</v>
      </c>
      <c r="AB108" s="99">
        <f>IF(ISNA(VLOOKUP($CZ108,'Audit Values'!$A$2:$BU$353,2,FALSE)),'Preliminary SO66'!AS107,VLOOKUP($CZ108,'Audit Values'!$A$2:$BU$353,63,FALSE))</f>
        <v>688</v>
      </c>
      <c r="AC108" s="99">
        <v>0</v>
      </c>
      <c r="AD108" s="99">
        <f>IF(ISNA(VLOOKUP($CZ108,'Audit Values'!$A$2:$BU$353,2,FALSE)),'Preliminary SO66'!AP107,VLOOKUP($CZ108,'Audit Values'!$A$2:$BU$353,64,FALSE))</f>
        <v>134</v>
      </c>
      <c r="AE108" s="95">
        <f>IF(A108=207, AD108,MAX(AC108,AD108))*'Weighting Factors'!$Q$9</f>
        <v>64.900000000000006</v>
      </c>
      <c r="AF108" s="95">
        <f t="shared" si="49"/>
        <v>0</v>
      </c>
      <c r="AG108" s="95">
        <f>IF(ISNA(VLOOKUP($CZ108,'Audit Values'!$A$2:$BW$353,2,FALSE)),'Preliminary SO66'!AG107,VLOOKUP($CZ108,'Audit Values'!$A$2:$BW$353,70,FALSE))</f>
        <v>0</v>
      </c>
      <c r="AH108" s="95">
        <f t="shared" si="50"/>
        <v>0</v>
      </c>
      <c r="AI108" s="95">
        <f>IF(ISNA(VLOOKUP($CZ108,'Audit Values'!$A$2:$BU$353,2,FALSE)),'Preliminary SO66'!AQ107,VLOOKUP($CZ108,'Audit Values'!$A$2:$BU$353,65,FALSE))</f>
        <v>0</v>
      </c>
      <c r="AJ108" s="95">
        <f>AI108*'Weighting Factors'!$Q$10</f>
        <v>0</v>
      </c>
      <c r="AK108" s="95">
        <f>IF(ISNA(VLOOKUP($CZ108,'Audit Values'!$A$2:$BU$353,2,FALSE)),'Preliminary SO66'!AR107,VLOOKUP($CZ108,'Audit Values'!$A$2:$BU$353,66,FALSE))</f>
        <v>451</v>
      </c>
      <c r="AL108" s="95"/>
      <c r="AM108" s="99">
        <f t="shared" si="51"/>
        <v>374330</v>
      </c>
      <c r="AN108" s="99">
        <v>383659</v>
      </c>
      <c r="AO108" s="95">
        <f>MAX(AN108, AM108)/'Weighting Factors'!$Q$5</f>
        <v>92.1</v>
      </c>
      <c r="AP108" s="95">
        <f>CN108/'Weighting Factors'!$Q$5</f>
        <v>0</v>
      </c>
      <c r="AQ108" s="95">
        <v>0</v>
      </c>
      <c r="AR108" s="95">
        <f>CS108/'Weighting Factors'!$Q$5</f>
        <v>0</v>
      </c>
      <c r="AS108" s="99">
        <v>662455</v>
      </c>
      <c r="AT108" s="95">
        <f>AS108/'Weighting Factors'!$Q$5</f>
        <v>159.1</v>
      </c>
      <c r="AU108" s="95">
        <f>IF(ISNA(VLOOKUP($CZ108,'Audit Values'!$A$2:$BU$353,2,FALSE)),'Preliminary SO66'!X107,VLOOKUP($CZ108,'Audit Values'!$A$2:$BU$353,47,FALSE))</f>
        <v>0</v>
      </c>
      <c r="AV108" s="95">
        <f t="shared" si="52"/>
        <v>1273.3</v>
      </c>
      <c r="AW108" s="95">
        <f t="shared" si="53"/>
        <v>1114.2</v>
      </c>
      <c r="AX108" s="95">
        <f>IF(ISNA(VLOOKUP($CZ108,'Audit Values'!$A$2:$BU$353,2,FALSE)),'Preliminary SO66'!AA107,VLOOKUP($CZ108,'Audit Values'!$A$2:$BU$353,41,FALSE))</f>
        <v>0</v>
      </c>
      <c r="AY108" s="95">
        <f>IF(ISNA(VLOOKUP($CZ108,'Audit Values'!$A$2:$BU$353,2,FALSE)),'Preliminary SO66'!AB107,VLOOKUP($CZ108,'Audit Values'!$A$2:$BU$353,42,FALSE))</f>
        <v>0</v>
      </c>
      <c r="AZ108" s="114">
        <v>0</v>
      </c>
      <c r="BA108" s="99">
        <f>SUM(AX108*'Weighting Factors'!$T$10)+('2019 Legal Max'!AY108*'Weighting Factors'!$T$11)+('2019 Legal Max'!AZ108*'Weighting Factors'!$T$12)</f>
        <v>0</v>
      </c>
      <c r="BB108" s="158">
        <v>0</v>
      </c>
      <c r="BC108" s="88">
        <f>IF(ISNA(VLOOKUP($CZ108,'Audit Values'!$A$2:$BU$353,2,FALSE)),"",IF(AND('Weighting Factors'!H108&gt;0,VLOOKUP($CZ108,'Audit Values'!$A$2:$BU$353,51,FALSE)&lt;'Weighting Factors'!H108),'Weighting Factors'!H108,VLOOKUP($CZ108,'Audit Values'!$A$2:$BU$353,50,FALSE)))</f>
        <v>25</v>
      </c>
      <c r="BD108" s="88" t="str">
        <f>IF(ISNA(VLOOKUP($CZ108,'Audit Values'!$A$2:$BV$353,2,FALSE)),"",VLOOKUP($CZ108,'Audit Values'!$A$2:$BV$353,51,FALSE))</f>
        <v>A</v>
      </c>
      <c r="BE108" s="88" t="str">
        <f>IF('Weighting Factors'!H108="","",IF('Weighting Factors'!J108="Pending","PX","R"))</f>
        <v>R</v>
      </c>
      <c r="BF108" s="97">
        <f>SUM((S108+T108+Y108+AA108+AE108+AH108+AJ108++AO108+AP108+AQ108+AU108+AR108)*'Weighting Factors'!$Q$5)+'2019 Legal Max'!BA108+'2019 Legal Max'!BB108</f>
        <v>4640643</v>
      </c>
      <c r="BG108" s="99">
        <f>SUM((AV108+AR108)*'Weighting Factors'!$Q$5)+BA108+'2019 Legal Max'!BB108</f>
        <v>5303295</v>
      </c>
      <c r="BH108" s="108">
        <f>IF('Weighting Factors'!H108&gt;0,'Weighting Factors'!H108,'Preliminary SO66'!AV107)</f>
        <v>5354108</v>
      </c>
      <c r="BI108" s="99">
        <f t="shared" si="77"/>
        <v>5303295</v>
      </c>
      <c r="BJ108" s="112"/>
      <c r="BK108" s="112">
        <f>'Weighting Factors'!F108</f>
        <v>-2709</v>
      </c>
      <c r="BL108" s="112">
        <f>'Weighting Factors'!E108</f>
        <v>0</v>
      </c>
      <c r="BM108" s="99">
        <f t="shared" si="54"/>
        <v>-2709</v>
      </c>
      <c r="BN108" s="99">
        <f t="shared" si="55"/>
        <v>5300586</v>
      </c>
      <c r="BO108" s="99">
        <f>SUM((S108+T108+Y108+AA108+AE108+AH108+AJ108++AO108+AP108+AQ108+AR108)*'Weighting Factors'!Q$12)+(MAX(AS108,'Weighting Factors'!B108))</f>
        <v>5665213</v>
      </c>
      <c r="BP108" s="122">
        <v>0.3</v>
      </c>
      <c r="BQ108" s="99">
        <f t="shared" si="56"/>
        <v>1699564</v>
      </c>
      <c r="BR108" s="108">
        <v>1693578</v>
      </c>
      <c r="BS108" s="99">
        <f t="shared" si="57"/>
        <v>1693578</v>
      </c>
      <c r="BT108" s="167">
        <f t="shared" si="58"/>
        <v>0.2989</v>
      </c>
      <c r="BU108" s="95">
        <f t="shared" si="59"/>
        <v>0</v>
      </c>
      <c r="BV108" s="87" t="b">
        <f t="shared" si="60"/>
        <v>0</v>
      </c>
      <c r="BW108" s="117">
        <f t="shared" si="61"/>
        <v>0</v>
      </c>
      <c r="BX108" s="116">
        <f t="shared" si="62"/>
        <v>0</v>
      </c>
      <c r="BY108" s="95">
        <f t="shared" si="63"/>
        <v>0</v>
      </c>
      <c r="BZ108" s="87" t="b">
        <f t="shared" si="64"/>
        <v>1</v>
      </c>
      <c r="CA108" s="87">
        <f t="shared" si="65"/>
        <v>483.86250000000001</v>
      </c>
      <c r="CB108" s="116">
        <f t="shared" si="66"/>
        <v>0.35134500000000002</v>
      </c>
      <c r="CC108" s="95">
        <f t="shared" si="67"/>
        <v>242.8</v>
      </c>
      <c r="CD108" s="95">
        <f t="shared" si="68"/>
        <v>0</v>
      </c>
      <c r="CE108" s="98">
        <v>217.5</v>
      </c>
      <c r="CF108" s="250">
        <f t="shared" si="69"/>
        <v>2.0739999999999998</v>
      </c>
      <c r="CG108" s="274">
        <f>IF(CF108&lt;0.06,1,IF(CF108&gt;=18.29,52,MATCH(CF108-0.001,'Weighting Factors'!$Y$5:$Y$156)+1))</f>
        <v>38</v>
      </c>
      <c r="CH108" s="243">
        <f>VLOOKUP(CG108, 'Weighting Factors'!$W$5:$Z$56,4)</f>
        <v>830</v>
      </c>
      <c r="CI108" s="118">
        <f>('Weighting Factors'!$Q$5/'Weighting Factors'!$Q$14)</f>
        <v>1</v>
      </c>
      <c r="CJ108" s="245">
        <f t="shared" si="70"/>
        <v>374330</v>
      </c>
      <c r="CK108" s="245">
        <f>CJ108*'Weighting Factors'!$S$7</f>
        <v>374330</v>
      </c>
      <c r="CL108" s="245">
        <f t="shared" si="71"/>
        <v>374330</v>
      </c>
      <c r="CM108" s="95">
        <f>AM108/'Weighting Factors'!$Q$5</f>
        <v>89.9</v>
      </c>
      <c r="CN108" s="148">
        <v>0</v>
      </c>
      <c r="CO108" s="148">
        <v>0</v>
      </c>
      <c r="CP108" s="149">
        <v>0</v>
      </c>
      <c r="CQ108" s="151">
        <v>0</v>
      </c>
      <c r="CR108" s="99">
        <f>SUM((AV108*'Weighting Factors'!$Q$5)+'2019 Legal Max'!BA108)*CQ108</f>
        <v>0</v>
      </c>
      <c r="CS108" s="99">
        <f t="shared" si="72"/>
        <v>0</v>
      </c>
      <c r="CT108" s="106">
        <f t="shared" si="73"/>
        <v>0.1948</v>
      </c>
      <c r="CU108" s="95">
        <f t="shared" si="74"/>
        <v>0</v>
      </c>
      <c r="CV108" s="95">
        <f t="shared" si="75"/>
        <v>0</v>
      </c>
      <c r="CW108" s="95">
        <f t="shared" si="76"/>
        <v>1273.3</v>
      </c>
      <c r="CX108" s="99">
        <f>'LOB Transfers'!G107</f>
        <v>86372</v>
      </c>
      <c r="CY108" s="99">
        <f>'LOB Transfers'!J107</f>
        <v>0</v>
      </c>
      <c r="CZ108" s="87" t="s">
        <v>300</v>
      </c>
    </row>
    <row r="109" spans="1:104" ht="15" customHeight="1">
      <c r="A109" s="88">
        <v>307</v>
      </c>
      <c r="B109" s="87" t="s">
        <v>48</v>
      </c>
      <c r="C109" s="87" t="s">
        <v>622</v>
      </c>
      <c r="D109" s="95">
        <v>445.5</v>
      </c>
      <c r="E109" s="95">
        <v>0</v>
      </c>
      <c r="F109" s="95">
        <f t="shared" si="43"/>
        <v>445.5</v>
      </c>
      <c r="G109" s="95">
        <v>460</v>
      </c>
      <c r="H109" s="95">
        <v>0</v>
      </c>
      <c r="I109" s="95">
        <f t="shared" si="44"/>
        <v>460</v>
      </c>
      <c r="J109" s="95">
        <v>449</v>
      </c>
      <c r="K109" s="95">
        <v>0</v>
      </c>
      <c r="L109" s="95">
        <f t="shared" si="45"/>
        <v>449</v>
      </c>
      <c r="M109" s="95">
        <f>IF(ISNA(VLOOKUP($CZ109,'Audit Values'!$A$2:$BW$365,2,FALSE)),'Preliminary SO66'!C108,VLOOKUP($CZ109,'Audit Values'!$A$2:$BW$365,73,FALSE))</f>
        <v>460</v>
      </c>
      <c r="N109" s="95">
        <f>IF(ISNA(VLOOKUP($CZ109,'Audit Values'!$A$2:$BW$365,2,FALSE)),'Preliminary SO66'!F108,VLOOKUP($CZ109,'Audit Values'!$A$2:$BW$365,4,FALSE))</f>
        <v>0</v>
      </c>
      <c r="O109" s="95">
        <f t="shared" si="46"/>
        <v>460</v>
      </c>
      <c r="P109" s="95">
        <f>IF('Military Provision'!J110="YES", MAX('2019 Legal Max'!L109,'2019 Legal Max'!I109,AVERAGE('2019 Legal Max'!F109,'2019 Legal Max'!I109,'2019 Legal Max'!L109)), MAX(L109, I109))</f>
        <v>460</v>
      </c>
      <c r="Q109" s="95">
        <f>IF(ISNA(VLOOKUP($CZ109,'Audit Values'!$A$2:$BU$353,2,FALSE)),'Preliminary SO66'!AL108,VLOOKUP($CZ109,'Audit Values'!$A$2:$BU$3955,58,FALSE))</f>
        <v>7</v>
      </c>
      <c r="R109" s="95">
        <v>0</v>
      </c>
      <c r="S109" s="95">
        <f t="shared" si="78"/>
        <v>467</v>
      </c>
      <c r="T109" s="95">
        <f t="shared" si="47"/>
        <v>199.6</v>
      </c>
      <c r="U109" s="95">
        <f>IF(ISNA(VLOOKUP($CZ109,'Audit Values'!$A$2:$BW$317,2,FALSE)),'Preliminary SO66'!AM108,VLOOKUP($CZ109,'Audit Values'!$A$2:$BW$317,62,FALSE))</f>
        <v>38</v>
      </c>
      <c r="V109" s="95">
        <f>(U109/6)*'Weighting Factors'!$Q$7</f>
        <v>2.5</v>
      </c>
      <c r="W109" s="132">
        <f>IF(ISNA(VLOOKUP($CZ109,'Audit Values'!$A$2:$BW$353,2,FALSE)),'Preliminary SO66'!AN108,VLOOKUP($CZ109,'Audit Values'!$A$2:$BW$353,61,FALSE))</f>
        <v>21</v>
      </c>
      <c r="X109" s="95">
        <f>W109*'Weighting Factors'!$Q$8</f>
        <v>3.9</v>
      </c>
      <c r="Y109" s="95">
        <f t="shared" si="48"/>
        <v>3.9</v>
      </c>
      <c r="Z109" s="276">
        <f>IF(ISNA(VLOOKUP($CZ109,'Audit Values'!$A$2:$BW$317,2,FALSE)),'Preliminary SO66'!AO108,VLOOKUP($CZ109,'Audit Values'!$A$2:$BW$317,60,FALSE))</f>
        <v>155.5</v>
      </c>
      <c r="AA109" s="95">
        <f>Z109/6*'Weighting Factors'!$Q$6</f>
        <v>13</v>
      </c>
      <c r="AB109" s="99">
        <f>IF(ISNA(VLOOKUP($CZ109,'Audit Values'!$A$2:$BU$353,2,FALSE)),'Preliminary SO66'!AS108,VLOOKUP($CZ109,'Audit Values'!$A$2:$BU$353,63,FALSE))</f>
        <v>477</v>
      </c>
      <c r="AC109" s="99">
        <v>0</v>
      </c>
      <c r="AD109" s="99">
        <f>IF(ISNA(VLOOKUP($CZ109,'Audit Values'!$A$2:$BU$353,2,FALSE)),'Preliminary SO66'!AP108,VLOOKUP($CZ109,'Audit Values'!$A$2:$BU$353,64,FALSE))</f>
        <v>124</v>
      </c>
      <c r="AE109" s="95">
        <f>IF(A109=207, AD109,MAX(AC109,AD109))*'Weighting Factors'!$Q$9</f>
        <v>60</v>
      </c>
      <c r="AF109" s="95">
        <f t="shared" si="49"/>
        <v>0</v>
      </c>
      <c r="AG109" s="95">
        <f>IF(ISNA(VLOOKUP($CZ109,'Audit Values'!$A$2:$BW$353,2,FALSE)),'Preliminary SO66'!AG108,VLOOKUP($CZ109,'Audit Values'!$A$2:$BW$353,70,FALSE))</f>
        <v>0</v>
      </c>
      <c r="AH109" s="95">
        <f t="shared" si="50"/>
        <v>0</v>
      </c>
      <c r="AI109" s="95">
        <f>IF(ISNA(VLOOKUP($CZ109,'Audit Values'!$A$2:$BU$353,2,FALSE)),'Preliminary SO66'!AQ108,VLOOKUP($CZ109,'Audit Values'!$A$2:$BU$353,65,FALSE))</f>
        <v>0</v>
      </c>
      <c r="AJ109" s="95">
        <f>AI109*'Weighting Factors'!$Q$10</f>
        <v>0</v>
      </c>
      <c r="AK109" s="95">
        <f>IF(ISNA(VLOOKUP($CZ109,'Audit Values'!$A$2:$BU$353,2,FALSE)),'Preliminary SO66'!AR108,VLOOKUP($CZ109,'Audit Values'!$A$2:$BU$353,66,FALSE))</f>
        <v>184</v>
      </c>
      <c r="AL109" s="95"/>
      <c r="AM109" s="99">
        <f t="shared" si="51"/>
        <v>182160</v>
      </c>
      <c r="AN109" s="99">
        <v>227268</v>
      </c>
      <c r="AO109" s="95">
        <f>MAX(AN109, AM109)/'Weighting Factors'!$Q$5</f>
        <v>54.6</v>
      </c>
      <c r="AP109" s="95">
        <f>CN109/'Weighting Factors'!$Q$5</f>
        <v>0</v>
      </c>
      <c r="AQ109" s="95">
        <v>0</v>
      </c>
      <c r="AR109" s="95">
        <f>CS109/'Weighting Factors'!$Q$5</f>
        <v>0</v>
      </c>
      <c r="AS109" s="99">
        <v>446896</v>
      </c>
      <c r="AT109" s="95">
        <f>AS109/'Weighting Factors'!$Q$5</f>
        <v>107.3</v>
      </c>
      <c r="AU109" s="95">
        <f>IF(ISNA(VLOOKUP($CZ109,'Audit Values'!$A$2:$BU$353,2,FALSE)),'Preliminary SO66'!X108,VLOOKUP($CZ109,'Audit Values'!$A$2:$BU$353,47,FALSE))</f>
        <v>0</v>
      </c>
      <c r="AV109" s="95">
        <f t="shared" si="52"/>
        <v>905.4</v>
      </c>
      <c r="AW109" s="95">
        <f t="shared" si="53"/>
        <v>798.1</v>
      </c>
      <c r="AX109" s="95">
        <f>IF(ISNA(VLOOKUP($CZ109,'Audit Values'!$A$2:$BU$353,2,FALSE)),'Preliminary SO66'!AA108,VLOOKUP($CZ109,'Audit Values'!$A$2:$BU$353,41,FALSE))</f>
        <v>0</v>
      </c>
      <c r="AY109" s="95">
        <f>IF(ISNA(VLOOKUP($CZ109,'Audit Values'!$A$2:$BU$353,2,FALSE)),'Preliminary SO66'!AB108,VLOOKUP($CZ109,'Audit Values'!$A$2:$BU$353,42,FALSE))</f>
        <v>0</v>
      </c>
      <c r="AZ109" s="114">
        <v>0</v>
      </c>
      <c r="BA109" s="99">
        <f>SUM(AX109*'Weighting Factors'!$T$10)+('2019 Legal Max'!AY109*'Weighting Factors'!$T$11)+('2019 Legal Max'!AZ109*'Weighting Factors'!$T$12)</f>
        <v>0</v>
      </c>
      <c r="BB109" s="158">
        <v>0</v>
      </c>
      <c r="BC109" s="88">
        <f>IF(ISNA(VLOOKUP($CZ109,'Audit Values'!$A$2:$BU$353,2,FALSE)),"",IF(AND('Weighting Factors'!H109&gt;0,VLOOKUP($CZ109,'Audit Values'!$A$2:$BU$353,51,FALSE)&lt;'Weighting Factors'!H109),'Weighting Factors'!H109,VLOOKUP($CZ109,'Audit Values'!$A$2:$BU$353,50,FALSE)))</f>
        <v>19</v>
      </c>
      <c r="BD109" s="88" t="str">
        <f>IF(ISNA(VLOOKUP($CZ109,'Audit Values'!$A$2:$BV$353,2,FALSE)),"",VLOOKUP($CZ109,'Audit Values'!$A$2:$BV$353,51,FALSE))</f>
        <v>A</v>
      </c>
      <c r="BE109" s="88" t="str">
        <f>IF('Weighting Factors'!H109="","",IF('Weighting Factors'!J109="Pending","PX","R"))</f>
        <v/>
      </c>
      <c r="BF109" s="97">
        <f>SUM((S109+T109+Y109+AA109+AE109+AH109+AJ109++AO109+AP109+AQ109+AU109+AR109)*'Weighting Factors'!$Q$5)+'2019 Legal Max'!BA109+'2019 Legal Max'!BB109</f>
        <v>3324087</v>
      </c>
      <c r="BG109" s="99">
        <f>SUM((AV109+AR109)*'Weighting Factors'!$Q$5)+BA109+'2019 Legal Max'!BB109</f>
        <v>3770991</v>
      </c>
      <c r="BH109" s="108">
        <f>IF('Weighting Factors'!H109&gt;0,'Weighting Factors'!H109,'Preliminary SO66'!AV108)</f>
        <v>3937641</v>
      </c>
      <c r="BI109" s="99">
        <f t="shared" si="77"/>
        <v>3770991</v>
      </c>
      <c r="BJ109" s="112"/>
      <c r="BK109" s="112">
        <f>'Weighting Factors'!F109</f>
        <v>-16616</v>
      </c>
      <c r="BL109" s="112">
        <f>'Weighting Factors'!E109</f>
        <v>0</v>
      </c>
      <c r="BM109" s="99">
        <f t="shared" si="54"/>
        <v>-16616</v>
      </c>
      <c r="BN109" s="99">
        <f t="shared" si="55"/>
        <v>3754375</v>
      </c>
      <c r="BO109" s="99">
        <f>SUM((S109+T109+Y109+AA109+AE109+AH109+AJ109++AO109+AP109+AQ109+AR109)*'Weighting Factors'!Q$12)+(MAX(AS109,'Weighting Factors'!B109))</f>
        <v>4030365</v>
      </c>
      <c r="BP109" s="122">
        <v>0.33</v>
      </c>
      <c r="BQ109" s="99">
        <f t="shared" si="56"/>
        <v>1330020</v>
      </c>
      <c r="BR109" s="108">
        <v>1377110</v>
      </c>
      <c r="BS109" s="99">
        <f t="shared" si="57"/>
        <v>1330020</v>
      </c>
      <c r="BT109" s="167">
        <f t="shared" si="58"/>
        <v>0.33</v>
      </c>
      <c r="BU109" s="95">
        <f t="shared" si="59"/>
        <v>0</v>
      </c>
      <c r="BV109" s="87" t="b">
        <f t="shared" si="60"/>
        <v>0</v>
      </c>
      <c r="BW109" s="117">
        <f t="shared" si="61"/>
        <v>0</v>
      </c>
      <c r="BX109" s="116">
        <f t="shared" si="62"/>
        <v>0</v>
      </c>
      <c r="BY109" s="95">
        <f t="shared" si="63"/>
        <v>0</v>
      </c>
      <c r="BZ109" s="87" t="b">
        <f t="shared" si="64"/>
        <v>1</v>
      </c>
      <c r="CA109" s="87">
        <f t="shared" si="65"/>
        <v>206.66249999999999</v>
      </c>
      <c r="CB109" s="116">
        <f t="shared" si="66"/>
        <v>0.42744799999999999</v>
      </c>
      <c r="CC109" s="95">
        <f t="shared" si="67"/>
        <v>199.6</v>
      </c>
      <c r="CD109" s="95">
        <f t="shared" si="68"/>
        <v>0</v>
      </c>
      <c r="CE109" s="98">
        <v>225</v>
      </c>
      <c r="CF109" s="250">
        <f t="shared" si="69"/>
        <v>0.81799999999999995</v>
      </c>
      <c r="CG109" s="274">
        <f>IF(CF109&lt;0.06,1,IF(CF109&gt;=18.29,52,MATCH(CF109-0.001,'Weighting Factors'!$Y$5:$Y$156)+1))</f>
        <v>30</v>
      </c>
      <c r="CH109" s="243">
        <f>VLOOKUP(CG109, 'Weighting Factors'!$W$5:$Z$56,4)</f>
        <v>990</v>
      </c>
      <c r="CI109" s="118">
        <f>('Weighting Factors'!$Q$5/'Weighting Factors'!$Q$14)</f>
        <v>1</v>
      </c>
      <c r="CJ109" s="245">
        <f t="shared" si="70"/>
        <v>182160</v>
      </c>
      <c r="CK109" s="245">
        <f>CJ109*'Weighting Factors'!$S$7</f>
        <v>182160</v>
      </c>
      <c r="CL109" s="245">
        <f t="shared" si="71"/>
        <v>182160</v>
      </c>
      <c r="CM109" s="95">
        <f>AM109/'Weighting Factors'!$Q$5</f>
        <v>43.7</v>
      </c>
      <c r="CN109" s="148">
        <v>0</v>
      </c>
      <c r="CO109" s="148">
        <v>0</v>
      </c>
      <c r="CP109" s="149">
        <v>0</v>
      </c>
      <c r="CQ109" s="151">
        <v>0</v>
      </c>
      <c r="CR109" s="99">
        <f>SUM((AV109*'Weighting Factors'!$Q$5)+'2019 Legal Max'!BA109)*CQ109</f>
        <v>0</v>
      </c>
      <c r="CS109" s="99">
        <f t="shared" si="72"/>
        <v>0</v>
      </c>
      <c r="CT109" s="106">
        <f t="shared" si="73"/>
        <v>0.26</v>
      </c>
      <c r="CU109" s="95">
        <f t="shared" si="74"/>
        <v>0</v>
      </c>
      <c r="CV109" s="95">
        <f t="shared" si="75"/>
        <v>0</v>
      </c>
      <c r="CW109" s="95">
        <f t="shared" si="76"/>
        <v>905.4</v>
      </c>
      <c r="CX109" s="99">
        <f>'LOB Transfers'!G108</f>
        <v>88845</v>
      </c>
      <c r="CY109" s="99">
        <f>'LOB Transfers'!J108</f>
        <v>5719</v>
      </c>
      <c r="CZ109" s="87" t="s">
        <v>301</v>
      </c>
    </row>
    <row r="110" spans="1:104" ht="15" customHeight="1">
      <c r="A110" s="88">
        <v>308</v>
      </c>
      <c r="B110" s="87" t="s">
        <v>49</v>
      </c>
      <c r="C110" s="87" t="s">
        <v>623</v>
      </c>
      <c r="D110" s="95">
        <v>4677.7</v>
      </c>
      <c r="E110" s="95">
        <v>0</v>
      </c>
      <c r="F110" s="95">
        <f t="shared" si="43"/>
        <v>4677.7</v>
      </c>
      <c r="G110" s="95">
        <v>4469.3999999999996</v>
      </c>
      <c r="H110" s="95">
        <v>0</v>
      </c>
      <c r="I110" s="95">
        <f t="shared" si="44"/>
        <v>4469.3999999999996</v>
      </c>
      <c r="J110" s="95">
        <v>4448.1000000000004</v>
      </c>
      <c r="K110" s="95">
        <v>0</v>
      </c>
      <c r="L110" s="95">
        <f t="shared" si="45"/>
        <v>4448.1000000000004</v>
      </c>
      <c r="M110" s="95">
        <f>IF(ISNA(VLOOKUP($CZ110,'Audit Values'!$A$2:$BW$365,2,FALSE)),'Preliminary SO66'!C109,VLOOKUP($CZ110,'Audit Values'!$A$2:$BW$365,73,FALSE))</f>
        <v>4320.1000000000004</v>
      </c>
      <c r="N110" s="95">
        <f>IF(ISNA(VLOOKUP($CZ110,'Audit Values'!$A$2:$BW$365,2,FALSE)),'Preliminary SO66'!F109,VLOOKUP($CZ110,'Audit Values'!$A$2:$BW$365,4,FALSE))</f>
        <v>0</v>
      </c>
      <c r="O110" s="95">
        <f t="shared" si="46"/>
        <v>4320.1000000000004</v>
      </c>
      <c r="P110" s="95">
        <f>IF('Military Provision'!J111="YES", MAX('2019 Legal Max'!L110,'2019 Legal Max'!I110,AVERAGE('2019 Legal Max'!F110,'2019 Legal Max'!I110,'2019 Legal Max'!L110)), MAX(L110, I110))</f>
        <v>4469.3999999999996</v>
      </c>
      <c r="Q110" s="95">
        <f>IF(ISNA(VLOOKUP($CZ110,'Audit Values'!$A$2:$BU$353,2,FALSE)),'Preliminary SO66'!AL109,VLOOKUP($CZ110,'Audit Values'!$A$2:$BU$3955,58,FALSE))</f>
        <v>19</v>
      </c>
      <c r="R110" s="95">
        <v>0</v>
      </c>
      <c r="S110" s="95">
        <f t="shared" si="78"/>
        <v>4488.3999999999996</v>
      </c>
      <c r="T110" s="95">
        <f t="shared" si="47"/>
        <v>157.30000000000001</v>
      </c>
      <c r="U110" s="95">
        <f>IF(ISNA(VLOOKUP($CZ110,'Audit Values'!$A$2:$BW$317,2,FALSE)),'Preliminary SO66'!AM109,VLOOKUP($CZ110,'Audit Values'!$A$2:$BW$317,62,FALSE))</f>
        <v>490.8</v>
      </c>
      <c r="V110" s="95">
        <f>(U110/6)*'Weighting Factors'!$Q$7</f>
        <v>32.299999999999997</v>
      </c>
      <c r="W110" s="132">
        <f>IF(ISNA(VLOOKUP($CZ110,'Audit Values'!$A$2:$BW$353,2,FALSE)),'Preliminary SO66'!AN109,VLOOKUP($CZ110,'Audit Values'!$A$2:$BW$353,61,FALSE))</f>
        <v>189</v>
      </c>
      <c r="X110" s="95">
        <f>W110*'Weighting Factors'!$Q$8</f>
        <v>35</v>
      </c>
      <c r="Y110" s="95">
        <f t="shared" si="48"/>
        <v>35</v>
      </c>
      <c r="Z110" s="276">
        <f>IF(ISNA(VLOOKUP($CZ110,'Audit Values'!$A$2:$BW$317,2,FALSE)),'Preliminary SO66'!AO109,VLOOKUP($CZ110,'Audit Values'!$A$2:$BW$317,60,FALSE))</f>
        <v>1438.9</v>
      </c>
      <c r="AA110" s="95">
        <f>Z110/6*'Weighting Factors'!$Q$6</f>
        <v>119.9</v>
      </c>
      <c r="AB110" s="99">
        <f>IF(ISNA(VLOOKUP($CZ110,'Audit Values'!$A$2:$BU$353,2,FALSE)),'Preliminary SO66'!AS109,VLOOKUP($CZ110,'Audit Values'!$A$2:$BU$353,63,FALSE))</f>
        <v>4426</v>
      </c>
      <c r="AC110" s="99">
        <v>0</v>
      </c>
      <c r="AD110" s="99">
        <f>IF(ISNA(VLOOKUP($CZ110,'Audit Values'!$A$2:$BU$353,2,FALSE)),'Preliminary SO66'!AP109,VLOOKUP($CZ110,'Audit Values'!$A$2:$BU$353,64,FALSE))</f>
        <v>2369</v>
      </c>
      <c r="AE110" s="95">
        <f>IF(A110=207, AD110,MAX(AC110,AD110))*'Weighting Factors'!$Q$9</f>
        <v>1146.5999999999999</v>
      </c>
      <c r="AF110" s="95">
        <f t="shared" si="49"/>
        <v>248.7</v>
      </c>
      <c r="AG110" s="95">
        <f>IF(ISNA(VLOOKUP($CZ110,'Audit Values'!$A$2:$BW$353,2,FALSE)),'Preliminary SO66'!AG109,VLOOKUP($CZ110,'Audit Values'!$A$2:$BW$353,70,FALSE))</f>
        <v>223.5</v>
      </c>
      <c r="AH110" s="95">
        <f t="shared" si="50"/>
        <v>248.7</v>
      </c>
      <c r="AI110" s="95">
        <f>IF(ISNA(VLOOKUP($CZ110,'Audit Values'!$A$2:$BU$353,2,FALSE)),'Preliminary SO66'!AQ109,VLOOKUP($CZ110,'Audit Values'!$A$2:$BU$353,65,FALSE))</f>
        <v>0</v>
      </c>
      <c r="AJ110" s="95">
        <f>AI110*'Weighting Factors'!$Q$10</f>
        <v>0</v>
      </c>
      <c r="AK110" s="95">
        <f>IF(ISNA(VLOOKUP($CZ110,'Audit Values'!$A$2:$BU$353,2,FALSE)),'Preliminary SO66'!AR109,VLOOKUP($CZ110,'Audit Values'!$A$2:$BU$353,66,FALSE))</f>
        <v>31.5</v>
      </c>
      <c r="AL110" s="95"/>
      <c r="AM110" s="99">
        <f t="shared" si="51"/>
        <v>26145</v>
      </c>
      <c r="AN110" s="99">
        <v>36979</v>
      </c>
      <c r="AO110" s="95">
        <f>MAX(AN110, AM110)/'Weighting Factors'!$Q$5</f>
        <v>8.9</v>
      </c>
      <c r="AP110" s="95">
        <f>CN110/'Weighting Factors'!$Q$5</f>
        <v>0</v>
      </c>
      <c r="AQ110" s="95">
        <v>0</v>
      </c>
      <c r="AR110" s="95">
        <f>CS110/'Weighting Factors'!$Q$5</f>
        <v>0</v>
      </c>
      <c r="AS110" s="99">
        <v>4809560</v>
      </c>
      <c r="AT110" s="95">
        <f>AS110/'Weighting Factors'!$Q$5</f>
        <v>1154.8</v>
      </c>
      <c r="AU110" s="95">
        <f>IF(ISNA(VLOOKUP($CZ110,'Audit Values'!$A$2:$BU$353,2,FALSE)),'Preliminary SO66'!X109,VLOOKUP($CZ110,'Audit Values'!$A$2:$BU$353,47,FALSE))</f>
        <v>0</v>
      </c>
      <c r="AV110" s="95">
        <f t="shared" si="52"/>
        <v>7359.6</v>
      </c>
      <c r="AW110" s="95">
        <f t="shared" si="53"/>
        <v>6204.8</v>
      </c>
      <c r="AX110" s="95">
        <f>IF(ISNA(VLOOKUP($CZ110,'Audit Values'!$A$2:$BU$353,2,FALSE)),'Preliminary SO66'!AA109,VLOOKUP($CZ110,'Audit Values'!$A$2:$BU$353,41,FALSE))</f>
        <v>0</v>
      </c>
      <c r="AY110" s="95">
        <f>IF(ISNA(VLOOKUP($CZ110,'Audit Values'!$A$2:$BU$353,2,FALSE)),'Preliminary SO66'!AB109,VLOOKUP($CZ110,'Audit Values'!$A$2:$BU$353,42,FALSE))</f>
        <v>0</v>
      </c>
      <c r="AZ110" s="114">
        <v>0</v>
      </c>
      <c r="BA110" s="99">
        <f>SUM(AX110*'Weighting Factors'!$T$10)+('2019 Legal Max'!AY110*'Weighting Factors'!$T$11)+('2019 Legal Max'!AZ110*'Weighting Factors'!$T$12)</f>
        <v>0</v>
      </c>
      <c r="BB110" s="158">
        <v>0</v>
      </c>
      <c r="BC110" s="88">
        <f>IF(ISNA(VLOOKUP($CZ110,'Audit Values'!$A$2:$BU$353,2,FALSE)),"",IF(AND('Weighting Factors'!H110&gt;0,VLOOKUP($CZ110,'Audit Values'!$A$2:$BU$353,51,FALSE)&lt;'Weighting Factors'!H110),'Weighting Factors'!H110,VLOOKUP($CZ110,'Audit Values'!$A$2:$BU$353,50,FALSE)))</f>
        <v>19</v>
      </c>
      <c r="BD110" s="88" t="str">
        <f>IF(ISNA(VLOOKUP($CZ110,'Audit Values'!$A$2:$BV$353,2,FALSE)),"",VLOOKUP($CZ110,'Audit Values'!$A$2:$BV$353,51,FALSE))</f>
        <v>A</v>
      </c>
      <c r="BE110" s="88" t="str">
        <f>IF('Weighting Factors'!H110="","",IF('Weighting Factors'!J110="Pending","PX","R"))</f>
        <v/>
      </c>
      <c r="BF110" s="97">
        <f>SUM((S110+T110+Y110+AA110+AE110+AH110+AJ110++AO110+AP110+AQ110+AU110+AR110)*'Weighting Factors'!$Q$5)+'2019 Legal Max'!BA110+'2019 Legal Max'!BB110</f>
        <v>25842992</v>
      </c>
      <c r="BG110" s="99">
        <f>SUM((AV110+AR110)*'Weighting Factors'!$Q$5)+BA110+'2019 Legal Max'!BB110</f>
        <v>30652734</v>
      </c>
      <c r="BH110" s="108">
        <f>IF('Weighting Factors'!H110&gt;0,'Weighting Factors'!H110,'Preliminary SO66'!AV109)</f>
        <v>31399359</v>
      </c>
      <c r="BI110" s="99">
        <f t="shared" si="77"/>
        <v>30652734</v>
      </c>
      <c r="BJ110" s="112"/>
      <c r="BK110" s="112">
        <f>'Weighting Factors'!F110</f>
        <v>0</v>
      </c>
      <c r="BL110" s="112">
        <f>'Weighting Factors'!E110</f>
        <v>-709</v>
      </c>
      <c r="BM110" s="99">
        <f t="shared" si="54"/>
        <v>-709</v>
      </c>
      <c r="BN110" s="99">
        <f t="shared" si="55"/>
        <v>30652025</v>
      </c>
      <c r="BO110" s="99">
        <f>SUM((S110+T110+Y110+AA110+AE110+AH110+AJ110++AO110+AP110+AQ110+AR110)*'Weighting Factors'!Q$12)+(MAX(AS110,'Weighting Factors'!B110))</f>
        <v>32669112</v>
      </c>
      <c r="BP110" s="122">
        <v>0.3</v>
      </c>
      <c r="BQ110" s="99">
        <f t="shared" si="56"/>
        <v>9800734</v>
      </c>
      <c r="BR110" s="108">
        <v>9994677</v>
      </c>
      <c r="BS110" s="99">
        <f t="shared" si="57"/>
        <v>9800734</v>
      </c>
      <c r="BT110" s="167">
        <f t="shared" si="58"/>
        <v>0.3</v>
      </c>
      <c r="BU110" s="95">
        <f t="shared" si="59"/>
        <v>0</v>
      </c>
      <c r="BV110" s="87" t="b">
        <f t="shared" si="60"/>
        <v>0</v>
      </c>
      <c r="BW110" s="117">
        <f t="shared" si="61"/>
        <v>0</v>
      </c>
      <c r="BX110" s="116">
        <f t="shared" si="62"/>
        <v>0</v>
      </c>
      <c r="BY110" s="95">
        <f t="shared" si="63"/>
        <v>0</v>
      </c>
      <c r="BZ110" s="87" t="b">
        <f t="shared" si="64"/>
        <v>0</v>
      </c>
      <c r="CA110" s="87">
        <f t="shared" si="65"/>
        <v>0</v>
      </c>
      <c r="CB110" s="116">
        <f t="shared" si="66"/>
        <v>0</v>
      </c>
      <c r="CC110" s="95">
        <f t="shared" si="67"/>
        <v>0</v>
      </c>
      <c r="CD110" s="95">
        <f t="shared" si="68"/>
        <v>157.30000000000001</v>
      </c>
      <c r="CE110" s="98">
        <v>14</v>
      </c>
      <c r="CF110" s="250">
        <f t="shared" si="69"/>
        <v>2.25</v>
      </c>
      <c r="CG110" s="274">
        <f>IF(CF110&lt;0.06,1,IF(CF110&gt;=18.29,52,MATCH(CF110-0.001,'Weighting Factors'!$Y$5:$Y$156)+1))</f>
        <v>38</v>
      </c>
      <c r="CH110" s="243">
        <f>VLOOKUP(CG110, 'Weighting Factors'!$W$5:$Z$56,4)</f>
        <v>830</v>
      </c>
      <c r="CI110" s="118">
        <f>('Weighting Factors'!$Q$5/'Weighting Factors'!$Q$14)</f>
        <v>1</v>
      </c>
      <c r="CJ110" s="245">
        <f t="shared" si="70"/>
        <v>26145</v>
      </c>
      <c r="CK110" s="245">
        <f>CJ110*'Weighting Factors'!$S$7</f>
        <v>26145</v>
      </c>
      <c r="CL110" s="245">
        <f t="shared" si="71"/>
        <v>26145</v>
      </c>
      <c r="CM110" s="95">
        <f>AM110/'Weighting Factors'!$Q$5</f>
        <v>6.3</v>
      </c>
      <c r="CN110" s="148">
        <v>0</v>
      </c>
      <c r="CO110" s="148">
        <v>0</v>
      </c>
      <c r="CP110" s="149">
        <v>0</v>
      </c>
      <c r="CQ110" s="151">
        <v>0</v>
      </c>
      <c r="CR110" s="99">
        <f>SUM((AV110*'Weighting Factors'!$Q$5)+'2019 Legal Max'!BA110)*CQ110</f>
        <v>0</v>
      </c>
      <c r="CS110" s="99">
        <f t="shared" si="72"/>
        <v>0</v>
      </c>
      <c r="CT110" s="106">
        <f t="shared" si="73"/>
        <v>0.53520000000000001</v>
      </c>
      <c r="CU110" s="95">
        <f t="shared" si="74"/>
        <v>248.7</v>
      </c>
      <c r="CV110" s="95">
        <f t="shared" si="75"/>
        <v>0</v>
      </c>
      <c r="CW110" s="95">
        <f t="shared" si="76"/>
        <v>7359.6</v>
      </c>
      <c r="CX110" s="99">
        <f>'LOB Transfers'!G109</f>
        <v>1530875</v>
      </c>
      <c r="CY110" s="99">
        <f>'LOB Transfers'!J109</f>
        <v>47044</v>
      </c>
      <c r="CZ110" s="87" t="s">
        <v>302</v>
      </c>
    </row>
    <row r="111" spans="1:104" ht="15" customHeight="1">
      <c r="A111" s="88">
        <v>309</v>
      </c>
      <c r="B111" s="87" t="s">
        <v>49</v>
      </c>
      <c r="C111" s="87" t="s">
        <v>624</v>
      </c>
      <c r="D111" s="95">
        <v>1064</v>
      </c>
      <c r="E111" s="95">
        <v>0</v>
      </c>
      <c r="F111" s="95">
        <f t="shared" si="43"/>
        <v>1064</v>
      </c>
      <c r="G111" s="95">
        <v>1098.3</v>
      </c>
      <c r="H111" s="95">
        <v>0</v>
      </c>
      <c r="I111" s="95">
        <f t="shared" si="44"/>
        <v>1098.3</v>
      </c>
      <c r="J111" s="95">
        <v>1095</v>
      </c>
      <c r="K111" s="95">
        <v>0</v>
      </c>
      <c r="L111" s="95">
        <f t="shared" si="45"/>
        <v>1095</v>
      </c>
      <c r="M111" s="95">
        <f>IF(ISNA(VLOOKUP($CZ111,'Audit Values'!$A$2:$BW$365,2,FALSE)),'Preliminary SO66'!C110,VLOOKUP($CZ111,'Audit Values'!$A$2:$BW$365,73,FALSE))</f>
        <v>1076.4000000000001</v>
      </c>
      <c r="N111" s="95">
        <f>IF(ISNA(VLOOKUP($CZ111,'Audit Values'!$A$2:$BW$365,2,FALSE)),'Preliminary SO66'!F110,VLOOKUP($CZ111,'Audit Values'!$A$2:$BW$365,4,FALSE))</f>
        <v>0</v>
      </c>
      <c r="O111" s="95">
        <f t="shared" si="46"/>
        <v>1076.4000000000001</v>
      </c>
      <c r="P111" s="95">
        <f>IF('Military Provision'!J112="YES", MAX('2019 Legal Max'!L111,'2019 Legal Max'!I111,AVERAGE('2019 Legal Max'!F111,'2019 Legal Max'!I111,'2019 Legal Max'!L111)), MAX(L111, I111))</f>
        <v>1098.3</v>
      </c>
      <c r="Q111" s="95">
        <f>IF(ISNA(VLOOKUP($CZ111,'Audit Values'!$A$2:$BU$353,2,FALSE)),'Preliminary SO66'!AL110,VLOOKUP($CZ111,'Audit Values'!$A$2:$BU$3955,58,FALSE))</f>
        <v>10</v>
      </c>
      <c r="R111" s="95">
        <v>0</v>
      </c>
      <c r="S111" s="95">
        <f t="shared" si="78"/>
        <v>1108.3</v>
      </c>
      <c r="T111" s="95">
        <f t="shared" si="47"/>
        <v>232.3</v>
      </c>
      <c r="U111" s="95">
        <f>IF(ISNA(VLOOKUP($CZ111,'Audit Values'!$A$2:$BW$317,2,FALSE)),'Preliminary SO66'!AM110,VLOOKUP($CZ111,'Audit Values'!$A$2:$BW$317,62,FALSE))</f>
        <v>26.9</v>
      </c>
      <c r="V111" s="95">
        <f>(U111/6)*'Weighting Factors'!$Q$7</f>
        <v>1.8</v>
      </c>
      <c r="W111" s="132">
        <f>IF(ISNA(VLOOKUP($CZ111,'Audit Values'!$A$2:$BW$353,2,FALSE)),'Preliminary SO66'!AN110,VLOOKUP($CZ111,'Audit Values'!$A$2:$BW$353,61,FALSE))</f>
        <v>15</v>
      </c>
      <c r="X111" s="95">
        <f>W111*'Weighting Factors'!$Q$8</f>
        <v>2.8</v>
      </c>
      <c r="Y111" s="95">
        <f t="shared" si="48"/>
        <v>2.8</v>
      </c>
      <c r="Z111" s="276">
        <f>IF(ISNA(VLOOKUP($CZ111,'Audit Values'!$A$2:$BW$317,2,FALSE)),'Preliminary SO66'!AO110,VLOOKUP($CZ111,'Audit Values'!$A$2:$BW$317,60,FALSE))</f>
        <v>150.9</v>
      </c>
      <c r="AA111" s="95">
        <f>Z111/6*'Weighting Factors'!$Q$6</f>
        <v>12.6</v>
      </c>
      <c r="AB111" s="99">
        <f>IF(ISNA(VLOOKUP($CZ111,'Audit Values'!$A$2:$BU$353,2,FALSE)),'Preliminary SO66'!AS110,VLOOKUP($CZ111,'Audit Values'!$A$2:$BU$353,63,FALSE))</f>
        <v>1106</v>
      </c>
      <c r="AC111" s="99">
        <v>0</v>
      </c>
      <c r="AD111" s="99">
        <f>IF(ISNA(VLOOKUP($CZ111,'Audit Values'!$A$2:$BU$353,2,FALSE)),'Preliminary SO66'!AP110,VLOOKUP($CZ111,'Audit Values'!$A$2:$BU$353,64,FALSE))</f>
        <v>529</v>
      </c>
      <c r="AE111" s="95">
        <f>IF(A111=207, AD111,MAX(AC111,AD111))*'Weighting Factors'!$Q$9</f>
        <v>256</v>
      </c>
      <c r="AF111" s="95">
        <f t="shared" si="49"/>
        <v>47.5</v>
      </c>
      <c r="AG111" s="95">
        <f>IF(ISNA(VLOOKUP($CZ111,'Audit Values'!$A$2:$BW$353,2,FALSE)),'Preliminary SO66'!AG110,VLOOKUP($CZ111,'Audit Values'!$A$2:$BW$353,70,FALSE))</f>
        <v>41.7</v>
      </c>
      <c r="AH111" s="95">
        <f t="shared" si="50"/>
        <v>47.5</v>
      </c>
      <c r="AI111" s="95">
        <f>IF(ISNA(VLOOKUP($CZ111,'Audit Values'!$A$2:$BU$353,2,FALSE)),'Preliminary SO66'!AQ110,VLOOKUP($CZ111,'Audit Values'!$A$2:$BU$353,65,FALSE))</f>
        <v>0</v>
      </c>
      <c r="AJ111" s="95">
        <f>AI111*'Weighting Factors'!$Q$10</f>
        <v>0</v>
      </c>
      <c r="AK111" s="95">
        <f>IF(ISNA(VLOOKUP($CZ111,'Audit Values'!$A$2:$BU$353,2,FALSE)),'Preliminary SO66'!AR110,VLOOKUP($CZ111,'Audit Values'!$A$2:$BU$353,66,FALSE))</f>
        <v>445</v>
      </c>
      <c r="AL111" s="95"/>
      <c r="AM111" s="99">
        <f t="shared" si="51"/>
        <v>360450</v>
      </c>
      <c r="AN111" s="99">
        <v>422179</v>
      </c>
      <c r="AO111" s="95">
        <f>MAX(AN111, AM111)/'Weighting Factors'!$Q$5</f>
        <v>101.4</v>
      </c>
      <c r="AP111" s="95">
        <f>CN111/'Weighting Factors'!$Q$5</f>
        <v>0</v>
      </c>
      <c r="AQ111" s="95">
        <v>0</v>
      </c>
      <c r="AR111" s="95">
        <f>CS111/'Weighting Factors'!$Q$5</f>
        <v>0</v>
      </c>
      <c r="AS111" s="99">
        <v>1287754</v>
      </c>
      <c r="AT111" s="95">
        <f>AS111/'Weighting Factors'!$Q$5</f>
        <v>309.2</v>
      </c>
      <c r="AU111" s="95">
        <f>IF(ISNA(VLOOKUP($CZ111,'Audit Values'!$A$2:$BU$353,2,FALSE)),'Preliminary SO66'!X110,VLOOKUP($CZ111,'Audit Values'!$A$2:$BU$353,47,FALSE))</f>
        <v>0</v>
      </c>
      <c r="AV111" s="95">
        <f t="shared" si="52"/>
        <v>2070.1</v>
      </c>
      <c r="AW111" s="95">
        <f t="shared" si="53"/>
        <v>1760.9</v>
      </c>
      <c r="AX111" s="95">
        <f>IF(ISNA(VLOOKUP($CZ111,'Audit Values'!$A$2:$BU$353,2,FALSE)),'Preliminary SO66'!AA110,VLOOKUP($CZ111,'Audit Values'!$A$2:$BU$353,41,FALSE))</f>
        <v>34</v>
      </c>
      <c r="AY111" s="95">
        <f>IF(ISNA(VLOOKUP($CZ111,'Audit Values'!$A$2:$BU$353,2,FALSE)),'Preliminary SO66'!AB110,VLOOKUP($CZ111,'Audit Values'!$A$2:$BU$353,42,FALSE))</f>
        <v>0</v>
      </c>
      <c r="AZ111" s="114">
        <v>1.5</v>
      </c>
      <c r="BA111" s="99">
        <f>SUM(AX111*'Weighting Factors'!$T$10)+('2019 Legal Max'!AY111*'Weighting Factors'!$T$11)+('2019 Legal Max'!AZ111*'Weighting Factors'!$T$12)</f>
        <v>171064</v>
      </c>
      <c r="BB111" s="158">
        <v>0</v>
      </c>
      <c r="BC111" s="88">
        <f>IF(ISNA(VLOOKUP($CZ111,'Audit Values'!$A$2:$BU$353,2,FALSE)),"",IF(AND('Weighting Factors'!H111&gt;0,VLOOKUP($CZ111,'Audit Values'!$A$2:$BU$353,51,FALSE)&lt;'Weighting Factors'!H111),'Weighting Factors'!H111,VLOOKUP($CZ111,'Audit Values'!$A$2:$BU$353,50,FALSE)))</f>
        <v>5</v>
      </c>
      <c r="BD111" s="88" t="str">
        <f>IF(ISNA(VLOOKUP($CZ111,'Audit Values'!$A$2:$BV$353,2,FALSE)),"",VLOOKUP($CZ111,'Audit Values'!$A$2:$BV$353,51,FALSE))</f>
        <v>A</v>
      </c>
      <c r="BE111" s="88" t="str">
        <f>IF('Weighting Factors'!H111="","",IF('Weighting Factors'!J111="Pending","PX","R"))</f>
        <v/>
      </c>
      <c r="BF111" s="97">
        <f>SUM((S111+T111+Y111+AA111+AE111+AH111+AJ111++AO111+AP111+AQ111+AU111+AR111)*'Weighting Factors'!$Q$5)+'2019 Legal Max'!BA111+'2019 Legal Max'!BB111</f>
        <v>7505213</v>
      </c>
      <c r="BG111" s="99">
        <f>SUM((AV111+AR111)*'Weighting Factors'!$Q$5)+BA111+'2019 Legal Max'!BB111</f>
        <v>8793031</v>
      </c>
      <c r="BH111" s="108">
        <f>IF('Weighting Factors'!H111&gt;0,'Weighting Factors'!H111,'Preliminary SO66'!AV110)</f>
        <v>8826248</v>
      </c>
      <c r="BI111" s="99">
        <f t="shared" si="77"/>
        <v>8793031</v>
      </c>
      <c r="BJ111" s="112"/>
      <c r="BK111" s="112">
        <f>'Weighting Factors'!F111</f>
        <v>0</v>
      </c>
      <c r="BL111" s="112">
        <f>'Weighting Factors'!E111</f>
        <v>0</v>
      </c>
      <c r="BM111" s="99">
        <f t="shared" si="54"/>
        <v>0</v>
      </c>
      <c r="BN111" s="99">
        <f t="shared" si="55"/>
        <v>8793031</v>
      </c>
      <c r="BO111" s="99">
        <f>SUM((S111+T111+Y111+AA111+AE111+AH111+AJ111++AO111+AP111+AQ111+AR111)*'Weighting Factors'!Q$12)+(MAX(AS111,'Weighting Factors'!B111))</f>
        <v>9194195</v>
      </c>
      <c r="BP111" s="122">
        <v>0.3</v>
      </c>
      <c r="BQ111" s="99">
        <f t="shared" si="56"/>
        <v>2758259</v>
      </c>
      <c r="BR111" s="108">
        <v>2780669</v>
      </c>
      <c r="BS111" s="99">
        <f t="shared" si="57"/>
        <v>2758259</v>
      </c>
      <c r="BT111" s="167">
        <f t="shared" si="58"/>
        <v>0.3</v>
      </c>
      <c r="BU111" s="95">
        <f t="shared" si="59"/>
        <v>0</v>
      </c>
      <c r="BV111" s="87" t="b">
        <f t="shared" si="60"/>
        <v>0</v>
      </c>
      <c r="BW111" s="117">
        <f t="shared" si="61"/>
        <v>0</v>
      </c>
      <c r="BX111" s="116">
        <f t="shared" si="62"/>
        <v>0</v>
      </c>
      <c r="BY111" s="95">
        <f t="shared" si="63"/>
        <v>0</v>
      </c>
      <c r="BZ111" s="87" t="b">
        <f t="shared" si="64"/>
        <v>1</v>
      </c>
      <c r="CA111" s="87">
        <f t="shared" si="65"/>
        <v>1000.2713</v>
      </c>
      <c r="CB111" s="116">
        <f t="shared" si="66"/>
        <v>0.209568</v>
      </c>
      <c r="CC111" s="95">
        <f t="shared" si="67"/>
        <v>232.3</v>
      </c>
      <c r="CD111" s="95">
        <f t="shared" si="68"/>
        <v>0</v>
      </c>
      <c r="CE111" s="98">
        <v>187.5</v>
      </c>
      <c r="CF111" s="250">
        <f t="shared" si="69"/>
        <v>2.3730000000000002</v>
      </c>
      <c r="CG111" s="274">
        <f>IF(CF111&lt;0.06,1,IF(CF111&gt;=18.29,52,MATCH(CF111-0.001,'Weighting Factors'!$Y$5:$Y$156)+1))</f>
        <v>39</v>
      </c>
      <c r="CH111" s="243">
        <f>VLOOKUP(CG111, 'Weighting Factors'!$W$5:$Z$56,4)</f>
        <v>810</v>
      </c>
      <c r="CI111" s="118">
        <f>('Weighting Factors'!$Q$5/'Weighting Factors'!$Q$14)</f>
        <v>1</v>
      </c>
      <c r="CJ111" s="245">
        <f t="shared" si="70"/>
        <v>360450</v>
      </c>
      <c r="CK111" s="245">
        <f>CJ111*'Weighting Factors'!$S$7</f>
        <v>360450</v>
      </c>
      <c r="CL111" s="245">
        <f t="shared" si="71"/>
        <v>360450</v>
      </c>
      <c r="CM111" s="95">
        <f>AM111/'Weighting Factors'!$Q$5</f>
        <v>86.5</v>
      </c>
      <c r="CN111" s="148">
        <v>0</v>
      </c>
      <c r="CO111" s="148">
        <v>0</v>
      </c>
      <c r="CP111" s="149">
        <v>0</v>
      </c>
      <c r="CQ111" s="151">
        <v>0</v>
      </c>
      <c r="CR111" s="99">
        <f>SUM((AV111*'Weighting Factors'!$Q$5)+'2019 Legal Max'!BA111)*CQ111</f>
        <v>0</v>
      </c>
      <c r="CS111" s="99">
        <f t="shared" si="72"/>
        <v>0</v>
      </c>
      <c r="CT111" s="106">
        <f t="shared" si="73"/>
        <v>0.4783</v>
      </c>
      <c r="CU111" s="95">
        <f t="shared" si="74"/>
        <v>0</v>
      </c>
      <c r="CV111" s="95">
        <f t="shared" si="75"/>
        <v>47.5</v>
      </c>
      <c r="CW111" s="95">
        <f t="shared" si="76"/>
        <v>2070.1</v>
      </c>
      <c r="CX111" s="99">
        <f>'LOB Transfers'!G110</f>
        <v>342852</v>
      </c>
      <c r="CY111" s="99">
        <f>'LOB Transfers'!J110</f>
        <v>3862</v>
      </c>
      <c r="CZ111" s="87" t="s">
        <v>303</v>
      </c>
    </row>
    <row r="112" spans="1:104" ht="15" customHeight="1">
      <c r="A112" s="88">
        <v>310</v>
      </c>
      <c r="B112" s="87" t="s">
        <v>49</v>
      </c>
      <c r="C112" s="87" t="s">
        <v>625</v>
      </c>
      <c r="D112" s="95">
        <v>287</v>
      </c>
      <c r="E112" s="95">
        <v>0</v>
      </c>
      <c r="F112" s="95">
        <f t="shared" si="43"/>
        <v>287</v>
      </c>
      <c r="G112" s="95">
        <v>287</v>
      </c>
      <c r="H112" s="95">
        <v>0</v>
      </c>
      <c r="I112" s="95">
        <f t="shared" si="44"/>
        <v>287</v>
      </c>
      <c r="J112" s="95">
        <v>282</v>
      </c>
      <c r="K112" s="95">
        <v>0</v>
      </c>
      <c r="L112" s="95">
        <f t="shared" si="45"/>
        <v>282</v>
      </c>
      <c r="M112" s="95">
        <f>IF(ISNA(VLOOKUP($CZ112,'Audit Values'!$A$2:$BW$365,2,FALSE)),'Preliminary SO66'!C111,VLOOKUP($CZ112,'Audit Values'!$A$2:$BW$365,73,FALSE))</f>
        <v>277.5</v>
      </c>
      <c r="N112" s="95">
        <f>IF(ISNA(VLOOKUP($CZ112,'Audit Values'!$A$2:$BW$365,2,FALSE)),'Preliminary SO66'!F111,VLOOKUP($CZ112,'Audit Values'!$A$2:$BW$365,4,FALSE))</f>
        <v>0</v>
      </c>
      <c r="O112" s="95">
        <f t="shared" si="46"/>
        <v>277.5</v>
      </c>
      <c r="P112" s="95">
        <f>IF('Military Provision'!J113="YES", MAX('2019 Legal Max'!L112,'2019 Legal Max'!I112,AVERAGE('2019 Legal Max'!F112,'2019 Legal Max'!I112,'2019 Legal Max'!L112)), MAX(L112, I112))</f>
        <v>287</v>
      </c>
      <c r="Q112" s="95">
        <f>IF(ISNA(VLOOKUP($CZ112,'Audit Values'!$A$2:$BU$353,2,FALSE)),'Preliminary SO66'!AL111,VLOOKUP($CZ112,'Audit Values'!$A$2:$BU$3955,58,FALSE))</f>
        <v>0</v>
      </c>
      <c r="R112" s="95">
        <v>0</v>
      </c>
      <c r="S112" s="95">
        <f t="shared" si="78"/>
        <v>287</v>
      </c>
      <c r="T112" s="95">
        <f t="shared" si="47"/>
        <v>148.9</v>
      </c>
      <c r="U112" s="95">
        <f>IF(ISNA(VLOOKUP($CZ112,'Audit Values'!$A$2:$BW$317,2,FALSE)),'Preliminary SO66'!AM111,VLOOKUP($CZ112,'Audit Values'!$A$2:$BW$317,62,FALSE))</f>
        <v>17.3</v>
      </c>
      <c r="V112" s="95">
        <f>(U112/6)*'Weighting Factors'!$Q$7</f>
        <v>1.1000000000000001</v>
      </c>
      <c r="W112" s="132">
        <f>IF(ISNA(VLOOKUP($CZ112,'Audit Values'!$A$2:$BW$353,2,FALSE)),'Preliminary SO66'!AN111,VLOOKUP($CZ112,'Audit Values'!$A$2:$BW$353,61,FALSE))</f>
        <v>17</v>
      </c>
      <c r="X112" s="95">
        <f>W112*'Weighting Factors'!$Q$8</f>
        <v>3.1</v>
      </c>
      <c r="Y112" s="95">
        <f t="shared" si="48"/>
        <v>3.1</v>
      </c>
      <c r="Z112" s="276">
        <f>IF(ISNA(VLOOKUP($CZ112,'Audit Values'!$A$2:$BW$317,2,FALSE)),'Preliminary SO66'!AO111,VLOOKUP($CZ112,'Audit Values'!$A$2:$BW$317,60,FALSE))</f>
        <v>98.3</v>
      </c>
      <c r="AA112" s="95">
        <f>Z112/6*'Weighting Factors'!$Q$6</f>
        <v>8.1999999999999993</v>
      </c>
      <c r="AB112" s="99">
        <f>IF(ISNA(VLOOKUP($CZ112,'Audit Values'!$A$2:$BU$353,2,FALSE)),'Preliminary SO66'!AS111,VLOOKUP($CZ112,'Audit Values'!$A$2:$BU$353,63,FALSE))</f>
        <v>279</v>
      </c>
      <c r="AC112" s="99">
        <v>0</v>
      </c>
      <c r="AD112" s="99">
        <f>IF(ISNA(VLOOKUP($CZ112,'Audit Values'!$A$2:$BU$353,2,FALSE)),'Preliminary SO66'!AP111,VLOOKUP($CZ112,'Audit Values'!$A$2:$BU$353,64,FALSE))</f>
        <v>136</v>
      </c>
      <c r="AE112" s="95">
        <f>IF(A112=207, AD112,MAX(AC112,AD112))*'Weighting Factors'!$Q$9</f>
        <v>65.8</v>
      </c>
      <c r="AF112" s="95">
        <f t="shared" si="49"/>
        <v>13.1</v>
      </c>
      <c r="AG112" s="95">
        <f>IF(ISNA(VLOOKUP($CZ112,'Audit Values'!$A$2:$BW$353,2,FALSE)),'Preliminary SO66'!AG111,VLOOKUP($CZ112,'Audit Values'!$A$2:$BW$353,70,FALSE))</f>
        <v>13</v>
      </c>
      <c r="AH112" s="95">
        <f t="shared" si="50"/>
        <v>13.1</v>
      </c>
      <c r="AI112" s="95">
        <f>IF(ISNA(VLOOKUP($CZ112,'Audit Values'!$A$2:$BU$353,2,FALSE)),'Preliminary SO66'!AQ111,VLOOKUP($CZ112,'Audit Values'!$A$2:$BU$353,65,FALSE))</f>
        <v>0</v>
      </c>
      <c r="AJ112" s="95">
        <f>AI112*'Weighting Factors'!$Q$10</f>
        <v>0</v>
      </c>
      <c r="AK112" s="95">
        <f>IF(ISNA(VLOOKUP($CZ112,'Audit Values'!$A$2:$BU$353,2,FALSE)),'Preliminary SO66'!AR111,VLOOKUP($CZ112,'Audit Values'!$A$2:$BU$353,66,FALSE))</f>
        <v>260</v>
      </c>
      <c r="AL112" s="95"/>
      <c r="AM112" s="99">
        <f t="shared" si="51"/>
        <v>273000</v>
      </c>
      <c r="AN112" s="99">
        <v>322412</v>
      </c>
      <c r="AO112" s="95">
        <f>MAX(AN112, AM112)/'Weighting Factors'!$Q$5</f>
        <v>77.400000000000006</v>
      </c>
      <c r="AP112" s="95">
        <f>CN112/'Weighting Factors'!$Q$5</f>
        <v>0</v>
      </c>
      <c r="AQ112" s="95">
        <v>0</v>
      </c>
      <c r="AR112" s="95">
        <f>CS112/'Weighting Factors'!$Q$5</f>
        <v>0</v>
      </c>
      <c r="AS112" s="99">
        <v>324465</v>
      </c>
      <c r="AT112" s="95">
        <f>AS112/'Weighting Factors'!$Q$5</f>
        <v>77.900000000000006</v>
      </c>
      <c r="AU112" s="95">
        <f>IF(ISNA(VLOOKUP($CZ112,'Audit Values'!$A$2:$BU$353,2,FALSE)),'Preliminary SO66'!X111,VLOOKUP($CZ112,'Audit Values'!$A$2:$BU$353,47,FALSE))</f>
        <v>0</v>
      </c>
      <c r="AV112" s="95">
        <f t="shared" si="52"/>
        <v>681.4</v>
      </c>
      <c r="AW112" s="95">
        <f t="shared" si="53"/>
        <v>603.5</v>
      </c>
      <c r="AX112" s="95">
        <f>IF(ISNA(VLOOKUP($CZ112,'Audit Values'!$A$2:$BU$353,2,FALSE)),'Preliminary SO66'!AA111,VLOOKUP($CZ112,'Audit Values'!$A$2:$BU$353,41,FALSE))</f>
        <v>0</v>
      </c>
      <c r="AY112" s="95">
        <f>IF(ISNA(VLOOKUP($CZ112,'Audit Values'!$A$2:$BU$353,2,FALSE)),'Preliminary SO66'!AB111,VLOOKUP($CZ112,'Audit Values'!$A$2:$BU$353,42,FALSE))</f>
        <v>0</v>
      </c>
      <c r="AZ112" s="114">
        <v>0</v>
      </c>
      <c r="BA112" s="99">
        <f>SUM(AX112*'Weighting Factors'!$T$10)+('2019 Legal Max'!AY112*'Weighting Factors'!$T$11)+('2019 Legal Max'!AZ112*'Weighting Factors'!$T$12)</f>
        <v>0</v>
      </c>
      <c r="BB112" s="158">
        <v>0</v>
      </c>
      <c r="BC112" s="88">
        <f>IF(ISNA(VLOOKUP($CZ112,'Audit Values'!$A$2:$BU$353,2,FALSE)),"",IF(AND('Weighting Factors'!H112&gt;0,VLOOKUP($CZ112,'Audit Values'!$A$2:$BU$353,51,FALSE)&lt;'Weighting Factors'!H112),'Weighting Factors'!H112,VLOOKUP($CZ112,'Audit Values'!$A$2:$BU$353,50,FALSE)))</f>
        <v>19</v>
      </c>
      <c r="BD112" s="88" t="str">
        <f>IF(ISNA(VLOOKUP($CZ112,'Audit Values'!$A$2:$BV$353,2,FALSE)),"",VLOOKUP($CZ112,'Audit Values'!$A$2:$BV$353,51,FALSE))</f>
        <v>A</v>
      </c>
      <c r="BE112" s="88" t="str">
        <f>IF('Weighting Factors'!H112="","",IF('Weighting Factors'!J112="Pending","PX","R"))</f>
        <v/>
      </c>
      <c r="BF112" s="97">
        <f>SUM((S112+T112+Y112+AA112+AE112+AH112+AJ112++AO112+AP112+AQ112+AU112+AR112)*'Weighting Factors'!$Q$5)+'2019 Legal Max'!BA112+'2019 Legal Max'!BB112</f>
        <v>2513578</v>
      </c>
      <c r="BG112" s="99">
        <f>SUM((AV112+AR112)*'Weighting Factors'!$Q$5)+BA112+'2019 Legal Max'!BB112</f>
        <v>2838031</v>
      </c>
      <c r="BH112" s="108">
        <f>IF('Weighting Factors'!H112&gt;0,'Weighting Factors'!H112,'Preliminary SO66'!AV111)</f>
        <v>2937158</v>
      </c>
      <c r="BI112" s="99">
        <f t="shared" si="77"/>
        <v>2838031</v>
      </c>
      <c r="BJ112" s="112"/>
      <c r="BK112" s="112">
        <f>'Weighting Factors'!F112</f>
        <v>0</v>
      </c>
      <c r="BL112" s="112">
        <f>'Weighting Factors'!E112</f>
        <v>0</v>
      </c>
      <c r="BM112" s="99">
        <f t="shared" si="54"/>
        <v>0</v>
      </c>
      <c r="BN112" s="99">
        <f t="shared" si="55"/>
        <v>2838031</v>
      </c>
      <c r="BO112" s="99">
        <f>SUM((S112+T112+Y112+AA112+AE112+AH112+AJ112++AO112+AP112+AQ112+AR112)*'Weighting Factors'!Q$12)+(MAX(AS112,'Weighting Factors'!B112))</f>
        <v>3094727</v>
      </c>
      <c r="BP112" s="122">
        <v>0.3</v>
      </c>
      <c r="BQ112" s="99">
        <f t="shared" si="56"/>
        <v>928418</v>
      </c>
      <c r="BR112" s="108">
        <v>955493</v>
      </c>
      <c r="BS112" s="99">
        <f t="shared" si="57"/>
        <v>928418</v>
      </c>
      <c r="BT112" s="167">
        <f t="shared" si="58"/>
        <v>0.3</v>
      </c>
      <c r="BU112" s="95">
        <f t="shared" si="59"/>
        <v>0</v>
      </c>
      <c r="BV112" s="87" t="b">
        <f t="shared" si="60"/>
        <v>1</v>
      </c>
      <c r="BW112" s="117">
        <f t="shared" si="61"/>
        <v>1805.4849999999999</v>
      </c>
      <c r="BX112" s="116">
        <f t="shared" si="62"/>
        <v>0.51864600000000005</v>
      </c>
      <c r="BY112" s="95">
        <f t="shared" si="63"/>
        <v>148.9</v>
      </c>
      <c r="BZ112" s="87" t="b">
        <f t="shared" si="64"/>
        <v>0</v>
      </c>
      <c r="CA112" s="87">
        <f t="shared" si="65"/>
        <v>0</v>
      </c>
      <c r="CB112" s="116">
        <f t="shared" si="66"/>
        <v>0</v>
      </c>
      <c r="CC112" s="95">
        <f t="shared" si="67"/>
        <v>0</v>
      </c>
      <c r="CD112" s="95">
        <f t="shared" si="68"/>
        <v>0</v>
      </c>
      <c r="CE112" s="98">
        <v>435.5</v>
      </c>
      <c r="CF112" s="250">
        <f t="shared" si="69"/>
        <v>0.59699999999999998</v>
      </c>
      <c r="CG112" s="274">
        <f>IF(CF112&lt;0.06,1,IF(CF112&gt;=18.29,52,MATCH(CF112-0.001,'Weighting Factors'!$Y$5:$Y$156)+1))</f>
        <v>27</v>
      </c>
      <c r="CH112" s="243">
        <f>VLOOKUP(CG112, 'Weighting Factors'!$W$5:$Z$56,4)</f>
        <v>1050</v>
      </c>
      <c r="CI112" s="118">
        <f>('Weighting Factors'!$Q$5/'Weighting Factors'!$Q$14)</f>
        <v>1</v>
      </c>
      <c r="CJ112" s="245">
        <f t="shared" si="70"/>
        <v>273000</v>
      </c>
      <c r="CK112" s="245">
        <f>CJ112*'Weighting Factors'!$S$7</f>
        <v>273000</v>
      </c>
      <c r="CL112" s="245">
        <f t="shared" si="71"/>
        <v>273000</v>
      </c>
      <c r="CM112" s="95">
        <f>AM112/'Weighting Factors'!$Q$5</f>
        <v>65.5</v>
      </c>
      <c r="CN112" s="148">
        <v>0</v>
      </c>
      <c r="CO112" s="148">
        <v>0</v>
      </c>
      <c r="CP112" s="149">
        <v>0</v>
      </c>
      <c r="CQ112" s="151">
        <v>0</v>
      </c>
      <c r="CR112" s="99">
        <f>SUM((AV112*'Weighting Factors'!$Q$5)+'2019 Legal Max'!BA112)*CQ112</f>
        <v>0</v>
      </c>
      <c r="CS112" s="99">
        <f t="shared" si="72"/>
        <v>0</v>
      </c>
      <c r="CT112" s="106">
        <f t="shared" si="73"/>
        <v>0.48749999999999999</v>
      </c>
      <c r="CU112" s="95">
        <f t="shared" si="74"/>
        <v>0</v>
      </c>
      <c r="CV112" s="95">
        <f t="shared" si="75"/>
        <v>13.1</v>
      </c>
      <c r="CW112" s="95">
        <f t="shared" si="76"/>
        <v>681.4</v>
      </c>
      <c r="CX112" s="99">
        <f>'LOB Transfers'!G111</f>
        <v>89685</v>
      </c>
      <c r="CY112" s="99">
        <f>'LOB Transfers'!J111</f>
        <v>4178</v>
      </c>
      <c r="CZ112" s="87" t="s">
        <v>304</v>
      </c>
    </row>
    <row r="113" spans="1:104" ht="15" customHeight="1">
      <c r="A113" s="88">
        <v>311</v>
      </c>
      <c r="B113" s="87" t="s">
        <v>49</v>
      </c>
      <c r="C113" s="87" t="s">
        <v>626</v>
      </c>
      <c r="D113" s="95">
        <v>251.5</v>
      </c>
      <c r="E113" s="95">
        <v>0</v>
      </c>
      <c r="F113" s="95">
        <f t="shared" si="43"/>
        <v>251.5</v>
      </c>
      <c r="G113" s="95">
        <v>244</v>
      </c>
      <c r="H113" s="95">
        <v>0</v>
      </c>
      <c r="I113" s="95">
        <f t="shared" si="44"/>
        <v>244</v>
      </c>
      <c r="J113" s="95">
        <v>259.10000000000002</v>
      </c>
      <c r="K113" s="95">
        <v>0</v>
      </c>
      <c r="L113" s="95">
        <f t="shared" si="45"/>
        <v>259.10000000000002</v>
      </c>
      <c r="M113" s="95">
        <f>IF(ISNA(VLOOKUP($CZ113,'Audit Values'!$A$2:$BW$365,2,FALSE)),'Preliminary SO66'!C112,VLOOKUP($CZ113,'Audit Values'!$A$2:$BW$365,73,FALSE))</f>
        <v>272</v>
      </c>
      <c r="N113" s="95">
        <f>IF(ISNA(VLOOKUP($CZ113,'Audit Values'!$A$2:$BW$365,2,FALSE)),'Preliminary SO66'!F112,VLOOKUP($CZ113,'Audit Values'!$A$2:$BW$365,4,FALSE))</f>
        <v>0</v>
      </c>
      <c r="O113" s="95">
        <f t="shared" si="46"/>
        <v>272</v>
      </c>
      <c r="P113" s="95">
        <f>IF('Military Provision'!J114="YES", MAX('2019 Legal Max'!L113,'2019 Legal Max'!I113,AVERAGE('2019 Legal Max'!F113,'2019 Legal Max'!I113,'2019 Legal Max'!L113)), MAX(L113, I113))</f>
        <v>259.10000000000002</v>
      </c>
      <c r="Q113" s="95">
        <f>IF(ISNA(VLOOKUP($CZ113,'Audit Values'!$A$2:$BU$353,2,FALSE)),'Preliminary SO66'!AL112,VLOOKUP($CZ113,'Audit Values'!$A$2:$BU$3955,58,FALSE))</f>
        <v>2</v>
      </c>
      <c r="R113" s="95">
        <v>0</v>
      </c>
      <c r="S113" s="95">
        <f t="shared" si="78"/>
        <v>261.10000000000002</v>
      </c>
      <c r="T113" s="95">
        <f t="shared" si="47"/>
        <v>153.30000000000001</v>
      </c>
      <c r="U113" s="95">
        <f>IF(ISNA(VLOOKUP($CZ113,'Audit Values'!$A$2:$BW$317,2,FALSE)),'Preliminary SO66'!AM112,VLOOKUP($CZ113,'Audit Values'!$A$2:$BW$317,62,FALSE))</f>
        <v>0</v>
      </c>
      <c r="V113" s="95">
        <f>(U113/6)*'Weighting Factors'!$Q$7</f>
        <v>0</v>
      </c>
      <c r="W113" s="132">
        <f>IF(ISNA(VLOOKUP($CZ113,'Audit Values'!$A$2:$BW$353,2,FALSE)),'Preliminary SO66'!AN112,VLOOKUP($CZ113,'Audit Values'!$A$2:$BW$353,61,FALSE))</f>
        <v>0</v>
      </c>
      <c r="X113" s="95">
        <f>W113*'Weighting Factors'!$Q$8</f>
        <v>0</v>
      </c>
      <c r="Y113" s="95">
        <f t="shared" si="48"/>
        <v>0</v>
      </c>
      <c r="Z113" s="276">
        <f>IF(ISNA(VLOOKUP($CZ113,'Audit Values'!$A$2:$BW$317,2,FALSE)),'Preliminary SO66'!AO112,VLOOKUP($CZ113,'Audit Values'!$A$2:$BW$317,60,FALSE))</f>
        <v>154.80000000000001</v>
      </c>
      <c r="AA113" s="95">
        <f>Z113/6*'Weighting Factors'!$Q$6</f>
        <v>12.9</v>
      </c>
      <c r="AB113" s="99">
        <f>IF(ISNA(VLOOKUP($CZ113,'Audit Values'!$A$2:$BU$353,2,FALSE)),'Preliminary SO66'!AS112,VLOOKUP($CZ113,'Audit Values'!$A$2:$BU$353,63,FALSE))</f>
        <v>276</v>
      </c>
      <c r="AC113" s="99">
        <v>0</v>
      </c>
      <c r="AD113" s="99">
        <f>IF(ISNA(VLOOKUP($CZ113,'Audit Values'!$A$2:$BU$353,2,FALSE)),'Preliminary SO66'!AP112,VLOOKUP($CZ113,'Audit Values'!$A$2:$BU$353,64,FALSE))</f>
        <v>76</v>
      </c>
      <c r="AE113" s="95">
        <f>IF(A113=207, AD113,MAX(AC113,AD113))*'Weighting Factors'!$Q$9</f>
        <v>36.799999999999997</v>
      </c>
      <c r="AF113" s="95">
        <f t="shared" si="49"/>
        <v>0</v>
      </c>
      <c r="AG113" s="95">
        <f>IF(ISNA(VLOOKUP($CZ113,'Audit Values'!$A$2:$BW$353,2,FALSE)),'Preliminary SO66'!AG112,VLOOKUP($CZ113,'Audit Values'!$A$2:$BW$353,70,FALSE))</f>
        <v>0</v>
      </c>
      <c r="AH113" s="95">
        <f t="shared" si="50"/>
        <v>0</v>
      </c>
      <c r="AI113" s="95">
        <f>IF(ISNA(VLOOKUP($CZ113,'Audit Values'!$A$2:$BU$353,2,FALSE)),'Preliminary SO66'!AQ112,VLOOKUP($CZ113,'Audit Values'!$A$2:$BU$353,65,FALSE))</f>
        <v>0</v>
      </c>
      <c r="AJ113" s="95">
        <f>AI113*'Weighting Factors'!$Q$10</f>
        <v>0</v>
      </c>
      <c r="AK113" s="95">
        <f>IF(ISNA(VLOOKUP($CZ113,'Audit Values'!$A$2:$BU$353,2,FALSE)),'Preliminary SO66'!AR112,VLOOKUP($CZ113,'Audit Values'!$A$2:$BU$353,66,FALSE))</f>
        <v>116</v>
      </c>
      <c r="AL113" s="95"/>
      <c r="AM113" s="99">
        <f t="shared" si="51"/>
        <v>124120</v>
      </c>
      <c r="AN113" s="99">
        <v>128272</v>
      </c>
      <c r="AO113" s="95">
        <f>MAX(AN113, AM113)/'Weighting Factors'!$Q$5</f>
        <v>30.8</v>
      </c>
      <c r="AP113" s="95">
        <f>CN113/'Weighting Factors'!$Q$5</f>
        <v>0</v>
      </c>
      <c r="AQ113" s="95">
        <v>0</v>
      </c>
      <c r="AR113" s="95">
        <f>CS113/'Weighting Factors'!$Q$5</f>
        <v>0</v>
      </c>
      <c r="AS113" s="99">
        <v>257247</v>
      </c>
      <c r="AT113" s="95">
        <f>AS113/'Weighting Factors'!$Q$5</f>
        <v>61.8</v>
      </c>
      <c r="AU113" s="95">
        <f>IF(ISNA(VLOOKUP($CZ113,'Audit Values'!$A$2:$BU$353,2,FALSE)),'Preliminary SO66'!X112,VLOOKUP($CZ113,'Audit Values'!$A$2:$BU$353,47,FALSE))</f>
        <v>0</v>
      </c>
      <c r="AV113" s="95">
        <f t="shared" si="52"/>
        <v>556.70000000000005</v>
      </c>
      <c r="AW113" s="95">
        <f t="shared" si="53"/>
        <v>494.9</v>
      </c>
      <c r="AX113" s="95">
        <f>IF(ISNA(VLOOKUP($CZ113,'Audit Values'!$A$2:$BU$353,2,FALSE)),'Preliminary SO66'!AA112,VLOOKUP($CZ113,'Audit Values'!$A$2:$BU$353,41,FALSE))</f>
        <v>0</v>
      </c>
      <c r="AY113" s="95">
        <f>IF(ISNA(VLOOKUP($CZ113,'Audit Values'!$A$2:$BU$353,2,FALSE)),'Preliminary SO66'!AB112,VLOOKUP($CZ113,'Audit Values'!$A$2:$BU$353,42,FALSE))</f>
        <v>0</v>
      </c>
      <c r="AZ113" s="114">
        <v>0</v>
      </c>
      <c r="BA113" s="99">
        <f>SUM(AX113*'Weighting Factors'!$T$10)+('2019 Legal Max'!AY113*'Weighting Factors'!$T$11)+('2019 Legal Max'!AZ113*'Weighting Factors'!$T$12)</f>
        <v>0</v>
      </c>
      <c r="BB113" s="158">
        <v>0</v>
      </c>
      <c r="BC113" s="88">
        <f>IF(ISNA(VLOOKUP($CZ113,'Audit Values'!$A$2:$BU$353,2,FALSE)),"",IF(AND('Weighting Factors'!H113&gt;0,VLOOKUP($CZ113,'Audit Values'!$A$2:$BU$353,51,FALSE)&lt;'Weighting Factors'!H113),'Weighting Factors'!H113,VLOOKUP($CZ113,'Audit Values'!$A$2:$BU$353,50,FALSE)))</f>
        <v>6</v>
      </c>
      <c r="BD113" s="88" t="str">
        <f>IF(ISNA(VLOOKUP($CZ113,'Audit Values'!$A$2:$BV$353,2,FALSE)),"",VLOOKUP($CZ113,'Audit Values'!$A$2:$BV$353,51,FALSE))</f>
        <v>A</v>
      </c>
      <c r="BE113" s="88" t="str">
        <f>IF('Weighting Factors'!H113="","",IF('Weighting Factors'!J113="Pending","PX","R"))</f>
        <v/>
      </c>
      <c r="BF113" s="97">
        <f>SUM((S113+T113+Y113+AA113+AE113+AH113+AJ113++AO113+AP113+AQ113+AU113+AR113)*'Weighting Factors'!$Q$5)+'2019 Legal Max'!BA113+'2019 Legal Max'!BB113</f>
        <v>2061259</v>
      </c>
      <c r="BG113" s="99">
        <f>SUM((AV113+AR113)*'Weighting Factors'!$Q$5)+BA113+'2019 Legal Max'!BB113</f>
        <v>2318656</v>
      </c>
      <c r="BH113" s="108">
        <f>IF('Weighting Factors'!H113&gt;0,'Weighting Factors'!H113,'Preliminary SO66'!AV112)</f>
        <v>2551896</v>
      </c>
      <c r="BI113" s="99">
        <f t="shared" si="77"/>
        <v>2318656</v>
      </c>
      <c r="BJ113" s="112"/>
      <c r="BK113" s="112">
        <f>'Weighting Factors'!F113</f>
        <v>0</v>
      </c>
      <c r="BL113" s="112">
        <f>'Weighting Factors'!E113</f>
        <v>0</v>
      </c>
      <c r="BM113" s="99">
        <f t="shared" si="54"/>
        <v>0</v>
      </c>
      <c r="BN113" s="99">
        <f t="shared" si="55"/>
        <v>2318656</v>
      </c>
      <c r="BO113" s="99">
        <f>SUM((S113+T113+Y113+AA113+AE113+AH113+AJ113++AO113+AP113+AQ113+AR113)*'Weighting Factors'!Q$12)+(MAX(AS113,'Weighting Factors'!B113))</f>
        <v>2479348</v>
      </c>
      <c r="BP113" s="122">
        <v>0.3</v>
      </c>
      <c r="BQ113" s="99">
        <f t="shared" si="56"/>
        <v>743804</v>
      </c>
      <c r="BR113" s="108">
        <v>816545</v>
      </c>
      <c r="BS113" s="99">
        <f t="shared" si="57"/>
        <v>743804</v>
      </c>
      <c r="BT113" s="167">
        <f t="shared" si="58"/>
        <v>0.3</v>
      </c>
      <c r="BU113" s="95">
        <f t="shared" si="59"/>
        <v>0</v>
      </c>
      <c r="BV113" s="87" t="b">
        <f t="shared" si="60"/>
        <v>1</v>
      </c>
      <c r="BW113" s="117">
        <f t="shared" si="61"/>
        <v>1555.421</v>
      </c>
      <c r="BX113" s="116">
        <f t="shared" si="62"/>
        <v>0.58729900000000002</v>
      </c>
      <c r="BY113" s="95">
        <f t="shared" si="63"/>
        <v>153.30000000000001</v>
      </c>
      <c r="BZ113" s="87" t="b">
        <f t="shared" si="64"/>
        <v>0</v>
      </c>
      <c r="CA113" s="87">
        <f t="shared" si="65"/>
        <v>0</v>
      </c>
      <c r="CB113" s="116">
        <f t="shared" si="66"/>
        <v>0</v>
      </c>
      <c r="CC113" s="95">
        <f t="shared" si="67"/>
        <v>0</v>
      </c>
      <c r="CD113" s="95">
        <f t="shared" si="68"/>
        <v>0</v>
      </c>
      <c r="CE113" s="98">
        <v>208</v>
      </c>
      <c r="CF113" s="250">
        <f t="shared" si="69"/>
        <v>0.55800000000000005</v>
      </c>
      <c r="CG113" s="274">
        <f>IF(CF113&lt;0.06,1,IF(CF113&gt;=18.29,52,MATCH(CF113-0.001,'Weighting Factors'!$Y$5:$Y$156)+1))</f>
        <v>26</v>
      </c>
      <c r="CH113" s="243">
        <f>VLOOKUP(CG113, 'Weighting Factors'!$W$5:$Z$56,4)</f>
        <v>1070</v>
      </c>
      <c r="CI113" s="118">
        <f>('Weighting Factors'!$Q$5/'Weighting Factors'!$Q$14)</f>
        <v>1</v>
      </c>
      <c r="CJ113" s="245">
        <f t="shared" si="70"/>
        <v>124120</v>
      </c>
      <c r="CK113" s="245">
        <f>CJ113*'Weighting Factors'!$S$7</f>
        <v>124120</v>
      </c>
      <c r="CL113" s="245">
        <f t="shared" si="71"/>
        <v>124120</v>
      </c>
      <c r="CM113" s="95">
        <f>AM113/'Weighting Factors'!$Q$5</f>
        <v>29.8</v>
      </c>
      <c r="CN113" s="148">
        <v>0</v>
      </c>
      <c r="CO113" s="148">
        <v>0</v>
      </c>
      <c r="CP113" s="149">
        <v>0</v>
      </c>
      <c r="CQ113" s="151">
        <v>0</v>
      </c>
      <c r="CR113" s="99">
        <f>SUM((AV113*'Weighting Factors'!$Q$5)+'2019 Legal Max'!BA113)*CQ113</f>
        <v>0</v>
      </c>
      <c r="CS113" s="99">
        <f t="shared" si="72"/>
        <v>0</v>
      </c>
      <c r="CT113" s="106">
        <f t="shared" si="73"/>
        <v>0.27539999999999998</v>
      </c>
      <c r="CU113" s="95">
        <f t="shared" si="74"/>
        <v>0</v>
      </c>
      <c r="CV113" s="95">
        <f t="shared" si="75"/>
        <v>0</v>
      </c>
      <c r="CW113" s="95">
        <f t="shared" si="76"/>
        <v>556.70000000000005</v>
      </c>
      <c r="CX113" s="99">
        <f>'LOB Transfers'!G112</f>
        <v>49314</v>
      </c>
      <c r="CY113" s="99">
        <f>'LOB Transfers'!J112</f>
        <v>0</v>
      </c>
      <c r="CZ113" s="87" t="s">
        <v>305</v>
      </c>
    </row>
    <row r="114" spans="1:104" ht="15" customHeight="1">
      <c r="A114" s="88">
        <v>312</v>
      </c>
      <c r="B114" s="87" t="s">
        <v>49</v>
      </c>
      <c r="C114" s="87" t="s">
        <v>627</v>
      </c>
      <c r="D114" s="95">
        <v>783.5</v>
      </c>
      <c r="E114" s="95">
        <v>0</v>
      </c>
      <c r="F114" s="95">
        <f t="shared" si="43"/>
        <v>783.5</v>
      </c>
      <c r="G114" s="95">
        <v>812.5</v>
      </c>
      <c r="H114" s="95">
        <v>0</v>
      </c>
      <c r="I114" s="95">
        <f t="shared" si="44"/>
        <v>812.5</v>
      </c>
      <c r="J114" s="95">
        <v>784.5</v>
      </c>
      <c r="K114" s="95">
        <v>0</v>
      </c>
      <c r="L114" s="95">
        <f t="shared" si="45"/>
        <v>784.5</v>
      </c>
      <c r="M114" s="95">
        <f>IF(ISNA(VLOOKUP($CZ114,'Audit Values'!$A$2:$BW$365,2,FALSE)),'Preliminary SO66'!C113,VLOOKUP($CZ114,'Audit Values'!$A$2:$BW$365,73,FALSE))</f>
        <v>737</v>
      </c>
      <c r="N114" s="95">
        <f>IF(ISNA(VLOOKUP($CZ114,'Audit Values'!$A$2:$BW$365,2,FALSE)),'Preliminary SO66'!F113,VLOOKUP($CZ114,'Audit Values'!$A$2:$BW$365,4,FALSE))</f>
        <v>0</v>
      </c>
      <c r="O114" s="95">
        <f t="shared" si="46"/>
        <v>737</v>
      </c>
      <c r="P114" s="95">
        <f>IF('Military Provision'!J115="YES", MAX('2019 Legal Max'!L114,'2019 Legal Max'!I114,AVERAGE('2019 Legal Max'!F114,'2019 Legal Max'!I114,'2019 Legal Max'!L114)), MAX(L114, I114))</f>
        <v>812.5</v>
      </c>
      <c r="Q114" s="95">
        <f>IF(ISNA(VLOOKUP($CZ114,'Audit Values'!$A$2:$BU$353,2,FALSE)),'Preliminary SO66'!AL113,VLOOKUP($CZ114,'Audit Values'!$A$2:$BU$3955,58,FALSE))</f>
        <v>14</v>
      </c>
      <c r="R114" s="95">
        <v>0</v>
      </c>
      <c r="S114" s="95">
        <f t="shared" si="78"/>
        <v>826.5</v>
      </c>
      <c r="T114" s="95">
        <f t="shared" si="47"/>
        <v>252.3</v>
      </c>
      <c r="U114" s="95">
        <f>IF(ISNA(VLOOKUP($CZ114,'Audit Values'!$A$2:$BW$317,2,FALSE)),'Preliminary SO66'!AM113,VLOOKUP($CZ114,'Audit Values'!$A$2:$BW$317,62,FALSE))</f>
        <v>122.4</v>
      </c>
      <c r="V114" s="95">
        <f>(U114/6)*'Weighting Factors'!$Q$7</f>
        <v>8.1</v>
      </c>
      <c r="W114" s="132">
        <f>IF(ISNA(VLOOKUP($CZ114,'Audit Values'!$A$2:$BW$353,2,FALSE)),'Preliminary SO66'!AN113,VLOOKUP($CZ114,'Audit Values'!$A$2:$BW$353,61,FALSE))</f>
        <v>33</v>
      </c>
      <c r="X114" s="95">
        <f>W114*'Weighting Factors'!$Q$8</f>
        <v>6.1</v>
      </c>
      <c r="Y114" s="95">
        <f t="shared" si="48"/>
        <v>8.1</v>
      </c>
      <c r="Z114" s="276">
        <f>IF(ISNA(VLOOKUP($CZ114,'Audit Values'!$A$2:$BW$317,2,FALSE)),'Preliminary SO66'!AO113,VLOOKUP($CZ114,'Audit Values'!$A$2:$BW$317,60,FALSE))</f>
        <v>528.79999999999995</v>
      </c>
      <c r="AA114" s="95">
        <f>Z114/6*'Weighting Factors'!$Q$6</f>
        <v>44.1</v>
      </c>
      <c r="AB114" s="99">
        <f>IF(ISNA(VLOOKUP($CZ114,'Audit Values'!$A$2:$BU$353,2,FALSE)),'Preliminary SO66'!AS113,VLOOKUP($CZ114,'Audit Values'!$A$2:$BU$353,63,FALSE))</f>
        <v>768</v>
      </c>
      <c r="AC114" s="99">
        <v>0</v>
      </c>
      <c r="AD114" s="99">
        <f>IF(ISNA(VLOOKUP($CZ114,'Audit Values'!$A$2:$BU$353,2,FALSE)),'Preliminary SO66'!AP113,VLOOKUP($CZ114,'Audit Values'!$A$2:$BU$353,64,FALSE))</f>
        <v>236</v>
      </c>
      <c r="AE114" s="95">
        <f>IF(A114=207, AD114,MAX(AC114,AD114))*'Weighting Factors'!$Q$9</f>
        <v>114.2</v>
      </c>
      <c r="AF114" s="95">
        <f t="shared" si="49"/>
        <v>0</v>
      </c>
      <c r="AG114" s="95">
        <f>IF(ISNA(VLOOKUP($CZ114,'Audit Values'!$A$2:$BW$353,2,FALSE)),'Preliminary SO66'!AG113,VLOOKUP($CZ114,'Audit Values'!$A$2:$BW$353,70,FALSE))</f>
        <v>0.9</v>
      </c>
      <c r="AH114" s="95">
        <f t="shared" si="50"/>
        <v>0.9</v>
      </c>
      <c r="AI114" s="95">
        <f>IF(ISNA(VLOOKUP($CZ114,'Audit Values'!$A$2:$BU$353,2,FALSE)),'Preliminary SO66'!AQ113,VLOOKUP($CZ114,'Audit Values'!$A$2:$BU$353,65,FALSE))</f>
        <v>179</v>
      </c>
      <c r="AJ114" s="95">
        <f>AI114*'Weighting Factors'!$Q$10</f>
        <v>44.8</v>
      </c>
      <c r="AK114" s="95">
        <f>IF(ISNA(VLOOKUP($CZ114,'Audit Values'!$A$2:$BU$353,2,FALSE)),'Preliminary SO66'!AR113,VLOOKUP($CZ114,'Audit Values'!$A$2:$BU$353,66,FALSE))</f>
        <v>405</v>
      </c>
      <c r="AL114" s="95"/>
      <c r="AM114" s="99">
        <f t="shared" si="51"/>
        <v>360450</v>
      </c>
      <c r="AN114" s="99">
        <v>421024</v>
      </c>
      <c r="AO114" s="95">
        <f>MAX(AN114, AM114)/'Weighting Factors'!$Q$5</f>
        <v>101.1</v>
      </c>
      <c r="AP114" s="95">
        <f>CN114/'Weighting Factors'!$Q$5</f>
        <v>0</v>
      </c>
      <c r="AQ114" s="95">
        <v>0</v>
      </c>
      <c r="AR114" s="95">
        <f>CS114/'Weighting Factors'!$Q$5</f>
        <v>0</v>
      </c>
      <c r="AS114" s="99">
        <v>962691</v>
      </c>
      <c r="AT114" s="95">
        <f>AS114/'Weighting Factors'!$Q$5</f>
        <v>231.1</v>
      </c>
      <c r="AU114" s="95">
        <f>IF(ISNA(VLOOKUP($CZ114,'Audit Values'!$A$2:$BU$353,2,FALSE)),'Preliminary SO66'!X113,VLOOKUP($CZ114,'Audit Values'!$A$2:$BU$353,47,FALSE))</f>
        <v>0</v>
      </c>
      <c r="AV114" s="95">
        <f t="shared" si="52"/>
        <v>1623.1</v>
      </c>
      <c r="AW114" s="95">
        <f t="shared" si="53"/>
        <v>1392</v>
      </c>
      <c r="AX114" s="95">
        <f>IF(ISNA(VLOOKUP($CZ114,'Audit Values'!$A$2:$BU$353,2,FALSE)),'Preliminary SO66'!AA113,VLOOKUP($CZ114,'Audit Values'!$A$2:$BU$353,41,FALSE))</f>
        <v>43</v>
      </c>
      <c r="AY114" s="95">
        <f>IF(ISNA(VLOOKUP($CZ114,'Audit Values'!$A$2:$BU$353,2,FALSE)),'Preliminary SO66'!AB113,VLOOKUP($CZ114,'Audit Values'!$A$2:$BU$353,42,FALSE))</f>
        <v>0</v>
      </c>
      <c r="AZ114" s="114">
        <v>62.5</v>
      </c>
      <c r="BA114" s="99">
        <f>SUM(AX114*'Weighting Factors'!$T$10)+('2019 Legal Max'!AY114*'Weighting Factors'!$T$11)+('2019 Legal Max'!AZ114*'Weighting Factors'!$T$12)</f>
        <v>259313</v>
      </c>
      <c r="BB114" s="158">
        <v>0</v>
      </c>
      <c r="BC114" s="88">
        <f>IF(ISNA(VLOOKUP($CZ114,'Audit Values'!$A$2:$BU$353,2,FALSE)),"",IF(AND('Weighting Factors'!H114&gt;0,VLOOKUP($CZ114,'Audit Values'!$A$2:$BU$353,51,FALSE)&lt;'Weighting Factors'!H114),'Weighting Factors'!H114,VLOOKUP($CZ114,'Audit Values'!$A$2:$BU$353,50,FALSE)))</f>
        <v>25</v>
      </c>
      <c r="BD114" s="88" t="str">
        <f>IF(ISNA(VLOOKUP($CZ114,'Audit Values'!$A$2:$BV$353,2,FALSE)),"",VLOOKUP($CZ114,'Audit Values'!$A$2:$BV$353,51,FALSE))</f>
        <v>A</v>
      </c>
      <c r="BE114" s="88" t="str">
        <f>IF('Weighting Factors'!H114="","",IF('Weighting Factors'!J114="Pending","PX","R"))</f>
        <v/>
      </c>
      <c r="BF114" s="97">
        <f>SUM((S114+T114+Y114+AA114+AE114+AH114+AJ114++AO114+AP114+AQ114+AU114+AR114)*'Weighting Factors'!$Q$5)+'2019 Legal Max'!BA114+'2019 Legal Max'!BB114</f>
        <v>6056993</v>
      </c>
      <c r="BG114" s="99">
        <f>SUM((AV114+AR114)*'Weighting Factors'!$Q$5)+BA114+'2019 Legal Max'!BB114</f>
        <v>7019525</v>
      </c>
      <c r="BH114" s="108">
        <f>IF('Weighting Factors'!H114&gt;0,'Weighting Factors'!H114,'Preliminary SO66'!AV113)</f>
        <v>7263763</v>
      </c>
      <c r="BI114" s="99">
        <f t="shared" si="77"/>
        <v>7019525</v>
      </c>
      <c r="BJ114" s="112"/>
      <c r="BK114" s="112">
        <f>'Weighting Factors'!F114</f>
        <v>-161468</v>
      </c>
      <c r="BL114" s="112">
        <f>'Weighting Factors'!E114</f>
        <v>0</v>
      </c>
      <c r="BM114" s="99">
        <f t="shared" si="54"/>
        <v>-161468</v>
      </c>
      <c r="BN114" s="99">
        <f t="shared" si="55"/>
        <v>6858057</v>
      </c>
      <c r="BO114" s="99">
        <f>SUM((S114+T114+Y114+AA114+AE114+AH114+AJ114++AO114+AP114+AQ114+AR114)*'Weighting Factors'!Q$12)+(MAX(AS114,'Weighting Factors'!B114))</f>
        <v>7234371</v>
      </c>
      <c r="BP114" s="122">
        <v>0.31</v>
      </c>
      <c r="BQ114" s="99">
        <f t="shared" si="56"/>
        <v>2242655</v>
      </c>
      <c r="BR114" s="108">
        <v>2307137</v>
      </c>
      <c r="BS114" s="99">
        <f t="shared" si="57"/>
        <v>2242655</v>
      </c>
      <c r="BT114" s="167">
        <f t="shared" si="58"/>
        <v>0.31</v>
      </c>
      <c r="BU114" s="95">
        <f t="shared" si="59"/>
        <v>0</v>
      </c>
      <c r="BV114" s="87" t="b">
        <f t="shared" si="60"/>
        <v>0</v>
      </c>
      <c r="BW114" s="117">
        <f t="shared" si="61"/>
        <v>0</v>
      </c>
      <c r="BX114" s="116">
        <f t="shared" si="62"/>
        <v>0</v>
      </c>
      <c r="BY114" s="95">
        <f t="shared" si="63"/>
        <v>0</v>
      </c>
      <c r="BZ114" s="87" t="b">
        <f t="shared" si="64"/>
        <v>1</v>
      </c>
      <c r="CA114" s="87">
        <f t="shared" si="65"/>
        <v>651.54380000000003</v>
      </c>
      <c r="CB114" s="116">
        <f t="shared" si="66"/>
        <v>0.305309</v>
      </c>
      <c r="CC114" s="95">
        <f t="shared" si="67"/>
        <v>252.3</v>
      </c>
      <c r="CD114" s="95">
        <f t="shared" si="68"/>
        <v>0</v>
      </c>
      <c r="CE114" s="98">
        <v>282</v>
      </c>
      <c r="CF114" s="250">
        <f t="shared" si="69"/>
        <v>1.4359999999999999</v>
      </c>
      <c r="CG114" s="274">
        <f>IF(CF114&lt;0.06,1,IF(CF114&gt;=18.29,52,MATCH(CF114-0.001,'Weighting Factors'!$Y$5:$Y$156)+1))</f>
        <v>35</v>
      </c>
      <c r="CH114" s="243">
        <f>VLOOKUP(CG114, 'Weighting Factors'!$W$5:$Z$56,4)</f>
        <v>890</v>
      </c>
      <c r="CI114" s="118">
        <f>('Weighting Factors'!$Q$5/'Weighting Factors'!$Q$14)</f>
        <v>1</v>
      </c>
      <c r="CJ114" s="245">
        <f t="shared" si="70"/>
        <v>360450</v>
      </c>
      <c r="CK114" s="245">
        <f>CJ114*'Weighting Factors'!$S$7</f>
        <v>360450</v>
      </c>
      <c r="CL114" s="245">
        <f t="shared" si="71"/>
        <v>360450</v>
      </c>
      <c r="CM114" s="95">
        <f>AM114/'Weighting Factors'!$Q$5</f>
        <v>86.5</v>
      </c>
      <c r="CN114" s="148">
        <v>0</v>
      </c>
      <c r="CO114" s="148">
        <v>0</v>
      </c>
      <c r="CP114" s="149">
        <v>0</v>
      </c>
      <c r="CQ114" s="151">
        <v>0</v>
      </c>
      <c r="CR114" s="99">
        <f>SUM((AV114*'Weighting Factors'!$Q$5)+'2019 Legal Max'!BA114)*CQ114</f>
        <v>0</v>
      </c>
      <c r="CS114" s="99">
        <f t="shared" si="72"/>
        <v>0</v>
      </c>
      <c r="CT114" s="106">
        <f t="shared" si="73"/>
        <v>0.30730000000000002</v>
      </c>
      <c r="CU114" s="95">
        <f t="shared" si="74"/>
        <v>0</v>
      </c>
      <c r="CV114" s="95">
        <f t="shared" si="75"/>
        <v>0</v>
      </c>
      <c r="CW114" s="95">
        <f t="shared" si="76"/>
        <v>1623.1</v>
      </c>
      <c r="CX114" s="99">
        <f>'LOB Transfers'!G113</f>
        <v>159229</v>
      </c>
      <c r="CY114" s="99">
        <f>'LOB Transfers'!J113</f>
        <v>11213</v>
      </c>
      <c r="CZ114" s="87" t="s">
        <v>306</v>
      </c>
    </row>
    <row r="115" spans="1:104" ht="15" customHeight="1">
      <c r="A115" s="88">
        <v>313</v>
      </c>
      <c r="B115" s="87" t="s">
        <v>49</v>
      </c>
      <c r="C115" s="87" t="s">
        <v>628</v>
      </c>
      <c r="D115" s="95">
        <v>2160.3000000000002</v>
      </c>
      <c r="E115" s="95">
        <v>0</v>
      </c>
      <c r="F115" s="95">
        <f t="shared" si="43"/>
        <v>2160.3000000000002</v>
      </c>
      <c r="G115" s="95">
        <v>2267.1</v>
      </c>
      <c r="H115" s="95">
        <v>0</v>
      </c>
      <c r="I115" s="95">
        <f t="shared" si="44"/>
        <v>2267.1</v>
      </c>
      <c r="J115" s="95">
        <v>2272.5</v>
      </c>
      <c r="K115" s="95">
        <v>0</v>
      </c>
      <c r="L115" s="95">
        <f t="shared" si="45"/>
        <v>2272.5</v>
      </c>
      <c r="M115" s="95">
        <f>IF(ISNA(VLOOKUP($CZ115,'Audit Values'!$A$2:$BW$365,2,FALSE)),'Preliminary SO66'!C114,VLOOKUP($CZ115,'Audit Values'!$A$2:$BW$365,73,FALSE))</f>
        <v>2231.5</v>
      </c>
      <c r="N115" s="95">
        <f>IF(ISNA(VLOOKUP($CZ115,'Audit Values'!$A$2:$BW$365,2,FALSE)),'Preliminary SO66'!F114,VLOOKUP($CZ115,'Audit Values'!$A$2:$BW$365,4,FALSE))</f>
        <v>0</v>
      </c>
      <c r="O115" s="95">
        <f t="shared" si="46"/>
        <v>2231.5</v>
      </c>
      <c r="P115" s="95">
        <f>IF('Military Provision'!J116="YES", MAX('2019 Legal Max'!L115,'2019 Legal Max'!I115,AVERAGE('2019 Legal Max'!F115,'2019 Legal Max'!I115,'2019 Legal Max'!L115)), MAX(L115, I115))</f>
        <v>2272.5</v>
      </c>
      <c r="Q115" s="95">
        <f>IF(ISNA(VLOOKUP($CZ115,'Audit Values'!$A$2:$BU$353,2,FALSE)),'Preliminary SO66'!AL114,VLOOKUP($CZ115,'Audit Values'!$A$2:$BU$3955,58,FALSE))</f>
        <v>15.5</v>
      </c>
      <c r="R115" s="95">
        <v>0</v>
      </c>
      <c r="S115" s="95">
        <f t="shared" si="78"/>
        <v>2288</v>
      </c>
      <c r="T115" s="95">
        <f t="shared" si="47"/>
        <v>80.2</v>
      </c>
      <c r="U115" s="95">
        <f>IF(ISNA(VLOOKUP($CZ115,'Audit Values'!$A$2:$BW$317,2,FALSE)),'Preliminary SO66'!AM114,VLOOKUP($CZ115,'Audit Values'!$A$2:$BW$317,62,FALSE))</f>
        <v>40.200000000000003</v>
      </c>
      <c r="V115" s="95">
        <f>(U115/6)*'Weighting Factors'!$Q$7</f>
        <v>2.6</v>
      </c>
      <c r="W115" s="132">
        <f>IF(ISNA(VLOOKUP($CZ115,'Audit Values'!$A$2:$BW$353,2,FALSE)),'Preliminary SO66'!AN114,VLOOKUP($CZ115,'Audit Values'!$A$2:$BW$353,61,FALSE))</f>
        <v>25</v>
      </c>
      <c r="X115" s="95">
        <f>W115*'Weighting Factors'!$Q$8</f>
        <v>4.5999999999999996</v>
      </c>
      <c r="Y115" s="95">
        <f t="shared" si="48"/>
        <v>4.5999999999999996</v>
      </c>
      <c r="Z115" s="276">
        <f>IF(ISNA(VLOOKUP($CZ115,'Audit Values'!$A$2:$BW$317,2,FALSE)),'Preliminary SO66'!AO114,VLOOKUP($CZ115,'Audit Values'!$A$2:$BW$317,60,FALSE))</f>
        <v>715.8</v>
      </c>
      <c r="AA115" s="95">
        <f>Z115/6*'Weighting Factors'!$Q$6</f>
        <v>59.7</v>
      </c>
      <c r="AB115" s="99">
        <f>IF(ISNA(VLOOKUP($CZ115,'Audit Values'!$A$2:$BU$353,2,FALSE)),'Preliminary SO66'!AS114,VLOOKUP($CZ115,'Audit Values'!$A$2:$BU$353,63,FALSE))</f>
        <v>2285</v>
      </c>
      <c r="AC115" s="99">
        <v>0</v>
      </c>
      <c r="AD115" s="99">
        <f>IF(ISNA(VLOOKUP($CZ115,'Audit Values'!$A$2:$BU$353,2,FALSE)),'Preliminary SO66'!AP114,VLOOKUP($CZ115,'Audit Values'!$A$2:$BU$353,64,FALSE))</f>
        <v>598</v>
      </c>
      <c r="AE115" s="95">
        <f>IF(A115=207, AD115,MAX(AC115,AD115))*'Weighting Factors'!$Q$9</f>
        <v>289.39999999999998</v>
      </c>
      <c r="AF115" s="95">
        <f t="shared" si="49"/>
        <v>0</v>
      </c>
      <c r="AG115" s="95">
        <f>IF(ISNA(VLOOKUP($CZ115,'Audit Values'!$A$2:$BW$353,2,FALSE)),'Preliminary SO66'!AG114,VLOOKUP($CZ115,'Audit Values'!$A$2:$BW$353,70,FALSE))</f>
        <v>0.4</v>
      </c>
      <c r="AH115" s="95">
        <f t="shared" si="50"/>
        <v>0.4</v>
      </c>
      <c r="AI115" s="95">
        <f>IF(ISNA(VLOOKUP($CZ115,'Audit Values'!$A$2:$BU$353,2,FALSE)),'Preliminary SO66'!AQ114,VLOOKUP($CZ115,'Audit Values'!$A$2:$BU$353,65,FALSE))</f>
        <v>0</v>
      </c>
      <c r="AJ115" s="95">
        <f>AI115*'Weighting Factors'!$Q$10</f>
        <v>0</v>
      </c>
      <c r="AK115" s="95">
        <f>IF(ISNA(VLOOKUP($CZ115,'Audit Values'!$A$2:$BU$353,2,FALSE)),'Preliminary SO66'!AR114,VLOOKUP($CZ115,'Audit Values'!$A$2:$BU$353,66,FALSE))</f>
        <v>1054</v>
      </c>
      <c r="AL115" s="95"/>
      <c r="AM115" s="99">
        <f t="shared" si="51"/>
        <v>685100</v>
      </c>
      <c r="AN115" s="99">
        <v>688352</v>
      </c>
      <c r="AO115" s="95">
        <f>MAX(AN115, AM115)/'Weighting Factors'!$Q$5</f>
        <v>165.3</v>
      </c>
      <c r="AP115" s="95">
        <f>CN115/'Weighting Factors'!$Q$5</f>
        <v>0</v>
      </c>
      <c r="AQ115" s="95">
        <v>0</v>
      </c>
      <c r="AR115" s="95">
        <f>CS115/'Weighting Factors'!$Q$5</f>
        <v>0</v>
      </c>
      <c r="AS115" s="99">
        <v>2482137</v>
      </c>
      <c r="AT115" s="95">
        <f>AS115/'Weighting Factors'!$Q$5</f>
        <v>596</v>
      </c>
      <c r="AU115" s="95">
        <f>IF(ISNA(VLOOKUP($CZ115,'Audit Values'!$A$2:$BU$353,2,FALSE)),'Preliminary SO66'!X114,VLOOKUP($CZ115,'Audit Values'!$A$2:$BU$353,47,FALSE))</f>
        <v>0</v>
      </c>
      <c r="AV115" s="95">
        <f t="shared" si="52"/>
        <v>3483.6</v>
      </c>
      <c r="AW115" s="95">
        <f t="shared" si="53"/>
        <v>2887.6</v>
      </c>
      <c r="AX115" s="95">
        <f>IF(ISNA(VLOOKUP($CZ115,'Audit Values'!$A$2:$BU$353,2,FALSE)),'Preliminary SO66'!AA114,VLOOKUP($CZ115,'Audit Values'!$A$2:$BU$353,41,FALSE))</f>
        <v>0</v>
      </c>
      <c r="AY115" s="95">
        <f>IF(ISNA(VLOOKUP($CZ115,'Audit Values'!$A$2:$BU$353,2,FALSE)),'Preliminary SO66'!AB114,VLOOKUP($CZ115,'Audit Values'!$A$2:$BU$353,42,FALSE))</f>
        <v>0</v>
      </c>
      <c r="AZ115" s="114">
        <v>0</v>
      </c>
      <c r="BA115" s="99">
        <f>SUM(AX115*'Weighting Factors'!$T$10)+('2019 Legal Max'!AY115*'Weighting Factors'!$T$11)+('2019 Legal Max'!AZ115*'Weighting Factors'!$T$12)</f>
        <v>0</v>
      </c>
      <c r="BB115" s="158">
        <v>0</v>
      </c>
      <c r="BC115" s="88">
        <f>IF(ISNA(VLOOKUP($CZ115,'Audit Values'!$A$2:$BU$353,2,FALSE)),"",IF(AND('Weighting Factors'!H115&gt;0,VLOOKUP($CZ115,'Audit Values'!$A$2:$BU$353,51,FALSE)&lt;'Weighting Factors'!H115),'Weighting Factors'!H115,VLOOKUP($CZ115,'Audit Values'!$A$2:$BU$353,50,FALSE)))</f>
        <v>25</v>
      </c>
      <c r="BD115" s="88" t="str">
        <f>IF(ISNA(VLOOKUP($CZ115,'Audit Values'!$A$2:$BV$353,2,FALSE)),"",VLOOKUP($CZ115,'Audit Values'!$A$2:$BV$353,51,FALSE))</f>
        <v>A</v>
      </c>
      <c r="BE115" s="88" t="str">
        <f>IF('Weighting Factors'!H115="","",IF('Weighting Factors'!J115="Pending","PX","R"))</f>
        <v>R</v>
      </c>
      <c r="BF115" s="97">
        <f>SUM((S115+T115+Y115+AA115+AE115+AH115+AJ115++AO115+AP115+AQ115+AU115+AR115)*'Weighting Factors'!$Q$5)+'2019 Legal Max'!BA115+'2019 Legal Max'!BB115</f>
        <v>12026854</v>
      </c>
      <c r="BG115" s="99">
        <f>SUM((AV115+AR115)*'Weighting Factors'!$Q$5)+BA115+'2019 Legal Max'!BB115</f>
        <v>14509194</v>
      </c>
      <c r="BH115" s="108">
        <f>IF('Weighting Factors'!H115&gt;0,'Weighting Factors'!H115,'Preliminary SO66'!AV114)</f>
        <v>15000000</v>
      </c>
      <c r="BI115" s="99">
        <f t="shared" si="77"/>
        <v>14509194</v>
      </c>
      <c r="BJ115" s="112"/>
      <c r="BK115" s="112">
        <f>'Weighting Factors'!F115</f>
        <v>0</v>
      </c>
      <c r="BL115" s="112">
        <f>'Weighting Factors'!E115</f>
        <v>0</v>
      </c>
      <c r="BM115" s="99">
        <f t="shared" si="54"/>
        <v>0</v>
      </c>
      <c r="BN115" s="99">
        <f t="shared" si="55"/>
        <v>14509194</v>
      </c>
      <c r="BO115" s="99">
        <f>SUM((S115+T115+Y115+AA115+AE115+AH115+AJ115++AO115+AP115+AQ115+AR115)*'Weighting Factors'!Q$12)+(MAX(AS115,'Weighting Factors'!B115))</f>
        <v>15447461</v>
      </c>
      <c r="BP115" s="122">
        <v>0.3</v>
      </c>
      <c r="BQ115" s="99">
        <f t="shared" si="56"/>
        <v>4634238</v>
      </c>
      <c r="BR115" s="108">
        <v>4625171</v>
      </c>
      <c r="BS115" s="99">
        <f t="shared" si="57"/>
        <v>4625171</v>
      </c>
      <c r="BT115" s="167">
        <f t="shared" si="58"/>
        <v>0.2994</v>
      </c>
      <c r="BU115" s="95">
        <f t="shared" si="59"/>
        <v>0</v>
      </c>
      <c r="BV115" s="87" t="b">
        <f t="shared" si="60"/>
        <v>0</v>
      </c>
      <c r="BW115" s="117">
        <f t="shared" si="61"/>
        <v>0</v>
      </c>
      <c r="BX115" s="116">
        <f t="shared" si="62"/>
        <v>0</v>
      </c>
      <c r="BY115" s="95">
        <f t="shared" si="63"/>
        <v>0</v>
      </c>
      <c r="BZ115" s="87" t="b">
        <f t="shared" si="64"/>
        <v>0</v>
      </c>
      <c r="CA115" s="87">
        <f t="shared" si="65"/>
        <v>0</v>
      </c>
      <c r="CB115" s="116">
        <f t="shared" si="66"/>
        <v>0</v>
      </c>
      <c r="CC115" s="95">
        <f t="shared" si="67"/>
        <v>0</v>
      </c>
      <c r="CD115" s="95">
        <f t="shared" si="68"/>
        <v>80.2</v>
      </c>
      <c r="CE115" s="98">
        <v>137.69999999999999</v>
      </c>
      <c r="CF115" s="250">
        <f t="shared" si="69"/>
        <v>7.6539999999999999</v>
      </c>
      <c r="CG115" s="274">
        <f>IF(CF115&lt;0.06,1,IF(CF115&gt;=18.29,52,MATCH(CF115-0.001,'Weighting Factors'!$Y$5:$Y$156)+1))</f>
        <v>47</v>
      </c>
      <c r="CH115" s="243">
        <f>VLOOKUP(CG115, 'Weighting Factors'!$W$5:$Z$56,4)</f>
        <v>650</v>
      </c>
      <c r="CI115" s="118">
        <f>('Weighting Factors'!$Q$5/'Weighting Factors'!$Q$14)</f>
        <v>1</v>
      </c>
      <c r="CJ115" s="245">
        <f t="shared" si="70"/>
        <v>685100</v>
      </c>
      <c r="CK115" s="245">
        <f>CJ115*'Weighting Factors'!$S$7</f>
        <v>685100</v>
      </c>
      <c r="CL115" s="245">
        <f t="shared" si="71"/>
        <v>685100</v>
      </c>
      <c r="CM115" s="95">
        <f>AM115/'Weighting Factors'!$Q$5</f>
        <v>164.5</v>
      </c>
      <c r="CN115" s="148">
        <v>0</v>
      </c>
      <c r="CO115" s="148">
        <v>0</v>
      </c>
      <c r="CP115" s="149">
        <v>0</v>
      </c>
      <c r="CQ115" s="151">
        <v>0</v>
      </c>
      <c r="CR115" s="99">
        <f>SUM((AV115*'Weighting Factors'!$Q$5)+'2019 Legal Max'!BA115)*CQ115</f>
        <v>0</v>
      </c>
      <c r="CS115" s="99">
        <f t="shared" si="72"/>
        <v>0</v>
      </c>
      <c r="CT115" s="106">
        <f t="shared" si="73"/>
        <v>0.26169999999999999</v>
      </c>
      <c r="CU115" s="95">
        <f t="shared" si="74"/>
        <v>0</v>
      </c>
      <c r="CV115" s="95">
        <f t="shared" si="75"/>
        <v>0</v>
      </c>
      <c r="CW115" s="95">
        <f t="shared" si="76"/>
        <v>3483.6</v>
      </c>
      <c r="CX115" s="99">
        <f>'LOB Transfers'!G114</f>
        <v>385739</v>
      </c>
      <c r="CY115" s="99">
        <f>'LOB Transfers'!J114</f>
        <v>6013</v>
      </c>
      <c r="CZ115" s="87" t="s">
        <v>307</v>
      </c>
    </row>
    <row r="116" spans="1:104" ht="15" customHeight="1">
      <c r="A116" s="88">
        <v>314</v>
      </c>
      <c r="B116" s="87" t="s">
        <v>50</v>
      </c>
      <c r="C116" s="87" t="s">
        <v>629</v>
      </c>
      <c r="D116" s="95">
        <v>122</v>
      </c>
      <c r="E116" s="95">
        <v>0</v>
      </c>
      <c r="F116" s="95">
        <f t="shared" si="43"/>
        <v>122</v>
      </c>
      <c r="G116" s="95">
        <v>136.5</v>
      </c>
      <c r="H116" s="95">
        <v>0</v>
      </c>
      <c r="I116" s="95">
        <f t="shared" si="44"/>
        <v>136.5</v>
      </c>
      <c r="J116" s="95">
        <v>126.2</v>
      </c>
      <c r="K116" s="95">
        <v>0</v>
      </c>
      <c r="L116" s="95">
        <f t="shared" si="45"/>
        <v>126.2</v>
      </c>
      <c r="M116" s="95">
        <f>IF(ISNA(VLOOKUP($CZ116,'Audit Values'!$A$2:$BW$365,2,FALSE)),'Preliminary SO66'!C115,VLOOKUP($CZ116,'Audit Values'!$A$2:$BW$365,73,FALSE))</f>
        <v>113</v>
      </c>
      <c r="N116" s="95">
        <f>IF(ISNA(VLOOKUP($CZ116,'Audit Values'!$A$2:$BW$365,2,FALSE)),'Preliminary SO66'!F115,VLOOKUP($CZ116,'Audit Values'!$A$2:$BW$365,4,FALSE))</f>
        <v>2</v>
      </c>
      <c r="O116" s="95">
        <f t="shared" si="46"/>
        <v>115</v>
      </c>
      <c r="P116" s="95">
        <f>IF('Military Provision'!J117="YES", MAX('2019 Legal Max'!L116,'2019 Legal Max'!I116,AVERAGE('2019 Legal Max'!F116,'2019 Legal Max'!I116,'2019 Legal Max'!L116)), MAX(L116, I116))</f>
        <v>136.5</v>
      </c>
      <c r="Q116" s="95">
        <f>IF(ISNA(VLOOKUP($CZ116,'Audit Values'!$A$2:$BU$353,2,FALSE)),'Preliminary SO66'!AL115,VLOOKUP($CZ116,'Audit Values'!$A$2:$BU$3955,58,FALSE))</f>
        <v>0</v>
      </c>
      <c r="R116" s="95">
        <v>6</v>
      </c>
      <c r="S116" s="95">
        <f>P116+Q116+R116</f>
        <v>142.5</v>
      </c>
      <c r="T116" s="95">
        <f t="shared" si="47"/>
        <v>128.5</v>
      </c>
      <c r="U116" s="95">
        <f>IF(ISNA(VLOOKUP($CZ116,'Audit Values'!$A$2:$BW$317,2,FALSE)),'Preliminary SO66'!AM115,VLOOKUP($CZ116,'Audit Values'!$A$2:$BW$317,62,FALSE))</f>
        <v>0</v>
      </c>
      <c r="V116" s="95">
        <f>(U116/6)*'Weighting Factors'!$Q$7</f>
        <v>0</v>
      </c>
      <c r="W116" s="132">
        <f>IF(ISNA(VLOOKUP($CZ116,'Audit Values'!$A$2:$BW$353,2,FALSE)),'Preliminary SO66'!AN115,VLOOKUP($CZ116,'Audit Values'!$A$2:$BW$353,61,FALSE))</f>
        <v>0</v>
      </c>
      <c r="X116" s="95">
        <f>W116*'Weighting Factors'!$Q$8</f>
        <v>0</v>
      </c>
      <c r="Y116" s="95">
        <f t="shared" si="48"/>
        <v>0</v>
      </c>
      <c r="Z116" s="276">
        <f>IF(ISNA(VLOOKUP($CZ116,'Audit Values'!$A$2:$BW$317,2,FALSE)),'Preliminary SO66'!AO115,VLOOKUP($CZ116,'Audit Values'!$A$2:$BW$317,60,FALSE))</f>
        <v>28.7</v>
      </c>
      <c r="AA116" s="95">
        <f>Z116/6*'Weighting Factors'!$Q$6</f>
        <v>2.4</v>
      </c>
      <c r="AB116" s="99">
        <f>IF(ISNA(VLOOKUP($CZ116,'Audit Values'!$A$2:$BU$353,2,FALSE)),'Preliminary SO66'!AS115,VLOOKUP($CZ116,'Audit Values'!$A$2:$BU$353,63,FALSE))</f>
        <v>117</v>
      </c>
      <c r="AC116" s="99">
        <v>0</v>
      </c>
      <c r="AD116" s="99">
        <f>IF(ISNA(VLOOKUP($CZ116,'Audit Values'!$A$2:$BU$353,2,FALSE)),'Preliminary SO66'!AP115,VLOOKUP($CZ116,'Audit Values'!$A$2:$BU$353,64,FALSE))</f>
        <v>37</v>
      </c>
      <c r="AE116" s="95">
        <f>IF(A116=207, AD116,MAX(AC116,AD116))*'Weighting Factors'!$Q$9</f>
        <v>17.899999999999999</v>
      </c>
      <c r="AF116" s="95">
        <f t="shared" si="49"/>
        <v>0</v>
      </c>
      <c r="AG116" s="95">
        <f>IF(ISNA(VLOOKUP($CZ116,'Audit Values'!$A$2:$BW$353,2,FALSE)),'Preliminary SO66'!AG115,VLOOKUP($CZ116,'Audit Values'!$A$2:$BW$353,70,FALSE))</f>
        <v>0.6</v>
      </c>
      <c r="AH116" s="95">
        <f t="shared" si="50"/>
        <v>0.6</v>
      </c>
      <c r="AI116" s="95">
        <f>IF(ISNA(VLOOKUP($CZ116,'Audit Values'!$A$2:$BU$353,2,FALSE)),'Preliminary SO66'!AQ115,VLOOKUP($CZ116,'Audit Values'!$A$2:$BU$353,65,FALSE))</f>
        <v>0</v>
      </c>
      <c r="AJ116" s="95">
        <f>AI116*'Weighting Factors'!$Q$10</f>
        <v>0</v>
      </c>
      <c r="AK116" s="95">
        <f>IF(ISNA(VLOOKUP($CZ116,'Audit Values'!$A$2:$BU$353,2,FALSE)),'Preliminary SO66'!AR115,VLOOKUP($CZ116,'Audit Values'!$A$2:$BU$353,66,FALSE))</f>
        <v>25</v>
      </c>
      <c r="AL116" s="95"/>
      <c r="AM116" s="99">
        <f t="shared" si="51"/>
        <v>39500</v>
      </c>
      <c r="AN116" s="99">
        <v>64328</v>
      </c>
      <c r="AO116" s="95">
        <f>MAX(AN116, AM116)/'Weighting Factors'!$Q$5</f>
        <v>15.4</v>
      </c>
      <c r="AP116" s="95">
        <f>CN116/'Weighting Factors'!$Q$5</f>
        <v>0</v>
      </c>
      <c r="AQ116" s="95">
        <v>0</v>
      </c>
      <c r="AR116" s="95">
        <f>CS116/'Weighting Factors'!$Q$5</f>
        <v>0</v>
      </c>
      <c r="AS116" s="99">
        <v>148724</v>
      </c>
      <c r="AT116" s="95">
        <f>AS116/'Weighting Factors'!$Q$5</f>
        <v>35.700000000000003</v>
      </c>
      <c r="AU116" s="95">
        <f>IF(ISNA(VLOOKUP($CZ116,'Audit Values'!$A$2:$BU$353,2,FALSE)),'Preliminary SO66'!X115,VLOOKUP($CZ116,'Audit Values'!$A$2:$BU$353,47,FALSE))</f>
        <v>0</v>
      </c>
      <c r="AV116" s="95">
        <f t="shared" si="52"/>
        <v>343</v>
      </c>
      <c r="AW116" s="95">
        <f t="shared" si="53"/>
        <v>307.3</v>
      </c>
      <c r="AX116" s="95">
        <f>IF(ISNA(VLOOKUP($CZ116,'Audit Values'!$A$2:$BU$353,2,FALSE)),'Preliminary SO66'!AA115,VLOOKUP($CZ116,'Audit Values'!$A$2:$BU$353,41,FALSE))</f>
        <v>11</v>
      </c>
      <c r="AY116" s="95">
        <f>IF(ISNA(VLOOKUP($CZ116,'Audit Values'!$A$2:$BU$353,2,FALSE)),'Preliminary SO66'!AB115,VLOOKUP($CZ116,'Audit Values'!$A$2:$BU$353,42,FALSE))</f>
        <v>0</v>
      </c>
      <c r="AZ116" s="114">
        <v>0</v>
      </c>
      <c r="BA116" s="99">
        <f>SUM(AX116*'Weighting Factors'!$T$10)+('2019 Legal Max'!AY116*'Weighting Factors'!$T$11)+('2019 Legal Max'!AZ116*'Weighting Factors'!$T$12)</f>
        <v>55000</v>
      </c>
      <c r="BB116" s="158">
        <v>0</v>
      </c>
      <c r="BC116" s="88">
        <f>IF(ISNA(VLOOKUP($CZ116,'Audit Values'!$A$2:$BU$353,2,FALSE)),"",IF(AND('Weighting Factors'!H116&gt;0,VLOOKUP($CZ116,'Audit Values'!$A$2:$BU$353,51,FALSE)&lt;'Weighting Factors'!H116),'Weighting Factors'!H116,VLOOKUP($CZ116,'Audit Values'!$A$2:$BU$353,50,FALSE)))</f>
        <v>23</v>
      </c>
      <c r="BD116" s="88" t="str">
        <f>IF(ISNA(VLOOKUP($CZ116,'Audit Values'!$A$2:$BV$353,2,FALSE)),"",VLOOKUP($CZ116,'Audit Values'!$A$2:$BV$353,51,FALSE))</f>
        <v>A</v>
      </c>
      <c r="BE116" s="88" t="str">
        <f>IF('Weighting Factors'!H116="","",IF('Weighting Factors'!J116="Pending","PX","R"))</f>
        <v/>
      </c>
      <c r="BF116" s="97">
        <f>SUM((S116+T116+Y116+AA116+AE116+AH116+AJ116++AO116+AP116+AQ116+AU116+AR116)*'Weighting Factors'!$Q$5)+'2019 Legal Max'!BA116+'2019 Legal Max'!BB116</f>
        <v>1334905</v>
      </c>
      <c r="BG116" s="99">
        <f>SUM((AV116+AR116)*'Weighting Factors'!$Q$5)+BA116+'2019 Legal Max'!BB116</f>
        <v>1483595</v>
      </c>
      <c r="BH116" s="108">
        <f>IF('Weighting Factors'!H116&gt;0,'Weighting Factors'!H116,'Preliminary SO66'!AV115)</f>
        <v>1499004</v>
      </c>
      <c r="BI116" s="99">
        <f t="shared" si="77"/>
        <v>1483595</v>
      </c>
      <c r="BJ116" s="112"/>
      <c r="BK116" s="112">
        <f>'Weighting Factors'!F116</f>
        <v>-3162</v>
      </c>
      <c r="BL116" s="112">
        <f>'Weighting Factors'!E116</f>
        <v>0</v>
      </c>
      <c r="BM116" s="99">
        <f t="shared" si="54"/>
        <v>-3162</v>
      </c>
      <c r="BN116" s="99">
        <f t="shared" si="55"/>
        <v>1480433</v>
      </c>
      <c r="BO116" s="99">
        <f>SUM((S116+T116+Y116+AA116+AE116+AH116+AJ116++AO116+AP116+AQ116+AR116)*'Weighting Factors'!Q$12)+(MAX(AS116,'Weighting Factors'!B116))</f>
        <v>1528501</v>
      </c>
      <c r="BP116" s="122">
        <v>0.3</v>
      </c>
      <c r="BQ116" s="99">
        <f t="shared" si="56"/>
        <v>458550</v>
      </c>
      <c r="BR116" s="108">
        <v>464601</v>
      </c>
      <c r="BS116" s="99">
        <f t="shared" si="57"/>
        <v>458550</v>
      </c>
      <c r="BT116" s="167">
        <f t="shared" si="58"/>
        <v>0.3</v>
      </c>
      <c r="BU116" s="95">
        <f t="shared" si="59"/>
        <v>0</v>
      </c>
      <c r="BV116" s="87" t="b">
        <f t="shared" si="60"/>
        <v>1</v>
      </c>
      <c r="BW116" s="117">
        <f t="shared" si="61"/>
        <v>410.33800000000002</v>
      </c>
      <c r="BX116" s="116">
        <f t="shared" si="62"/>
        <v>0.901675</v>
      </c>
      <c r="BY116" s="95">
        <f t="shared" si="63"/>
        <v>128.5</v>
      </c>
      <c r="BZ116" s="87" t="b">
        <f t="shared" si="64"/>
        <v>0</v>
      </c>
      <c r="CA116" s="87">
        <f t="shared" si="65"/>
        <v>0</v>
      </c>
      <c r="CB116" s="116">
        <f t="shared" si="66"/>
        <v>0</v>
      </c>
      <c r="CC116" s="95">
        <f t="shared" si="67"/>
        <v>0</v>
      </c>
      <c r="CD116" s="95">
        <f t="shared" si="68"/>
        <v>0</v>
      </c>
      <c r="CE116" s="98">
        <v>372.8</v>
      </c>
      <c r="CF116" s="250">
        <f t="shared" si="69"/>
        <v>6.7000000000000004E-2</v>
      </c>
      <c r="CG116" s="274">
        <f>IF(CF116&lt;0.06,1,IF(CF116&gt;=18.29,52,MATCH(CF116-0.001,'Weighting Factors'!$Y$5:$Y$156)+1))</f>
        <v>2</v>
      </c>
      <c r="CH116" s="243">
        <f>VLOOKUP(CG116, 'Weighting Factors'!$W$5:$Z$56,4)</f>
        <v>1580</v>
      </c>
      <c r="CI116" s="118">
        <f>('Weighting Factors'!$Q$5/'Weighting Factors'!$Q$14)</f>
        <v>1</v>
      </c>
      <c r="CJ116" s="245">
        <f t="shared" si="70"/>
        <v>39500</v>
      </c>
      <c r="CK116" s="245">
        <f>CJ116*'Weighting Factors'!$S$7</f>
        <v>39500</v>
      </c>
      <c r="CL116" s="245">
        <f t="shared" si="71"/>
        <v>39500</v>
      </c>
      <c r="CM116" s="95">
        <f>AM116/'Weighting Factors'!$Q$5</f>
        <v>9.5</v>
      </c>
      <c r="CN116" s="148">
        <v>0</v>
      </c>
      <c r="CO116" s="148">
        <v>0</v>
      </c>
      <c r="CP116" s="149">
        <v>0</v>
      </c>
      <c r="CQ116" s="151">
        <v>0</v>
      </c>
      <c r="CR116" s="99">
        <f>SUM((AV116*'Weighting Factors'!$Q$5)+'2019 Legal Max'!BA116)*CQ116</f>
        <v>0</v>
      </c>
      <c r="CS116" s="99">
        <f t="shared" si="72"/>
        <v>0</v>
      </c>
      <c r="CT116" s="106">
        <f t="shared" si="73"/>
        <v>0.31619999999999998</v>
      </c>
      <c r="CU116" s="95">
        <f t="shared" si="74"/>
        <v>0</v>
      </c>
      <c r="CV116" s="95">
        <f t="shared" si="75"/>
        <v>0</v>
      </c>
      <c r="CW116" s="95">
        <f t="shared" si="76"/>
        <v>343</v>
      </c>
      <c r="CX116" s="99">
        <f>'LOB Transfers'!G115</f>
        <v>23936</v>
      </c>
      <c r="CY116" s="99">
        <f>'LOB Transfers'!J115</f>
        <v>0</v>
      </c>
      <c r="CZ116" s="87" t="s">
        <v>308</v>
      </c>
    </row>
    <row r="117" spans="1:104" ht="15" customHeight="1">
      <c r="A117" s="88">
        <v>315</v>
      </c>
      <c r="B117" s="87" t="s">
        <v>50</v>
      </c>
      <c r="C117" s="87" t="s">
        <v>630</v>
      </c>
      <c r="D117" s="95">
        <v>868.9</v>
      </c>
      <c r="E117" s="95">
        <v>0</v>
      </c>
      <c r="F117" s="95">
        <f t="shared" si="43"/>
        <v>868.9</v>
      </c>
      <c r="G117" s="95">
        <v>851.6</v>
      </c>
      <c r="H117" s="95">
        <v>0</v>
      </c>
      <c r="I117" s="95">
        <f t="shared" si="44"/>
        <v>851.6</v>
      </c>
      <c r="J117" s="95">
        <v>886.6</v>
      </c>
      <c r="K117" s="95">
        <v>0</v>
      </c>
      <c r="L117" s="95">
        <f t="shared" si="45"/>
        <v>886.6</v>
      </c>
      <c r="M117" s="95">
        <f>IF(ISNA(VLOOKUP($CZ117,'Audit Values'!$A$2:$BW$365,2,FALSE)),'Preliminary SO66'!C116,VLOOKUP($CZ117,'Audit Values'!$A$2:$BW$365,73,FALSE))</f>
        <v>900.2</v>
      </c>
      <c r="N117" s="95">
        <f>IF(ISNA(VLOOKUP($CZ117,'Audit Values'!$A$2:$BW$365,2,FALSE)),'Preliminary SO66'!F116,VLOOKUP($CZ117,'Audit Values'!$A$2:$BW$365,4,FALSE))</f>
        <v>0</v>
      </c>
      <c r="O117" s="95">
        <f t="shared" si="46"/>
        <v>900.2</v>
      </c>
      <c r="P117" s="95">
        <f>IF('Military Provision'!J118="YES", MAX('2019 Legal Max'!L117,'2019 Legal Max'!I117,AVERAGE('2019 Legal Max'!F117,'2019 Legal Max'!I117,'2019 Legal Max'!L117)), MAX(L117, I117))</f>
        <v>886.6</v>
      </c>
      <c r="Q117" s="95">
        <f>IF(ISNA(VLOOKUP($CZ117,'Audit Values'!$A$2:$BU$353,2,FALSE)),'Preliminary SO66'!AL116,VLOOKUP($CZ117,'Audit Values'!$A$2:$BU$3955,58,FALSE))</f>
        <v>6.5</v>
      </c>
      <c r="R117" s="95">
        <v>0</v>
      </c>
      <c r="S117" s="95">
        <f t="shared" ref="S117:S148" si="79">P117+Q117</f>
        <v>893.1</v>
      </c>
      <c r="T117" s="95">
        <f t="shared" si="47"/>
        <v>252.5</v>
      </c>
      <c r="U117" s="95">
        <f>IF(ISNA(VLOOKUP($CZ117,'Audit Values'!$A$2:$BW$317,2,FALSE)),'Preliminary SO66'!AM116,VLOOKUP($CZ117,'Audit Values'!$A$2:$BW$317,62,FALSE))</f>
        <v>124.5</v>
      </c>
      <c r="V117" s="95">
        <f>(U117/6)*'Weighting Factors'!$Q$7</f>
        <v>8.1999999999999993</v>
      </c>
      <c r="W117" s="132">
        <f>IF(ISNA(VLOOKUP($CZ117,'Audit Values'!$A$2:$BW$353,2,FALSE)),'Preliminary SO66'!AN116,VLOOKUP($CZ117,'Audit Values'!$A$2:$BW$353,61,FALSE))</f>
        <v>51</v>
      </c>
      <c r="X117" s="95">
        <f>W117*'Weighting Factors'!$Q$8</f>
        <v>9.4</v>
      </c>
      <c r="Y117" s="95">
        <f t="shared" si="48"/>
        <v>9.4</v>
      </c>
      <c r="Z117" s="276">
        <f>IF(ISNA(VLOOKUP($CZ117,'Audit Values'!$A$2:$BW$317,2,FALSE)),'Preliminary SO66'!AO116,VLOOKUP($CZ117,'Audit Values'!$A$2:$BW$317,60,FALSE))</f>
        <v>319.5</v>
      </c>
      <c r="AA117" s="95">
        <f>Z117/6*'Weighting Factors'!$Q$6</f>
        <v>26.6</v>
      </c>
      <c r="AB117" s="99">
        <f>IF(ISNA(VLOOKUP($CZ117,'Audit Values'!$A$2:$BU$353,2,FALSE)),'Preliminary SO66'!AS116,VLOOKUP($CZ117,'Audit Values'!$A$2:$BU$353,63,FALSE))</f>
        <v>924</v>
      </c>
      <c r="AC117" s="99">
        <v>0</v>
      </c>
      <c r="AD117" s="99">
        <f>IF(ISNA(VLOOKUP($CZ117,'Audit Values'!$A$2:$BU$353,2,FALSE)),'Preliminary SO66'!AP116,VLOOKUP($CZ117,'Audit Values'!$A$2:$BU$353,64,FALSE))</f>
        <v>256</v>
      </c>
      <c r="AE117" s="95">
        <f>IF(A117=207, AD117,MAX(AC117,AD117))*'Weighting Factors'!$Q$9</f>
        <v>123.9</v>
      </c>
      <c r="AF117" s="95">
        <f t="shared" si="49"/>
        <v>0</v>
      </c>
      <c r="AG117" s="95">
        <f>IF(ISNA(VLOOKUP($CZ117,'Audit Values'!$A$2:$BW$353,2,FALSE)),'Preliminary SO66'!AG116,VLOOKUP($CZ117,'Audit Values'!$A$2:$BW$353,70,FALSE))</f>
        <v>0</v>
      </c>
      <c r="AH117" s="95">
        <f t="shared" si="50"/>
        <v>0</v>
      </c>
      <c r="AI117" s="95">
        <f>IF(ISNA(VLOOKUP($CZ117,'Audit Values'!$A$2:$BU$353,2,FALSE)),'Preliminary SO66'!AQ116,VLOOKUP($CZ117,'Audit Values'!$A$2:$BU$353,65,FALSE))</f>
        <v>0</v>
      </c>
      <c r="AJ117" s="95">
        <f>AI117*'Weighting Factors'!$Q$10</f>
        <v>0</v>
      </c>
      <c r="AK117" s="95">
        <f>IF(ISNA(VLOOKUP($CZ117,'Audit Values'!$A$2:$BU$353,2,FALSE)),'Preliminary SO66'!AR116,VLOOKUP($CZ117,'Audit Values'!$A$2:$BU$353,66,FALSE))</f>
        <v>167</v>
      </c>
      <c r="AL117" s="95"/>
      <c r="AM117" s="99">
        <f t="shared" si="51"/>
        <v>192050</v>
      </c>
      <c r="AN117" s="99">
        <v>240750</v>
      </c>
      <c r="AO117" s="95">
        <f>MAX(AN117, AM117)/'Weighting Factors'!$Q$5</f>
        <v>57.8</v>
      </c>
      <c r="AP117" s="95">
        <f>CN117/'Weighting Factors'!$Q$5</f>
        <v>0</v>
      </c>
      <c r="AQ117" s="95">
        <v>0</v>
      </c>
      <c r="AR117" s="95">
        <f>CS117/'Weighting Factors'!$Q$5</f>
        <v>0</v>
      </c>
      <c r="AS117" s="99">
        <v>650036</v>
      </c>
      <c r="AT117" s="95">
        <f>AS117/'Weighting Factors'!$Q$5</f>
        <v>156.1</v>
      </c>
      <c r="AU117" s="95">
        <f>IF(ISNA(VLOOKUP($CZ117,'Audit Values'!$A$2:$BU$353,2,FALSE)),'Preliminary SO66'!X116,VLOOKUP($CZ117,'Audit Values'!$A$2:$BU$353,47,FALSE))</f>
        <v>0</v>
      </c>
      <c r="AV117" s="95">
        <f t="shared" si="52"/>
        <v>1519.4</v>
      </c>
      <c r="AW117" s="95">
        <f t="shared" si="53"/>
        <v>1363.3</v>
      </c>
      <c r="AX117" s="95">
        <f>IF(ISNA(VLOOKUP($CZ117,'Audit Values'!$A$2:$BU$353,2,FALSE)),'Preliminary SO66'!AA116,VLOOKUP($CZ117,'Audit Values'!$A$2:$BU$353,41,FALSE))</f>
        <v>0</v>
      </c>
      <c r="AY117" s="95">
        <f>IF(ISNA(VLOOKUP($CZ117,'Audit Values'!$A$2:$BU$353,2,FALSE)),'Preliminary SO66'!AB116,VLOOKUP($CZ117,'Audit Values'!$A$2:$BU$353,42,FALSE))</f>
        <v>0</v>
      </c>
      <c r="AZ117" s="114">
        <v>61.5</v>
      </c>
      <c r="BA117" s="99">
        <f>SUM(AX117*'Weighting Factors'!$T$10)+('2019 Legal Max'!AY117*'Weighting Factors'!$T$11)+('2019 Legal Max'!AZ117*'Weighting Factors'!$T$12)</f>
        <v>43604</v>
      </c>
      <c r="BB117" s="158">
        <v>0</v>
      </c>
      <c r="BC117" s="88">
        <f>IF(ISNA(VLOOKUP($CZ117,'Audit Values'!$A$2:$BU$353,2,FALSE)),"",IF(AND('Weighting Factors'!H117&gt;0,VLOOKUP($CZ117,'Audit Values'!$A$2:$BU$353,51,FALSE)&lt;'Weighting Factors'!H117),'Weighting Factors'!H117,VLOOKUP($CZ117,'Audit Values'!$A$2:$BU$353,50,FALSE)))</f>
        <v>19</v>
      </c>
      <c r="BD117" s="88" t="str">
        <f>IF(ISNA(VLOOKUP($CZ117,'Audit Values'!$A$2:$BV$353,2,FALSE)),"",VLOOKUP($CZ117,'Audit Values'!$A$2:$BV$353,51,FALSE))</f>
        <v>A</v>
      </c>
      <c r="BE117" s="88" t="str">
        <f>IF('Weighting Factors'!H117="","",IF('Weighting Factors'!J117="Pending","PX","R"))</f>
        <v>R</v>
      </c>
      <c r="BF117" s="97">
        <f>SUM((S117+T117+Y117+AA117+AE117+AH117+AJ117++AO117+AP117+AQ117+AU117+AR117)*'Weighting Factors'!$Q$5)+'2019 Legal Max'!BA117+'2019 Legal Max'!BB117</f>
        <v>5721749</v>
      </c>
      <c r="BG117" s="99">
        <f>SUM((AV117+AR117)*'Weighting Factors'!$Q$5)+BA117+'2019 Legal Max'!BB117</f>
        <v>6371905</v>
      </c>
      <c r="BH117" s="108">
        <f>IF('Weighting Factors'!H117&gt;0,'Weighting Factors'!H117,'Preliminary SO66'!AV116)</f>
        <v>6438063</v>
      </c>
      <c r="BI117" s="99">
        <f t="shared" si="77"/>
        <v>6371905</v>
      </c>
      <c r="BJ117" s="112"/>
      <c r="BK117" s="112">
        <f>'Weighting Factors'!F117</f>
        <v>-38724</v>
      </c>
      <c r="BL117" s="112">
        <f>'Weighting Factors'!E117</f>
        <v>-1773</v>
      </c>
      <c r="BM117" s="99">
        <f t="shared" si="54"/>
        <v>-40497</v>
      </c>
      <c r="BN117" s="99">
        <f t="shared" si="55"/>
        <v>6331408</v>
      </c>
      <c r="BO117" s="99">
        <f>SUM((S117+T117+Y117+AA117+AE117+AH117+AJ117++AO117+AP117+AQ117+AR117)*'Weighting Factors'!Q$12)+(MAX(AS117,'Weighting Factors'!B117))</f>
        <v>7167479</v>
      </c>
      <c r="BP117" s="122">
        <v>0.33</v>
      </c>
      <c r="BQ117" s="99">
        <f t="shared" si="56"/>
        <v>2365268</v>
      </c>
      <c r="BR117" s="108">
        <v>2142566</v>
      </c>
      <c r="BS117" s="99">
        <f t="shared" si="57"/>
        <v>2142566</v>
      </c>
      <c r="BT117" s="167">
        <f t="shared" si="58"/>
        <v>0.2989</v>
      </c>
      <c r="BU117" s="95">
        <f t="shared" si="59"/>
        <v>0</v>
      </c>
      <c r="BV117" s="87" t="b">
        <f t="shared" si="60"/>
        <v>0</v>
      </c>
      <c r="BW117" s="117">
        <f t="shared" si="61"/>
        <v>0</v>
      </c>
      <c r="BX117" s="116">
        <f t="shared" si="62"/>
        <v>0</v>
      </c>
      <c r="BY117" s="95">
        <f t="shared" si="63"/>
        <v>0</v>
      </c>
      <c r="BZ117" s="87" t="b">
        <f t="shared" si="64"/>
        <v>1</v>
      </c>
      <c r="CA117" s="87">
        <f t="shared" si="65"/>
        <v>733.96130000000005</v>
      </c>
      <c r="CB117" s="116">
        <f t="shared" si="66"/>
        <v>0.28268100000000002</v>
      </c>
      <c r="CC117" s="95">
        <f t="shared" si="67"/>
        <v>252.5</v>
      </c>
      <c r="CD117" s="95">
        <f t="shared" si="68"/>
        <v>0</v>
      </c>
      <c r="CE117" s="98">
        <v>463</v>
      </c>
      <c r="CF117" s="250">
        <f t="shared" si="69"/>
        <v>0.36099999999999999</v>
      </c>
      <c r="CG117" s="274">
        <f>IF(CF117&lt;0.06,1,IF(CF117&gt;=18.29,52,MATCH(CF117-0.001,'Weighting Factors'!$Y$5:$Y$156)+1))</f>
        <v>22</v>
      </c>
      <c r="CH117" s="243">
        <f>VLOOKUP(CG117, 'Weighting Factors'!$W$5:$Z$56,4)</f>
        <v>1150</v>
      </c>
      <c r="CI117" s="118">
        <f>('Weighting Factors'!$Q$5/'Weighting Factors'!$Q$14)</f>
        <v>1</v>
      </c>
      <c r="CJ117" s="245">
        <f t="shared" si="70"/>
        <v>192050</v>
      </c>
      <c r="CK117" s="245">
        <f>CJ117*'Weighting Factors'!$S$7</f>
        <v>192050</v>
      </c>
      <c r="CL117" s="245">
        <f t="shared" si="71"/>
        <v>192050</v>
      </c>
      <c r="CM117" s="95">
        <f>AM117/'Weighting Factors'!$Q$5</f>
        <v>46.1</v>
      </c>
      <c r="CN117" s="148">
        <v>0</v>
      </c>
      <c r="CO117" s="148">
        <v>0</v>
      </c>
      <c r="CP117" s="149">
        <v>0</v>
      </c>
      <c r="CQ117" s="151">
        <v>0</v>
      </c>
      <c r="CR117" s="99">
        <f>SUM((AV117*'Weighting Factors'!$Q$5)+'2019 Legal Max'!BA117)*CQ117</f>
        <v>0</v>
      </c>
      <c r="CS117" s="99">
        <f t="shared" si="72"/>
        <v>0</v>
      </c>
      <c r="CT117" s="106">
        <f t="shared" si="73"/>
        <v>0.27710000000000001</v>
      </c>
      <c r="CU117" s="95">
        <f t="shared" si="74"/>
        <v>0</v>
      </c>
      <c r="CV117" s="95">
        <f t="shared" si="75"/>
        <v>0</v>
      </c>
      <c r="CW117" s="95">
        <f t="shared" si="76"/>
        <v>1519.4</v>
      </c>
      <c r="CX117" s="99">
        <f>'LOB Transfers'!G116</f>
        <v>175476</v>
      </c>
      <c r="CY117" s="99">
        <f>'LOB Transfers'!J116</f>
        <v>13284</v>
      </c>
      <c r="CZ117" s="87" t="s">
        <v>309</v>
      </c>
    </row>
    <row r="118" spans="1:104" ht="15" customHeight="1">
      <c r="A118" s="88">
        <v>316</v>
      </c>
      <c r="B118" s="87" t="s">
        <v>50</v>
      </c>
      <c r="C118" s="87" t="s">
        <v>631</v>
      </c>
      <c r="D118" s="95">
        <v>177.6</v>
      </c>
      <c r="E118" s="95">
        <v>0</v>
      </c>
      <c r="F118" s="95">
        <f t="shared" si="43"/>
        <v>177.6</v>
      </c>
      <c r="G118" s="95">
        <v>176</v>
      </c>
      <c r="H118" s="95">
        <v>0</v>
      </c>
      <c r="I118" s="95">
        <f t="shared" si="44"/>
        <v>176</v>
      </c>
      <c r="J118" s="95">
        <v>178.5</v>
      </c>
      <c r="K118" s="95">
        <v>0</v>
      </c>
      <c r="L118" s="95">
        <f t="shared" si="45"/>
        <v>178.5</v>
      </c>
      <c r="M118" s="95">
        <f>IF(ISNA(VLOOKUP($CZ118,'Audit Values'!$A$2:$BW$365,2,FALSE)),'Preliminary SO66'!C117,VLOOKUP($CZ118,'Audit Values'!$A$2:$BW$365,73,FALSE))</f>
        <v>177</v>
      </c>
      <c r="N118" s="95">
        <f>IF(ISNA(VLOOKUP($CZ118,'Audit Values'!$A$2:$BW$365,2,FALSE)),'Preliminary SO66'!F117,VLOOKUP($CZ118,'Audit Values'!$A$2:$BW$365,4,FALSE))</f>
        <v>0</v>
      </c>
      <c r="O118" s="95">
        <f t="shared" si="46"/>
        <v>177</v>
      </c>
      <c r="P118" s="95">
        <f>IF('Military Provision'!J119="YES", MAX('2019 Legal Max'!L118,'2019 Legal Max'!I118,AVERAGE('2019 Legal Max'!F118,'2019 Legal Max'!I118,'2019 Legal Max'!L118)), MAX(L118, I118))</f>
        <v>178.5</v>
      </c>
      <c r="Q118" s="95">
        <f>IF(ISNA(VLOOKUP($CZ118,'Audit Values'!$A$2:$BU$353,2,FALSE)),'Preliminary SO66'!AL117,VLOOKUP($CZ118,'Audit Values'!$A$2:$BU$3955,58,FALSE))</f>
        <v>1.5</v>
      </c>
      <c r="R118" s="95">
        <v>0</v>
      </c>
      <c r="S118" s="95">
        <f t="shared" si="79"/>
        <v>180</v>
      </c>
      <c r="T118" s="95">
        <f t="shared" si="47"/>
        <v>144.4</v>
      </c>
      <c r="U118" s="95">
        <f>IF(ISNA(VLOOKUP($CZ118,'Audit Values'!$A$2:$BW$317,2,FALSE)),'Preliminary SO66'!AM117,VLOOKUP($CZ118,'Audit Values'!$A$2:$BW$317,62,FALSE))</f>
        <v>61.7</v>
      </c>
      <c r="V118" s="95">
        <f>(U118/6)*'Weighting Factors'!$Q$7</f>
        <v>4.0999999999999996</v>
      </c>
      <c r="W118" s="132">
        <f>IF(ISNA(VLOOKUP($CZ118,'Audit Values'!$A$2:$BW$353,2,FALSE)),'Preliminary SO66'!AN117,VLOOKUP($CZ118,'Audit Values'!$A$2:$BW$353,61,FALSE))</f>
        <v>27</v>
      </c>
      <c r="X118" s="95">
        <f>W118*'Weighting Factors'!$Q$8</f>
        <v>5</v>
      </c>
      <c r="Y118" s="95">
        <f t="shared" si="48"/>
        <v>5</v>
      </c>
      <c r="Z118" s="276">
        <f>IF(ISNA(VLOOKUP($CZ118,'Audit Values'!$A$2:$BW$317,2,FALSE)),'Preliminary SO66'!AO117,VLOOKUP($CZ118,'Audit Values'!$A$2:$BW$317,60,FALSE))</f>
        <v>13.2</v>
      </c>
      <c r="AA118" s="95">
        <f>Z118/6*'Weighting Factors'!$Q$6</f>
        <v>1.1000000000000001</v>
      </c>
      <c r="AB118" s="99">
        <f>IF(ISNA(VLOOKUP($CZ118,'Audit Values'!$A$2:$BU$353,2,FALSE)),'Preliminary SO66'!AS117,VLOOKUP($CZ118,'Audit Values'!$A$2:$BU$353,63,FALSE))</f>
        <v>183</v>
      </c>
      <c r="AC118" s="99">
        <v>0</v>
      </c>
      <c r="AD118" s="99">
        <f>IF(ISNA(VLOOKUP($CZ118,'Audit Values'!$A$2:$BU$353,2,FALSE)),'Preliminary SO66'!AP117,VLOOKUP($CZ118,'Audit Values'!$A$2:$BU$353,64,FALSE))</f>
        <v>102</v>
      </c>
      <c r="AE118" s="95">
        <f>IF(A118=207, AD118,MAX(AC118,AD118))*'Weighting Factors'!$Q$9</f>
        <v>49.4</v>
      </c>
      <c r="AF118" s="95">
        <f t="shared" si="49"/>
        <v>10.7</v>
      </c>
      <c r="AG118" s="95">
        <f>IF(ISNA(VLOOKUP($CZ118,'Audit Values'!$A$2:$BW$353,2,FALSE)),'Preliminary SO66'!AG117,VLOOKUP($CZ118,'Audit Values'!$A$2:$BW$353,70,FALSE))</f>
        <v>8.9</v>
      </c>
      <c r="AH118" s="95">
        <f t="shared" si="50"/>
        <v>10.7</v>
      </c>
      <c r="AI118" s="95">
        <f>IF(ISNA(VLOOKUP($CZ118,'Audit Values'!$A$2:$BU$353,2,FALSE)),'Preliminary SO66'!AQ117,VLOOKUP($CZ118,'Audit Values'!$A$2:$BU$353,65,FALSE))</f>
        <v>0</v>
      </c>
      <c r="AJ118" s="95">
        <f>AI118*'Weighting Factors'!$Q$10</f>
        <v>0</v>
      </c>
      <c r="AK118" s="95">
        <f>IF(ISNA(VLOOKUP($CZ118,'Audit Values'!$A$2:$BU$353,2,FALSE)),'Preliminary SO66'!AR117,VLOOKUP($CZ118,'Audit Values'!$A$2:$BU$353,66,FALSE))</f>
        <v>71.5</v>
      </c>
      <c r="AL118" s="95"/>
      <c r="AM118" s="99">
        <f t="shared" si="51"/>
        <v>85085</v>
      </c>
      <c r="AN118" s="99">
        <v>101308</v>
      </c>
      <c r="AO118" s="95">
        <f>MAX(AN118, AM118)/'Weighting Factors'!$Q$5</f>
        <v>24.3</v>
      </c>
      <c r="AP118" s="95">
        <f>CN118/'Weighting Factors'!$Q$5</f>
        <v>0</v>
      </c>
      <c r="AQ118" s="95">
        <v>0</v>
      </c>
      <c r="AR118" s="95">
        <f>CS118/'Weighting Factors'!$Q$5</f>
        <v>0</v>
      </c>
      <c r="AS118" s="99">
        <v>276410</v>
      </c>
      <c r="AT118" s="95">
        <f>AS118/'Weighting Factors'!$Q$5</f>
        <v>66.400000000000006</v>
      </c>
      <c r="AU118" s="95">
        <f>IF(ISNA(VLOOKUP($CZ118,'Audit Values'!$A$2:$BU$353,2,FALSE)),'Preliminary SO66'!X117,VLOOKUP($CZ118,'Audit Values'!$A$2:$BU$353,47,FALSE))</f>
        <v>0</v>
      </c>
      <c r="AV118" s="95">
        <f t="shared" si="52"/>
        <v>481.3</v>
      </c>
      <c r="AW118" s="95">
        <f t="shared" si="53"/>
        <v>414.9</v>
      </c>
      <c r="AX118" s="95">
        <f>IF(ISNA(VLOOKUP($CZ118,'Audit Values'!$A$2:$BU$353,2,FALSE)),'Preliminary SO66'!AA117,VLOOKUP($CZ118,'Audit Values'!$A$2:$BU$353,41,FALSE))</f>
        <v>0</v>
      </c>
      <c r="AY118" s="95">
        <f>IF(ISNA(VLOOKUP($CZ118,'Audit Values'!$A$2:$BU$353,2,FALSE)),'Preliminary SO66'!AB117,VLOOKUP($CZ118,'Audit Values'!$A$2:$BU$353,42,FALSE))</f>
        <v>0</v>
      </c>
      <c r="AZ118" s="114">
        <v>0</v>
      </c>
      <c r="BA118" s="99">
        <f>SUM(AX118*'Weighting Factors'!$T$10)+('2019 Legal Max'!AY118*'Weighting Factors'!$T$11)+('2019 Legal Max'!AZ118*'Weighting Factors'!$T$12)</f>
        <v>0</v>
      </c>
      <c r="BB118" s="158">
        <v>0</v>
      </c>
      <c r="BC118" s="88">
        <f>IF(ISNA(VLOOKUP($CZ118,'Audit Values'!$A$2:$BU$353,2,FALSE)),"",IF(AND('Weighting Factors'!H118&gt;0,VLOOKUP($CZ118,'Audit Values'!$A$2:$BU$353,51,FALSE)&lt;'Weighting Factors'!H118),'Weighting Factors'!H118,VLOOKUP($CZ118,'Audit Values'!$A$2:$BU$353,50,FALSE)))</f>
        <v>25</v>
      </c>
      <c r="BD118" s="88" t="str">
        <f>IF(ISNA(VLOOKUP($CZ118,'Audit Values'!$A$2:$BV$353,2,FALSE)),"",VLOOKUP($CZ118,'Audit Values'!$A$2:$BV$353,51,FALSE))</f>
        <v>A</v>
      </c>
      <c r="BE118" s="88" t="str">
        <f>IF('Weighting Factors'!H118="","",IF('Weighting Factors'!J118="Pending","PX","R"))</f>
        <v/>
      </c>
      <c r="BF118" s="97">
        <f>SUM((S118+T118+Y118+AA118+AE118+AH118+AJ118++AO118+AP118+AQ118+AU118+AR118)*'Weighting Factors'!$Q$5)+'2019 Legal Max'!BA118+'2019 Legal Max'!BB118</f>
        <v>1728059</v>
      </c>
      <c r="BG118" s="99">
        <f>SUM((AV118+AR118)*'Weighting Factors'!$Q$5)+BA118+'2019 Legal Max'!BB118</f>
        <v>2004615</v>
      </c>
      <c r="BH118" s="108">
        <f>IF('Weighting Factors'!H118&gt;0,'Weighting Factors'!H118,'Preliminary SO66'!AV117)</f>
        <v>2051679</v>
      </c>
      <c r="BI118" s="99">
        <f t="shared" si="77"/>
        <v>2004615</v>
      </c>
      <c r="BJ118" s="112"/>
      <c r="BK118" s="112">
        <f>'Weighting Factors'!F118</f>
        <v>0</v>
      </c>
      <c r="BL118" s="112">
        <f>'Weighting Factors'!E118</f>
        <v>0</v>
      </c>
      <c r="BM118" s="99">
        <f t="shared" si="54"/>
        <v>0</v>
      </c>
      <c r="BN118" s="99">
        <f t="shared" si="55"/>
        <v>2004615</v>
      </c>
      <c r="BO118" s="99">
        <f>SUM((S118+T118+Y118+AA118+AE118+AH118+AJ118++AO118+AP118+AQ118+AR118)*'Weighting Factors'!Q$12)+(MAX(AS118,'Weighting Factors'!B118))</f>
        <v>2204762</v>
      </c>
      <c r="BP118" s="122">
        <v>0.3</v>
      </c>
      <c r="BQ118" s="99">
        <f t="shared" si="56"/>
        <v>661429</v>
      </c>
      <c r="BR118" s="108">
        <v>663988</v>
      </c>
      <c r="BS118" s="99">
        <f t="shared" si="57"/>
        <v>661429</v>
      </c>
      <c r="BT118" s="167">
        <f t="shared" si="58"/>
        <v>0.3</v>
      </c>
      <c r="BU118" s="95">
        <f t="shared" si="59"/>
        <v>0</v>
      </c>
      <c r="BV118" s="87" t="b">
        <f t="shared" si="60"/>
        <v>1</v>
      </c>
      <c r="BW118" s="117">
        <f t="shared" si="61"/>
        <v>772.4</v>
      </c>
      <c r="BX118" s="116">
        <f t="shared" si="62"/>
        <v>0.80227300000000001</v>
      </c>
      <c r="BY118" s="95">
        <f t="shared" si="63"/>
        <v>144.4</v>
      </c>
      <c r="BZ118" s="87" t="b">
        <f t="shared" si="64"/>
        <v>0</v>
      </c>
      <c r="CA118" s="87">
        <f t="shared" si="65"/>
        <v>0</v>
      </c>
      <c r="CB118" s="116">
        <f t="shared" si="66"/>
        <v>0</v>
      </c>
      <c r="CC118" s="95">
        <f t="shared" si="67"/>
        <v>0</v>
      </c>
      <c r="CD118" s="95">
        <f t="shared" si="68"/>
        <v>0</v>
      </c>
      <c r="CE118" s="98">
        <v>242</v>
      </c>
      <c r="CF118" s="250">
        <f t="shared" si="69"/>
        <v>0.29499999999999998</v>
      </c>
      <c r="CG118" s="274">
        <f>IF(CF118&lt;0.06,1,IF(CF118&gt;=18.29,52,MATCH(CF118-0.001,'Weighting Factors'!$Y$5:$Y$156)+1))</f>
        <v>20</v>
      </c>
      <c r="CH118" s="243">
        <f>VLOOKUP(CG118, 'Weighting Factors'!$W$5:$Z$56,4)</f>
        <v>1190</v>
      </c>
      <c r="CI118" s="118">
        <f>('Weighting Factors'!$Q$5/'Weighting Factors'!$Q$14)</f>
        <v>1</v>
      </c>
      <c r="CJ118" s="245">
        <f t="shared" si="70"/>
        <v>85085</v>
      </c>
      <c r="CK118" s="245">
        <f>CJ118*'Weighting Factors'!$S$7</f>
        <v>85085</v>
      </c>
      <c r="CL118" s="245">
        <f t="shared" si="71"/>
        <v>85085</v>
      </c>
      <c r="CM118" s="95">
        <f>AM118/'Weighting Factors'!$Q$5</f>
        <v>20.399999999999999</v>
      </c>
      <c r="CN118" s="148">
        <v>0</v>
      </c>
      <c r="CO118" s="148">
        <v>0</v>
      </c>
      <c r="CP118" s="149">
        <v>0</v>
      </c>
      <c r="CQ118" s="151">
        <v>0</v>
      </c>
      <c r="CR118" s="99">
        <f>SUM((AV118*'Weighting Factors'!$Q$5)+'2019 Legal Max'!BA118)*CQ118</f>
        <v>0</v>
      </c>
      <c r="CS118" s="99">
        <f t="shared" si="72"/>
        <v>0</v>
      </c>
      <c r="CT118" s="106">
        <f t="shared" si="73"/>
        <v>0.55740000000000001</v>
      </c>
      <c r="CU118" s="95">
        <f t="shared" si="74"/>
        <v>10.7</v>
      </c>
      <c r="CV118" s="95">
        <f t="shared" si="75"/>
        <v>0</v>
      </c>
      <c r="CW118" s="95">
        <f t="shared" si="76"/>
        <v>481.3</v>
      </c>
      <c r="CX118" s="99">
        <f>'LOB Transfers'!G117</f>
        <v>68127</v>
      </c>
      <c r="CY118" s="99">
        <f>'LOB Transfers'!J117</f>
        <v>6879</v>
      </c>
      <c r="CZ118" s="87" t="s">
        <v>310</v>
      </c>
    </row>
    <row r="119" spans="1:104" ht="15" customHeight="1">
      <c r="A119" s="88">
        <v>320</v>
      </c>
      <c r="B119" s="87" t="s">
        <v>52</v>
      </c>
      <c r="C119" s="87" t="s">
        <v>632</v>
      </c>
      <c r="D119" s="95">
        <v>1470.1</v>
      </c>
      <c r="E119" s="95">
        <v>0</v>
      </c>
      <c r="F119" s="95">
        <f t="shared" si="43"/>
        <v>1470.1</v>
      </c>
      <c r="G119" s="95">
        <v>1482.1</v>
      </c>
      <c r="H119" s="95">
        <v>0</v>
      </c>
      <c r="I119" s="95">
        <f t="shared" si="44"/>
        <v>1482.1</v>
      </c>
      <c r="J119" s="95">
        <v>1500.5</v>
      </c>
      <c r="K119" s="95">
        <v>0</v>
      </c>
      <c r="L119" s="95">
        <f t="shared" si="45"/>
        <v>1500.5</v>
      </c>
      <c r="M119" s="95">
        <f>IF(ISNA(VLOOKUP($CZ119,'Audit Values'!$A$2:$BW$365,2,FALSE)),'Preliminary SO66'!C118,VLOOKUP($CZ119,'Audit Values'!$A$2:$BW$365,73,FALSE))</f>
        <v>1513.1</v>
      </c>
      <c r="N119" s="95">
        <f>IF(ISNA(VLOOKUP($CZ119,'Audit Values'!$A$2:$BW$365,2,FALSE)),'Preliminary SO66'!F118,VLOOKUP($CZ119,'Audit Values'!$A$2:$BW$365,4,FALSE))</f>
        <v>0</v>
      </c>
      <c r="O119" s="95">
        <f t="shared" si="46"/>
        <v>1513.1</v>
      </c>
      <c r="P119" s="95">
        <f>IF('Military Provision'!J120="YES", MAX('2019 Legal Max'!L119,'2019 Legal Max'!I119,AVERAGE('2019 Legal Max'!F119,'2019 Legal Max'!I119,'2019 Legal Max'!L119)), MAX(L119, I119))</f>
        <v>1500.5</v>
      </c>
      <c r="Q119" s="95">
        <f>IF(ISNA(VLOOKUP($CZ119,'Audit Values'!$A$2:$BU$353,2,FALSE)),'Preliminary SO66'!AL118,VLOOKUP($CZ119,'Audit Values'!$A$2:$BU$3955,58,FALSE))</f>
        <v>0</v>
      </c>
      <c r="R119" s="95">
        <v>0</v>
      </c>
      <c r="S119" s="95">
        <f t="shared" si="79"/>
        <v>1500.5</v>
      </c>
      <c r="T119" s="95">
        <f t="shared" si="47"/>
        <v>114.5</v>
      </c>
      <c r="U119" s="95">
        <f>IF(ISNA(VLOOKUP($CZ119,'Audit Values'!$A$2:$BW$317,2,FALSE)),'Preliminary SO66'!AM118,VLOOKUP($CZ119,'Audit Values'!$A$2:$BW$317,62,FALSE))</f>
        <v>20.8</v>
      </c>
      <c r="V119" s="95">
        <f>(U119/6)*'Weighting Factors'!$Q$7</f>
        <v>1.4</v>
      </c>
      <c r="W119" s="132">
        <f>IF(ISNA(VLOOKUP($CZ119,'Audit Values'!$A$2:$BW$353,2,FALSE)),'Preliminary SO66'!AN118,VLOOKUP($CZ119,'Audit Values'!$A$2:$BW$353,61,FALSE))</f>
        <v>15</v>
      </c>
      <c r="X119" s="95">
        <f>W119*'Weighting Factors'!$Q$8</f>
        <v>2.8</v>
      </c>
      <c r="Y119" s="95">
        <f t="shared" si="48"/>
        <v>2.8</v>
      </c>
      <c r="Z119" s="276">
        <f>IF(ISNA(VLOOKUP($CZ119,'Audit Values'!$A$2:$BW$317,2,FALSE)),'Preliminary SO66'!AO118,VLOOKUP($CZ119,'Audit Values'!$A$2:$BW$317,60,FALSE))</f>
        <v>315</v>
      </c>
      <c r="AA119" s="95">
        <f>Z119/6*'Weighting Factors'!$Q$6</f>
        <v>26.3</v>
      </c>
      <c r="AB119" s="99">
        <f>IF(ISNA(VLOOKUP($CZ119,'Audit Values'!$A$2:$BU$353,2,FALSE)),'Preliminary SO66'!AS118,VLOOKUP($CZ119,'Audit Values'!$A$2:$BU$353,63,FALSE))</f>
        <v>1533</v>
      </c>
      <c r="AC119" s="99">
        <v>0</v>
      </c>
      <c r="AD119" s="99">
        <f>IF(ISNA(VLOOKUP($CZ119,'Audit Values'!$A$2:$BU$353,2,FALSE)),'Preliminary SO66'!AP118,VLOOKUP($CZ119,'Audit Values'!$A$2:$BU$353,64,FALSE))</f>
        <v>313</v>
      </c>
      <c r="AE119" s="95">
        <f>IF(A119=207, AD119,MAX(AC119,AD119))*'Weighting Factors'!$Q$9</f>
        <v>151.5</v>
      </c>
      <c r="AF119" s="95">
        <f t="shared" si="49"/>
        <v>0</v>
      </c>
      <c r="AG119" s="95">
        <f>IF(ISNA(VLOOKUP($CZ119,'Audit Values'!$A$2:$BW$353,2,FALSE)),'Preliminary SO66'!AG118,VLOOKUP($CZ119,'Audit Values'!$A$2:$BW$353,70,FALSE))</f>
        <v>0</v>
      </c>
      <c r="AH119" s="95">
        <f t="shared" si="50"/>
        <v>0</v>
      </c>
      <c r="AI119" s="95">
        <f>IF(ISNA(VLOOKUP($CZ119,'Audit Values'!$A$2:$BU$353,2,FALSE)),'Preliminary SO66'!AQ118,VLOOKUP($CZ119,'Audit Values'!$A$2:$BU$353,65,FALSE))</f>
        <v>0</v>
      </c>
      <c r="AJ119" s="95">
        <f>AI119*'Weighting Factors'!$Q$10</f>
        <v>0</v>
      </c>
      <c r="AK119" s="95">
        <f>IF(ISNA(VLOOKUP($CZ119,'Audit Values'!$A$2:$BU$353,2,FALSE)),'Preliminary SO66'!AR118,VLOOKUP($CZ119,'Audit Values'!$A$2:$BU$353,66,FALSE))</f>
        <v>428</v>
      </c>
      <c r="AL119" s="95"/>
      <c r="AM119" s="99">
        <f t="shared" si="51"/>
        <v>355240</v>
      </c>
      <c r="AN119" s="99">
        <v>367096</v>
      </c>
      <c r="AO119" s="95">
        <f>MAX(AN119, AM119)/'Weighting Factors'!$Q$5</f>
        <v>88.1</v>
      </c>
      <c r="AP119" s="95">
        <f>CN119/'Weighting Factors'!$Q$5</f>
        <v>0</v>
      </c>
      <c r="AQ119" s="95">
        <v>0</v>
      </c>
      <c r="AR119" s="95">
        <f>CS119/'Weighting Factors'!$Q$5</f>
        <v>0</v>
      </c>
      <c r="AS119" s="99">
        <v>1638338</v>
      </c>
      <c r="AT119" s="95">
        <f>AS119/'Weighting Factors'!$Q$5</f>
        <v>393.4</v>
      </c>
      <c r="AU119" s="95">
        <f>IF(ISNA(VLOOKUP($CZ119,'Audit Values'!$A$2:$BU$353,2,FALSE)),'Preliminary SO66'!X118,VLOOKUP($CZ119,'Audit Values'!$A$2:$BU$353,47,FALSE))</f>
        <v>0</v>
      </c>
      <c r="AV119" s="95">
        <f t="shared" si="52"/>
        <v>2277.1</v>
      </c>
      <c r="AW119" s="95">
        <f t="shared" si="53"/>
        <v>1883.7</v>
      </c>
      <c r="AX119" s="95">
        <f>IF(ISNA(VLOOKUP($CZ119,'Audit Values'!$A$2:$BU$353,2,FALSE)),'Preliminary SO66'!AA118,VLOOKUP($CZ119,'Audit Values'!$A$2:$BU$353,41,FALSE))</f>
        <v>7</v>
      </c>
      <c r="AY119" s="95">
        <f>IF(ISNA(VLOOKUP($CZ119,'Audit Values'!$A$2:$BU$353,2,FALSE)),'Preliminary SO66'!AB118,VLOOKUP($CZ119,'Audit Values'!$A$2:$BU$353,42,FALSE))</f>
        <v>0</v>
      </c>
      <c r="AZ119" s="114">
        <v>19</v>
      </c>
      <c r="BA119" s="99">
        <f>SUM(AX119*'Weighting Factors'!$T$10)+('2019 Legal Max'!AY119*'Weighting Factors'!$T$11)+('2019 Legal Max'!AZ119*'Weighting Factors'!$T$12)</f>
        <v>48471</v>
      </c>
      <c r="BB119" s="158">
        <v>0</v>
      </c>
      <c r="BC119" s="88">
        <f>IF(ISNA(VLOOKUP($CZ119,'Audit Values'!$A$2:$BU$353,2,FALSE)),"",IF(AND('Weighting Factors'!H119&gt;0,VLOOKUP($CZ119,'Audit Values'!$A$2:$BU$353,51,FALSE)&lt;'Weighting Factors'!H119),'Weighting Factors'!H119,VLOOKUP($CZ119,'Audit Values'!$A$2:$BU$353,50,FALSE)))</f>
        <v>14</v>
      </c>
      <c r="BD119" s="88" t="str">
        <f>IF(ISNA(VLOOKUP($CZ119,'Audit Values'!$A$2:$BV$353,2,FALSE)),"",VLOOKUP($CZ119,'Audit Values'!$A$2:$BV$353,51,FALSE))</f>
        <v>A</v>
      </c>
      <c r="BE119" s="88" t="str">
        <f>IF('Weighting Factors'!H119="","",IF('Weighting Factors'!J119="Pending","PX","R"))</f>
        <v/>
      </c>
      <c r="BF119" s="97">
        <f>SUM((S119+T119+Y119+AA119+AE119+AH119+AJ119++AO119+AP119+AQ119+AU119+AR119)*'Weighting Factors'!$Q$5)+'2019 Legal Max'!BA119+'2019 Legal Max'!BB119</f>
        <v>7894082</v>
      </c>
      <c r="BG119" s="99">
        <f>SUM((AV119+AR119)*'Weighting Factors'!$Q$5)+BA119+'2019 Legal Max'!BB119</f>
        <v>9532593</v>
      </c>
      <c r="BH119" s="108">
        <f>IF('Weighting Factors'!H119&gt;0,'Weighting Factors'!H119,'Preliminary SO66'!AV118)</f>
        <v>9667208</v>
      </c>
      <c r="BI119" s="99">
        <f t="shared" si="77"/>
        <v>9532593</v>
      </c>
      <c r="BJ119" s="112"/>
      <c r="BK119" s="112">
        <f>'Weighting Factors'!F119</f>
        <v>0</v>
      </c>
      <c r="BL119" s="112">
        <f>'Weighting Factors'!E119</f>
        <v>-355</v>
      </c>
      <c r="BM119" s="99">
        <f t="shared" si="54"/>
        <v>-355</v>
      </c>
      <c r="BN119" s="99">
        <f t="shared" si="55"/>
        <v>9532238</v>
      </c>
      <c r="BO119" s="99">
        <f>SUM((S119+T119+Y119+AA119+AE119+AH119+AJ119++AO119+AP119+AQ119+AR119)*'Weighting Factors'!Q$12)+(MAX(AS119,'Weighting Factors'!B119))</f>
        <v>10096151</v>
      </c>
      <c r="BP119" s="122">
        <v>0.3</v>
      </c>
      <c r="BQ119" s="99">
        <f t="shared" si="56"/>
        <v>3028845</v>
      </c>
      <c r="BR119" s="108">
        <v>3067265</v>
      </c>
      <c r="BS119" s="99">
        <f t="shared" si="57"/>
        <v>3028845</v>
      </c>
      <c r="BT119" s="167">
        <f t="shared" si="58"/>
        <v>0.3</v>
      </c>
      <c r="BU119" s="95">
        <f t="shared" si="59"/>
        <v>0</v>
      </c>
      <c r="BV119" s="87" t="b">
        <f t="shared" si="60"/>
        <v>0</v>
      </c>
      <c r="BW119" s="117">
        <f t="shared" si="61"/>
        <v>0</v>
      </c>
      <c r="BX119" s="116">
        <f t="shared" si="62"/>
        <v>0</v>
      </c>
      <c r="BY119" s="95">
        <f t="shared" si="63"/>
        <v>0</v>
      </c>
      <c r="BZ119" s="87" t="b">
        <f t="shared" si="64"/>
        <v>1</v>
      </c>
      <c r="CA119" s="87">
        <f t="shared" si="65"/>
        <v>1485.6188</v>
      </c>
      <c r="CB119" s="116">
        <f t="shared" si="66"/>
        <v>7.6317999999999997E-2</v>
      </c>
      <c r="CC119" s="95">
        <f t="shared" si="67"/>
        <v>114.5</v>
      </c>
      <c r="CD119" s="95">
        <f t="shared" si="68"/>
        <v>0</v>
      </c>
      <c r="CE119" s="98">
        <v>193</v>
      </c>
      <c r="CF119" s="250">
        <f t="shared" si="69"/>
        <v>2.218</v>
      </c>
      <c r="CG119" s="274">
        <f>IF(CF119&lt;0.06,1,IF(CF119&gt;=18.29,52,MATCH(CF119-0.001,'Weighting Factors'!$Y$5:$Y$156)+1))</f>
        <v>38</v>
      </c>
      <c r="CH119" s="243">
        <f>VLOOKUP(CG119, 'Weighting Factors'!$W$5:$Z$56,4)</f>
        <v>830</v>
      </c>
      <c r="CI119" s="118">
        <f>('Weighting Factors'!$Q$5/'Weighting Factors'!$Q$14)</f>
        <v>1</v>
      </c>
      <c r="CJ119" s="245">
        <f t="shared" si="70"/>
        <v>355240</v>
      </c>
      <c r="CK119" s="245">
        <f>CJ119*'Weighting Factors'!$S$7</f>
        <v>355240</v>
      </c>
      <c r="CL119" s="245">
        <f t="shared" si="71"/>
        <v>355240</v>
      </c>
      <c r="CM119" s="95">
        <f>AM119/'Weighting Factors'!$Q$5</f>
        <v>85.3</v>
      </c>
      <c r="CN119" s="148">
        <v>0</v>
      </c>
      <c r="CO119" s="148">
        <v>0</v>
      </c>
      <c r="CP119" s="149">
        <v>0</v>
      </c>
      <c r="CQ119" s="151">
        <v>0</v>
      </c>
      <c r="CR119" s="99">
        <f>SUM((AV119*'Weighting Factors'!$Q$5)+'2019 Legal Max'!BA119)*CQ119</f>
        <v>0</v>
      </c>
      <c r="CS119" s="99">
        <f t="shared" si="72"/>
        <v>0</v>
      </c>
      <c r="CT119" s="106">
        <f t="shared" si="73"/>
        <v>0.20419999999999999</v>
      </c>
      <c r="CU119" s="95">
        <f t="shared" si="74"/>
        <v>0</v>
      </c>
      <c r="CV119" s="95">
        <f t="shared" si="75"/>
        <v>0</v>
      </c>
      <c r="CW119" s="95">
        <f t="shared" si="76"/>
        <v>2277.1</v>
      </c>
      <c r="CX119" s="99">
        <f>'LOB Transfers'!G118</f>
        <v>201418</v>
      </c>
      <c r="CY119" s="99">
        <f>'LOB Transfers'!J118</f>
        <v>3635</v>
      </c>
      <c r="CZ119" s="87" t="s">
        <v>311</v>
      </c>
    </row>
    <row r="120" spans="1:104" ht="15" customHeight="1">
      <c r="A120" s="88">
        <v>321</v>
      </c>
      <c r="B120" s="87" t="s">
        <v>52</v>
      </c>
      <c r="C120" s="87" t="s">
        <v>633</v>
      </c>
      <c r="D120" s="95">
        <v>1097</v>
      </c>
      <c r="E120" s="95">
        <v>0</v>
      </c>
      <c r="F120" s="95">
        <f t="shared" si="43"/>
        <v>1097</v>
      </c>
      <c r="G120" s="95">
        <v>1147.5</v>
      </c>
      <c r="H120" s="95">
        <v>0</v>
      </c>
      <c r="I120" s="95">
        <f t="shared" si="44"/>
        <v>1147.5</v>
      </c>
      <c r="J120" s="95">
        <v>1101.9000000000001</v>
      </c>
      <c r="K120" s="95">
        <v>0</v>
      </c>
      <c r="L120" s="95">
        <f t="shared" si="45"/>
        <v>1101.9000000000001</v>
      </c>
      <c r="M120" s="95">
        <f>IF(ISNA(VLOOKUP($CZ120,'Audit Values'!$A$2:$BW$365,2,FALSE)),'Preliminary SO66'!C119,VLOOKUP($CZ120,'Audit Values'!$A$2:$BW$365,73,FALSE))</f>
        <v>1078</v>
      </c>
      <c r="N120" s="95">
        <f>IF(ISNA(VLOOKUP($CZ120,'Audit Values'!$A$2:$BW$365,2,FALSE)),'Preliminary SO66'!F119,VLOOKUP($CZ120,'Audit Values'!$A$2:$BW$365,4,FALSE))</f>
        <v>0</v>
      </c>
      <c r="O120" s="95">
        <f t="shared" si="46"/>
        <v>1078</v>
      </c>
      <c r="P120" s="95">
        <f>IF('Military Provision'!J121="YES", MAX('2019 Legal Max'!L120,'2019 Legal Max'!I120,AVERAGE('2019 Legal Max'!F120,'2019 Legal Max'!I120,'2019 Legal Max'!L120)), MAX(L120, I120))</f>
        <v>1147.5</v>
      </c>
      <c r="Q120" s="95">
        <f>IF(ISNA(VLOOKUP($CZ120,'Audit Values'!$A$2:$BU$353,2,FALSE)),'Preliminary SO66'!AL119,VLOOKUP($CZ120,'Audit Values'!$A$2:$BU$3955,58,FALSE))</f>
        <v>9</v>
      </c>
      <c r="R120" s="95">
        <v>0</v>
      </c>
      <c r="S120" s="95">
        <f t="shared" si="79"/>
        <v>1156.5</v>
      </c>
      <c r="T120" s="95">
        <f t="shared" si="47"/>
        <v>223.4</v>
      </c>
      <c r="U120" s="95">
        <f>IF(ISNA(VLOOKUP($CZ120,'Audit Values'!$A$2:$BW$317,2,FALSE)),'Preliminary SO66'!AM119,VLOOKUP($CZ120,'Audit Values'!$A$2:$BW$317,62,FALSE))</f>
        <v>0</v>
      </c>
      <c r="V120" s="95">
        <f>(U120/6)*'Weighting Factors'!$Q$7</f>
        <v>0</v>
      </c>
      <c r="W120" s="132">
        <f>IF(ISNA(VLOOKUP($CZ120,'Audit Values'!$A$2:$BW$353,2,FALSE)),'Preliminary SO66'!AN119,VLOOKUP($CZ120,'Audit Values'!$A$2:$BW$353,61,FALSE))</f>
        <v>3</v>
      </c>
      <c r="X120" s="95">
        <f>W120*'Weighting Factors'!$Q$8</f>
        <v>0.6</v>
      </c>
      <c r="Y120" s="95">
        <f t="shared" si="48"/>
        <v>0.6</v>
      </c>
      <c r="Z120" s="276">
        <f>IF(ISNA(VLOOKUP($CZ120,'Audit Values'!$A$2:$BW$317,2,FALSE)),'Preliminary SO66'!AO119,VLOOKUP($CZ120,'Audit Values'!$A$2:$BW$317,60,FALSE))</f>
        <v>236.6</v>
      </c>
      <c r="AA120" s="95">
        <f>Z120/6*'Weighting Factors'!$Q$6</f>
        <v>19.7</v>
      </c>
      <c r="AB120" s="99">
        <f>IF(ISNA(VLOOKUP($CZ120,'Audit Values'!$A$2:$BU$353,2,FALSE)),'Preliminary SO66'!AS119,VLOOKUP($CZ120,'Audit Values'!$A$2:$BU$353,63,FALSE))</f>
        <v>1113</v>
      </c>
      <c r="AC120" s="99">
        <v>0</v>
      </c>
      <c r="AD120" s="99">
        <f>IF(ISNA(VLOOKUP($CZ120,'Audit Values'!$A$2:$BU$353,2,FALSE)),'Preliminary SO66'!AP119,VLOOKUP($CZ120,'Audit Values'!$A$2:$BU$353,64,FALSE))</f>
        <v>310</v>
      </c>
      <c r="AE120" s="95">
        <f>IF(A120=207, AD120,MAX(AC120,AD120))*'Weighting Factors'!$Q$9</f>
        <v>150</v>
      </c>
      <c r="AF120" s="95">
        <f t="shared" si="49"/>
        <v>0</v>
      </c>
      <c r="AG120" s="95">
        <f>IF(ISNA(VLOOKUP($CZ120,'Audit Values'!$A$2:$BW$353,2,FALSE)),'Preliminary SO66'!AG119,VLOOKUP($CZ120,'Audit Values'!$A$2:$BW$353,70,FALSE))</f>
        <v>0</v>
      </c>
      <c r="AH120" s="95">
        <f t="shared" si="50"/>
        <v>0</v>
      </c>
      <c r="AI120" s="95">
        <f>IF(ISNA(VLOOKUP($CZ120,'Audit Values'!$A$2:$BU$353,2,FALSE)),'Preliminary SO66'!AQ119,VLOOKUP($CZ120,'Audit Values'!$A$2:$BU$353,65,FALSE))</f>
        <v>0</v>
      </c>
      <c r="AJ120" s="95">
        <f>AI120*'Weighting Factors'!$Q$10</f>
        <v>0</v>
      </c>
      <c r="AK120" s="95">
        <f>IF(ISNA(VLOOKUP($CZ120,'Audit Values'!$A$2:$BU$353,2,FALSE)),'Preliminary SO66'!AR119,VLOOKUP($CZ120,'Audit Values'!$A$2:$BU$353,66,FALSE))</f>
        <v>374</v>
      </c>
      <c r="AL120" s="95"/>
      <c r="AM120" s="99">
        <f t="shared" si="51"/>
        <v>347820</v>
      </c>
      <c r="AN120" s="99">
        <v>412934</v>
      </c>
      <c r="AO120" s="95">
        <f>MAX(AN120, AM120)/'Weighting Factors'!$Q$5</f>
        <v>99.1</v>
      </c>
      <c r="AP120" s="95">
        <f>CN120/'Weighting Factors'!$Q$5</f>
        <v>0</v>
      </c>
      <c r="AQ120" s="95">
        <v>0</v>
      </c>
      <c r="AR120" s="95">
        <f>CS120/'Weighting Factors'!$Q$5</f>
        <v>0</v>
      </c>
      <c r="AS120" s="99">
        <v>1720964</v>
      </c>
      <c r="AT120" s="95">
        <f>AS120/'Weighting Factors'!$Q$5</f>
        <v>413.2</v>
      </c>
      <c r="AU120" s="95">
        <f>IF(ISNA(VLOOKUP($CZ120,'Audit Values'!$A$2:$BU$353,2,FALSE)),'Preliminary SO66'!X119,VLOOKUP($CZ120,'Audit Values'!$A$2:$BU$353,47,FALSE))</f>
        <v>0</v>
      </c>
      <c r="AV120" s="95">
        <f t="shared" si="52"/>
        <v>2062.5</v>
      </c>
      <c r="AW120" s="95">
        <f t="shared" si="53"/>
        <v>1649.3</v>
      </c>
      <c r="AX120" s="95">
        <f>IF(ISNA(VLOOKUP($CZ120,'Audit Values'!$A$2:$BU$353,2,FALSE)),'Preliminary SO66'!AA119,VLOOKUP($CZ120,'Audit Values'!$A$2:$BU$353,41,FALSE))</f>
        <v>0</v>
      </c>
      <c r="AY120" s="95">
        <f>IF(ISNA(VLOOKUP($CZ120,'Audit Values'!$A$2:$BU$353,2,FALSE)),'Preliminary SO66'!AB119,VLOOKUP($CZ120,'Audit Values'!$A$2:$BU$353,42,FALSE))</f>
        <v>0</v>
      </c>
      <c r="AZ120" s="114">
        <v>0</v>
      </c>
      <c r="BA120" s="99">
        <f>SUM(AX120*'Weighting Factors'!$T$10)+('2019 Legal Max'!AY120*'Weighting Factors'!$T$11)+('2019 Legal Max'!AZ120*'Weighting Factors'!$T$12)</f>
        <v>0</v>
      </c>
      <c r="BB120" s="158">
        <v>0</v>
      </c>
      <c r="BC120" s="88">
        <f>IF(ISNA(VLOOKUP($CZ120,'Audit Values'!$A$2:$BU$353,2,FALSE)),"",IF(AND('Weighting Factors'!H120&gt;0,VLOOKUP($CZ120,'Audit Values'!$A$2:$BU$353,51,FALSE)&lt;'Weighting Factors'!H120),'Weighting Factors'!H120,VLOOKUP($CZ120,'Audit Values'!$A$2:$BU$353,50,FALSE)))</f>
        <v>14</v>
      </c>
      <c r="BD120" s="88" t="str">
        <f>IF(ISNA(VLOOKUP($CZ120,'Audit Values'!$A$2:$BV$353,2,FALSE)),"",VLOOKUP($CZ120,'Audit Values'!$A$2:$BV$353,51,FALSE))</f>
        <v>A</v>
      </c>
      <c r="BE120" s="88" t="str">
        <f>IF('Weighting Factors'!H120="","",IF('Weighting Factors'!J120="Pending","PX","R"))</f>
        <v/>
      </c>
      <c r="BF120" s="97">
        <f>SUM((S120+T120+Y120+AA120+AE120+AH120+AJ120++AO120+AP120+AQ120+AU120+AR120)*'Weighting Factors'!$Q$5)+'2019 Legal Max'!BA120+'2019 Legal Max'!BB120</f>
        <v>6869335</v>
      </c>
      <c r="BG120" s="99">
        <f>SUM((AV120+AR120)*'Weighting Factors'!$Q$5)+BA120+'2019 Legal Max'!BB120</f>
        <v>8590313</v>
      </c>
      <c r="BH120" s="108">
        <f>IF('Weighting Factors'!H120&gt;0,'Weighting Factors'!H120,'Preliminary SO66'!AV119)</f>
        <v>8725259</v>
      </c>
      <c r="BI120" s="99">
        <f t="shared" si="77"/>
        <v>8590313</v>
      </c>
      <c r="BJ120" s="112"/>
      <c r="BK120" s="112">
        <f>'Weighting Factors'!F120</f>
        <v>-240679</v>
      </c>
      <c r="BL120" s="112">
        <f>'Weighting Factors'!E120</f>
        <v>0</v>
      </c>
      <c r="BM120" s="99">
        <f t="shared" si="54"/>
        <v>-240679</v>
      </c>
      <c r="BN120" s="99">
        <f t="shared" si="55"/>
        <v>8349634</v>
      </c>
      <c r="BO120" s="99">
        <f>SUM((S120+T120+Y120+AA120+AE120+AH120+AJ120++AO120+AP120+AQ120+AR120)*'Weighting Factors'!Q$12)+(MAX(AS120,'Weighting Factors'!B120))</f>
        <v>9126321</v>
      </c>
      <c r="BP120" s="122">
        <v>0.33</v>
      </c>
      <c r="BQ120" s="99">
        <f t="shared" si="56"/>
        <v>3011686</v>
      </c>
      <c r="BR120" s="108">
        <v>3058975</v>
      </c>
      <c r="BS120" s="99">
        <f t="shared" si="57"/>
        <v>3011686</v>
      </c>
      <c r="BT120" s="167">
        <f t="shared" si="58"/>
        <v>0.33</v>
      </c>
      <c r="BU120" s="95">
        <f t="shared" si="59"/>
        <v>0</v>
      </c>
      <c r="BV120" s="87" t="b">
        <f t="shared" si="60"/>
        <v>0</v>
      </c>
      <c r="BW120" s="117">
        <f t="shared" si="61"/>
        <v>0</v>
      </c>
      <c r="BX120" s="116">
        <f t="shared" si="62"/>
        <v>0</v>
      </c>
      <c r="BY120" s="95">
        <f t="shared" si="63"/>
        <v>0</v>
      </c>
      <c r="BZ120" s="87" t="b">
        <f t="shared" si="64"/>
        <v>1</v>
      </c>
      <c r="CA120" s="87">
        <f t="shared" si="65"/>
        <v>1059.9187999999999</v>
      </c>
      <c r="CB120" s="116">
        <f t="shared" si="66"/>
        <v>0.193192</v>
      </c>
      <c r="CC120" s="95">
        <f t="shared" si="67"/>
        <v>223.4</v>
      </c>
      <c r="CD120" s="95">
        <f t="shared" si="68"/>
        <v>0</v>
      </c>
      <c r="CE120" s="98">
        <v>311</v>
      </c>
      <c r="CF120" s="250">
        <f t="shared" si="69"/>
        <v>1.2030000000000001</v>
      </c>
      <c r="CG120" s="274">
        <f>IF(CF120&lt;0.06,1,IF(CF120&gt;=18.29,52,MATCH(CF120-0.001,'Weighting Factors'!$Y$5:$Y$156)+1))</f>
        <v>33</v>
      </c>
      <c r="CH120" s="243">
        <f>VLOOKUP(CG120, 'Weighting Factors'!$W$5:$Z$56,4)</f>
        <v>930</v>
      </c>
      <c r="CI120" s="118">
        <f>('Weighting Factors'!$Q$5/'Weighting Factors'!$Q$14)</f>
        <v>1</v>
      </c>
      <c r="CJ120" s="245">
        <f t="shared" si="70"/>
        <v>347820</v>
      </c>
      <c r="CK120" s="245">
        <f>CJ120*'Weighting Factors'!$S$7</f>
        <v>347820</v>
      </c>
      <c r="CL120" s="245">
        <f t="shared" si="71"/>
        <v>347820</v>
      </c>
      <c r="CM120" s="95">
        <f>AM120/'Weighting Factors'!$Q$5</f>
        <v>83.5</v>
      </c>
      <c r="CN120" s="148">
        <v>0</v>
      </c>
      <c r="CO120" s="148">
        <v>0</v>
      </c>
      <c r="CP120" s="149">
        <v>0</v>
      </c>
      <c r="CQ120" s="151">
        <v>0</v>
      </c>
      <c r="CR120" s="99">
        <f>SUM((AV120*'Weighting Factors'!$Q$5)+'2019 Legal Max'!BA120)*CQ120</f>
        <v>0</v>
      </c>
      <c r="CS120" s="99">
        <f t="shared" si="72"/>
        <v>0</v>
      </c>
      <c r="CT120" s="106">
        <f t="shared" si="73"/>
        <v>0.27850000000000003</v>
      </c>
      <c r="CU120" s="95">
        <f t="shared" si="74"/>
        <v>0</v>
      </c>
      <c r="CV120" s="95">
        <f t="shared" si="75"/>
        <v>0</v>
      </c>
      <c r="CW120" s="95">
        <f t="shared" si="76"/>
        <v>2062.5</v>
      </c>
      <c r="CX120" s="99">
        <f>'LOB Transfers'!G119</f>
        <v>219853</v>
      </c>
      <c r="CY120" s="99">
        <f>'LOB Transfers'!J119</f>
        <v>904</v>
      </c>
      <c r="CZ120" s="87" t="s">
        <v>312</v>
      </c>
    </row>
    <row r="121" spans="1:104" ht="15" customHeight="1">
      <c r="A121" s="88">
        <v>322</v>
      </c>
      <c r="B121" s="87" t="s">
        <v>52</v>
      </c>
      <c r="C121" s="87" t="s">
        <v>634</v>
      </c>
      <c r="D121" s="95">
        <v>289.5</v>
      </c>
      <c r="E121" s="95">
        <v>0</v>
      </c>
      <c r="F121" s="95">
        <f t="shared" si="43"/>
        <v>289.5</v>
      </c>
      <c r="G121" s="95">
        <v>297.5</v>
      </c>
      <c r="H121" s="95">
        <v>0</v>
      </c>
      <c r="I121" s="95">
        <f t="shared" si="44"/>
        <v>297.5</v>
      </c>
      <c r="J121" s="95">
        <v>295.5</v>
      </c>
      <c r="K121" s="95">
        <v>0</v>
      </c>
      <c r="L121" s="95">
        <f t="shared" si="45"/>
        <v>295.5</v>
      </c>
      <c r="M121" s="95">
        <f>IF(ISNA(VLOOKUP($CZ121,'Audit Values'!$A$2:$BW$365,2,FALSE)),'Preliminary SO66'!C120,VLOOKUP($CZ121,'Audit Values'!$A$2:$BW$365,73,FALSE))</f>
        <v>293.5</v>
      </c>
      <c r="N121" s="95">
        <f>IF(ISNA(VLOOKUP($CZ121,'Audit Values'!$A$2:$BW$365,2,FALSE)),'Preliminary SO66'!F120,VLOOKUP($CZ121,'Audit Values'!$A$2:$BW$365,4,FALSE))</f>
        <v>0</v>
      </c>
      <c r="O121" s="95">
        <f t="shared" si="46"/>
        <v>293.5</v>
      </c>
      <c r="P121" s="95">
        <f>IF('Military Provision'!J122="YES", MAX('2019 Legal Max'!L121,'2019 Legal Max'!I121,AVERAGE('2019 Legal Max'!F121,'2019 Legal Max'!I121,'2019 Legal Max'!L121)), MAX(L121, I121))</f>
        <v>297.5</v>
      </c>
      <c r="Q121" s="95">
        <f>IF(ISNA(VLOOKUP($CZ121,'Audit Values'!$A$2:$BU$353,2,FALSE)),'Preliminary SO66'!AL120,VLOOKUP($CZ121,'Audit Values'!$A$2:$BU$3955,58,FALSE))</f>
        <v>10.5</v>
      </c>
      <c r="R121" s="95">
        <v>0</v>
      </c>
      <c r="S121" s="95">
        <f t="shared" si="79"/>
        <v>308</v>
      </c>
      <c r="T121" s="95">
        <f t="shared" si="47"/>
        <v>148.30000000000001</v>
      </c>
      <c r="U121" s="95">
        <f>IF(ISNA(VLOOKUP($CZ121,'Audit Values'!$A$2:$BW$317,2,FALSE)),'Preliminary SO66'!AM120,VLOOKUP($CZ121,'Audit Values'!$A$2:$BW$317,62,FALSE))</f>
        <v>0</v>
      </c>
      <c r="V121" s="95">
        <f>(U121/6)*'Weighting Factors'!$Q$7</f>
        <v>0</v>
      </c>
      <c r="W121" s="132">
        <f>IF(ISNA(VLOOKUP($CZ121,'Audit Values'!$A$2:$BW$353,2,FALSE)),'Preliminary SO66'!AN120,VLOOKUP($CZ121,'Audit Values'!$A$2:$BW$353,61,FALSE))</f>
        <v>0</v>
      </c>
      <c r="X121" s="95">
        <f>W121*'Weighting Factors'!$Q$8</f>
        <v>0</v>
      </c>
      <c r="Y121" s="95">
        <f t="shared" si="48"/>
        <v>0</v>
      </c>
      <c r="Z121" s="276">
        <f>IF(ISNA(VLOOKUP($CZ121,'Audit Values'!$A$2:$BW$317,2,FALSE)),'Preliminary SO66'!AO120,VLOOKUP($CZ121,'Audit Values'!$A$2:$BW$317,60,FALSE))</f>
        <v>52</v>
      </c>
      <c r="AA121" s="95">
        <f>Z121/6*'Weighting Factors'!$Q$6</f>
        <v>4.3</v>
      </c>
      <c r="AB121" s="99">
        <f>IF(ISNA(VLOOKUP($CZ121,'Audit Values'!$A$2:$BU$353,2,FALSE)),'Preliminary SO66'!AS120,VLOOKUP($CZ121,'Audit Values'!$A$2:$BU$353,63,FALSE))</f>
        <v>316</v>
      </c>
      <c r="AC121" s="99">
        <v>0</v>
      </c>
      <c r="AD121" s="99">
        <f>IF(ISNA(VLOOKUP($CZ121,'Audit Values'!$A$2:$BU$353,2,FALSE)),'Preliminary SO66'!AP120,VLOOKUP($CZ121,'Audit Values'!$A$2:$BU$353,64,FALSE))</f>
        <v>95</v>
      </c>
      <c r="AE121" s="95">
        <f>IF(A121=207, AD121,MAX(AC121,AD121))*'Weighting Factors'!$Q$9</f>
        <v>46</v>
      </c>
      <c r="AF121" s="95">
        <f t="shared" si="49"/>
        <v>0</v>
      </c>
      <c r="AG121" s="95">
        <f>IF(ISNA(VLOOKUP($CZ121,'Audit Values'!$A$2:$BW$353,2,FALSE)),'Preliminary SO66'!AG120,VLOOKUP($CZ121,'Audit Values'!$A$2:$BW$353,70,FALSE))</f>
        <v>0</v>
      </c>
      <c r="AH121" s="95">
        <f t="shared" si="50"/>
        <v>0</v>
      </c>
      <c r="AI121" s="95">
        <f>IF(ISNA(VLOOKUP($CZ121,'Audit Values'!$A$2:$BU$353,2,FALSE)),'Preliminary SO66'!AQ120,VLOOKUP($CZ121,'Audit Values'!$A$2:$BU$353,65,FALSE))</f>
        <v>0</v>
      </c>
      <c r="AJ121" s="95">
        <f>AI121*'Weighting Factors'!$Q$10</f>
        <v>0</v>
      </c>
      <c r="AK121" s="95">
        <f>IF(ISNA(VLOOKUP($CZ121,'Audit Values'!$A$2:$BU$353,2,FALSE)),'Preliminary SO66'!AR120,VLOOKUP($CZ121,'Audit Values'!$A$2:$BU$353,66,FALSE))</f>
        <v>131</v>
      </c>
      <c r="AL121" s="95"/>
      <c r="AM121" s="99">
        <f t="shared" si="51"/>
        <v>142790</v>
      </c>
      <c r="AN121" s="99">
        <v>172955</v>
      </c>
      <c r="AO121" s="95">
        <f>MAX(AN121, AM121)/'Weighting Factors'!$Q$5</f>
        <v>41.5</v>
      </c>
      <c r="AP121" s="95">
        <f>CN121/'Weighting Factors'!$Q$5</f>
        <v>0</v>
      </c>
      <c r="AQ121" s="95">
        <v>0</v>
      </c>
      <c r="AR121" s="95">
        <f>CS121/'Weighting Factors'!$Q$5</f>
        <v>0</v>
      </c>
      <c r="AS121" s="99">
        <v>244232</v>
      </c>
      <c r="AT121" s="95">
        <f>AS121/'Weighting Factors'!$Q$5</f>
        <v>58.6</v>
      </c>
      <c r="AU121" s="95">
        <f>IF(ISNA(VLOOKUP($CZ121,'Audit Values'!$A$2:$BU$353,2,FALSE)),'Preliminary SO66'!X120,VLOOKUP($CZ121,'Audit Values'!$A$2:$BU$353,47,FALSE))</f>
        <v>0</v>
      </c>
      <c r="AV121" s="95">
        <f t="shared" si="52"/>
        <v>606.70000000000005</v>
      </c>
      <c r="AW121" s="95">
        <f t="shared" si="53"/>
        <v>548.1</v>
      </c>
      <c r="AX121" s="95">
        <f>IF(ISNA(VLOOKUP($CZ121,'Audit Values'!$A$2:$BU$353,2,FALSE)),'Preliminary SO66'!AA120,VLOOKUP($CZ121,'Audit Values'!$A$2:$BU$353,41,FALSE))</f>
        <v>0</v>
      </c>
      <c r="AY121" s="95">
        <f>IF(ISNA(VLOOKUP($CZ121,'Audit Values'!$A$2:$BU$353,2,FALSE)),'Preliminary SO66'!AB120,VLOOKUP($CZ121,'Audit Values'!$A$2:$BU$353,42,FALSE))</f>
        <v>0</v>
      </c>
      <c r="AZ121" s="114">
        <v>0</v>
      </c>
      <c r="BA121" s="99">
        <f>SUM(AX121*'Weighting Factors'!$T$10)+('2019 Legal Max'!AY121*'Weighting Factors'!$T$11)+('2019 Legal Max'!AZ121*'Weighting Factors'!$T$12)</f>
        <v>0</v>
      </c>
      <c r="BB121" s="158">
        <v>0</v>
      </c>
      <c r="BC121" s="88">
        <f>IF(ISNA(VLOOKUP($CZ121,'Audit Values'!$A$2:$BU$353,2,FALSE)),"",IF(AND('Weighting Factors'!H121&gt;0,VLOOKUP($CZ121,'Audit Values'!$A$2:$BU$353,51,FALSE)&lt;'Weighting Factors'!H121),'Weighting Factors'!H121,VLOOKUP($CZ121,'Audit Values'!$A$2:$BU$353,50,FALSE)))</f>
        <v>25</v>
      </c>
      <c r="BD121" s="88" t="str">
        <f>IF(ISNA(VLOOKUP($CZ121,'Audit Values'!$A$2:$BV$353,2,FALSE)),"",VLOOKUP($CZ121,'Audit Values'!$A$2:$BV$353,51,FALSE))</f>
        <v>A</v>
      </c>
      <c r="BE121" s="88" t="str">
        <f>IF('Weighting Factors'!H121="","",IF('Weighting Factors'!J121="Pending","PX","R"))</f>
        <v/>
      </c>
      <c r="BF121" s="97">
        <f>SUM((S121+T121+Y121+AA121+AE121+AH121+AJ121++AO121+AP121+AQ121+AU121+AR121)*'Weighting Factors'!$Q$5)+'2019 Legal Max'!BA121+'2019 Legal Max'!BB121</f>
        <v>2282837</v>
      </c>
      <c r="BG121" s="99">
        <f>SUM((AV121+AR121)*'Weighting Factors'!$Q$5)+BA121+'2019 Legal Max'!BB121</f>
        <v>2526906</v>
      </c>
      <c r="BH121" s="108">
        <f>IF('Weighting Factors'!H121&gt;0,'Weighting Factors'!H121,'Preliminary SO66'!AV120)</f>
        <v>2612288</v>
      </c>
      <c r="BI121" s="99">
        <f t="shared" si="77"/>
        <v>2526906</v>
      </c>
      <c r="BJ121" s="112"/>
      <c r="BK121" s="112">
        <f>'Weighting Factors'!F121</f>
        <v>-11521</v>
      </c>
      <c r="BL121" s="112">
        <f>'Weighting Factors'!E121</f>
        <v>0</v>
      </c>
      <c r="BM121" s="99">
        <f t="shared" si="54"/>
        <v>-11521</v>
      </c>
      <c r="BN121" s="99">
        <f t="shared" si="55"/>
        <v>2515385</v>
      </c>
      <c r="BO121" s="99">
        <f>SUM((S121+T121+Y121+AA121+AE121+AH121+AJ121++AO121+AP121+AQ121+AR121)*'Weighting Factors'!Q$12)+(MAX(AS121,'Weighting Factors'!B121))</f>
        <v>2739513</v>
      </c>
      <c r="BP121" s="122">
        <v>0.3</v>
      </c>
      <c r="BQ121" s="99">
        <f t="shared" si="56"/>
        <v>821854</v>
      </c>
      <c r="BR121" s="108">
        <v>837555</v>
      </c>
      <c r="BS121" s="99">
        <f t="shared" si="57"/>
        <v>821854</v>
      </c>
      <c r="BT121" s="167">
        <f t="shared" si="58"/>
        <v>0.3</v>
      </c>
      <c r="BU121" s="95">
        <f t="shared" si="59"/>
        <v>0</v>
      </c>
      <c r="BV121" s="87" t="b">
        <f t="shared" si="60"/>
        <v>0</v>
      </c>
      <c r="BW121" s="117">
        <f t="shared" si="61"/>
        <v>0</v>
      </c>
      <c r="BX121" s="116">
        <f t="shared" si="62"/>
        <v>0</v>
      </c>
      <c r="BY121" s="95">
        <f t="shared" si="63"/>
        <v>0</v>
      </c>
      <c r="BZ121" s="87" t="b">
        <f t="shared" si="64"/>
        <v>1</v>
      </c>
      <c r="CA121" s="87">
        <f t="shared" si="65"/>
        <v>9.9</v>
      </c>
      <c r="CB121" s="116">
        <f t="shared" si="66"/>
        <v>0.48146800000000001</v>
      </c>
      <c r="CC121" s="95">
        <f t="shared" si="67"/>
        <v>148.30000000000001</v>
      </c>
      <c r="CD121" s="95">
        <f t="shared" si="68"/>
        <v>0</v>
      </c>
      <c r="CE121" s="98">
        <v>256.39999999999998</v>
      </c>
      <c r="CF121" s="250">
        <f t="shared" si="69"/>
        <v>0.51100000000000001</v>
      </c>
      <c r="CG121" s="274">
        <f>IF(CF121&lt;0.06,1,IF(CF121&gt;=18.29,52,MATCH(CF121-0.001,'Weighting Factors'!$Y$5:$Y$156)+1))</f>
        <v>25</v>
      </c>
      <c r="CH121" s="243">
        <f>VLOOKUP(CG121, 'Weighting Factors'!$W$5:$Z$56,4)</f>
        <v>1090</v>
      </c>
      <c r="CI121" s="118">
        <f>('Weighting Factors'!$Q$5/'Weighting Factors'!$Q$14)</f>
        <v>1</v>
      </c>
      <c r="CJ121" s="245">
        <f t="shared" si="70"/>
        <v>142790</v>
      </c>
      <c r="CK121" s="245">
        <f>CJ121*'Weighting Factors'!$S$7</f>
        <v>142790</v>
      </c>
      <c r="CL121" s="245">
        <f t="shared" si="71"/>
        <v>142790</v>
      </c>
      <c r="CM121" s="95">
        <f>AM121/'Weighting Factors'!$Q$5</f>
        <v>34.299999999999997</v>
      </c>
      <c r="CN121" s="148">
        <v>0</v>
      </c>
      <c r="CO121" s="148">
        <v>0</v>
      </c>
      <c r="CP121" s="149">
        <v>0</v>
      </c>
      <c r="CQ121" s="151">
        <v>0</v>
      </c>
      <c r="CR121" s="99">
        <f>SUM((AV121*'Weighting Factors'!$Q$5)+'2019 Legal Max'!BA121)*CQ121</f>
        <v>0</v>
      </c>
      <c r="CS121" s="99">
        <f t="shared" si="72"/>
        <v>0</v>
      </c>
      <c r="CT121" s="106">
        <f t="shared" si="73"/>
        <v>0.30059999999999998</v>
      </c>
      <c r="CU121" s="95">
        <f t="shared" si="74"/>
        <v>0</v>
      </c>
      <c r="CV121" s="95">
        <f t="shared" si="75"/>
        <v>0</v>
      </c>
      <c r="CW121" s="95">
        <f t="shared" si="76"/>
        <v>606.70000000000005</v>
      </c>
      <c r="CX121" s="99">
        <f>'LOB Transfers'!G120</f>
        <v>63447</v>
      </c>
      <c r="CY121" s="99">
        <f>'LOB Transfers'!J120</f>
        <v>0</v>
      </c>
      <c r="CZ121" s="87" t="s">
        <v>313</v>
      </c>
    </row>
    <row r="122" spans="1:104" ht="15" customHeight="1">
      <c r="A122" s="88">
        <v>323</v>
      </c>
      <c r="B122" s="87" t="s">
        <v>52</v>
      </c>
      <c r="C122" s="87" t="s">
        <v>635</v>
      </c>
      <c r="D122" s="95">
        <v>942.1</v>
      </c>
      <c r="E122" s="95">
        <v>0</v>
      </c>
      <c r="F122" s="95">
        <f t="shared" si="43"/>
        <v>942.1</v>
      </c>
      <c r="G122" s="95">
        <v>1035.0999999999999</v>
      </c>
      <c r="H122" s="95">
        <v>0</v>
      </c>
      <c r="I122" s="95">
        <f t="shared" si="44"/>
        <v>1035.0999999999999</v>
      </c>
      <c r="J122" s="95">
        <v>1060</v>
      </c>
      <c r="K122" s="95">
        <v>0</v>
      </c>
      <c r="L122" s="95">
        <f t="shared" si="45"/>
        <v>1060</v>
      </c>
      <c r="M122" s="95">
        <f>IF(ISNA(VLOOKUP($CZ122,'Audit Values'!$A$2:$BW$365,2,FALSE)),'Preliminary SO66'!C121,VLOOKUP($CZ122,'Audit Values'!$A$2:$BW$365,73,FALSE))</f>
        <v>1079.9000000000001</v>
      </c>
      <c r="N122" s="95">
        <f>IF(ISNA(VLOOKUP($CZ122,'Audit Values'!$A$2:$BW$365,2,FALSE)),'Preliminary SO66'!F121,VLOOKUP($CZ122,'Audit Values'!$A$2:$BW$365,4,FALSE))</f>
        <v>0</v>
      </c>
      <c r="O122" s="95">
        <f t="shared" si="46"/>
        <v>1079.9000000000001</v>
      </c>
      <c r="P122" s="95">
        <f>IF('Military Provision'!J123="YES", MAX('2019 Legal Max'!L122,'2019 Legal Max'!I122,AVERAGE('2019 Legal Max'!F122,'2019 Legal Max'!I122,'2019 Legal Max'!L122)), MAX(L122, I122))</f>
        <v>1060</v>
      </c>
      <c r="Q122" s="95">
        <f>IF(ISNA(VLOOKUP($CZ122,'Audit Values'!$A$2:$BU$353,2,FALSE)),'Preliminary SO66'!AL121,VLOOKUP($CZ122,'Audit Values'!$A$2:$BU$3955,58,FALSE))</f>
        <v>0</v>
      </c>
      <c r="R122" s="95">
        <v>0</v>
      </c>
      <c r="S122" s="95">
        <f t="shared" si="79"/>
        <v>1060</v>
      </c>
      <c r="T122" s="95">
        <f t="shared" si="47"/>
        <v>239.5</v>
      </c>
      <c r="U122" s="95">
        <f>IF(ISNA(VLOOKUP($CZ122,'Audit Values'!$A$2:$BW$317,2,FALSE)),'Preliminary SO66'!AM121,VLOOKUP($CZ122,'Audit Values'!$A$2:$BW$317,62,FALSE))</f>
        <v>13.4</v>
      </c>
      <c r="V122" s="95">
        <f>(U122/6)*'Weighting Factors'!$Q$7</f>
        <v>0.9</v>
      </c>
      <c r="W122" s="132">
        <f>IF(ISNA(VLOOKUP($CZ122,'Audit Values'!$A$2:$BW$353,2,FALSE)),'Preliminary SO66'!AN121,VLOOKUP($CZ122,'Audit Values'!$A$2:$BW$353,61,FALSE))</f>
        <v>11</v>
      </c>
      <c r="X122" s="95">
        <f>W122*'Weighting Factors'!$Q$8</f>
        <v>2</v>
      </c>
      <c r="Y122" s="95">
        <f t="shared" si="48"/>
        <v>2</v>
      </c>
      <c r="Z122" s="276">
        <f>IF(ISNA(VLOOKUP($CZ122,'Audit Values'!$A$2:$BW$317,2,FALSE)),'Preliminary SO66'!AO121,VLOOKUP($CZ122,'Audit Values'!$A$2:$BW$317,60,FALSE))</f>
        <v>166.6</v>
      </c>
      <c r="AA122" s="95">
        <f>Z122/6*'Weighting Factors'!$Q$6</f>
        <v>13.9</v>
      </c>
      <c r="AB122" s="99">
        <f>IF(ISNA(VLOOKUP($CZ122,'Audit Values'!$A$2:$BU$353,2,FALSE)),'Preliminary SO66'!AS121,VLOOKUP($CZ122,'Audit Values'!$A$2:$BU$353,63,FALSE))</f>
        <v>1085</v>
      </c>
      <c r="AC122" s="99">
        <v>0</v>
      </c>
      <c r="AD122" s="99">
        <f>IF(ISNA(VLOOKUP($CZ122,'Audit Values'!$A$2:$BU$353,2,FALSE)),'Preliminary SO66'!AP121,VLOOKUP($CZ122,'Audit Values'!$A$2:$BU$353,64,FALSE))</f>
        <v>184</v>
      </c>
      <c r="AE122" s="95">
        <f>IF(A122=207, AD122,MAX(AC122,AD122))*'Weighting Factors'!$Q$9</f>
        <v>89.1</v>
      </c>
      <c r="AF122" s="95">
        <f t="shared" si="49"/>
        <v>0</v>
      </c>
      <c r="AG122" s="95">
        <f>IF(ISNA(VLOOKUP($CZ122,'Audit Values'!$A$2:$BW$353,2,FALSE)),'Preliminary SO66'!AG121,VLOOKUP($CZ122,'Audit Values'!$A$2:$BW$353,70,FALSE))</f>
        <v>0</v>
      </c>
      <c r="AH122" s="95">
        <f t="shared" si="50"/>
        <v>0</v>
      </c>
      <c r="AI122" s="95">
        <f>IF(ISNA(VLOOKUP($CZ122,'Audit Values'!$A$2:$BU$353,2,FALSE)),'Preliminary SO66'!AQ121,VLOOKUP($CZ122,'Audit Values'!$A$2:$BU$353,65,FALSE))</f>
        <v>0</v>
      </c>
      <c r="AJ122" s="95">
        <f>AI122*'Weighting Factors'!$Q$10</f>
        <v>0</v>
      </c>
      <c r="AK122" s="95">
        <f>IF(ISNA(VLOOKUP($CZ122,'Audit Values'!$A$2:$BU$353,2,FALSE)),'Preliminary SO66'!AR121,VLOOKUP($CZ122,'Audit Values'!$A$2:$BU$353,66,FALSE))</f>
        <v>642.5</v>
      </c>
      <c r="AL122" s="95"/>
      <c r="AM122" s="99">
        <f t="shared" si="51"/>
        <v>507575</v>
      </c>
      <c r="AN122" s="99">
        <v>509620</v>
      </c>
      <c r="AO122" s="95">
        <f>MAX(AN122, AM122)/'Weighting Factors'!$Q$5</f>
        <v>122.4</v>
      </c>
      <c r="AP122" s="95">
        <f>CN122/'Weighting Factors'!$Q$5</f>
        <v>0</v>
      </c>
      <c r="AQ122" s="95">
        <v>0</v>
      </c>
      <c r="AR122" s="95">
        <f>CS122/'Weighting Factors'!$Q$5</f>
        <v>0</v>
      </c>
      <c r="AS122" s="99">
        <v>1107998</v>
      </c>
      <c r="AT122" s="95">
        <f>AS122/'Weighting Factors'!$Q$5</f>
        <v>266</v>
      </c>
      <c r="AU122" s="95">
        <f>IF(ISNA(VLOOKUP($CZ122,'Audit Values'!$A$2:$BU$353,2,FALSE)),'Preliminary SO66'!X121,VLOOKUP($CZ122,'Audit Values'!$A$2:$BU$353,47,FALSE))</f>
        <v>0</v>
      </c>
      <c r="AV122" s="95">
        <f t="shared" si="52"/>
        <v>1792.9</v>
      </c>
      <c r="AW122" s="95">
        <f t="shared" si="53"/>
        <v>1526.9</v>
      </c>
      <c r="AX122" s="95">
        <f>IF(ISNA(VLOOKUP($CZ122,'Audit Values'!$A$2:$BU$353,2,FALSE)),'Preliminary SO66'!AA121,VLOOKUP($CZ122,'Audit Values'!$A$2:$BU$353,41,FALSE))</f>
        <v>0</v>
      </c>
      <c r="AY122" s="95">
        <f>IF(ISNA(VLOOKUP($CZ122,'Audit Values'!$A$2:$BU$353,2,FALSE)),'Preliminary SO66'!AB121,VLOOKUP($CZ122,'Audit Values'!$A$2:$BU$353,42,FALSE))</f>
        <v>0</v>
      </c>
      <c r="AZ122" s="114">
        <v>0</v>
      </c>
      <c r="BA122" s="99">
        <f>SUM(AX122*'Weighting Factors'!$T$10)+('2019 Legal Max'!AY122*'Weighting Factors'!$T$11)+('2019 Legal Max'!AZ122*'Weighting Factors'!$T$12)</f>
        <v>0</v>
      </c>
      <c r="BB122" s="158">
        <v>0</v>
      </c>
      <c r="BC122" s="88">
        <f>IF(ISNA(VLOOKUP($CZ122,'Audit Values'!$A$2:$BU$353,2,FALSE)),"",IF(AND('Weighting Factors'!H122&gt;0,VLOOKUP($CZ122,'Audit Values'!$A$2:$BU$353,51,FALSE)&lt;'Weighting Factors'!H122),'Weighting Factors'!H122,VLOOKUP($CZ122,'Audit Values'!$A$2:$BU$353,50,FALSE)))</f>
        <v>17</v>
      </c>
      <c r="BD122" s="88" t="str">
        <f>IF(ISNA(VLOOKUP($CZ122,'Audit Values'!$A$2:$BV$353,2,FALSE)),"",VLOOKUP($CZ122,'Audit Values'!$A$2:$BV$353,51,FALSE))</f>
        <v>A</v>
      </c>
      <c r="BE122" s="88" t="str">
        <f>IF('Weighting Factors'!H122="","",IF('Weighting Factors'!J122="Pending","PX","R"))</f>
        <v/>
      </c>
      <c r="BF122" s="97">
        <f>SUM((S122+T122+Y122+AA122+AE122+AH122+AJ122++AO122+AP122+AQ122+AU122+AR122)*'Weighting Factors'!$Q$5)+'2019 Legal Max'!BA122+'2019 Legal Max'!BB122</f>
        <v>6359539</v>
      </c>
      <c r="BG122" s="99">
        <f>SUM((AV122+AR122)*'Weighting Factors'!$Q$5)+BA122+'2019 Legal Max'!BB122</f>
        <v>7467429</v>
      </c>
      <c r="BH122" s="108">
        <f>IF('Weighting Factors'!H122&gt;0,'Weighting Factors'!H122,'Preliminary SO66'!AV121)</f>
        <v>7665266</v>
      </c>
      <c r="BI122" s="99">
        <f t="shared" si="77"/>
        <v>7467429</v>
      </c>
      <c r="BJ122" s="112"/>
      <c r="BK122" s="112">
        <f>'Weighting Factors'!F122</f>
        <v>-45</v>
      </c>
      <c r="BL122" s="112">
        <f>'Weighting Factors'!E122</f>
        <v>0</v>
      </c>
      <c r="BM122" s="99">
        <f t="shared" si="54"/>
        <v>-45</v>
      </c>
      <c r="BN122" s="99">
        <f t="shared" si="55"/>
        <v>7467384</v>
      </c>
      <c r="BO122" s="99">
        <f>SUM((S122+T122+Y122+AA122+AE122+AH122+AJ122++AO122+AP122+AQ122+AR122)*'Weighting Factors'!Q$12)+(MAX(AS122,'Weighting Factors'!B122))</f>
        <v>7963779</v>
      </c>
      <c r="BP122" s="122">
        <v>0.3</v>
      </c>
      <c r="BQ122" s="99">
        <f t="shared" si="56"/>
        <v>2389134</v>
      </c>
      <c r="BR122" s="108">
        <v>2451757</v>
      </c>
      <c r="BS122" s="99">
        <f t="shared" si="57"/>
        <v>2389134</v>
      </c>
      <c r="BT122" s="167">
        <f t="shared" si="58"/>
        <v>0.3</v>
      </c>
      <c r="BU122" s="95">
        <f t="shared" si="59"/>
        <v>0</v>
      </c>
      <c r="BV122" s="87" t="b">
        <f t="shared" si="60"/>
        <v>0</v>
      </c>
      <c r="BW122" s="117">
        <f t="shared" si="61"/>
        <v>0</v>
      </c>
      <c r="BX122" s="116">
        <f t="shared" si="62"/>
        <v>0</v>
      </c>
      <c r="BY122" s="95">
        <f t="shared" si="63"/>
        <v>0</v>
      </c>
      <c r="BZ122" s="87" t="b">
        <f t="shared" si="64"/>
        <v>1</v>
      </c>
      <c r="CA122" s="87">
        <f t="shared" si="65"/>
        <v>940.5</v>
      </c>
      <c r="CB122" s="116">
        <f t="shared" si="66"/>
        <v>0.22597700000000001</v>
      </c>
      <c r="CC122" s="95">
        <f t="shared" si="67"/>
        <v>239.5</v>
      </c>
      <c r="CD122" s="95">
        <f t="shared" si="68"/>
        <v>0</v>
      </c>
      <c r="CE122" s="98">
        <v>233</v>
      </c>
      <c r="CF122" s="250">
        <f t="shared" si="69"/>
        <v>2.758</v>
      </c>
      <c r="CG122" s="274">
        <f>IF(CF122&lt;0.06,1,IF(CF122&gt;=18.29,52,MATCH(CF122-0.001,'Weighting Factors'!$Y$5:$Y$156)+1))</f>
        <v>40</v>
      </c>
      <c r="CH122" s="243">
        <f>VLOOKUP(CG122, 'Weighting Factors'!$W$5:$Z$56,4)</f>
        <v>790</v>
      </c>
      <c r="CI122" s="118">
        <f>('Weighting Factors'!$Q$5/'Weighting Factors'!$Q$14)</f>
        <v>1</v>
      </c>
      <c r="CJ122" s="245">
        <f t="shared" si="70"/>
        <v>507575</v>
      </c>
      <c r="CK122" s="245">
        <f>CJ122*'Weighting Factors'!$S$7</f>
        <v>507575</v>
      </c>
      <c r="CL122" s="245">
        <f t="shared" si="71"/>
        <v>507575</v>
      </c>
      <c r="CM122" s="95">
        <f>AM122/'Weighting Factors'!$Q$5</f>
        <v>121.9</v>
      </c>
      <c r="CN122" s="148">
        <v>0</v>
      </c>
      <c r="CO122" s="148">
        <v>0</v>
      </c>
      <c r="CP122" s="149">
        <v>0</v>
      </c>
      <c r="CQ122" s="151">
        <v>2.5000000000000001E-3</v>
      </c>
      <c r="CR122" s="99">
        <f>SUM((AV122*'Weighting Factors'!$Q$5)+'2019 Legal Max'!BA122)*CQ122</f>
        <v>18669</v>
      </c>
      <c r="CS122" s="99">
        <f t="shared" si="72"/>
        <v>0</v>
      </c>
      <c r="CT122" s="106">
        <f t="shared" si="73"/>
        <v>0.1696</v>
      </c>
      <c r="CU122" s="95">
        <f t="shared" si="74"/>
        <v>0</v>
      </c>
      <c r="CV122" s="95">
        <f t="shared" si="75"/>
        <v>0</v>
      </c>
      <c r="CW122" s="95">
        <f t="shared" si="76"/>
        <v>1792.9</v>
      </c>
      <c r="CX122" s="99">
        <f>'LOB Transfers'!G121</f>
        <v>118740</v>
      </c>
      <c r="CY122" s="99">
        <f>'LOB Transfers'!J121</f>
        <v>2628</v>
      </c>
      <c r="CZ122" s="87" t="s">
        <v>314</v>
      </c>
    </row>
    <row r="123" spans="1:104" ht="15" customHeight="1">
      <c r="A123" s="88">
        <v>325</v>
      </c>
      <c r="B123" s="87" t="s">
        <v>53</v>
      </c>
      <c r="C123" s="87" t="s">
        <v>636</v>
      </c>
      <c r="D123" s="95">
        <v>607.5</v>
      </c>
      <c r="E123" s="95">
        <v>0</v>
      </c>
      <c r="F123" s="95">
        <f t="shared" si="43"/>
        <v>607.5</v>
      </c>
      <c r="G123" s="95">
        <v>614.70000000000005</v>
      </c>
      <c r="H123" s="95">
        <v>0</v>
      </c>
      <c r="I123" s="95">
        <f t="shared" si="44"/>
        <v>614.70000000000005</v>
      </c>
      <c r="J123" s="95">
        <v>619</v>
      </c>
      <c r="K123" s="95">
        <v>0</v>
      </c>
      <c r="L123" s="95">
        <f t="shared" si="45"/>
        <v>619</v>
      </c>
      <c r="M123" s="95">
        <f>IF(ISNA(VLOOKUP($CZ123,'Audit Values'!$A$2:$BW$365,2,FALSE)),'Preliminary SO66'!C122,VLOOKUP($CZ123,'Audit Values'!$A$2:$BW$365,73,FALSE))</f>
        <v>595.5</v>
      </c>
      <c r="N123" s="95">
        <f>IF(ISNA(VLOOKUP($CZ123,'Audit Values'!$A$2:$BW$365,2,FALSE)),'Preliminary SO66'!F122,VLOOKUP($CZ123,'Audit Values'!$A$2:$BW$365,4,FALSE))</f>
        <v>0</v>
      </c>
      <c r="O123" s="95">
        <f t="shared" si="46"/>
        <v>595.5</v>
      </c>
      <c r="P123" s="95">
        <f>IF('Military Provision'!J124="YES", MAX('2019 Legal Max'!L123,'2019 Legal Max'!I123,AVERAGE('2019 Legal Max'!F123,'2019 Legal Max'!I123,'2019 Legal Max'!L123)), MAX(L123, I123))</f>
        <v>619</v>
      </c>
      <c r="Q123" s="95">
        <f>IF(ISNA(VLOOKUP($CZ123,'Audit Values'!$A$2:$BU$353,2,FALSE)),'Preliminary SO66'!AL122,VLOOKUP($CZ123,'Audit Values'!$A$2:$BU$3955,58,FALSE))</f>
        <v>0</v>
      </c>
      <c r="R123" s="95">
        <v>0</v>
      </c>
      <c r="S123" s="95">
        <f t="shared" si="79"/>
        <v>619</v>
      </c>
      <c r="T123" s="95">
        <f t="shared" si="47"/>
        <v>232.6</v>
      </c>
      <c r="U123" s="95">
        <f>IF(ISNA(VLOOKUP($CZ123,'Audit Values'!$A$2:$BW$317,2,FALSE)),'Preliminary SO66'!AM122,VLOOKUP($CZ123,'Audit Values'!$A$2:$BW$317,62,FALSE))</f>
        <v>0</v>
      </c>
      <c r="V123" s="95">
        <f>(U123/6)*'Weighting Factors'!$Q$7</f>
        <v>0</v>
      </c>
      <c r="W123" s="132">
        <f>IF(ISNA(VLOOKUP($CZ123,'Audit Values'!$A$2:$BW$353,2,FALSE)),'Preliminary SO66'!AN122,VLOOKUP($CZ123,'Audit Values'!$A$2:$BW$353,61,FALSE))</f>
        <v>0</v>
      </c>
      <c r="X123" s="95">
        <f>W123*'Weighting Factors'!$Q$8</f>
        <v>0</v>
      </c>
      <c r="Y123" s="95">
        <f t="shared" si="48"/>
        <v>0</v>
      </c>
      <c r="Z123" s="276">
        <f>IF(ISNA(VLOOKUP($CZ123,'Audit Values'!$A$2:$BW$317,2,FALSE)),'Preliminary SO66'!AO122,VLOOKUP($CZ123,'Audit Values'!$A$2:$BW$317,60,FALSE))</f>
        <v>245.7</v>
      </c>
      <c r="AA123" s="95">
        <f>Z123/6*'Weighting Factors'!$Q$6</f>
        <v>20.5</v>
      </c>
      <c r="AB123" s="99">
        <f>IF(ISNA(VLOOKUP($CZ123,'Audit Values'!$A$2:$BU$353,2,FALSE)),'Preliminary SO66'!AS122,VLOOKUP($CZ123,'Audit Values'!$A$2:$BU$353,63,FALSE))</f>
        <v>604</v>
      </c>
      <c r="AC123" s="99">
        <v>0</v>
      </c>
      <c r="AD123" s="99">
        <f>IF(ISNA(VLOOKUP($CZ123,'Audit Values'!$A$2:$BU$353,2,FALSE)),'Preliminary SO66'!AP122,VLOOKUP($CZ123,'Audit Values'!$A$2:$BU$353,64,FALSE))</f>
        <v>169</v>
      </c>
      <c r="AE123" s="95">
        <f>IF(A123=207, AD123,MAX(AC123,AD123))*'Weighting Factors'!$Q$9</f>
        <v>81.8</v>
      </c>
      <c r="AF123" s="95">
        <f t="shared" si="49"/>
        <v>0</v>
      </c>
      <c r="AG123" s="95">
        <f>IF(ISNA(VLOOKUP($CZ123,'Audit Values'!$A$2:$BW$353,2,FALSE)),'Preliminary SO66'!AG122,VLOOKUP($CZ123,'Audit Values'!$A$2:$BW$353,70,FALSE))</f>
        <v>0</v>
      </c>
      <c r="AH123" s="95">
        <f t="shared" si="50"/>
        <v>0</v>
      </c>
      <c r="AI123" s="95">
        <f>IF(ISNA(VLOOKUP($CZ123,'Audit Values'!$A$2:$BU$353,2,FALSE)),'Preliminary SO66'!AQ122,VLOOKUP($CZ123,'Audit Values'!$A$2:$BU$353,65,FALSE))</f>
        <v>0</v>
      </c>
      <c r="AJ123" s="95">
        <f>AI123*'Weighting Factors'!$Q$10</f>
        <v>0</v>
      </c>
      <c r="AK123" s="95">
        <f>IF(ISNA(VLOOKUP($CZ123,'Audit Values'!$A$2:$BU$353,2,FALSE)),'Preliminary SO66'!AR122,VLOOKUP($CZ123,'Audit Values'!$A$2:$BU$353,66,FALSE))</f>
        <v>109</v>
      </c>
      <c r="AL123" s="95"/>
      <c r="AM123" s="99">
        <f t="shared" si="51"/>
        <v>129710</v>
      </c>
      <c r="AN123" s="99">
        <v>164480</v>
      </c>
      <c r="AO123" s="95">
        <f>MAX(AN123, AM123)/'Weighting Factors'!$Q$5</f>
        <v>39.5</v>
      </c>
      <c r="AP123" s="95">
        <f>CN123/'Weighting Factors'!$Q$5</f>
        <v>0</v>
      </c>
      <c r="AQ123" s="95">
        <v>0</v>
      </c>
      <c r="AR123" s="95">
        <f>CS123/'Weighting Factors'!$Q$5</f>
        <v>0</v>
      </c>
      <c r="AS123" s="99">
        <v>740368</v>
      </c>
      <c r="AT123" s="95">
        <f>AS123/'Weighting Factors'!$Q$5</f>
        <v>177.8</v>
      </c>
      <c r="AU123" s="95">
        <f>IF(ISNA(VLOOKUP($CZ123,'Audit Values'!$A$2:$BU$353,2,FALSE)),'Preliminary SO66'!X122,VLOOKUP($CZ123,'Audit Values'!$A$2:$BU$353,47,FALSE))</f>
        <v>1</v>
      </c>
      <c r="AV123" s="95">
        <f t="shared" si="52"/>
        <v>1172.2</v>
      </c>
      <c r="AW123" s="95">
        <f t="shared" si="53"/>
        <v>994.4</v>
      </c>
      <c r="AX123" s="95">
        <f>IF(ISNA(VLOOKUP($CZ123,'Audit Values'!$A$2:$BU$353,2,FALSE)),'Preliminary SO66'!AA122,VLOOKUP($CZ123,'Audit Values'!$A$2:$BU$353,41,FALSE))</f>
        <v>0</v>
      </c>
      <c r="AY123" s="95">
        <f>IF(ISNA(VLOOKUP($CZ123,'Audit Values'!$A$2:$BU$353,2,FALSE)),'Preliminary SO66'!AB122,VLOOKUP($CZ123,'Audit Values'!$A$2:$BU$353,42,FALSE))</f>
        <v>0</v>
      </c>
      <c r="AZ123" s="114">
        <v>0</v>
      </c>
      <c r="BA123" s="99">
        <f>SUM(AX123*'Weighting Factors'!$T$10)+('2019 Legal Max'!AY123*'Weighting Factors'!$T$11)+('2019 Legal Max'!AZ123*'Weighting Factors'!$T$12)</f>
        <v>0</v>
      </c>
      <c r="BB123" s="158">
        <v>0</v>
      </c>
      <c r="BC123" s="88">
        <f>IF(ISNA(VLOOKUP($CZ123,'Audit Values'!$A$2:$BU$353,2,FALSE)),"",IF(AND('Weighting Factors'!H123&gt;0,VLOOKUP($CZ123,'Audit Values'!$A$2:$BU$353,51,FALSE)&lt;'Weighting Factors'!H123),'Weighting Factors'!H123,VLOOKUP($CZ123,'Audit Values'!$A$2:$BU$353,50,FALSE)))</f>
        <v>17</v>
      </c>
      <c r="BD123" s="88" t="str">
        <f>IF(ISNA(VLOOKUP($CZ123,'Audit Values'!$A$2:$BV$353,2,FALSE)),"",VLOOKUP($CZ123,'Audit Values'!$A$2:$BV$353,51,FALSE))</f>
        <v>A</v>
      </c>
      <c r="BE123" s="88" t="str">
        <f>IF('Weighting Factors'!H123="","",IF('Weighting Factors'!J123="Pending","PX","R"))</f>
        <v/>
      </c>
      <c r="BF123" s="97">
        <f>SUM((S123+T123+Y123+AA123+AE123+AH123+AJ123++AO123+AP123+AQ123+AU123+AR123)*'Weighting Factors'!$Q$5)+'2019 Legal Max'!BA123+'2019 Legal Max'!BB123</f>
        <v>4141676</v>
      </c>
      <c r="BG123" s="99">
        <f>SUM((AV123+AR123)*'Weighting Factors'!$Q$5)+BA123+'2019 Legal Max'!BB123</f>
        <v>4882213</v>
      </c>
      <c r="BH123" s="108">
        <f>IF('Weighting Factors'!H123&gt;0,'Weighting Factors'!H123,'Preliminary SO66'!AV122)</f>
        <v>4963431</v>
      </c>
      <c r="BI123" s="99">
        <f t="shared" si="77"/>
        <v>4882213</v>
      </c>
      <c r="BJ123" s="112"/>
      <c r="BK123" s="112">
        <f>'Weighting Factors'!F123</f>
        <v>0</v>
      </c>
      <c r="BL123" s="112">
        <f>'Weighting Factors'!E123</f>
        <v>0</v>
      </c>
      <c r="BM123" s="99">
        <f t="shared" si="54"/>
        <v>0</v>
      </c>
      <c r="BN123" s="99">
        <f t="shared" si="55"/>
        <v>4882213</v>
      </c>
      <c r="BO123" s="99">
        <f>SUM((S123+T123+Y123+AA123+AE123+AH123+AJ123++AO123+AP123+AQ123+AR123)*'Weighting Factors'!Q$12)+(MAX(AS123,'Weighting Factors'!B123))</f>
        <v>5217405</v>
      </c>
      <c r="BP123" s="122">
        <v>0.3</v>
      </c>
      <c r="BQ123" s="99">
        <f t="shared" si="56"/>
        <v>1565222</v>
      </c>
      <c r="BR123" s="108">
        <v>1582974</v>
      </c>
      <c r="BS123" s="99">
        <f t="shared" si="57"/>
        <v>1565222</v>
      </c>
      <c r="BT123" s="167">
        <f t="shared" si="58"/>
        <v>0.3</v>
      </c>
      <c r="BU123" s="95">
        <f t="shared" si="59"/>
        <v>0</v>
      </c>
      <c r="BV123" s="87" t="b">
        <f t="shared" si="60"/>
        <v>0</v>
      </c>
      <c r="BW123" s="117">
        <f t="shared" si="61"/>
        <v>0</v>
      </c>
      <c r="BX123" s="116">
        <f t="shared" si="62"/>
        <v>0</v>
      </c>
      <c r="BY123" s="95">
        <f t="shared" si="63"/>
        <v>0</v>
      </c>
      <c r="BZ123" s="87" t="b">
        <f t="shared" si="64"/>
        <v>1</v>
      </c>
      <c r="CA123" s="87">
        <f t="shared" si="65"/>
        <v>394.76249999999999</v>
      </c>
      <c r="CB123" s="116">
        <f t="shared" si="66"/>
        <v>0.37580599999999997</v>
      </c>
      <c r="CC123" s="95">
        <f t="shared" si="67"/>
        <v>232.6</v>
      </c>
      <c r="CD123" s="95">
        <f t="shared" si="68"/>
        <v>0</v>
      </c>
      <c r="CE123" s="98">
        <v>353</v>
      </c>
      <c r="CF123" s="250">
        <f t="shared" si="69"/>
        <v>0.309</v>
      </c>
      <c r="CG123" s="274">
        <f>IF(CF123&lt;0.06,1,IF(CF123&gt;=18.29,52,MATCH(CF123-0.001,'Weighting Factors'!$Y$5:$Y$156)+1))</f>
        <v>20</v>
      </c>
      <c r="CH123" s="243">
        <f>VLOOKUP(CG123, 'Weighting Factors'!$W$5:$Z$56,4)</f>
        <v>1190</v>
      </c>
      <c r="CI123" s="118">
        <f>('Weighting Factors'!$Q$5/'Weighting Factors'!$Q$14)</f>
        <v>1</v>
      </c>
      <c r="CJ123" s="245">
        <f t="shared" si="70"/>
        <v>129710</v>
      </c>
      <c r="CK123" s="245">
        <f>CJ123*'Weighting Factors'!$S$7</f>
        <v>129710</v>
      </c>
      <c r="CL123" s="245">
        <f t="shared" si="71"/>
        <v>129710</v>
      </c>
      <c r="CM123" s="95">
        <f>AM123/'Weighting Factors'!$Q$5</f>
        <v>31.1</v>
      </c>
      <c r="CN123" s="148">
        <v>0</v>
      </c>
      <c r="CO123" s="148">
        <v>0</v>
      </c>
      <c r="CP123" s="149">
        <v>0</v>
      </c>
      <c r="CQ123" s="151">
        <v>0</v>
      </c>
      <c r="CR123" s="99">
        <f>SUM((AV123*'Weighting Factors'!$Q$5)+'2019 Legal Max'!BA123)*CQ123</f>
        <v>0</v>
      </c>
      <c r="CS123" s="99">
        <f t="shared" si="72"/>
        <v>0</v>
      </c>
      <c r="CT123" s="106">
        <f t="shared" si="73"/>
        <v>0.27979999999999999</v>
      </c>
      <c r="CU123" s="95">
        <f t="shared" si="74"/>
        <v>0</v>
      </c>
      <c r="CV123" s="95">
        <f t="shared" si="75"/>
        <v>0</v>
      </c>
      <c r="CW123" s="95">
        <f t="shared" si="76"/>
        <v>1172.2</v>
      </c>
      <c r="CX123" s="99">
        <f>'LOB Transfers'!G122</f>
        <v>109252</v>
      </c>
      <c r="CY123" s="99">
        <f>'LOB Transfers'!J122</f>
        <v>0</v>
      </c>
      <c r="CZ123" s="87" t="s">
        <v>315</v>
      </c>
    </row>
    <row r="124" spans="1:104" ht="15" customHeight="1">
      <c r="A124" s="88">
        <v>326</v>
      </c>
      <c r="B124" s="87" t="s">
        <v>53</v>
      </c>
      <c r="C124" s="87" t="s">
        <v>637</v>
      </c>
      <c r="D124" s="95">
        <v>144.5</v>
      </c>
      <c r="E124" s="95">
        <v>0</v>
      </c>
      <c r="F124" s="95">
        <f t="shared" si="43"/>
        <v>144.5</v>
      </c>
      <c r="G124" s="95">
        <v>148</v>
      </c>
      <c r="H124" s="95">
        <v>0</v>
      </c>
      <c r="I124" s="95">
        <f t="shared" si="44"/>
        <v>148</v>
      </c>
      <c r="J124" s="95">
        <v>150.5</v>
      </c>
      <c r="K124" s="95">
        <v>0</v>
      </c>
      <c r="L124" s="95">
        <f t="shared" si="45"/>
        <v>150.5</v>
      </c>
      <c r="M124" s="95">
        <f>IF(ISNA(VLOOKUP($CZ124,'Audit Values'!$A$2:$BW$365,2,FALSE)),'Preliminary SO66'!C123,VLOOKUP($CZ124,'Audit Values'!$A$2:$BW$365,73,FALSE))</f>
        <v>136.5</v>
      </c>
      <c r="N124" s="95">
        <f>IF(ISNA(VLOOKUP($CZ124,'Audit Values'!$A$2:$BW$365,2,FALSE)),'Preliminary SO66'!F123,VLOOKUP($CZ124,'Audit Values'!$A$2:$BW$365,4,FALSE))</f>
        <v>0</v>
      </c>
      <c r="O124" s="95">
        <f t="shared" si="46"/>
        <v>136.5</v>
      </c>
      <c r="P124" s="95">
        <f>IF('Military Provision'!J125="YES", MAX('2019 Legal Max'!L124,'2019 Legal Max'!I124,AVERAGE('2019 Legal Max'!F124,'2019 Legal Max'!I124,'2019 Legal Max'!L124)), MAX(L124, I124))</f>
        <v>150.5</v>
      </c>
      <c r="Q124" s="95">
        <f>IF(ISNA(VLOOKUP($CZ124,'Audit Values'!$A$2:$BU$353,2,FALSE)),'Preliminary SO66'!AL123,VLOOKUP($CZ124,'Audit Values'!$A$2:$BU$3955,58,FALSE))</f>
        <v>1</v>
      </c>
      <c r="R124" s="95">
        <v>0</v>
      </c>
      <c r="S124" s="95">
        <f t="shared" si="79"/>
        <v>151.5</v>
      </c>
      <c r="T124" s="95">
        <f t="shared" si="47"/>
        <v>133</v>
      </c>
      <c r="U124" s="95">
        <f>IF(ISNA(VLOOKUP($CZ124,'Audit Values'!$A$2:$BW$317,2,FALSE)),'Preliminary SO66'!AM123,VLOOKUP($CZ124,'Audit Values'!$A$2:$BW$317,62,FALSE))</f>
        <v>0</v>
      </c>
      <c r="V124" s="95">
        <f>(U124/6)*'Weighting Factors'!$Q$7</f>
        <v>0</v>
      </c>
      <c r="W124" s="132">
        <f>IF(ISNA(VLOOKUP($CZ124,'Audit Values'!$A$2:$BW$353,2,FALSE)),'Preliminary SO66'!AN123,VLOOKUP($CZ124,'Audit Values'!$A$2:$BW$353,61,FALSE))</f>
        <v>0</v>
      </c>
      <c r="X124" s="95">
        <f>W124*'Weighting Factors'!$Q$8</f>
        <v>0</v>
      </c>
      <c r="Y124" s="95">
        <f t="shared" si="48"/>
        <v>0</v>
      </c>
      <c r="Z124" s="276">
        <f>IF(ISNA(VLOOKUP($CZ124,'Audit Values'!$A$2:$BW$317,2,FALSE)),'Preliminary SO66'!AO123,VLOOKUP($CZ124,'Audit Values'!$A$2:$BW$317,60,FALSE))</f>
        <v>66</v>
      </c>
      <c r="AA124" s="95">
        <f>Z124/6*'Weighting Factors'!$Q$6</f>
        <v>5.5</v>
      </c>
      <c r="AB124" s="99">
        <f>IF(ISNA(VLOOKUP($CZ124,'Audit Values'!$A$2:$BU$353,2,FALSE)),'Preliminary SO66'!AS123,VLOOKUP($CZ124,'Audit Values'!$A$2:$BU$353,63,FALSE))</f>
        <v>140</v>
      </c>
      <c r="AC124" s="99">
        <v>0</v>
      </c>
      <c r="AD124" s="99">
        <f>IF(ISNA(VLOOKUP($CZ124,'Audit Values'!$A$2:$BU$353,2,FALSE)),'Preliminary SO66'!AP123,VLOOKUP($CZ124,'Audit Values'!$A$2:$BU$353,64,FALSE))</f>
        <v>32</v>
      </c>
      <c r="AE124" s="95">
        <f>IF(A124=207, AD124,MAX(AC124,AD124))*'Weighting Factors'!$Q$9</f>
        <v>15.5</v>
      </c>
      <c r="AF124" s="95">
        <f t="shared" si="49"/>
        <v>0</v>
      </c>
      <c r="AG124" s="95">
        <f>IF(ISNA(VLOOKUP($CZ124,'Audit Values'!$A$2:$BW$353,2,FALSE)),'Preliminary SO66'!AG123,VLOOKUP($CZ124,'Audit Values'!$A$2:$BW$353,70,FALSE))</f>
        <v>0</v>
      </c>
      <c r="AH124" s="95">
        <f t="shared" si="50"/>
        <v>0</v>
      </c>
      <c r="AI124" s="95">
        <f>IF(ISNA(VLOOKUP($CZ124,'Audit Values'!$A$2:$BU$353,2,FALSE)),'Preliminary SO66'!AQ123,VLOOKUP($CZ124,'Audit Values'!$A$2:$BU$353,65,FALSE))</f>
        <v>0</v>
      </c>
      <c r="AJ124" s="95">
        <f>AI124*'Weighting Factors'!$Q$10</f>
        <v>0</v>
      </c>
      <c r="AK124" s="95">
        <f>IF(ISNA(VLOOKUP($CZ124,'Audit Values'!$A$2:$BU$353,2,FALSE)),'Preliminary SO66'!AR123,VLOOKUP($CZ124,'Audit Values'!$A$2:$BU$353,66,FALSE))</f>
        <v>51</v>
      </c>
      <c r="AL124" s="95"/>
      <c r="AM124" s="99">
        <f t="shared" si="51"/>
        <v>68850</v>
      </c>
      <c r="AN124" s="99">
        <v>91678</v>
      </c>
      <c r="AO124" s="95">
        <f>MAX(AN124, AM124)/'Weighting Factors'!$Q$5</f>
        <v>22</v>
      </c>
      <c r="AP124" s="95">
        <f>CN124/'Weighting Factors'!$Q$5</f>
        <v>0</v>
      </c>
      <c r="AQ124" s="95">
        <v>0</v>
      </c>
      <c r="AR124" s="95">
        <f>CS124/'Weighting Factors'!$Q$5</f>
        <v>0</v>
      </c>
      <c r="AS124" s="99">
        <v>180157</v>
      </c>
      <c r="AT124" s="95">
        <f>AS124/'Weighting Factors'!$Q$5</f>
        <v>43.3</v>
      </c>
      <c r="AU124" s="95">
        <f>IF(ISNA(VLOOKUP($CZ124,'Audit Values'!$A$2:$BU$353,2,FALSE)),'Preliminary SO66'!X123,VLOOKUP($CZ124,'Audit Values'!$A$2:$BU$353,47,FALSE))</f>
        <v>0</v>
      </c>
      <c r="AV124" s="95">
        <f t="shared" si="52"/>
        <v>370.8</v>
      </c>
      <c r="AW124" s="95">
        <f t="shared" si="53"/>
        <v>327.5</v>
      </c>
      <c r="AX124" s="95">
        <f>IF(ISNA(VLOOKUP($CZ124,'Audit Values'!$A$2:$BU$353,2,FALSE)),'Preliminary SO66'!AA123,VLOOKUP($CZ124,'Audit Values'!$A$2:$BU$353,41,FALSE))</f>
        <v>0</v>
      </c>
      <c r="AY124" s="95">
        <f>IF(ISNA(VLOOKUP($CZ124,'Audit Values'!$A$2:$BU$353,2,FALSE)),'Preliminary SO66'!AB123,VLOOKUP($CZ124,'Audit Values'!$A$2:$BU$353,42,FALSE))</f>
        <v>0</v>
      </c>
      <c r="AZ124" s="114">
        <v>0</v>
      </c>
      <c r="BA124" s="99">
        <f>SUM(AX124*'Weighting Factors'!$T$10)+('2019 Legal Max'!AY124*'Weighting Factors'!$T$11)+('2019 Legal Max'!AZ124*'Weighting Factors'!$T$12)</f>
        <v>0</v>
      </c>
      <c r="BB124" s="158">
        <v>0</v>
      </c>
      <c r="BC124" s="88">
        <f>IF(ISNA(VLOOKUP($CZ124,'Audit Values'!$A$2:$BU$353,2,FALSE)),"",IF(AND('Weighting Factors'!H124&gt;0,VLOOKUP($CZ124,'Audit Values'!$A$2:$BU$353,51,FALSE)&lt;'Weighting Factors'!H124),'Weighting Factors'!H124,VLOOKUP($CZ124,'Audit Values'!$A$2:$BU$353,50,FALSE)))</f>
        <v>17</v>
      </c>
      <c r="BD124" s="88" t="str">
        <f>IF(ISNA(VLOOKUP($CZ124,'Audit Values'!$A$2:$BV$353,2,FALSE)),"",VLOOKUP($CZ124,'Audit Values'!$A$2:$BV$353,51,FALSE))</f>
        <v>A</v>
      </c>
      <c r="BE124" s="88" t="str">
        <f>IF('Weighting Factors'!H124="","",IF('Weighting Factors'!J124="Pending","PX","R"))</f>
        <v/>
      </c>
      <c r="BF124" s="97">
        <f>SUM((S124+T124+Y124+AA124+AE124+AH124+AJ124++AO124+AP124+AQ124+AU124+AR124)*'Weighting Factors'!$Q$5)+'2019 Legal Max'!BA124+'2019 Legal Max'!BB124</f>
        <v>1364038</v>
      </c>
      <c r="BG124" s="99">
        <f>SUM((AV124+AR124)*'Weighting Factors'!$Q$5)+BA124+'2019 Legal Max'!BB124</f>
        <v>1544382</v>
      </c>
      <c r="BH124" s="108">
        <f>IF('Weighting Factors'!H124&gt;0,'Weighting Factors'!H124,'Preliminary SO66'!AV123)</f>
        <v>1615187</v>
      </c>
      <c r="BI124" s="99">
        <f t="shared" si="77"/>
        <v>1544382</v>
      </c>
      <c r="BJ124" s="112"/>
      <c r="BK124" s="112">
        <f>'Weighting Factors'!F124</f>
        <v>-28502</v>
      </c>
      <c r="BL124" s="112">
        <f>'Weighting Factors'!E124</f>
        <v>0</v>
      </c>
      <c r="BM124" s="99">
        <f t="shared" si="54"/>
        <v>-28502</v>
      </c>
      <c r="BN124" s="99">
        <f t="shared" si="55"/>
        <v>1515880</v>
      </c>
      <c r="BO124" s="99">
        <f>SUM((S124+T124+Y124+AA124+AE124+AH124+AJ124++AO124+AP124+AQ124+AR124)*'Weighting Factors'!Q$12)+(MAX(AS124,'Weighting Factors'!B124))</f>
        <v>1687000</v>
      </c>
      <c r="BP124" s="122">
        <v>0.3</v>
      </c>
      <c r="BQ124" s="99">
        <f t="shared" si="56"/>
        <v>506100</v>
      </c>
      <c r="BR124" s="108">
        <v>517291</v>
      </c>
      <c r="BS124" s="99">
        <f t="shared" si="57"/>
        <v>506100</v>
      </c>
      <c r="BT124" s="167">
        <f t="shared" si="58"/>
        <v>0.3</v>
      </c>
      <c r="BU124" s="95">
        <f t="shared" si="59"/>
        <v>0</v>
      </c>
      <c r="BV124" s="87" t="b">
        <f t="shared" si="60"/>
        <v>1</v>
      </c>
      <c r="BW124" s="117">
        <f t="shared" si="61"/>
        <v>497.233</v>
      </c>
      <c r="BX124" s="116">
        <f t="shared" si="62"/>
        <v>0.87781900000000002</v>
      </c>
      <c r="BY124" s="95">
        <f t="shared" si="63"/>
        <v>133</v>
      </c>
      <c r="BZ124" s="87" t="b">
        <f t="shared" si="64"/>
        <v>0</v>
      </c>
      <c r="CA124" s="87">
        <f t="shared" si="65"/>
        <v>0</v>
      </c>
      <c r="CB124" s="116">
        <f t="shared" si="66"/>
        <v>0</v>
      </c>
      <c r="CC124" s="95">
        <f t="shared" si="67"/>
        <v>0</v>
      </c>
      <c r="CD124" s="95">
        <f t="shared" si="68"/>
        <v>0</v>
      </c>
      <c r="CE124" s="98">
        <v>332.1</v>
      </c>
      <c r="CF124" s="250">
        <f t="shared" si="69"/>
        <v>0.154</v>
      </c>
      <c r="CG124" s="274">
        <f>IF(CF124&lt;0.06,1,IF(CF124&gt;=18.29,52,MATCH(CF124-0.001,'Weighting Factors'!$Y$5:$Y$156)+1))</f>
        <v>11</v>
      </c>
      <c r="CH124" s="243">
        <f>VLOOKUP(CG124, 'Weighting Factors'!$W$5:$Z$56,4)</f>
        <v>1350</v>
      </c>
      <c r="CI124" s="118">
        <f>('Weighting Factors'!$Q$5/'Weighting Factors'!$Q$14)</f>
        <v>1</v>
      </c>
      <c r="CJ124" s="245">
        <f t="shared" si="70"/>
        <v>68850</v>
      </c>
      <c r="CK124" s="245">
        <f>CJ124*'Weighting Factors'!$S$7</f>
        <v>68850</v>
      </c>
      <c r="CL124" s="245">
        <f t="shared" si="71"/>
        <v>68850</v>
      </c>
      <c r="CM124" s="95">
        <f>AM124/'Weighting Factors'!$Q$5</f>
        <v>16.5</v>
      </c>
      <c r="CN124" s="148">
        <v>0</v>
      </c>
      <c r="CO124" s="148">
        <v>0</v>
      </c>
      <c r="CP124" s="149">
        <v>0</v>
      </c>
      <c r="CQ124" s="151">
        <v>0</v>
      </c>
      <c r="CR124" s="99">
        <f>SUM((AV124*'Weighting Factors'!$Q$5)+'2019 Legal Max'!BA124)*CQ124</f>
        <v>0</v>
      </c>
      <c r="CS124" s="99">
        <f t="shared" si="72"/>
        <v>0</v>
      </c>
      <c r="CT124" s="106">
        <f t="shared" si="73"/>
        <v>0.2286</v>
      </c>
      <c r="CU124" s="95">
        <f t="shared" si="74"/>
        <v>0</v>
      </c>
      <c r="CV124" s="95">
        <f t="shared" si="75"/>
        <v>0</v>
      </c>
      <c r="CW124" s="95">
        <f t="shared" si="76"/>
        <v>370.8</v>
      </c>
      <c r="CX124" s="99">
        <f>'LOB Transfers'!G123</f>
        <v>21206</v>
      </c>
      <c r="CY124" s="99">
        <f>'LOB Transfers'!J123</f>
        <v>0</v>
      </c>
      <c r="CZ124" s="87" t="s">
        <v>316</v>
      </c>
    </row>
    <row r="125" spans="1:104" ht="15" customHeight="1">
      <c r="A125" s="88">
        <v>327</v>
      </c>
      <c r="B125" s="87" t="s">
        <v>54</v>
      </c>
      <c r="C125" s="87" t="s">
        <v>638</v>
      </c>
      <c r="D125" s="95">
        <v>602.6</v>
      </c>
      <c r="E125" s="95">
        <v>0</v>
      </c>
      <c r="F125" s="95">
        <f t="shared" si="43"/>
        <v>602.6</v>
      </c>
      <c r="G125" s="95">
        <v>639.70000000000005</v>
      </c>
      <c r="H125" s="95">
        <v>0</v>
      </c>
      <c r="I125" s="95">
        <f t="shared" si="44"/>
        <v>639.70000000000005</v>
      </c>
      <c r="J125" s="95">
        <v>645</v>
      </c>
      <c r="K125" s="95">
        <v>0</v>
      </c>
      <c r="L125" s="95">
        <f t="shared" si="45"/>
        <v>645</v>
      </c>
      <c r="M125" s="95">
        <f>IF(ISNA(VLOOKUP($CZ125,'Audit Values'!$A$2:$BW$365,2,FALSE)),'Preliminary SO66'!C124,VLOOKUP($CZ125,'Audit Values'!$A$2:$BW$365,73,FALSE))</f>
        <v>636</v>
      </c>
      <c r="N125" s="95">
        <f>IF(ISNA(VLOOKUP($CZ125,'Audit Values'!$A$2:$BW$365,2,FALSE)),'Preliminary SO66'!F124,VLOOKUP($CZ125,'Audit Values'!$A$2:$BW$365,4,FALSE))</f>
        <v>0</v>
      </c>
      <c r="O125" s="95">
        <f t="shared" si="46"/>
        <v>636</v>
      </c>
      <c r="P125" s="95">
        <f>IF('Military Provision'!J126="YES", MAX('2019 Legal Max'!L125,'2019 Legal Max'!I125,AVERAGE('2019 Legal Max'!F125,'2019 Legal Max'!I125,'2019 Legal Max'!L125)), MAX(L125, I125))</f>
        <v>645</v>
      </c>
      <c r="Q125" s="95">
        <f>IF(ISNA(VLOOKUP($CZ125,'Audit Values'!$A$2:$BU$353,2,FALSE)),'Preliminary SO66'!AL124,VLOOKUP($CZ125,'Audit Values'!$A$2:$BU$3955,58,FALSE))</f>
        <v>0</v>
      </c>
      <c r="R125" s="95">
        <v>0</v>
      </c>
      <c r="S125" s="95">
        <f t="shared" si="79"/>
        <v>645</v>
      </c>
      <c r="T125" s="95">
        <f t="shared" si="47"/>
        <v>236.7</v>
      </c>
      <c r="U125" s="95">
        <f>IF(ISNA(VLOOKUP($CZ125,'Audit Values'!$A$2:$BW$317,2,FALSE)),'Preliminary SO66'!AM124,VLOOKUP($CZ125,'Audit Values'!$A$2:$BW$317,62,FALSE))</f>
        <v>0</v>
      </c>
      <c r="V125" s="95">
        <f>(U125/6)*'Weighting Factors'!$Q$7</f>
        <v>0</v>
      </c>
      <c r="W125" s="132">
        <f>IF(ISNA(VLOOKUP($CZ125,'Audit Values'!$A$2:$BW$353,2,FALSE)),'Preliminary SO66'!AN124,VLOOKUP($CZ125,'Audit Values'!$A$2:$BW$353,61,FALSE))</f>
        <v>0</v>
      </c>
      <c r="X125" s="95">
        <f>W125*'Weighting Factors'!$Q$8</f>
        <v>0</v>
      </c>
      <c r="Y125" s="95">
        <f t="shared" si="48"/>
        <v>0</v>
      </c>
      <c r="Z125" s="276">
        <f>IF(ISNA(VLOOKUP($CZ125,'Audit Values'!$A$2:$BW$317,2,FALSE)),'Preliminary SO66'!AO124,VLOOKUP($CZ125,'Audit Values'!$A$2:$BW$317,60,FALSE))</f>
        <v>126.4</v>
      </c>
      <c r="AA125" s="95">
        <f>Z125/6*'Weighting Factors'!$Q$6</f>
        <v>10.5</v>
      </c>
      <c r="AB125" s="99">
        <f>IF(ISNA(VLOOKUP($CZ125,'Audit Values'!$A$2:$BU$353,2,FALSE)),'Preliminary SO66'!AS124,VLOOKUP($CZ125,'Audit Values'!$A$2:$BU$353,63,FALSE))</f>
        <v>640</v>
      </c>
      <c r="AC125" s="99">
        <v>0</v>
      </c>
      <c r="AD125" s="99">
        <f>IF(ISNA(VLOOKUP($CZ125,'Audit Values'!$A$2:$BU$353,2,FALSE)),'Preliminary SO66'!AP124,VLOOKUP($CZ125,'Audit Values'!$A$2:$BU$353,64,FALSE))</f>
        <v>153</v>
      </c>
      <c r="AE125" s="95">
        <f>IF(A125=207, AD125,MAX(AC125,AD125))*'Weighting Factors'!$Q$9</f>
        <v>74.099999999999994</v>
      </c>
      <c r="AF125" s="95">
        <f t="shared" si="49"/>
        <v>0</v>
      </c>
      <c r="AG125" s="95">
        <f>IF(ISNA(VLOOKUP($CZ125,'Audit Values'!$A$2:$BW$353,2,FALSE)),'Preliminary SO66'!AG124,VLOOKUP($CZ125,'Audit Values'!$A$2:$BW$353,70,FALSE))</f>
        <v>0</v>
      </c>
      <c r="AH125" s="95">
        <f t="shared" si="50"/>
        <v>0</v>
      </c>
      <c r="AI125" s="95">
        <f>IF(ISNA(VLOOKUP($CZ125,'Audit Values'!$A$2:$BU$353,2,FALSE)),'Preliminary SO66'!AQ124,VLOOKUP($CZ125,'Audit Values'!$A$2:$BU$353,65,FALSE))</f>
        <v>0</v>
      </c>
      <c r="AJ125" s="95">
        <f>AI125*'Weighting Factors'!$Q$10</f>
        <v>0</v>
      </c>
      <c r="AK125" s="95">
        <f>IF(ISNA(VLOOKUP($CZ125,'Audit Values'!$A$2:$BU$353,2,FALSE)),'Preliminary SO66'!AR124,VLOOKUP($CZ125,'Audit Values'!$A$2:$BU$353,66,FALSE))</f>
        <v>255</v>
      </c>
      <c r="AL125" s="95"/>
      <c r="AM125" s="99">
        <f t="shared" si="51"/>
        <v>267750</v>
      </c>
      <c r="AN125" s="99">
        <v>286204</v>
      </c>
      <c r="AO125" s="95">
        <f>MAX(AN125, AM125)/'Weighting Factors'!$Q$5</f>
        <v>68.7</v>
      </c>
      <c r="AP125" s="95">
        <f>CN125/'Weighting Factors'!$Q$5</f>
        <v>0</v>
      </c>
      <c r="AQ125" s="95">
        <v>0</v>
      </c>
      <c r="AR125" s="95">
        <f>CS125/'Weighting Factors'!$Q$5</f>
        <v>0</v>
      </c>
      <c r="AS125" s="99">
        <v>628370</v>
      </c>
      <c r="AT125" s="95">
        <f>AS125/'Weighting Factors'!$Q$5</f>
        <v>150.9</v>
      </c>
      <c r="AU125" s="95">
        <f>IF(ISNA(VLOOKUP($CZ125,'Audit Values'!$A$2:$BU$353,2,FALSE)),'Preliminary SO66'!X124,VLOOKUP($CZ125,'Audit Values'!$A$2:$BU$353,47,FALSE))</f>
        <v>0</v>
      </c>
      <c r="AV125" s="95">
        <f t="shared" si="52"/>
        <v>1185.9000000000001</v>
      </c>
      <c r="AW125" s="95">
        <f t="shared" si="53"/>
        <v>1035</v>
      </c>
      <c r="AX125" s="95">
        <f>IF(ISNA(VLOOKUP($CZ125,'Audit Values'!$A$2:$BU$353,2,FALSE)),'Preliminary SO66'!AA124,VLOOKUP($CZ125,'Audit Values'!$A$2:$BU$353,41,FALSE))</f>
        <v>0</v>
      </c>
      <c r="AY125" s="95">
        <f>IF(ISNA(VLOOKUP($CZ125,'Audit Values'!$A$2:$BU$353,2,FALSE)),'Preliminary SO66'!AB124,VLOOKUP($CZ125,'Audit Values'!$A$2:$BU$353,42,FALSE))</f>
        <v>0</v>
      </c>
      <c r="AZ125" s="114">
        <v>0</v>
      </c>
      <c r="BA125" s="99">
        <f>SUM(AX125*'Weighting Factors'!$T$10)+('2019 Legal Max'!AY125*'Weighting Factors'!$T$11)+('2019 Legal Max'!AZ125*'Weighting Factors'!$T$12)</f>
        <v>0</v>
      </c>
      <c r="BB125" s="158">
        <v>0</v>
      </c>
      <c r="BC125" s="88">
        <f>IF(ISNA(VLOOKUP($CZ125,'Audit Values'!$A$2:$BU$353,2,FALSE)),"",IF(AND('Weighting Factors'!H125&gt;0,VLOOKUP($CZ125,'Audit Values'!$A$2:$BU$353,51,FALSE)&lt;'Weighting Factors'!H125),'Weighting Factors'!H125,VLOOKUP($CZ125,'Audit Values'!$A$2:$BU$353,50,FALSE)))</f>
        <v>19</v>
      </c>
      <c r="BD125" s="88" t="str">
        <f>IF(ISNA(VLOOKUP($CZ125,'Audit Values'!$A$2:$BV$353,2,FALSE)),"",VLOOKUP($CZ125,'Audit Values'!$A$2:$BV$353,51,FALSE))</f>
        <v>A</v>
      </c>
      <c r="BE125" s="88" t="str">
        <f>IF('Weighting Factors'!H125="","",IF('Weighting Factors'!J125="Pending","PX","R"))</f>
        <v/>
      </c>
      <c r="BF125" s="97">
        <f>SUM((S125+T125+Y125+AA125+AE125+AH125+AJ125++AO125+AP125+AQ125+AU125+AR125)*'Weighting Factors'!$Q$5)+'2019 Legal Max'!BA125+'2019 Legal Max'!BB125</f>
        <v>4310775</v>
      </c>
      <c r="BG125" s="99">
        <f>SUM((AV125+AR125)*'Weighting Factors'!$Q$5)+BA125+'2019 Legal Max'!BB125</f>
        <v>4939274</v>
      </c>
      <c r="BH125" s="108">
        <f>IF('Weighting Factors'!H125&gt;0,'Weighting Factors'!H125,'Preliminary SO66'!AV124)</f>
        <v>5042982</v>
      </c>
      <c r="BI125" s="99">
        <f t="shared" si="77"/>
        <v>4939274</v>
      </c>
      <c r="BJ125" s="112"/>
      <c r="BK125" s="112">
        <f>'Weighting Factors'!F125</f>
        <v>-85848</v>
      </c>
      <c r="BL125" s="112">
        <f>'Weighting Factors'!E125</f>
        <v>0</v>
      </c>
      <c r="BM125" s="99">
        <f t="shared" si="54"/>
        <v>-85848</v>
      </c>
      <c r="BN125" s="99">
        <f t="shared" si="55"/>
        <v>4853426</v>
      </c>
      <c r="BO125" s="99">
        <f>SUM((S125+T125+Y125+AA125+AE125+AH125+AJ125++AO125+AP125+AQ125+AR125)*'Weighting Factors'!Q$12)+(MAX(AS125,'Weighting Factors'!B125))</f>
        <v>5275520</v>
      </c>
      <c r="BP125" s="122">
        <v>0.3</v>
      </c>
      <c r="BQ125" s="99">
        <f t="shared" si="56"/>
        <v>1582656</v>
      </c>
      <c r="BR125" s="108">
        <v>1614703</v>
      </c>
      <c r="BS125" s="99">
        <f t="shared" si="57"/>
        <v>1582656</v>
      </c>
      <c r="BT125" s="167">
        <f t="shared" si="58"/>
        <v>0.3</v>
      </c>
      <c r="BU125" s="95">
        <f t="shared" si="59"/>
        <v>0</v>
      </c>
      <c r="BV125" s="87" t="b">
        <f t="shared" si="60"/>
        <v>0</v>
      </c>
      <c r="BW125" s="117">
        <f t="shared" si="61"/>
        <v>0</v>
      </c>
      <c r="BX125" s="116">
        <f t="shared" si="62"/>
        <v>0</v>
      </c>
      <c r="BY125" s="95">
        <f t="shared" si="63"/>
        <v>0</v>
      </c>
      <c r="BZ125" s="87" t="b">
        <f t="shared" si="64"/>
        <v>1</v>
      </c>
      <c r="CA125" s="87">
        <f t="shared" si="65"/>
        <v>426.9375</v>
      </c>
      <c r="CB125" s="116">
        <f t="shared" si="66"/>
        <v>0.36697299999999999</v>
      </c>
      <c r="CC125" s="95">
        <f t="shared" si="67"/>
        <v>236.7</v>
      </c>
      <c r="CD125" s="95">
        <f t="shared" si="68"/>
        <v>0</v>
      </c>
      <c r="CE125" s="98">
        <v>425.3</v>
      </c>
      <c r="CF125" s="250">
        <f t="shared" si="69"/>
        <v>0.6</v>
      </c>
      <c r="CG125" s="274">
        <f>IF(CF125&lt;0.06,1,IF(CF125&gt;=18.29,52,MATCH(CF125-0.001,'Weighting Factors'!$Y$5:$Y$156)+1))</f>
        <v>27</v>
      </c>
      <c r="CH125" s="243">
        <f>VLOOKUP(CG125, 'Weighting Factors'!$W$5:$Z$56,4)</f>
        <v>1050</v>
      </c>
      <c r="CI125" s="118">
        <f>('Weighting Factors'!$Q$5/'Weighting Factors'!$Q$14)</f>
        <v>1</v>
      </c>
      <c r="CJ125" s="245">
        <f t="shared" si="70"/>
        <v>267750</v>
      </c>
      <c r="CK125" s="245">
        <f>CJ125*'Weighting Factors'!$S$7</f>
        <v>267750</v>
      </c>
      <c r="CL125" s="245">
        <f t="shared" si="71"/>
        <v>267750</v>
      </c>
      <c r="CM125" s="95">
        <f>AM125/'Weighting Factors'!$Q$5</f>
        <v>64.3</v>
      </c>
      <c r="CN125" s="148">
        <v>0</v>
      </c>
      <c r="CO125" s="148">
        <v>0</v>
      </c>
      <c r="CP125" s="149">
        <v>0</v>
      </c>
      <c r="CQ125" s="151">
        <v>0</v>
      </c>
      <c r="CR125" s="99">
        <f>SUM((AV125*'Weighting Factors'!$Q$5)+'2019 Legal Max'!BA125)*CQ125</f>
        <v>0</v>
      </c>
      <c r="CS125" s="99">
        <f t="shared" si="72"/>
        <v>0</v>
      </c>
      <c r="CT125" s="106">
        <f t="shared" si="73"/>
        <v>0.23910000000000001</v>
      </c>
      <c r="CU125" s="95">
        <f t="shared" si="74"/>
        <v>0</v>
      </c>
      <c r="CV125" s="95">
        <f t="shared" si="75"/>
        <v>0</v>
      </c>
      <c r="CW125" s="95">
        <f t="shared" si="76"/>
        <v>1185.9000000000001</v>
      </c>
      <c r="CX125" s="99">
        <f>'LOB Transfers'!G124</f>
        <v>98916</v>
      </c>
      <c r="CY125" s="99">
        <f>'LOB Transfers'!J124</f>
        <v>0</v>
      </c>
      <c r="CZ125" s="87" t="s">
        <v>317</v>
      </c>
    </row>
    <row r="126" spans="1:104" ht="15" customHeight="1">
      <c r="A126" s="88">
        <v>329</v>
      </c>
      <c r="B126" s="87" t="s">
        <v>55</v>
      </c>
      <c r="C126" s="87" t="s">
        <v>639</v>
      </c>
      <c r="D126" s="95">
        <v>422.4</v>
      </c>
      <c r="E126" s="95">
        <v>0</v>
      </c>
      <c r="F126" s="95">
        <f t="shared" si="43"/>
        <v>422.4</v>
      </c>
      <c r="G126" s="95">
        <v>440</v>
      </c>
      <c r="H126" s="95">
        <v>0</v>
      </c>
      <c r="I126" s="95">
        <f t="shared" si="44"/>
        <v>440</v>
      </c>
      <c r="J126" s="95">
        <v>447</v>
      </c>
      <c r="K126" s="95">
        <v>0</v>
      </c>
      <c r="L126" s="95">
        <f t="shared" si="45"/>
        <v>447</v>
      </c>
      <c r="M126" s="95">
        <f>IF(ISNA(VLOOKUP($CZ126,'Audit Values'!$A$2:$BW$365,2,FALSE)),'Preliminary SO66'!C125,VLOOKUP($CZ126,'Audit Values'!$A$2:$BW$365,73,FALSE))</f>
        <v>447.1</v>
      </c>
      <c r="N126" s="95">
        <f>IF(ISNA(VLOOKUP($CZ126,'Audit Values'!$A$2:$BW$365,2,FALSE)),'Preliminary SO66'!F125,VLOOKUP($CZ126,'Audit Values'!$A$2:$BW$365,4,FALSE))</f>
        <v>0</v>
      </c>
      <c r="O126" s="95">
        <f t="shared" si="46"/>
        <v>447.1</v>
      </c>
      <c r="P126" s="95">
        <f>IF('Military Provision'!J127="YES", MAX('2019 Legal Max'!L126,'2019 Legal Max'!I126,AVERAGE('2019 Legal Max'!F126,'2019 Legal Max'!I126,'2019 Legal Max'!L126)), MAX(L126, I126))</f>
        <v>447</v>
      </c>
      <c r="Q126" s="95">
        <f>IF(ISNA(VLOOKUP($CZ126,'Audit Values'!$A$2:$BU$353,2,FALSE)),'Preliminary SO66'!AL125,VLOOKUP($CZ126,'Audit Values'!$A$2:$BU$3955,58,FALSE))</f>
        <v>0</v>
      </c>
      <c r="R126" s="95">
        <v>0</v>
      </c>
      <c r="S126" s="95">
        <f t="shared" si="79"/>
        <v>447</v>
      </c>
      <c r="T126" s="95">
        <f t="shared" si="47"/>
        <v>194.1</v>
      </c>
      <c r="U126" s="95">
        <f>IF(ISNA(VLOOKUP($CZ126,'Audit Values'!$A$2:$BW$317,2,FALSE)),'Preliminary SO66'!AM125,VLOOKUP($CZ126,'Audit Values'!$A$2:$BW$317,62,FALSE))</f>
        <v>0</v>
      </c>
      <c r="V126" s="95">
        <f>(U126/6)*'Weighting Factors'!$Q$7</f>
        <v>0</v>
      </c>
      <c r="W126" s="132">
        <f>IF(ISNA(VLOOKUP($CZ126,'Audit Values'!$A$2:$BW$353,2,FALSE)),'Preliminary SO66'!AN125,VLOOKUP($CZ126,'Audit Values'!$A$2:$BW$353,61,FALSE))</f>
        <v>0</v>
      </c>
      <c r="X126" s="95">
        <f>W126*'Weighting Factors'!$Q$8</f>
        <v>0</v>
      </c>
      <c r="Y126" s="95">
        <f t="shared" si="48"/>
        <v>0</v>
      </c>
      <c r="Z126" s="276">
        <f>IF(ISNA(VLOOKUP($CZ126,'Audit Values'!$A$2:$BW$317,2,FALSE)),'Preliminary SO66'!AO125,VLOOKUP($CZ126,'Audit Values'!$A$2:$BW$317,60,FALSE))</f>
        <v>209.6</v>
      </c>
      <c r="AA126" s="95">
        <f>Z126/6*'Weighting Factors'!$Q$6</f>
        <v>17.5</v>
      </c>
      <c r="AB126" s="99">
        <f>IF(ISNA(VLOOKUP($CZ126,'Audit Values'!$A$2:$BU$353,2,FALSE)),'Preliminary SO66'!AS125,VLOOKUP($CZ126,'Audit Values'!$A$2:$BU$353,63,FALSE))</f>
        <v>453</v>
      </c>
      <c r="AC126" s="99">
        <v>0</v>
      </c>
      <c r="AD126" s="99">
        <f>IF(ISNA(VLOOKUP($CZ126,'Audit Values'!$A$2:$BU$353,2,FALSE)),'Preliminary SO66'!AP125,VLOOKUP($CZ126,'Audit Values'!$A$2:$BU$353,64,FALSE))</f>
        <v>77</v>
      </c>
      <c r="AE126" s="95">
        <f>IF(A126=207, AD126,MAX(AC126,AD126))*'Weighting Factors'!$Q$9</f>
        <v>37.299999999999997</v>
      </c>
      <c r="AF126" s="95">
        <f t="shared" si="49"/>
        <v>0</v>
      </c>
      <c r="AG126" s="95">
        <f>IF(ISNA(VLOOKUP($CZ126,'Audit Values'!$A$2:$BW$353,2,FALSE)),'Preliminary SO66'!AG125,VLOOKUP($CZ126,'Audit Values'!$A$2:$BW$353,70,FALSE))</f>
        <v>0</v>
      </c>
      <c r="AH126" s="95">
        <f t="shared" si="50"/>
        <v>0</v>
      </c>
      <c r="AI126" s="95">
        <f>IF(ISNA(VLOOKUP($CZ126,'Audit Values'!$A$2:$BU$353,2,FALSE)),'Preliminary SO66'!AQ125,VLOOKUP($CZ126,'Audit Values'!$A$2:$BU$353,65,FALSE))</f>
        <v>0</v>
      </c>
      <c r="AJ126" s="95">
        <f>AI126*'Weighting Factors'!$Q$10</f>
        <v>0</v>
      </c>
      <c r="AK126" s="95">
        <f>IF(ISNA(VLOOKUP($CZ126,'Audit Values'!$A$2:$BU$353,2,FALSE)),'Preliminary SO66'!AR125,VLOOKUP($CZ126,'Audit Values'!$A$2:$BU$353,66,FALSE))</f>
        <v>278</v>
      </c>
      <c r="AL126" s="95"/>
      <c r="AM126" s="99">
        <f t="shared" si="51"/>
        <v>286340</v>
      </c>
      <c r="AN126" s="99">
        <v>333198</v>
      </c>
      <c r="AO126" s="95">
        <f>MAX(AN126, AM126)/'Weighting Factors'!$Q$5</f>
        <v>80</v>
      </c>
      <c r="AP126" s="95">
        <f>CN126/'Weighting Factors'!$Q$5</f>
        <v>0</v>
      </c>
      <c r="AQ126" s="95">
        <v>0</v>
      </c>
      <c r="AR126" s="95">
        <f>CS126/'Weighting Factors'!$Q$5</f>
        <v>0</v>
      </c>
      <c r="AS126" s="99">
        <v>476738</v>
      </c>
      <c r="AT126" s="95">
        <f>AS126/'Weighting Factors'!$Q$5</f>
        <v>114.5</v>
      </c>
      <c r="AU126" s="95">
        <f>IF(ISNA(VLOOKUP($CZ126,'Audit Values'!$A$2:$BU$353,2,FALSE)),'Preliminary SO66'!X125,VLOOKUP($CZ126,'Audit Values'!$A$2:$BU$353,47,FALSE))</f>
        <v>0</v>
      </c>
      <c r="AV126" s="95">
        <f t="shared" si="52"/>
        <v>890.4</v>
      </c>
      <c r="AW126" s="95">
        <f t="shared" si="53"/>
        <v>775.9</v>
      </c>
      <c r="AX126" s="95">
        <f>IF(ISNA(VLOOKUP($CZ126,'Audit Values'!$A$2:$BU$353,2,FALSE)),'Preliminary SO66'!AA125,VLOOKUP($CZ126,'Audit Values'!$A$2:$BU$353,41,FALSE))</f>
        <v>0</v>
      </c>
      <c r="AY126" s="95">
        <f>IF(ISNA(VLOOKUP($CZ126,'Audit Values'!$A$2:$BU$353,2,FALSE)),'Preliminary SO66'!AB125,VLOOKUP($CZ126,'Audit Values'!$A$2:$BU$353,42,FALSE))</f>
        <v>0</v>
      </c>
      <c r="AZ126" s="114">
        <v>0</v>
      </c>
      <c r="BA126" s="99">
        <f>SUM(AX126*'Weighting Factors'!$T$10)+('2019 Legal Max'!AY126*'Weighting Factors'!$T$11)+('2019 Legal Max'!AZ126*'Weighting Factors'!$T$12)</f>
        <v>0</v>
      </c>
      <c r="BB126" s="158">
        <v>0</v>
      </c>
      <c r="BC126" s="88">
        <f>IF(ISNA(VLOOKUP($CZ126,'Audit Values'!$A$2:$BU$353,2,FALSE)),"",IF(AND('Weighting Factors'!H126&gt;0,VLOOKUP($CZ126,'Audit Values'!$A$2:$BU$353,51,FALSE)&lt;'Weighting Factors'!H126),'Weighting Factors'!H126,VLOOKUP($CZ126,'Audit Values'!$A$2:$BU$353,50,FALSE)))</f>
        <v>17</v>
      </c>
      <c r="BD126" s="88" t="str">
        <f>IF(ISNA(VLOOKUP($CZ126,'Audit Values'!$A$2:$BV$353,2,FALSE)),"",VLOOKUP($CZ126,'Audit Values'!$A$2:$BV$353,51,FALSE))</f>
        <v>A</v>
      </c>
      <c r="BE126" s="88" t="str">
        <f>IF('Weighting Factors'!H126="","",IF('Weighting Factors'!J126="Pending","PX","R"))</f>
        <v/>
      </c>
      <c r="BF126" s="97">
        <f>SUM((S126+T126+Y126+AA126+AE126+AH126+AJ126++AO126+AP126+AQ126+AU126+AR126)*'Weighting Factors'!$Q$5)+'2019 Legal Max'!BA126+'2019 Legal Max'!BB126</f>
        <v>3231624</v>
      </c>
      <c r="BG126" s="99">
        <f>SUM((AV126+AR126)*'Weighting Factors'!$Q$5)+BA126+'2019 Legal Max'!BB126</f>
        <v>3708516</v>
      </c>
      <c r="BH126" s="108">
        <f>IF('Weighting Factors'!H126&gt;0,'Weighting Factors'!H126,'Preliminary SO66'!AV125)</f>
        <v>3711432</v>
      </c>
      <c r="BI126" s="99">
        <f t="shared" si="77"/>
        <v>3708516</v>
      </c>
      <c r="BJ126" s="112"/>
      <c r="BK126" s="112">
        <f>'Weighting Factors'!F126</f>
        <v>-51913</v>
      </c>
      <c r="BL126" s="112">
        <f>'Weighting Factors'!E126</f>
        <v>0</v>
      </c>
      <c r="BM126" s="99">
        <f t="shared" si="54"/>
        <v>-51913</v>
      </c>
      <c r="BN126" s="99">
        <f t="shared" si="55"/>
        <v>3656603</v>
      </c>
      <c r="BO126" s="99">
        <f>SUM((S126+T126+Y126+AA126+AE126+AH126+AJ126++AO126+AP126+AQ126+AR126)*'Weighting Factors'!Q$12)+(MAX(AS126,'Weighting Factors'!B126))</f>
        <v>4020753</v>
      </c>
      <c r="BP126" s="122">
        <v>0.33</v>
      </c>
      <c r="BQ126" s="99">
        <f t="shared" si="56"/>
        <v>1326848</v>
      </c>
      <c r="BR126" s="108">
        <v>1325663</v>
      </c>
      <c r="BS126" s="99">
        <f t="shared" si="57"/>
        <v>1325663</v>
      </c>
      <c r="BT126" s="167">
        <f t="shared" si="58"/>
        <v>0.32969999999999999</v>
      </c>
      <c r="BU126" s="95">
        <f t="shared" si="59"/>
        <v>0</v>
      </c>
      <c r="BV126" s="87" t="b">
        <f t="shared" si="60"/>
        <v>0</v>
      </c>
      <c r="BW126" s="117">
        <f t="shared" si="61"/>
        <v>0</v>
      </c>
      <c r="BX126" s="116">
        <f t="shared" si="62"/>
        <v>0</v>
      </c>
      <c r="BY126" s="95">
        <f t="shared" si="63"/>
        <v>0</v>
      </c>
      <c r="BZ126" s="87" t="b">
        <f t="shared" si="64"/>
        <v>1</v>
      </c>
      <c r="CA126" s="87">
        <f t="shared" si="65"/>
        <v>181.91249999999999</v>
      </c>
      <c r="CB126" s="116">
        <f t="shared" si="66"/>
        <v>0.43424299999999999</v>
      </c>
      <c r="CC126" s="95">
        <f t="shared" si="67"/>
        <v>194.1</v>
      </c>
      <c r="CD126" s="95">
        <f t="shared" si="68"/>
        <v>0</v>
      </c>
      <c r="CE126" s="98">
        <v>397</v>
      </c>
      <c r="CF126" s="250">
        <f t="shared" si="69"/>
        <v>0.7</v>
      </c>
      <c r="CG126" s="274">
        <f>IF(CF126&lt;0.06,1,IF(CF126&gt;=18.29,52,MATCH(CF126-0.001,'Weighting Factors'!$Y$5:$Y$156)+1))</f>
        <v>28</v>
      </c>
      <c r="CH126" s="243">
        <f>VLOOKUP(CG126, 'Weighting Factors'!$W$5:$Z$56,4)</f>
        <v>1030</v>
      </c>
      <c r="CI126" s="118">
        <f>('Weighting Factors'!$Q$5/'Weighting Factors'!$Q$14)</f>
        <v>1</v>
      </c>
      <c r="CJ126" s="245">
        <f t="shared" si="70"/>
        <v>286340</v>
      </c>
      <c r="CK126" s="245">
        <f>CJ126*'Weighting Factors'!$S$7</f>
        <v>286340</v>
      </c>
      <c r="CL126" s="245">
        <f t="shared" si="71"/>
        <v>286340</v>
      </c>
      <c r="CM126" s="95">
        <f>AM126/'Weighting Factors'!$Q$5</f>
        <v>68.7</v>
      </c>
      <c r="CN126" s="148">
        <v>0</v>
      </c>
      <c r="CO126" s="148">
        <v>0</v>
      </c>
      <c r="CP126" s="149">
        <v>0</v>
      </c>
      <c r="CQ126" s="151">
        <v>0</v>
      </c>
      <c r="CR126" s="99">
        <f>SUM((AV126*'Weighting Factors'!$Q$5)+'2019 Legal Max'!BA126)*CQ126</f>
        <v>0</v>
      </c>
      <c r="CS126" s="99">
        <f t="shared" si="72"/>
        <v>0</v>
      </c>
      <c r="CT126" s="106">
        <f t="shared" si="73"/>
        <v>0.17</v>
      </c>
      <c r="CU126" s="95">
        <f t="shared" si="74"/>
        <v>0</v>
      </c>
      <c r="CV126" s="95">
        <f t="shared" si="75"/>
        <v>0</v>
      </c>
      <c r="CW126" s="95">
        <f t="shared" si="76"/>
        <v>890.4</v>
      </c>
      <c r="CX126" s="99">
        <f>'LOB Transfers'!G125</f>
        <v>55545</v>
      </c>
      <c r="CY126" s="99">
        <f>'LOB Transfers'!J125</f>
        <v>0</v>
      </c>
      <c r="CZ126" s="87" t="s">
        <v>318</v>
      </c>
    </row>
    <row r="127" spans="1:104" ht="15" customHeight="1">
      <c r="A127" s="88">
        <v>330</v>
      </c>
      <c r="B127" s="87" t="s">
        <v>55</v>
      </c>
      <c r="C127" s="87" t="s">
        <v>640</v>
      </c>
      <c r="D127" s="95">
        <v>462.2</v>
      </c>
      <c r="E127" s="95">
        <v>0</v>
      </c>
      <c r="F127" s="95">
        <f t="shared" si="43"/>
        <v>462.2</v>
      </c>
      <c r="G127" s="95">
        <v>491.5</v>
      </c>
      <c r="H127" s="95">
        <v>0</v>
      </c>
      <c r="I127" s="95">
        <f t="shared" si="44"/>
        <v>491.5</v>
      </c>
      <c r="J127" s="95">
        <v>454</v>
      </c>
      <c r="K127" s="95">
        <v>0</v>
      </c>
      <c r="L127" s="95">
        <f t="shared" si="45"/>
        <v>454</v>
      </c>
      <c r="M127" s="95">
        <f>IF(ISNA(VLOOKUP($CZ127,'Audit Values'!$A$2:$BW$365,2,FALSE)),'Preliminary SO66'!C126,VLOOKUP($CZ127,'Audit Values'!$A$2:$BW$365,73,FALSE))</f>
        <v>433.7</v>
      </c>
      <c r="N127" s="95">
        <f>IF(ISNA(VLOOKUP($CZ127,'Audit Values'!$A$2:$BW$365,2,FALSE)),'Preliminary SO66'!F126,VLOOKUP($CZ127,'Audit Values'!$A$2:$BW$365,4,FALSE))</f>
        <v>0</v>
      </c>
      <c r="O127" s="95">
        <f t="shared" si="46"/>
        <v>433.7</v>
      </c>
      <c r="P127" s="95">
        <f>IF('Military Provision'!J128="YES", MAX('2019 Legal Max'!L127,'2019 Legal Max'!I127,AVERAGE('2019 Legal Max'!F127,'2019 Legal Max'!I127,'2019 Legal Max'!L127)), MAX(L127, I127))</f>
        <v>491.5</v>
      </c>
      <c r="Q127" s="95">
        <f>IF(ISNA(VLOOKUP($CZ127,'Audit Values'!$A$2:$BU$353,2,FALSE)),'Preliminary SO66'!AL126,VLOOKUP($CZ127,'Audit Values'!$A$2:$BU$3955,58,FALSE))</f>
        <v>0</v>
      </c>
      <c r="R127" s="95">
        <v>0</v>
      </c>
      <c r="S127" s="95">
        <f t="shared" si="79"/>
        <v>491.5</v>
      </c>
      <c r="T127" s="95">
        <f t="shared" si="47"/>
        <v>206</v>
      </c>
      <c r="U127" s="95">
        <f>IF(ISNA(VLOOKUP($CZ127,'Audit Values'!$A$2:$BW$317,2,FALSE)),'Preliminary SO66'!AM126,VLOOKUP($CZ127,'Audit Values'!$A$2:$BW$317,62,FALSE))</f>
        <v>0</v>
      </c>
      <c r="V127" s="95">
        <f>(U127/6)*'Weighting Factors'!$Q$7</f>
        <v>0</v>
      </c>
      <c r="W127" s="132">
        <f>IF(ISNA(VLOOKUP($CZ127,'Audit Values'!$A$2:$BW$353,2,FALSE)),'Preliminary SO66'!AN126,VLOOKUP($CZ127,'Audit Values'!$A$2:$BW$353,61,FALSE))</f>
        <v>0</v>
      </c>
      <c r="X127" s="95">
        <f>W127*'Weighting Factors'!$Q$8</f>
        <v>0</v>
      </c>
      <c r="Y127" s="95">
        <f t="shared" si="48"/>
        <v>0</v>
      </c>
      <c r="Z127" s="276">
        <f>IF(ISNA(VLOOKUP($CZ127,'Audit Values'!$A$2:$BW$317,2,FALSE)),'Preliminary SO66'!AO126,VLOOKUP($CZ127,'Audit Values'!$A$2:$BW$317,60,FALSE))</f>
        <v>271.89999999999998</v>
      </c>
      <c r="AA127" s="95">
        <f>Z127/6*'Weighting Factors'!$Q$6</f>
        <v>22.7</v>
      </c>
      <c r="AB127" s="99">
        <f>IF(ISNA(VLOOKUP($CZ127,'Audit Values'!$A$2:$BU$353,2,FALSE)),'Preliminary SO66'!AS126,VLOOKUP($CZ127,'Audit Values'!$A$2:$BU$353,63,FALSE))</f>
        <v>439</v>
      </c>
      <c r="AC127" s="99">
        <v>0</v>
      </c>
      <c r="AD127" s="99">
        <f>IF(ISNA(VLOOKUP($CZ127,'Audit Values'!$A$2:$BU$353,2,FALSE)),'Preliminary SO66'!AP126,VLOOKUP($CZ127,'Audit Values'!$A$2:$BU$353,64,FALSE))</f>
        <v>110</v>
      </c>
      <c r="AE127" s="95">
        <f>IF(A127=207, AD127,MAX(AC127,AD127))*'Weighting Factors'!$Q$9</f>
        <v>53.2</v>
      </c>
      <c r="AF127" s="95">
        <f t="shared" si="49"/>
        <v>0</v>
      </c>
      <c r="AG127" s="95">
        <f>IF(ISNA(VLOOKUP($CZ127,'Audit Values'!$A$2:$BW$353,2,FALSE)),'Preliminary SO66'!AG126,VLOOKUP($CZ127,'Audit Values'!$A$2:$BW$353,70,FALSE))</f>
        <v>0</v>
      </c>
      <c r="AH127" s="95">
        <f t="shared" si="50"/>
        <v>0</v>
      </c>
      <c r="AI127" s="95">
        <f>IF(ISNA(VLOOKUP($CZ127,'Audit Values'!$A$2:$BU$353,2,FALSE)),'Preliminary SO66'!AQ126,VLOOKUP($CZ127,'Audit Values'!$A$2:$BU$353,65,FALSE))</f>
        <v>0</v>
      </c>
      <c r="AJ127" s="95">
        <f>AI127*'Weighting Factors'!$Q$10</f>
        <v>0</v>
      </c>
      <c r="AK127" s="95">
        <f>IF(ISNA(VLOOKUP($CZ127,'Audit Values'!$A$2:$BU$353,2,FALSE)),'Preliminary SO66'!AR126,VLOOKUP($CZ127,'Audit Values'!$A$2:$BU$353,66,FALSE))</f>
        <v>335.6</v>
      </c>
      <c r="AL127" s="95"/>
      <c r="AM127" s="99">
        <f t="shared" si="51"/>
        <v>325532</v>
      </c>
      <c r="AN127" s="99">
        <v>414860</v>
      </c>
      <c r="AO127" s="95">
        <f>MAX(AN127, AM127)/'Weighting Factors'!$Q$5</f>
        <v>99.6</v>
      </c>
      <c r="AP127" s="95">
        <f>CN127/'Weighting Factors'!$Q$5</f>
        <v>0</v>
      </c>
      <c r="AQ127" s="95">
        <v>0</v>
      </c>
      <c r="AR127" s="95">
        <f>CS127/'Weighting Factors'!$Q$5</f>
        <v>0</v>
      </c>
      <c r="AS127" s="99">
        <v>559525</v>
      </c>
      <c r="AT127" s="95">
        <f>AS127/'Weighting Factors'!$Q$5</f>
        <v>134.30000000000001</v>
      </c>
      <c r="AU127" s="95">
        <f>IF(ISNA(VLOOKUP($CZ127,'Audit Values'!$A$2:$BU$353,2,FALSE)),'Preliminary SO66'!X126,VLOOKUP($CZ127,'Audit Values'!$A$2:$BU$353,47,FALSE))</f>
        <v>0</v>
      </c>
      <c r="AV127" s="95">
        <f t="shared" si="52"/>
        <v>1007.3</v>
      </c>
      <c r="AW127" s="95">
        <f t="shared" si="53"/>
        <v>873</v>
      </c>
      <c r="AX127" s="95">
        <f>IF(ISNA(VLOOKUP($CZ127,'Audit Values'!$A$2:$BU$353,2,FALSE)),'Preliminary SO66'!AA126,VLOOKUP($CZ127,'Audit Values'!$A$2:$BU$353,41,FALSE))</f>
        <v>0</v>
      </c>
      <c r="AY127" s="95">
        <f>IF(ISNA(VLOOKUP($CZ127,'Audit Values'!$A$2:$BU$353,2,FALSE)),'Preliminary SO66'!AB126,VLOOKUP($CZ127,'Audit Values'!$A$2:$BU$353,42,FALSE))</f>
        <v>0</v>
      </c>
      <c r="AZ127" s="114">
        <v>0</v>
      </c>
      <c r="BA127" s="99">
        <f>SUM(AX127*'Weighting Factors'!$T$10)+('2019 Legal Max'!AY127*'Weighting Factors'!$T$11)+('2019 Legal Max'!AZ127*'Weighting Factors'!$T$12)</f>
        <v>0</v>
      </c>
      <c r="BB127" s="158">
        <v>0</v>
      </c>
      <c r="BC127" s="88">
        <f>IF(ISNA(VLOOKUP($CZ127,'Audit Values'!$A$2:$BU$353,2,FALSE)),"",IF(AND('Weighting Factors'!H127&gt;0,VLOOKUP($CZ127,'Audit Values'!$A$2:$BU$353,51,FALSE)&lt;'Weighting Factors'!H127),'Weighting Factors'!H127,VLOOKUP($CZ127,'Audit Values'!$A$2:$BU$353,50,FALSE)))</f>
        <v>9</v>
      </c>
      <c r="BD127" s="88" t="str">
        <f>IF(ISNA(VLOOKUP($CZ127,'Audit Values'!$A$2:$BV$353,2,FALSE)),"",VLOOKUP($CZ127,'Audit Values'!$A$2:$BV$353,51,FALSE))</f>
        <v>A</v>
      </c>
      <c r="BE127" s="88" t="str">
        <f>IF('Weighting Factors'!H127="","",IF('Weighting Factors'!J127="Pending","PX","R"))</f>
        <v/>
      </c>
      <c r="BF127" s="97">
        <f>SUM((S127+T127+Y127+AA127+AE127+AH127+AJ127++AO127+AP127+AQ127+AU127+AR127)*'Weighting Factors'!$Q$5)+'2019 Legal Max'!BA127+'2019 Legal Max'!BB127</f>
        <v>3636045</v>
      </c>
      <c r="BG127" s="99">
        <f>SUM((AV127+AR127)*'Weighting Factors'!$Q$5)+BA127+'2019 Legal Max'!BB127</f>
        <v>4195405</v>
      </c>
      <c r="BH127" s="108">
        <f>IF('Weighting Factors'!H127&gt;0,'Weighting Factors'!H127,'Preliminary SO66'!AV126)</f>
        <v>4541100</v>
      </c>
      <c r="BI127" s="99">
        <f t="shared" si="77"/>
        <v>4195405</v>
      </c>
      <c r="BJ127" s="112"/>
      <c r="BK127" s="112">
        <f>'Weighting Factors'!F127</f>
        <v>-39782</v>
      </c>
      <c r="BL127" s="112">
        <f>'Weighting Factors'!E127</f>
        <v>0</v>
      </c>
      <c r="BM127" s="99">
        <f t="shared" si="54"/>
        <v>-39782</v>
      </c>
      <c r="BN127" s="99">
        <f t="shared" si="55"/>
        <v>4155623</v>
      </c>
      <c r="BO127" s="99">
        <f>SUM((S127+T127+Y127+AA127+AE127+AH127+AJ127++AO127+AP127+AQ127+AR127)*'Weighting Factors'!Q$12)+(MAX(AS127,'Weighting Factors'!B127))</f>
        <v>4579409</v>
      </c>
      <c r="BP127" s="122">
        <v>0.3</v>
      </c>
      <c r="BQ127" s="99">
        <f t="shared" si="56"/>
        <v>1373823</v>
      </c>
      <c r="BR127" s="108">
        <v>1448839</v>
      </c>
      <c r="BS127" s="99">
        <f t="shared" si="57"/>
        <v>1373823</v>
      </c>
      <c r="BT127" s="167">
        <f t="shared" si="58"/>
        <v>0.3</v>
      </c>
      <c r="BU127" s="95">
        <f t="shared" si="59"/>
        <v>0</v>
      </c>
      <c r="BV127" s="87" t="b">
        <f t="shared" si="60"/>
        <v>0</v>
      </c>
      <c r="BW127" s="117">
        <f t="shared" si="61"/>
        <v>0</v>
      </c>
      <c r="BX127" s="116">
        <f t="shared" si="62"/>
        <v>0</v>
      </c>
      <c r="BY127" s="95">
        <f t="shared" si="63"/>
        <v>0</v>
      </c>
      <c r="BZ127" s="87" t="b">
        <f t="shared" si="64"/>
        <v>1</v>
      </c>
      <c r="CA127" s="87">
        <f t="shared" si="65"/>
        <v>236.9813</v>
      </c>
      <c r="CB127" s="116">
        <f t="shared" si="66"/>
        <v>0.419124</v>
      </c>
      <c r="CC127" s="95">
        <f t="shared" si="67"/>
        <v>206</v>
      </c>
      <c r="CD127" s="95">
        <f t="shared" si="68"/>
        <v>0</v>
      </c>
      <c r="CE127" s="98">
        <v>370</v>
      </c>
      <c r="CF127" s="250">
        <f t="shared" si="69"/>
        <v>0.90700000000000003</v>
      </c>
      <c r="CG127" s="274">
        <f>IF(CF127&lt;0.06,1,IF(CF127&gt;=18.29,52,MATCH(CF127-0.001,'Weighting Factors'!$Y$5:$Y$156)+1))</f>
        <v>31</v>
      </c>
      <c r="CH127" s="243">
        <f>VLOOKUP(CG127, 'Weighting Factors'!$W$5:$Z$56,4)</f>
        <v>970</v>
      </c>
      <c r="CI127" s="118">
        <f>('Weighting Factors'!$Q$5/'Weighting Factors'!$Q$14)</f>
        <v>1</v>
      </c>
      <c r="CJ127" s="245">
        <f t="shared" si="70"/>
        <v>325532</v>
      </c>
      <c r="CK127" s="245">
        <f>CJ127*'Weighting Factors'!$S$7</f>
        <v>325532</v>
      </c>
      <c r="CL127" s="245">
        <f t="shared" si="71"/>
        <v>325532</v>
      </c>
      <c r="CM127" s="95">
        <f>AM127/'Weighting Factors'!$Q$5</f>
        <v>78.2</v>
      </c>
      <c r="CN127" s="148">
        <v>0</v>
      </c>
      <c r="CO127" s="148">
        <v>0</v>
      </c>
      <c r="CP127" s="149">
        <v>0</v>
      </c>
      <c r="CQ127" s="151">
        <v>0</v>
      </c>
      <c r="CR127" s="99">
        <f>SUM((AV127*'Weighting Factors'!$Q$5)+'2019 Legal Max'!BA127)*CQ127</f>
        <v>0</v>
      </c>
      <c r="CS127" s="99">
        <f t="shared" si="72"/>
        <v>0</v>
      </c>
      <c r="CT127" s="106">
        <f t="shared" si="73"/>
        <v>0.25059999999999999</v>
      </c>
      <c r="CU127" s="95">
        <f t="shared" si="74"/>
        <v>0</v>
      </c>
      <c r="CV127" s="95">
        <f t="shared" si="75"/>
        <v>0</v>
      </c>
      <c r="CW127" s="95">
        <f t="shared" si="76"/>
        <v>1007.3</v>
      </c>
      <c r="CX127" s="99">
        <f>'LOB Transfers'!G126</f>
        <v>72538</v>
      </c>
      <c r="CY127" s="99">
        <f>'LOB Transfers'!J126</f>
        <v>0</v>
      </c>
      <c r="CZ127" s="87" t="s">
        <v>319</v>
      </c>
    </row>
    <row r="128" spans="1:104" ht="15" customHeight="1">
      <c r="A128" s="88">
        <v>331</v>
      </c>
      <c r="B128" s="87" t="s">
        <v>56</v>
      </c>
      <c r="C128" s="87" t="s">
        <v>641</v>
      </c>
      <c r="D128" s="95">
        <v>891.5</v>
      </c>
      <c r="E128" s="95">
        <v>0</v>
      </c>
      <c r="F128" s="95">
        <f t="shared" si="43"/>
        <v>891.5</v>
      </c>
      <c r="G128" s="95">
        <v>907.2</v>
      </c>
      <c r="H128" s="95">
        <v>0</v>
      </c>
      <c r="I128" s="95">
        <f t="shared" si="44"/>
        <v>907.2</v>
      </c>
      <c r="J128" s="95">
        <v>871.2</v>
      </c>
      <c r="K128" s="95">
        <v>0</v>
      </c>
      <c r="L128" s="95">
        <f t="shared" si="45"/>
        <v>871.2</v>
      </c>
      <c r="M128" s="95">
        <f>IF(ISNA(VLOOKUP($CZ128,'Audit Values'!$A$2:$BW$365,2,FALSE)),'Preliminary SO66'!C127,VLOOKUP($CZ128,'Audit Values'!$A$2:$BW$365,73,FALSE))</f>
        <v>854.3</v>
      </c>
      <c r="N128" s="95">
        <f>IF(ISNA(VLOOKUP($CZ128,'Audit Values'!$A$2:$BW$365,2,FALSE)),'Preliminary SO66'!F127,VLOOKUP($CZ128,'Audit Values'!$A$2:$BW$365,4,FALSE))</f>
        <v>0</v>
      </c>
      <c r="O128" s="95">
        <f t="shared" si="46"/>
        <v>854.3</v>
      </c>
      <c r="P128" s="95">
        <f>IF('Military Provision'!J129="YES", MAX('2019 Legal Max'!L128,'2019 Legal Max'!I128,AVERAGE('2019 Legal Max'!F128,'2019 Legal Max'!I128,'2019 Legal Max'!L128)), MAX(L128, I128))</f>
        <v>907.2</v>
      </c>
      <c r="Q128" s="95">
        <f>IF(ISNA(VLOOKUP($CZ128,'Audit Values'!$A$2:$BU$353,2,FALSE)),'Preliminary SO66'!AL127,VLOOKUP($CZ128,'Audit Values'!$A$2:$BU$3955,58,FALSE))</f>
        <v>10.5</v>
      </c>
      <c r="R128" s="95">
        <v>0</v>
      </c>
      <c r="S128" s="95">
        <f t="shared" si="79"/>
        <v>917.7</v>
      </c>
      <c r="T128" s="95">
        <f t="shared" si="47"/>
        <v>251.7</v>
      </c>
      <c r="U128" s="95">
        <f>IF(ISNA(VLOOKUP($CZ128,'Audit Values'!$A$2:$BW$317,2,FALSE)),'Preliminary SO66'!AM127,VLOOKUP($CZ128,'Audit Values'!$A$2:$BW$317,62,FALSE))</f>
        <v>0</v>
      </c>
      <c r="V128" s="95">
        <f>(U128/6)*'Weighting Factors'!$Q$7</f>
        <v>0</v>
      </c>
      <c r="W128" s="132">
        <f>IF(ISNA(VLOOKUP($CZ128,'Audit Values'!$A$2:$BW$353,2,FALSE)),'Preliminary SO66'!AN127,VLOOKUP($CZ128,'Audit Values'!$A$2:$BW$353,61,FALSE))</f>
        <v>1</v>
      </c>
      <c r="X128" s="95">
        <f>W128*'Weighting Factors'!$Q$8</f>
        <v>0.2</v>
      </c>
      <c r="Y128" s="95">
        <f t="shared" si="48"/>
        <v>0.2</v>
      </c>
      <c r="Z128" s="276">
        <f>IF(ISNA(VLOOKUP($CZ128,'Audit Values'!$A$2:$BW$317,2,FALSE)),'Preliminary SO66'!AO127,VLOOKUP($CZ128,'Audit Values'!$A$2:$BW$317,60,FALSE))</f>
        <v>438.7</v>
      </c>
      <c r="AA128" s="95">
        <f>Z128/6*'Weighting Factors'!$Q$6</f>
        <v>36.6</v>
      </c>
      <c r="AB128" s="99">
        <f>IF(ISNA(VLOOKUP($CZ128,'Audit Values'!$A$2:$BU$353,2,FALSE)),'Preliminary SO66'!AS127,VLOOKUP($CZ128,'Audit Values'!$A$2:$BU$353,63,FALSE))</f>
        <v>916</v>
      </c>
      <c r="AC128" s="99">
        <v>0</v>
      </c>
      <c r="AD128" s="99">
        <f>IF(ISNA(VLOOKUP($CZ128,'Audit Values'!$A$2:$BU$353,2,FALSE)),'Preliminary SO66'!AP127,VLOOKUP($CZ128,'Audit Values'!$A$2:$BU$353,64,FALSE))</f>
        <v>322</v>
      </c>
      <c r="AE128" s="95">
        <f>IF(A128=207, AD128,MAX(AC128,AD128))*'Weighting Factors'!$Q$9</f>
        <v>155.80000000000001</v>
      </c>
      <c r="AF128" s="95">
        <f t="shared" si="49"/>
        <v>0.3</v>
      </c>
      <c r="AG128" s="95">
        <f>IF(ISNA(VLOOKUP($CZ128,'Audit Values'!$A$2:$BW$353,2,FALSE)),'Preliminary SO66'!AG127,VLOOKUP($CZ128,'Audit Values'!$A$2:$BW$353,70,FALSE))</f>
        <v>17.600000000000001</v>
      </c>
      <c r="AH128" s="95">
        <f t="shared" si="50"/>
        <v>17.600000000000001</v>
      </c>
      <c r="AI128" s="95">
        <f>IF(ISNA(VLOOKUP($CZ128,'Audit Values'!$A$2:$BU$353,2,FALSE)),'Preliminary SO66'!AQ127,VLOOKUP($CZ128,'Audit Values'!$A$2:$BU$353,65,FALSE))</f>
        <v>0</v>
      </c>
      <c r="AJ128" s="95">
        <f>AI128*'Weighting Factors'!$Q$10</f>
        <v>0</v>
      </c>
      <c r="AK128" s="95">
        <f>IF(ISNA(VLOOKUP($CZ128,'Audit Values'!$A$2:$BU$353,2,FALSE)),'Preliminary SO66'!AR127,VLOOKUP($CZ128,'Audit Values'!$A$2:$BU$353,66,FALSE))</f>
        <v>269.2</v>
      </c>
      <c r="AL128" s="95"/>
      <c r="AM128" s="99">
        <f t="shared" si="51"/>
        <v>293428</v>
      </c>
      <c r="AN128" s="99">
        <v>349762</v>
      </c>
      <c r="AO128" s="95">
        <f>MAX(AN128, AM128)/'Weighting Factors'!$Q$5</f>
        <v>84</v>
      </c>
      <c r="AP128" s="95">
        <f>CN128/'Weighting Factors'!$Q$5</f>
        <v>0</v>
      </c>
      <c r="AQ128" s="95">
        <v>0</v>
      </c>
      <c r="AR128" s="95">
        <f>CS128/'Weighting Factors'!$Q$5</f>
        <v>0</v>
      </c>
      <c r="AS128" s="99">
        <v>1112456</v>
      </c>
      <c r="AT128" s="95">
        <f>AS128/'Weighting Factors'!$Q$5</f>
        <v>267.10000000000002</v>
      </c>
      <c r="AU128" s="95">
        <f>IF(ISNA(VLOOKUP($CZ128,'Audit Values'!$A$2:$BU$353,2,FALSE)),'Preliminary SO66'!X127,VLOOKUP($CZ128,'Audit Values'!$A$2:$BU$353,47,FALSE))</f>
        <v>0</v>
      </c>
      <c r="AV128" s="95">
        <f t="shared" si="52"/>
        <v>1730.7</v>
      </c>
      <c r="AW128" s="95">
        <f t="shared" si="53"/>
        <v>1463.6</v>
      </c>
      <c r="AX128" s="95">
        <f>IF(ISNA(VLOOKUP($CZ128,'Audit Values'!$A$2:$BU$353,2,FALSE)),'Preliminary SO66'!AA127,VLOOKUP($CZ128,'Audit Values'!$A$2:$BU$353,41,FALSE))</f>
        <v>21</v>
      </c>
      <c r="AY128" s="95">
        <f>IF(ISNA(VLOOKUP($CZ128,'Audit Values'!$A$2:$BU$353,2,FALSE)),'Preliminary SO66'!AB127,VLOOKUP($CZ128,'Audit Values'!$A$2:$BU$353,42,FALSE))</f>
        <v>0</v>
      </c>
      <c r="AZ128" s="114">
        <v>40</v>
      </c>
      <c r="BA128" s="99">
        <f>SUM(AX128*'Weighting Factors'!$T$10)+('2019 Legal Max'!AY128*'Weighting Factors'!$T$11)+('2019 Legal Max'!AZ128*'Weighting Factors'!$T$12)</f>
        <v>133360</v>
      </c>
      <c r="BB128" s="158">
        <v>0</v>
      </c>
      <c r="BC128" s="88">
        <f>IF(ISNA(VLOOKUP($CZ128,'Audit Values'!$A$2:$BU$353,2,FALSE)),"",IF(AND('Weighting Factors'!H128&gt;0,VLOOKUP($CZ128,'Audit Values'!$A$2:$BU$353,51,FALSE)&lt;'Weighting Factors'!H128),'Weighting Factors'!H128,VLOOKUP($CZ128,'Audit Values'!$A$2:$BU$353,50,FALSE)))</f>
        <v>20</v>
      </c>
      <c r="BD128" s="88" t="str">
        <f>IF(ISNA(VLOOKUP($CZ128,'Audit Values'!$A$2:$BV$353,2,FALSE)),"",VLOOKUP($CZ128,'Audit Values'!$A$2:$BV$353,51,FALSE))</f>
        <v>A</v>
      </c>
      <c r="BE128" s="88" t="str">
        <f>IF('Weighting Factors'!H128="","",IF('Weighting Factors'!J128="Pending","PX","R"))</f>
        <v/>
      </c>
      <c r="BF128" s="97">
        <f>SUM((S128+T128+Y128+AA128+AE128+AH128+AJ128++AO128+AP128+AQ128+AU128+AR128)*'Weighting Factors'!$Q$5)+'2019 Legal Max'!BA128+'2019 Legal Max'!BB128</f>
        <v>6229254</v>
      </c>
      <c r="BG128" s="99">
        <f>SUM((AV128+AR128)*'Weighting Factors'!$Q$5)+BA128+'2019 Legal Max'!BB128</f>
        <v>7341726</v>
      </c>
      <c r="BH128" s="108">
        <f>IF('Weighting Factors'!H128&gt;0,'Weighting Factors'!H128,'Preliminary SO66'!AV127)</f>
        <v>7585583</v>
      </c>
      <c r="BI128" s="99">
        <f t="shared" si="77"/>
        <v>7341726</v>
      </c>
      <c r="BJ128" s="112"/>
      <c r="BK128" s="112">
        <f>'Weighting Factors'!F128</f>
        <v>0</v>
      </c>
      <c r="BL128" s="112">
        <f>'Weighting Factors'!E128</f>
        <v>-2127</v>
      </c>
      <c r="BM128" s="99">
        <f t="shared" si="54"/>
        <v>-2127</v>
      </c>
      <c r="BN128" s="99">
        <f t="shared" si="55"/>
        <v>7339599</v>
      </c>
      <c r="BO128" s="99">
        <f>SUM((S128+T128+Y128+AA128+AE128+AH128+AJ128++AO128+AP128+AQ128+AR128)*'Weighting Factors'!Q$12)+(MAX(AS128,'Weighting Factors'!B128))</f>
        <v>7764146</v>
      </c>
      <c r="BP128" s="122">
        <v>0.3</v>
      </c>
      <c r="BQ128" s="99">
        <f t="shared" si="56"/>
        <v>2329244</v>
      </c>
      <c r="BR128" s="108">
        <v>2388794</v>
      </c>
      <c r="BS128" s="99">
        <f t="shared" si="57"/>
        <v>2329244</v>
      </c>
      <c r="BT128" s="167">
        <f t="shared" si="58"/>
        <v>0.3</v>
      </c>
      <c r="BU128" s="95">
        <f t="shared" si="59"/>
        <v>0</v>
      </c>
      <c r="BV128" s="87" t="b">
        <f t="shared" si="60"/>
        <v>0</v>
      </c>
      <c r="BW128" s="117">
        <f t="shared" si="61"/>
        <v>0</v>
      </c>
      <c r="BX128" s="116">
        <f t="shared" si="62"/>
        <v>0</v>
      </c>
      <c r="BY128" s="95">
        <f t="shared" si="63"/>
        <v>0</v>
      </c>
      <c r="BZ128" s="87" t="b">
        <f t="shared" si="64"/>
        <v>1</v>
      </c>
      <c r="CA128" s="87">
        <f t="shared" si="65"/>
        <v>764.40380000000005</v>
      </c>
      <c r="CB128" s="116">
        <f t="shared" si="66"/>
        <v>0.27432400000000001</v>
      </c>
      <c r="CC128" s="95">
        <f t="shared" si="67"/>
        <v>251.7</v>
      </c>
      <c r="CD128" s="95">
        <f t="shared" si="68"/>
        <v>0</v>
      </c>
      <c r="CE128" s="98">
        <v>565.5</v>
      </c>
      <c r="CF128" s="250">
        <f t="shared" si="69"/>
        <v>0.47599999999999998</v>
      </c>
      <c r="CG128" s="274">
        <f>IF(CF128&lt;0.06,1,IF(CF128&gt;=18.29,52,MATCH(CF128-0.001,'Weighting Factors'!$Y$5:$Y$156)+1))</f>
        <v>25</v>
      </c>
      <c r="CH128" s="243">
        <f>VLOOKUP(CG128, 'Weighting Factors'!$W$5:$Z$56,4)</f>
        <v>1090</v>
      </c>
      <c r="CI128" s="118">
        <f>('Weighting Factors'!$Q$5/'Weighting Factors'!$Q$14)</f>
        <v>1</v>
      </c>
      <c r="CJ128" s="245">
        <f t="shared" si="70"/>
        <v>293428</v>
      </c>
      <c r="CK128" s="245">
        <f>CJ128*'Weighting Factors'!$S$7</f>
        <v>293428</v>
      </c>
      <c r="CL128" s="245">
        <f t="shared" si="71"/>
        <v>293428</v>
      </c>
      <c r="CM128" s="95">
        <f>AM128/'Weighting Factors'!$Q$5</f>
        <v>70.5</v>
      </c>
      <c r="CN128" s="148">
        <v>0</v>
      </c>
      <c r="CO128" s="148">
        <v>0</v>
      </c>
      <c r="CP128" s="149">
        <v>0</v>
      </c>
      <c r="CQ128" s="151">
        <v>0</v>
      </c>
      <c r="CR128" s="99">
        <f>SUM((AV128*'Weighting Factors'!$Q$5)+'2019 Legal Max'!BA128)*CQ128</f>
        <v>0</v>
      </c>
      <c r="CS128" s="99">
        <f t="shared" si="72"/>
        <v>0</v>
      </c>
      <c r="CT128" s="106">
        <f t="shared" si="73"/>
        <v>0.35149999999999998</v>
      </c>
      <c r="CU128" s="95">
        <f t="shared" si="74"/>
        <v>0</v>
      </c>
      <c r="CV128" s="95">
        <f t="shared" si="75"/>
        <v>0.3</v>
      </c>
      <c r="CW128" s="95">
        <f t="shared" si="76"/>
        <v>1730.7</v>
      </c>
      <c r="CX128" s="99">
        <f>'LOB Transfers'!G127</f>
        <v>211030</v>
      </c>
      <c r="CY128" s="99">
        <f>'LOB Transfers'!J127</f>
        <v>233</v>
      </c>
      <c r="CZ128" s="87" t="s">
        <v>320</v>
      </c>
    </row>
    <row r="129" spans="1:104" ht="15" customHeight="1">
      <c r="A129" s="88">
        <v>332</v>
      </c>
      <c r="B129" s="87" t="s">
        <v>56</v>
      </c>
      <c r="C129" s="87" t="s">
        <v>642</v>
      </c>
      <c r="D129" s="95">
        <v>145.5</v>
      </c>
      <c r="E129" s="95">
        <v>0</v>
      </c>
      <c r="F129" s="95">
        <f t="shared" si="43"/>
        <v>145.5</v>
      </c>
      <c r="G129" s="95">
        <v>157</v>
      </c>
      <c r="H129" s="95">
        <v>0</v>
      </c>
      <c r="I129" s="95">
        <f t="shared" si="44"/>
        <v>157</v>
      </c>
      <c r="J129" s="95">
        <v>158.5</v>
      </c>
      <c r="K129" s="95">
        <v>0</v>
      </c>
      <c r="L129" s="95">
        <f t="shared" si="45"/>
        <v>158.5</v>
      </c>
      <c r="M129" s="95">
        <f>IF(ISNA(VLOOKUP($CZ129,'Audit Values'!$A$2:$BW$365,2,FALSE)),'Preliminary SO66'!C128,VLOOKUP($CZ129,'Audit Values'!$A$2:$BW$365,73,FALSE))</f>
        <v>169.5</v>
      </c>
      <c r="N129" s="95">
        <f>IF(ISNA(VLOOKUP($CZ129,'Audit Values'!$A$2:$BW$365,2,FALSE)),'Preliminary SO66'!F128,VLOOKUP($CZ129,'Audit Values'!$A$2:$BW$365,4,FALSE))</f>
        <v>0</v>
      </c>
      <c r="O129" s="95">
        <f t="shared" si="46"/>
        <v>169.5</v>
      </c>
      <c r="P129" s="95">
        <f>IF('Military Provision'!J130="YES", MAX('2019 Legal Max'!L129,'2019 Legal Max'!I129,AVERAGE('2019 Legal Max'!F129,'2019 Legal Max'!I129,'2019 Legal Max'!L129)), MAX(L129, I129))</f>
        <v>158.5</v>
      </c>
      <c r="Q129" s="95">
        <f>IF(ISNA(VLOOKUP($CZ129,'Audit Values'!$A$2:$BU$353,2,FALSE)),'Preliminary SO66'!AL128,VLOOKUP($CZ129,'Audit Values'!$A$2:$BU$3955,58,FALSE))</f>
        <v>1.5</v>
      </c>
      <c r="R129" s="95">
        <v>0</v>
      </c>
      <c r="S129" s="95">
        <f t="shared" si="79"/>
        <v>160</v>
      </c>
      <c r="T129" s="95">
        <f t="shared" si="47"/>
        <v>136.80000000000001</v>
      </c>
      <c r="U129" s="95">
        <f>IF(ISNA(VLOOKUP($CZ129,'Audit Values'!$A$2:$BW$317,2,FALSE)),'Preliminary SO66'!AM128,VLOOKUP($CZ129,'Audit Values'!$A$2:$BW$317,62,FALSE))</f>
        <v>0</v>
      </c>
      <c r="V129" s="95">
        <f>(U129/6)*'Weighting Factors'!$Q$7</f>
        <v>0</v>
      </c>
      <c r="W129" s="132">
        <f>IF(ISNA(VLOOKUP($CZ129,'Audit Values'!$A$2:$BW$353,2,FALSE)),'Preliminary SO66'!AN128,VLOOKUP($CZ129,'Audit Values'!$A$2:$BW$353,61,FALSE))</f>
        <v>0</v>
      </c>
      <c r="X129" s="95">
        <f>W129*'Weighting Factors'!$Q$8</f>
        <v>0</v>
      </c>
      <c r="Y129" s="95">
        <f t="shared" si="48"/>
        <v>0</v>
      </c>
      <c r="Z129" s="276">
        <f>IF(ISNA(VLOOKUP($CZ129,'Audit Values'!$A$2:$BW$317,2,FALSE)),'Preliminary SO66'!AO128,VLOOKUP($CZ129,'Audit Values'!$A$2:$BW$317,60,FALSE))</f>
        <v>20.6</v>
      </c>
      <c r="AA129" s="95">
        <f>Z129/6*'Weighting Factors'!$Q$6</f>
        <v>1.7</v>
      </c>
      <c r="AB129" s="99">
        <f>IF(ISNA(VLOOKUP($CZ129,'Audit Values'!$A$2:$BU$353,2,FALSE)),'Preliminary SO66'!AS128,VLOOKUP($CZ129,'Audit Values'!$A$2:$BU$353,63,FALSE))</f>
        <v>177</v>
      </c>
      <c r="AC129" s="99">
        <v>0</v>
      </c>
      <c r="AD129" s="99">
        <f>IF(ISNA(VLOOKUP($CZ129,'Audit Values'!$A$2:$BU$353,2,FALSE)),'Preliminary SO66'!AP128,VLOOKUP($CZ129,'Audit Values'!$A$2:$BU$353,64,FALSE))</f>
        <v>48</v>
      </c>
      <c r="AE129" s="95">
        <f>IF(A129=207, AD129,MAX(AC129,AD129))*'Weighting Factors'!$Q$9</f>
        <v>23.2</v>
      </c>
      <c r="AF129" s="95">
        <f t="shared" si="49"/>
        <v>0</v>
      </c>
      <c r="AG129" s="95">
        <f>IF(ISNA(VLOOKUP($CZ129,'Audit Values'!$A$2:$BW$353,2,FALSE)),'Preliminary SO66'!AG128,VLOOKUP($CZ129,'Audit Values'!$A$2:$BW$353,70,FALSE))</f>
        <v>1</v>
      </c>
      <c r="AH129" s="95">
        <f t="shared" si="50"/>
        <v>1</v>
      </c>
      <c r="AI129" s="95">
        <f>IF(ISNA(VLOOKUP($CZ129,'Audit Values'!$A$2:$BU$353,2,FALSE)),'Preliminary SO66'!AQ128,VLOOKUP($CZ129,'Audit Values'!$A$2:$BU$353,65,FALSE))</f>
        <v>0</v>
      </c>
      <c r="AJ129" s="95">
        <f>AI129*'Weighting Factors'!$Q$10</f>
        <v>0</v>
      </c>
      <c r="AK129" s="95">
        <f>IF(ISNA(VLOOKUP($CZ129,'Audit Values'!$A$2:$BU$353,2,FALSE)),'Preliminary SO66'!AR128,VLOOKUP($CZ129,'Audit Values'!$A$2:$BU$353,66,FALSE))</f>
        <v>57</v>
      </c>
      <c r="AL129" s="95"/>
      <c r="AM129" s="99">
        <f t="shared" si="51"/>
        <v>75240</v>
      </c>
      <c r="AN129" s="99">
        <v>95915</v>
      </c>
      <c r="AO129" s="95">
        <f>MAX(AN129, AM129)/'Weighting Factors'!$Q$5</f>
        <v>23</v>
      </c>
      <c r="AP129" s="95">
        <f>CN129/'Weighting Factors'!$Q$5</f>
        <v>0</v>
      </c>
      <c r="AQ129" s="95">
        <v>0</v>
      </c>
      <c r="AR129" s="95">
        <f>CS129/'Weighting Factors'!$Q$5</f>
        <v>0</v>
      </c>
      <c r="AS129" s="99">
        <v>231277</v>
      </c>
      <c r="AT129" s="95">
        <f>AS129/'Weighting Factors'!$Q$5</f>
        <v>55.5</v>
      </c>
      <c r="AU129" s="95">
        <f>IF(ISNA(VLOOKUP($CZ129,'Audit Values'!$A$2:$BU$353,2,FALSE)),'Preliminary SO66'!X128,VLOOKUP($CZ129,'Audit Values'!$A$2:$BU$353,47,FALSE))</f>
        <v>0</v>
      </c>
      <c r="AV129" s="95">
        <f t="shared" si="52"/>
        <v>401.2</v>
      </c>
      <c r="AW129" s="95">
        <f t="shared" si="53"/>
        <v>345.7</v>
      </c>
      <c r="AX129" s="95">
        <f>IF(ISNA(VLOOKUP($CZ129,'Audit Values'!$A$2:$BU$353,2,FALSE)),'Preliminary SO66'!AA128,VLOOKUP($CZ129,'Audit Values'!$A$2:$BU$353,41,FALSE))</f>
        <v>0</v>
      </c>
      <c r="AY129" s="95">
        <f>IF(ISNA(VLOOKUP($CZ129,'Audit Values'!$A$2:$BU$353,2,FALSE)),'Preliminary SO66'!AB128,VLOOKUP($CZ129,'Audit Values'!$A$2:$BU$353,42,FALSE))</f>
        <v>0</v>
      </c>
      <c r="AZ129" s="114">
        <v>0</v>
      </c>
      <c r="BA129" s="99">
        <f>SUM(AX129*'Weighting Factors'!$T$10)+('2019 Legal Max'!AY129*'Weighting Factors'!$T$11)+('2019 Legal Max'!AZ129*'Weighting Factors'!$T$12)</f>
        <v>0</v>
      </c>
      <c r="BB129" s="158">
        <v>0</v>
      </c>
      <c r="BC129" s="88">
        <f>IF(ISNA(VLOOKUP($CZ129,'Audit Values'!$A$2:$BU$353,2,FALSE)),"",IF(AND('Weighting Factors'!H129&gt;0,VLOOKUP($CZ129,'Audit Values'!$A$2:$BU$353,51,FALSE)&lt;'Weighting Factors'!H129),'Weighting Factors'!H129,VLOOKUP($CZ129,'Audit Values'!$A$2:$BU$353,50,FALSE)))</f>
        <v>11</v>
      </c>
      <c r="BD129" s="88" t="str">
        <f>IF(ISNA(VLOOKUP($CZ129,'Audit Values'!$A$2:$BV$353,2,FALSE)),"",VLOOKUP($CZ129,'Audit Values'!$A$2:$BV$353,51,FALSE))</f>
        <v>A</v>
      </c>
      <c r="BE129" s="88" t="str">
        <f>IF('Weighting Factors'!H129="","",IF('Weighting Factors'!J129="Pending","PX","R"))</f>
        <v/>
      </c>
      <c r="BF129" s="97">
        <f>SUM((S129+T129+Y129+AA129+AE129+AH129+AJ129++AO129+AP129+AQ129+AU129+AR129)*'Weighting Factors'!$Q$5)+'2019 Legal Max'!BA129+'2019 Legal Max'!BB129</f>
        <v>1439841</v>
      </c>
      <c r="BG129" s="99">
        <f>SUM((AV129+AR129)*'Weighting Factors'!$Q$5)+BA129+'2019 Legal Max'!BB129</f>
        <v>1670998</v>
      </c>
      <c r="BH129" s="108">
        <f>IF('Weighting Factors'!H129&gt;0,'Weighting Factors'!H129,'Preliminary SO66'!AV128)</f>
        <v>1708483</v>
      </c>
      <c r="BI129" s="99">
        <f t="shared" si="77"/>
        <v>1670998</v>
      </c>
      <c r="BJ129" s="112"/>
      <c r="BK129" s="112">
        <f>'Weighting Factors'!F129</f>
        <v>0</v>
      </c>
      <c r="BL129" s="112">
        <f>'Weighting Factors'!E129</f>
        <v>0</v>
      </c>
      <c r="BM129" s="99">
        <f t="shared" si="54"/>
        <v>0</v>
      </c>
      <c r="BN129" s="99">
        <f t="shared" si="55"/>
        <v>1670998</v>
      </c>
      <c r="BO129" s="99">
        <f>SUM((S129+T129+Y129+AA129+AE129+AH129+AJ129++AO129+AP129+AQ129+AR129)*'Weighting Factors'!Q$12)+(MAX(AS129,'Weighting Factors'!B129))</f>
        <v>1795009</v>
      </c>
      <c r="BP129" s="122">
        <v>0.3</v>
      </c>
      <c r="BQ129" s="99">
        <f t="shared" si="56"/>
        <v>538503</v>
      </c>
      <c r="BR129" s="108">
        <v>546496</v>
      </c>
      <c r="BS129" s="99">
        <f t="shared" si="57"/>
        <v>538503</v>
      </c>
      <c r="BT129" s="167">
        <f t="shared" si="58"/>
        <v>0.3</v>
      </c>
      <c r="BU129" s="95">
        <f t="shared" si="59"/>
        <v>0</v>
      </c>
      <c r="BV129" s="87" t="b">
        <f t="shared" si="60"/>
        <v>1</v>
      </c>
      <c r="BW129" s="117">
        <f t="shared" si="61"/>
        <v>579.29999999999995</v>
      </c>
      <c r="BX129" s="116">
        <f t="shared" si="62"/>
        <v>0.85528800000000005</v>
      </c>
      <c r="BY129" s="95">
        <f t="shared" si="63"/>
        <v>136.80000000000001</v>
      </c>
      <c r="BZ129" s="87" t="b">
        <f t="shared" si="64"/>
        <v>0</v>
      </c>
      <c r="CA129" s="87">
        <f t="shared" si="65"/>
        <v>0</v>
      </c>
      <c r="CB129" s="116">
        <f t="shared" si="66"/>
        <v>0</v>
      </c>
      <c r="CC129" s="95">
        <f t="shared" si="67"/>
        <v>0</v>
      </c>
      <c r="CD129" s="95">
        <f t="shared" si="68"/>
        <v>0</v>
      </c>
      <c r="CE129" s="98">
        <v>323.5</v>
      </c>
      <c r="CF129" s="250">
        <f t="shared" si="69"/>
        <v>0.17599999999999999</v>
      </c>
      <c r="CG129" s="274">
        <f>IF(CF129&lt;0.06,1,IF(CF129&gt;=18.29,52,MATCH(CF129-0.001,'Weighting Factors'!$Y$5:$Y$156)+1))</f>
        <v>13</v>
      </c>
      <c r="CH129" s="243">
        <f>VLOOKUP(CG129, 'Weighting Factors'!$W$5:$Z$56,4)</f>
        <v>1320</v>
      </c>
      <c r="CI129" s="118">
        <f>('Weighting Factors'!$Q$5/'Weighting Factors'!$Q$14)</f>
        <v>1</v>
      </c>
      <c r="CJ129" s="245">
        <f t="shared" si="70"/>
        <v>75240</v>
      </c>
      <c r="CK129" s="245">
        <f>CJ129*'Weighting Factors'!$S$7</f>
        <v>75240</v>
      </c>
      <c r="CL129" s="245">
        <f t="shared" si="71"/>
        <v>75240</v>
      </c>
      <c r="CM129" s="95">
        <f>AM129/'Weighting Factors'!$Q$5</f>
        <v>18.100000000000001</v>
      </c>
      <c r="CN129" s="148">
        <v>0</v>
      </c>
      <c r="CO129" s="148">
        <v>0</v>
      </c>
      <c r="CP129" s="149">
        <v>0</v>
      </c>
      <c r="CQ129" s="151">
        <v>0</v>
      </c>
      <c r="CR129" s="99">
        <f>SUM((AV129*'Weighting Factors'!$Q$5)+'2019 Legal Max'!BA129)*CQ129</f>
        <v>0</v>
      </c>
      <c r="CS129" s="99">
        <f t="shared" si="72"/>
        <v>0</v>
      </c>
      <c r="CT129" s="106">
        <f t="shared" si="73"/>
        <v>0.2712</v>
      </c>
      <c r="CU129" s="95">
        <f t="shared" si="74"/>
        <v>0</v>
      </c>
      <c r="CV129" s="95">
        <f t="shared" si="75"/>
        <v>0</v>
      </c>
      <c r="CW129" s="95">
        <f t="shared" si="76"/>
        <v>401.2</v>
      </c>
      <c r="CX129" s="99">
        <f>'LOB Transfers'!G128</f>
        <v>31233</v>
      </c>
      <c r="CY129" s="99">
        <f>'LOB Transfers'!J128</f>
        <v>0</v>
      </c>
      <c r="CZ129" s="87" t="s">
        <v>321</v>
      </c>
    </row>
    <row r="130" spans="1:104" ht="15" customHeight="1">
      <c r="A130" s="88">
        <v>333</v>
      </c>
      <c r="B130" s="87" t="s">
        <v>57</v>
      </c>
      <c r="C130" s="87" t="s">
        <v>643</v>
      </c>
      <c r="D130" s="95">
        <v>994.2</v>
      </c>
      <c r="E130" s="95">
        <v>0</v>
      </c>
      <c r="F130" s="95">
        <f t="shared" si="43"/>
        <v>994.2</v>
      </c>
      <c r="G130" s="95">
        <v>1060</v>
      </c>
      <c r="H130" s="95">
        <v>0</v>
      </c>
      <c r="I130" s="95">
        <f t="shared" si="44"/>
        <v>1060</v>
      </c>
      <c r="J130" s="95">
        <v>1075.7</v>
      </c>
      <c r="K130" s="95">
        <v>0</v>
      </c>
      <c r="L130" s="95">
        <f t="shared" si="45"/>
        <v>1075.7</v>
      </c>
      <c r="M130" s="95">
        <f>IF(ISNA(VLOOKUP($CZ130,'Audit Values'!$A$2:$BW$365,2,FALSE)),'Preliminary SO66'!C129,VLOOKUP($CZ130,'Audit Values'!$A$2:$BW$365,73,FALSE))</f>
        <v>1119.5999999999999</v>
      </c>
      <c r="N130" s="95">
        <f>IF(ISNA(VLOOKUP($CZ130,'Audit Values'!$A$2:$BW$365,2,FALSE)),'Preliminary SO66'!F129,VLOOKUP($CZ130,'Audit Values'!$A$2:$BW$365,4,FALSE))</f>
        <v>0</v>
      </c>
      <c r="O130" s="95">
        <f t="shared" si="46"/>
        <v>1119.5999999999999</v>
      </c>
      <c r="P130" s="95">
        <f>IF('Military Provision'!J131="YES", MAX('2019 Legal Max'!L130,'2019 Legal Max'!I130,AVERAGE('2019 Legal Max'!F130,'2019 Legal Max'!I130,'2019 Legal Max'!L130)), MAX(L130, I130))</f>
        <v>1075.7</v>
      </c>
      <c r="Q130" s="95">
        <f>IF(ISNA(VLOOKUP($CZ130,'Audit Values'!$A$2:$BU$353,2,FALSE)),'Preliminary SO66'!AL129,VLOOKUP($CZ130,'Audit Values'!$A$2:$BU$3955,58,FALSE))</f>
        <v>9.5</v>
      </c>
      <c r="R130" s="95">
        <v>0</v>
      </c>
      <c r="S130" s="95">
        <f t="shared" si="79"/>
        <v>1085.2</v>
      </c>
      <c r="T130" s="95">
        <f t="shared" si="47"/>
        <v>235.9</v>
      </c>
      <c r="U130" s="95">
        <f>IF(ISNA(VLOOKUP($CZ130,'Audit Values'!$A$2:$BW$317,2,FALSE)),'Preliminary SO66'!AM129,VLOOKUP($CZ130,'Audit Values'!$A$2:$BW$317,62,FALSE))</f>
        <v>4.5</v>
      </c>
      <c r="V130" s="95">
        <f>(U130/6)*'Weighting Factors'!$Q$7</f>
        <v>0.3</v>
      </c>
      <c r="W130" s="132">
        <f>IF(ISNA(VLOOKUP($CZ130,'Audit Values'!$A$2:$BW$353,2,FALSE)),'Preliminary SO66'!AN129,VLOOKUP($CZ130,'Audit Values'!$A$2:$BW$353,61,FALSE))</f>
        <v>23</v>
      </c>
      <c r="X130" s="95">
        <f>W130*'Weighting Factors'!$Q$8</f>
        <v>4.3</v>
      </c>
      <c r="Y130" s="95">
        <f t="shared" si="48"/>
        <v>4.3</v>
      </c>
      <c r="Z130" s="276">
        <f>IF(ISNA(VLOOKUP($CZ130,'Audit Values'!$A$2:$BW$317,2,FALSE)),'Preliminary SO66'!AO129,VLOOKUP($CZ130,'Audit Values'!$A$2:$BW$317,60,FALSE))</f>
        <v>281.7</v>
      </c>
      <c r="AA130" s="95">
        <f>Z130/6*'Weighting Factors'!$Q$6</f>
        <v>23.5</v>
      </c>
      <c r="AB130" s="99">
        <f>IF(ISNA(VLOOKUP($CZ130,'Audit Values'!$A$2:$BU$353,2,FALSE)),'Preliminary SO66'!AS129,VLOOKUP($CZ130,'Audit Values'!$A$2:$BU$353,63,FALSE))</f>
        <v>1146</v>
      </c>
      <c r="AC130" s="99">
        <v>0</v>
      </c>
      <c r="AD130" s="99">
        <f>IF(ISNA(VLOOKUP($CZ130,'Audit Values'!$A$2:$BU$353,2,FALSE)),'Preliminary SO66'!AP129,VLOOKUP($CZ130,'Audit Values'!$A$2:$BU$353,64,FALSE))</f>
        <v>416</v>
      </c>
      <c r="AE130" s="95">
        <f>IF(A130=207, AD130,MAX(AC130,AD130))*'Weighting Factors'!$Q$9</f>
        <v>201.3</v>
      </c>
      <c r="AF130" s="95">
        <f t="shared" si="49"/>
        <v>3.8</v>
      </c>
      <c r="AG130" s="95">
        <f>IF(ISNA(VLOOKUP($CZ130,'Audit Values'!$A$2:$BW$353,2,FALSE)),'Preliminary SO66'!AG129,VLOOKUP($CZ130,'Audit Values'!$A$2:$BW$353,70,FALSE))</f>
        <v>14.3</v>
      </c>
      <c r="AH130" s="95">
        <f t="shared" si="50"/>
        <v>14.3</v>
      </c>
      <c r="AI130" s="95">
        <f>IF(ISNA(VLOOKUP($CZ130,'Audit Values'!$A$2:$BU$353,2,FALSE)),'Preliminary SO66'!AQ129,VLOOKUP($CZ130,'Audit Values'!$A$2:$BU$353,65,FALSE))</f>
        <v>0</v>
      </c>
      <c r="AJ130" s="95">
        <f>AI130*'Weighting Factors'!$Q$10</f>
        <v>0</v>
      </c>
      <c r="AK130" s="95">
        <f>IF(ISNA(VLOOKUP($CZ130,'Audit Values'!$A$2:$BU$353,2,FALSE)),'Preliminary SO66'!AR129,VLOOKUP($CZ130,'Audit Values'!$A$2:$BU$353,66,FALSE))</f>
        <v>169</v>
      </c>
      <c r="AL130" s="95"/>
      <c r="AM130" s="99">
        <f t="shared" si="51"/>
        <v>184210</v>
      </c>
      <c r="AN130" s="99">
        <v>254617</v>
      </c>
      <c r="AO130" s="95">
        <f>MAX(AN130, AM130)/'Weighting Factors'!$Q$5</f>
        <v>61.1</v>
      </c>
      <c r="AP130" s="95">
        <f>CN130/'Weighting Factors'!$Q$5</f>
        <v>0</v>
      </c>
      <c r="AQ130" s="95">
        <v>0</v>
      </c>
      <c r="AR130" s="95">
        <f>CS130/'Weighting Factors'!$Q$5</f>
        <v>0</v>
      </c>
      <c r="AS130" s="99">
        <v>1090371</v>
      </c>
      <c r="AT130" s="95">
        <f>AS130/'Weighting Factors'!$Q$5</f>
        <v>261.8</v>
      </c>
      <c r="AU130" s="95">
        <f>IF(ISNA(VLOOKUP($CZ130,'Audit Values'!$A$2:$BU$353,2,FALSE)),'Preliminary SO66'!X129,VLOOKUP($CZ130,'Audit Values'!$A$2:$BU$353,47,FALSE))</f>
        <v>0</v>
      </c>
      <c r="AV130" s="95">
        <f t="shared" si="52"/>
        <v>1887.4</v>
      </c>
      <c r="AW130" s="95">
        <f t="shared" si="53"/>
        <v>1625.6</v>
      </c>
      <c r="AX130" s="95">
        <f>IF(ISNA(VLOOKUP($CZ130,'Audit Values'!$A$2:$BU$353,2,FALSE)),'Preliminary SO66'!AA129,VLOOKUP($CZ130,'Audit Values'!$A$2:$BU$353,41,FALSE))</f>
        <v>0</v>
      </c>
      <c r="AY130" s="95">
        <f>IF(ISNA(VLOOKUP($CZ130,'Audit Values'!$A$2:$BU$353,2,FALSE)),'Preliminary SO66'!AB129,VLOOKUP($CZ130,'Audit Values'!$A$2:$BU$353,42,FALSE))</f>
        <v>0</v>
      </c>
      <c r="AZ130" s="114">
        <v>0</v>
      </c>
      <c r="BA130" s="99">
        <f>SUM(AX130*'Weighting Factors'!$T$10)+('2019 Legal Max'!AY130*'Weighting Factors'!$T$11)+('2019 Legal Max'!AZ130*'Weighting Factors'!$T$12)</f>
        <v>0</v>
      </c>
      <c r="BB130" s="158">
        <v>0</v>
      </c>
      <c r="BC130" s="88">
        <f>IF(ISNA(VLOOKUP($CZ130,'Audit Values'!$A$2:$BU$353,2,FALSE)),"",IF(AND('Weighting Factors'!H130&gt;0,VLOOKUP($CZ130,'Audit Values'!$A$2:$BU$353,51,FALSE)&lt;'Weighting Factors'!H130),'Weighting Factors'!H130,VLOOKUP($CZ130,'Audit Values'!$A$2:$BU$353,50,FALSE)))</f>
        <v>8</v>
      </c>
      <c r="BD130" s="88" t="str">
        <f>IF(ISNA(VLOOKUP($CZ130,'Audit Values'!$A$2:$BV$353,2,FALSE)),"",VLOOKUP($CZ130,'Audit Values'!$A$2:$BV$353,51,FALSE))</f>
        <v>A</v>
      </c>
      <c r="BE130" s="88" t="str">
        <f>IF('Weighting Factors'!H130="","",IF('Weighting Factors'!J130="Pending","PX","R"))</f>
        <v/>
      </c>
      <c r="BF130" s="97">
        <f>SUM((S130+T130+Y130+AA130+AE130+AH130+AJ130++AO130+AP130+AQ130+AU130+AR130)*'Weighting Factors'!$Q$5)+'2019 Legal Max'!BA130+'2019 Legal Max'!BB130</f>
        <v>6770624</v>
      </c>
      <c r="BG130" s="99">
        <f>SUM((AV130+AR130)*'Weighting Factors'!$Q$5)+BA130+'2019 Legal Max'!BB130</f>
        <v>7861021</v>
      </c>
      <c r="BH130" s="108">
        <f>IF('Weighting Factors'!H130&gt;0,'Weighting Factors'!H130,'Preliminary SO66'!AV129)</f>
        <v>8089680</v>
      </c>
      <c r="BI130" s="99">
        <f t="shared" si="77"/>
        <v>7861021</v>
      </c>
      <c r="BJ130" s="112"/>
      <c r="BK130" s="112">
        <f>'Weighting Factors'!F130</f>
        <v>0</v>
      </c>
      <c r="BL130" s="112">
        <f>'Weighting Factors'!E130</f>
        <v>0</v>
      </c>
      <c r="BM130" s="99">
        <f t="shared" si="54"/>
        <v>0</v>
      </c>
      <c r="BN130" s="99">
        <f t="shared" si="55"/>
        <v>7861021</v>
      </c>
      <c r="BO130" s="99">
        <f>SUM((S130+T130+Y130+AA130+AE130+AH130+AJ130++AO130+AP130+AQ130+AR130)*'Weighting Factors'!Q$12)+(MAX(AS130,'Weighting Factors'!B130))</f>
        <v>8473734</v>
      </c>
      <c r="BP130" s="122">
        <v>0.3</v>
      </c>
      <c r="BQ130" s="99">
        <f t="shared" si="56"/>
        <v>2542120</v>
      </c>
      <c r="BR130" s="108">
        <v>2586999</v>
      </c>
      <c r="BS130" s="99">
        <f t="shared" si="57"/>
        <v>2542120</v>
      </c>
      <c r="BT130" s="167">
        <f t="shared" si="58"/>
        <v>0.3</v>
      </c>
      <c r="BU130" s="95">
        <f t="shared" si="59"/>
        <v>0</v>
      </c>
      <c r="BV130" s="87" t="b">
        <f t="shared" si="60"/>
        <v>0</v>
      </c>
      <c r="BW130" s="117">
        <f t="shared" si="61"/>
        <v>0</v>
      </c>
      <c r="BX130" s="116">
        <f t="shared" si="62"/>
        <v>0</v>
      </c>
      <c r="BY130" s="95">
        <f t="shared" si="63"/>
        <v>0</v>
      </c>
      <c r="BZ130" s="87" t="b">
        <f t="shared" si="64"/>
        <v>1</v>
      </c>
      <c r="CA130" s="87">
        <f t="shared" si="65"/>
        <v>971.68499999999995</v>
      </c>
      <c r="CB130" s="116">
        <f t="shared" si="66"/>
        <v>0.217416</v>
      </c>
      <c r="CC130" s="95">
        <f t="shared" si="67"/>
        <v>235.9</v>
      </c>
      <c r="CD130" s="95">
        <f t="shared" si="68"/>
        <v>0</v>
      </c>
      <c r="CE130" s="98">
        <v>336</v>
      </c>
      <c r="CF130" s="250">
        <f t="shared" si="69"/>
        <v>0.503</v>
      </c>
      <c r="CG130" s="274">
        <f>IF(CF130&lt;0.06,1,IF(CF130&gt;=18.29,52,MATCH(CF130-0.001,'Weighting Factors'!$Y$5:$Y$156)+1))</f>
        <v>25</v>
      </c>
      <c r="CH130" s="243">
        <f>VLOOKUP(CG130, 'Weighting Factors'!$W$5:$Z$56,4)</f>
        <v>1090</v>
      </c>
      <c r="CI130" s="118">
        <f>('Weighting Factors'!$Q$5/'Weighting Factors'!$Q$14)</f>
        <v>1</v>
      </c>
      <c r="CJ130" s="245">
        <f t="shared" si="70"/>
        <v>184210</v>
      </c>
      <c r="CK130" s="245">
        <f>CJ130*'Weighting Factors'!$S$7</f>
        <v>184210</v>
      </c>
      <c r="CL130" s="245">
        <f t="shared" si="71"/>
        <v>184210</v>
      </c>
      <c r="CM130" s="95">
        <f>AM130/'Weighting Factors'!$Q$5</f>
        <v>44.2</v>
      </c>
      <c r="CN130" s="148">
        <v>0</v>
      </c>
      <c r="CO130" s="148">
        <v>0</v>
      </c>
      <c r="CP130" s="149">
        <v>0</v>
      </c>
      <c r="CQ130" s="151">
        <v>0</v>
      </c>
      <c r="CR130" s="99">
        <f>SUM((AV130*'Weighting Factors'!$Q$5)+'2019 Legal Max'!BA130)*CQ130</f>
        <v>0</v>
      </c>
      <c r="CS130" s="99">
        <f t="shared" si="72"/>
        <v>0</v>
      </c>
      <c r="CT130" s="106">
        <f t="shared" si="73"/>
        <v>0.36299999999999999</v>
      </c>
      <c r="CU130" s="95">
        <f t="shared" si="74"/>
        <v>0</v>
      </c>
      <c r="CV130" s="95">
        <f t="shared" si="75"/>
        <v>3.8</v>
      </c>
      <c r="CW130" s="95">
        <f t="shared" si="76"/>
        <v>1887.4</v>
      </c>
      <c r="CX130" s="99">
        <f>'LOB Transfers'!G129</f>
        <v>272515</v>
      </c>
      <c r="CY130" s="99">
        <f>'LOB Transfers'!J129</f>
        <v>5847</v>
      </c>
      <c r="CZ130" s="87" t="s">
        <v>322</v>
      </c>
    </row>
    <row r="131" spans="1:104" ht="15" customHeight="1">
      <c r="A131" s="88">
        <v>334</v>
      </c>
      <c r="B131" s="87" t="s">
        <v>57</v>
      </c>
      <c r="C131" s="87" t="s">
        <v>644</v>
      </c>
      <c r="D131" s="95">
        <v>182</v>
      </c>
      <c r="E131" s="95">
        <v>0</v>
      </c>
      <c r="F131" s="95">
        <f t="shared" si="43"/>
        <v>182</v>
      </c>
      <c r="G131" s="95">
        <v>178</v>
      </c>
      <c r="H131" s="95">
        <v>0</v>
      </c>
      <c r="I131" s="95">
        <f t="shared" si="44"/>
        <v>178</v>
      </c>
      <c r="J131" s="95">
        <v>159</v>
      </c>
      <c r="K131" s="95">
        <v>0</v>
      </c>
      <c r="L131" s="95">
        <f t="shared" si="45"/>
        <v>159</v>
      </c>
      <c r="M131" s="95">
        <f>IF(ISNA(VLOOKUP($CZ131,'Audit Values'!$A$2:$BW$365,2,FALSE)),'Preliminary SO66'!C130,VLOOKUP($CZ131,'Audit Values'!$A$2:$BW$365,73,FALSE))</f>
        <v>154</v>
      </c>
      <c r="N131" s="95">
        <f>IF(ISNA(VLOOKUP($CZ131,'Audit Values'!$A$2:$BW$365,2,FALSE)),'Preliminary SO66'!F130,VLOOKUP($CZ131,'Audit Values'!$A$2:$BW$365,4,FALSE))</f>
        <v>0</v>
      </c>
      <c r="O131" s="95">
        <f t="shared" si="46"/>
        <v>154</v>
      </c>
      <c r="P131" s="95">
        <f>IF('Military Provision'!J132="YES", MAX('2019 Legal Max'!L131,'2019 Legal Max'!I131,AVERAGE('2019 Legal Max'!F131,'2019 Legal Max'!I131,'2019 Legal Max'!L131)), MAX(L131, I131))</f>
        <v>178</v>
      </c>
      <c r="Q131" s="95">
        <f>IF(ISNA(VLOOKUP($CZ131,'Audit Values'!$A$2:$BU$353,2,FALSE)),'Preliminary SO66'!AL130,VLOOKUP($CZ131,'Audit Values'!$A$2:$BU$3955,58,FALSE))</f>
        <v>0</v>
      </c>
      <c r="R131" s="95">
        <v>0</v>
      </c>
      <c r="S131" s="95">
        <f t="shared" si="79"/>
        <v>178</v>
      </c>
      <c r="T131" s="95">
        <f t="shared" si="47"/>
        <v>143.69999999999999</v>
      </c>
      <c r="U131" s="95">
        <f>IF(ISNA(VLOOKUP($CZ131,'Audit Values'!$A$2:$BW$317,2,FALSE)),'Preliminary SO66'!AM130,VLOOKUP($CZ131,'Audit Values'!$A$2:$BW$317,62,FALSE))</f>
        <v>0</v>
      </c>
      <c r="V131" s="95">
        <f>(U131/6)*'Weighting Factors'!$Q$7</f>
        <v>0</v>
      </c>
      <c r="W131" s="132">
        <f>IF(ISNA(VLOOKUP($CZ131,'Audit Values'!$A$2:$BW$353,2,FALSE)),'Preliminary SO66'!AN130,VLOOKUP($CZ131,'Audit Values'!$A$2:$BW$353,61,FALSE))</f>
        <v>0</v>
      </c>
      <c r="X131" s="95">
        <f>W131*'Weighting Factors'!$Q$8</f>
        <v>0</v>
      </c>
      <c r="Y131" s="95">
        <f t="shared" si="48"/>
        <v>0</v>
      </c>
      <c r="Z131" s="276">
        <f>IF(ISNA(VLOOKUP($CZ131,'Audit Values'!$A$2:$BW$317,2,FALSE)),'Preliminary SO66'!AO130,VLOOKUP($CZ131,'Audit Values'!$A$2:$BW$317,60,FALSE))</f>
        <v>25.6</v>
      </c>
      <c r="AA131" s="95">
        <f>Z131/6*'Weighting Factors'!$Q$6</f>
        <v>2.1</v>
      </c>
      <c r="AB131" s="99">
        <f>IF(ISNA(VLOOKUP($CZ131,'Audit Values'!$A$2:$BU$353,2,FALSE)),'Preliminary SO66'!AS130,VLOOKUP($CZ131,'Audit Values'!$A$2:$BU$353,63,FALSE))</f>
        <v>154</v>
      </c>
      <c r="AC131" s="99">
        <v>0</v>
      </c>
      <c r="AD131" s="99">
        <f>IF(ISNA(VLOOKUP($CZ131,'Audit Values'!$A$2:$BU$353,2,FALSE)),'Preliminary SO66'!AP130,VLOOKUP($CZ131,'Audit Values'!$A$2:$BU$353,64,FALSE))</f>
        <v>82</v>
      </c>
      <c r="AE131" s="95">
        <f>IF(A131=207, AD131,MAX(AC131,AD131))*'Weighting Factors'!$Q$9</f>
        <v>39.700000000000003</v>
      </c>
      <c r="AF131" s="95">
        <f t="shared" si="49"/>
        <v>8.6</v>
      </c>
      <c r="AG131" s="95">
        <f>IF(ISNA(VLOOKUP($CZ131,'Audit Values'!$A$2:$BW$353,2,FALSE)),'Preliminary SO66'!AG130,VLOOKUP($CZ131,'Audit Values'!$A$2:$BW$353,70,FALSE))</f>
        <v>8</v>
      </c>
      <c r="AH131" s="95">
        <f t="shared" si="50"/>
        <v>8.6</v>
      </c>
      <c r="AI131" s="95">
        <f>IF(ISNA(VLOOKUP($CZ131,'Audit Values'!$A$2:$BU$353,2,FALSE)),'Preliminary SO66'!AQ130,VLOOKUP($CZ131,'Audit Values'!$A$2:$BU$353,65,FALSE))</f>
        <v>0</v>
      </c>
      <c r="AJ131" s="95">
        <f>AI131*'Weighting Factors'!$Q$10</f>
        <v>0</v>
      </c>
      <c r="AK131" s="95">
        <f>IF(ISNA(VLOOKUP($CZ131,'Audit Values'!$A$2:$BU$353,2,FALSE)),'Preliminary SO66'!AR130,VLOOKUP($CZ131,'Audit Values'!$A$2:$BU$353,66,FALSE))</f>
        <v>35</v>
      </c>
      <c r="AL131" s="95"/>
      <c r="AM131" s="99">
        <f t="shared" si="51"/>
        <v>49350</v>
      </c>
      <c r="AN131" s="99">
        <v>50076</v>
      </c>
      <c r="AO131" s="95">
        <f>MAX(AN131, AM131)/'Weighting Factors'!$Q$5</f>
        <v>12</v>
      </c>
      <c r="AP131" s="95">
        <f>CN131/'Weighting Factors'!$Q$5</f>
        <v>0</v>
      </c>
      <c r="AQ131" s="95">
        <v>0</v>
      </c>
      <c r="AR131" s="95">
        <f>CS131/'Weighting Factors'!$Q$5</f>
        <v>0</v>
      </c>
      <c r="AS131" s="99">
        <v>270457</v>
      </c>
      <c r="AT131" s="95">
        <f>AS131/'Weighting Factors'!$Q$5</f>
        <v>64.900000000000006</v>
      </c>
      <c r="AU131" s="95">
        <f>IF(ISNA(VLOOKUP($CZ131,'Audit Values'!$A$2:$BU$353,2,FALSE)),'Preliminary SO66'!X130,VLOOKUP($CZ131,'Audit Values'!$A$2:$BU$353,47,FALSE))</f>
        <v>0</v>
      </c>
      <c r="AV131" s="95">
        <f t="shared" si="52"/>
        <v>449</v>
      </c>
      <c r="AW131" s="95">
        <f t="shared" si="53"/>
        <v>384.1</v>
      </c>
      <c r="AX131" s="95">
        <f>IF(ISNA(VLOOKUP($CZ131,'Audit Values'!$A$2:$BU$353,2,FALSE)),'Preliminary SO66'!AA130,VLOOKUP($CZ131,'Audit Values'!$A$2:$BU$353,41,FALSE))</f>
        <v>2</v>
      </c>
      <c r="AY131" s="95">
        <f>IF(ISNA(VLOOKUP($CZ131,'Audit Values'!$A$2:$BU$353,2,FALSE)),'Preliminary SO66'!AB130,VLOOKUP($CZ131,'Audit Values'!$A$2:$BU$353,42,FALSE))</f>
        <v>0</v>
      </c>
      <c r="AZ131" s="114">
        <v>21.5</v>
      </c>
      <c r="BA131" s="99">
        <f>SUM(AX131*'Weighting Factors'!$T$10)+('2019 Legal Max'!AY131*'Weighting Factors'!$T$11)+('2019 Legal Max'!AZ131*'Weighting Factors'!$T$12)</f>
        <v>25244</v>
      </c>
      <c r="BB131" s="158">
        <v>0</v>
      </c>
      <c r="BC131" s="88">
        <f>IF(ISNA(VLOOKUP($CZ131,'Audit Values'!$A$2:$BU$353,2,FALSE)),"",IF(AND('Weighting Factors'!H131&gt;0,VLOOKUP($CZ131,'Audit Values'!$A$2:$BU$353,51,FALSE)&lt;'Weighting Factors'!H131),'Weighting Factors'!H131,VLOOKUP($CZ131,'Audit Values'!$A$2:$BU$353,50,FALSE)))</f>
        <v>17</v>
      </c>
      <c r="BD131" s="88" t="str">
        <f>IF(ISNA(VLOOKUP($CZ131,'Audit Values'!$A$2:$BV$353,2,FALSE)),"",VLOOKUP($CZ131,'Audit Values'!$A$2:$BV$353,51,FALSE))</f>
        <v>A</v>
      </c>
      <c r="BE131" s="88" t="str">
        <f>IF('Weighting Factors'!H131="","",IF('Weighting Factors'!J131="Pending","PX","R"))</f>
        <v/>
      </c>
      <c r="BF131" s="97">
        <f>SUM((S131+T131+Y131+AA131+AE131+AH131+AJ131++AO131+AP131+AQ131+AU131+AR131)*'Weighting Factors'!$Q$5)+'2019 Legal Max'!BA131+'2019 Legal Max'!BB131</f>
        <v>1625021</v>
      </c>
      <c r="BG131" s="99">
        <f>SUM((AV131+AR131)*'Weighting Factors'!$Q$5)+BA131+'2019 Legal Max'!BB131</f>
        <v>1895329</v>
      </c>
      <c r="BH131" s="108">
        <f>IF('Weighting Factors'!H131&gt;0,'Weighting Factors'!H131,'Preliminary SO66'!AV130)</f>
        <v>1998803</v>
      </c>
      <c r="BI131" s="99">
        <f t="shared" si="77"/>
        <v>1895329</v>
      </c>
      <c r="BJ131" s="112"/>
      <c r="BK131" s="112">
        <f>'Weighting Factors'!F131</f>
        <v>0</v>
      </c>
      <c r="BL131" s="112">
        <f>'Weighting Factors'!E131</f>
        <v>-2127</v>
      </c>
      <c r="BM131" s="99">
        <f t="shared" si="54"/>
        <v>-2127</v>
      </c>
      <c r="BN131" s="99">
        <f t="shared" si="55"/>
        <v>1893202</v>
      </c>
      <c r="BO131" s="99">
        <f>SUM((S131+T131+Y131+AA131+AE131+AH131+AJ131++AO131+AP131+AQ131+AR131)*'Weighting Factors'!Q$12)+(MAX(AS131,'Weighting Factors'!B131))</f>
        <v>2046910</v>
      </c>
      <c r="BP131" s="122">
        <v>0.33</v>
      </c>
      <c r="BQ131" s="99">
        <f t="shared" si="56"/>
        <v>675480</v>
      </c>
      <c r="BR131" s="108">
        <v>697271</v>
      </c>
      <c r="BS131" s="99">
        <f t="shared" si="57"/>
        <v>675480</v>
      </c>
      <c r="BT131" s="167">
        <f t="shared" si="58"/>
        <v>0.33</v>
      </c>
      <c r="BU131" s="95">
        <f t="shared" si="59"/>
        <v>0</v>
      </c>
      <c r="BV131" s="87" t="b">
        <f t="shared" si="60"/>
        <v>1</v>
      </c>
      <c r="BW131" s="117">
        <f t="shared" si="61"/>
        <v>753.09</v>
      </c>
      <c r="BX131" s="116">
        <f t="shared" si="62"/>
        <v>0.80757500000000004</v>
      </c>
      <c r="BY131" s="95">
        <f t="shared" si="63"/>
        <v>143.69999999999999</v>
      </c>
      <c r="BZ131" s="87" t="b">
        <f t="shared" si="64"/>
        <v>0</v>
      </c>
      <c r="CA131" s="87">
        <f t="shared" si="65"/>
        <v>0</v>
      </c>
      <c r="CB131" s="116">
        <f t="shared" si="66"/>
        <v>0</v>
      </c>
      <c r="CC131" s="95">
        <f t="shared" si="67"/>
        <v>0</v>
      </c>
      <c r="CD131" s="95">
        <f t="shared" si="68"/>
        <v>0</v>
      </c>
      <c r="CE131" s="98">
        <v>273</v>
      </c>
      <c r="CF131" s="250">
        <f t="shared" si="69"/>
        <v>0.128</v>
      </c>
      <c r="CG131" s="274">
        <f>IF(CF131&lt;0.06,1,IF(CF131&gt;=18.29,52,MATCH(CF131-0.001,'Weighting Factors'!$Y$5:$Y$156)+1))</f>
        <v>8</v>
      </c>
      <c r="CH131" s="243">
        <f>VLOOKUP(CG131, 'Weighting Factors'!$W$5:$Z$56,4)</f>
        <v>1410</v>
      </c>
      <c r="CI131" s="118">
        <f>('Weighting Factors'!$Q$5/'Weighting Factors'!$Q$14)</f>
        <v>1</v>
      </c>
      <c r="CJ131" s="245">
        <f t="shared" si="70"/>
        <v>49350</v>
      </c>
      <c r="CK131" s="245">
        <f>CJ131*'Weighting Factors'!$S$7</f>
        <v>49350</v>
      </c>
      <c r="CL131" s="245">
        <f t="shared" si="71"/>
        <v>49350</v>
      </c>
      <c r="CM131" s="95">
        <f>AM131/'Weighting Factors'!$Q$5</f>
        <v>11.8</v>
      </c>
      <c r="CN131" s="148">
        <v>0</v>
      </c>
      <c r="CO131" s="148">
        <v>0</v>
      </c>
      <c r="CP131" s="149">
        <v>0</v>
      </c>
      <c r="CQ131" s="151">
        <v>0</v>
      </c>
      <c r="CR131" s="99">
        <f>SUM((AV131*'Weighting Factors'!$Q$5)+'2019 Legal Max'!BA131)*CQ131</f>
        <v>0</v>
      </c>
      <c r="CS131" s="99">
        <f t="shared" si="72"/>
        <v>0</v>
      </c>
      <c r="CT131" s="106">
        <f t="shared" si="73"/>
        <v>0.53249999999999997</v>
      </c>
      <c r="CU131" s="95">
        <f t="shared" si="74"/>
        <v>8.6</v>
      </c>
      <c r="CV131" s="95">
        <f t="shared" si="75"/>
        <v>0</v>
      </c>
      <c r="CW131" s="95">
        <f t="shared" si="76"/>
        <v>449</v>
      </c>
      <c r="CX131" s="99">
        <f>'LOB Transfers'!G130</f>
        <v>59712</v>
      </c>
      <c r="CY131" s="99">
        <f>'LOB Transfers'!J130</f>
        <v>0</v>
      </c>
      <c r="CZ131" s="87" t="s">
        <v>323</v>
      </c>
    </row>
    <row r="132" spans="1:104" ht="15" customHeight="1">
      <c r="A132" s="88">
        <v>335</v>
      </c>
      <c r="B132" s="87" t="s">
        <v>58</v>
      </c>
      <c r="C132" s="87" t="s">
        <v>645</v>
      </c>
      <c r="D132" s="95">
        <v>361.5</v>
      </c>
      <c r="E132" s="95">
        <v>0</v>
      </c>
      <c r="F132" s="95">
        <f t="shared" si="43"/>
        <v>361.5</v>
      </c>
      <c r="G132" s="95">
        <v>357.5</v>
      </c>
      <c r="H132" s="95">
        <v>0</v>
      </c>
      <c r="I132" s="95">
        <f t="shared" si="44"/>
        <v>357.5</v>
      </c>
      <c r="J132" s="95">
        <v>375.5</v>
      </c>
      <c r="K132" s="95">
        <v>0</v>
      </c>
      <c r="L132" s="95">
        <f t="shared" si="45"/>
        <v>375.5</v>
      </c>
      <c r="M132" s="95">
        <f>IF(ISNA(VLOOKUP($CZ132,'Audit Values'!$A$2:$BW$365,2,FALSE)),'Preliminary SO66'!C131,VLOOKUP($CZ132,'Audit Values'!$A$2:$BW$365,73,FALSE))</f>
        <v>372</v>
      </c>
      <c r="N132" s="95">
        <f>IF(ISNA(VLOOKUP($CZ132,'Audit Values'!$A$2:$BW$365,2,FALSE)),'Preliminary SO66'!F131,VLOOKUP($CZ132,'Audit Values'!$A$2:$BW$365,4,FALSE))</f>
        <v>0</v>
      </c>
      <c r="O132" s="95">
        <f t="shared" si="46"/>
        <v>372</v>
      </c>
      <c r="P132" s="95">
        <f>IF('Military Provision'!J133="YES", MAX('2019 Legal Max'!L132,'2019 Legal Max'!I132,AVERAGE('2019 Legal Max'!F132,'2019 Legal Max'!I132,'2019 Legal Max'!L132)), MAX(L132, I132))</f>
        <v>375.5</v>
      </c>
      <c r="Q132" s="95">
        <f>IF(ISNA(VLOOKUP($CZ132,'Audit Values'!$A$2:$BU$353,2,FALSE)),'Preliminary SO66'!AL131,VLOOKUP($CZ132,'Audit Values'!$A$2:$BU$3955,58,FALSE))</f>
        <v>7</v>
      </c>
      <c r="R132" s="95">
        <v>0</v>
      </c>
      <c r="S132" s="95">
        <f t="shared" si="79"/>
        <v>382.5</v>
      </c>
      <c r="T132" s="95">
        <f t="shared" si="47"/>
        <v>174.5</v>
      </c>
      <c r="U132" s="95">
        <f>IF(ISNA(VLOOKUP($CZ132,'Audit Values'!$A$2:$BW$317,2,FALSE)),'Preliminary SO66'!AM131,VLOOKUP($CZ132,'Audit Values'!$A$2:$BW$317,62,FALSE))</f>
        <v>0</v>
      </c>
      <c r="V132" s="95">
        <f>(U132/6)*'Weighting Factors'!$Q$7</f>
        <v>0</v>
      </c>
      <c r="W132" s="132">
        <f>IF(ISNA(VLOOKUP($CZ132,'Audit Values'!$A$2:$BW$353,2,FALSE)),'Preliminary SO66'!AN131,VLOOKUP($CZ132,'Audit Values'!$A$2:$BW$353,61,FALSE))</f>
        <v>0</v>
      </c>
      <c r="X132" s="95">
        <f>W132*'Weighting Factors'!$Q$8</f>
        <v>0</v>
      </c>
      <c r="Y132" s="95">
        <f t="shared" si="48"/>
        <v>0</v>
      </c>
      <c r="Z132" s="276">
        <f>IF(ISNA(VLOOKUP($CZ132,'Audit Values'!$A$2:$BW$317,2,FALSE)),'Preliminary SO66'!AO131,VLOOKUP($CZ132,'Audit Values'!$A$2:$BW$317,60,FALSE))</f>
        <v>181.3</v>
      </c>
      <c r="AA132" s="95">
        <f>Z132/6*'Weighting Factors'!$Q$6</f>
        <v>15.1</v>
      </c>
      <c r="AB132" s="99">
        <f>IF(ISNA(VLOOKUP($CZ132,'Audit Values'!$A$2:$BU$353,2,FALSE)),'Preliminary SO66'!AS131,VLOOKUP($CZ132,'Audit Values'!$A$2:$BU$353,63,FALSE))</f>
        <v>393</v>
      </c>
      <c r="AC132" s="99">
        <v>0</v>
      </c>
      <c r="AD132" s="99">
        <f>IF(ISNA(VLOOKUP($CZ132,'Audit Values'!$A$2:$BU$353,2,FALSE)),'Preliminary SO66'!AP131,VLOOKUP($CZ132,'Audit Values'!$A$2:$BU$353,64,FALSE))</f>
        <v>115</v>
      </c>
      <c r="AE132" s="95">
        <f>IF(A132=207, AD132,MAX(AC132,AD132))*'Weighting Factors'!$Q$9</f>
        <v>55.7</v>
      </c>
      <c r="AF132" s="95">
        <f t="shared" si="49"/>
        <v>0</v>
      </c>
      <c r="AG132" s="95">
        <f>IF(ISNA(VLOOKUP($CZ132,'Audit Values'!$A$2:$BW$353,2,FALSE)),'Preliminary SO66'!AG131,VLOOKUP($CZ132,'Audit Values'!$A$2:$BW$353,70,FALSE))</f>
        <v>0</v>
      </c>
      <c r="AH132" s="95">
        <f t="shared" si="50"/>
        <v>0</v>
      </c>
      <c r="AI132" s="95">
        <f>IF(ISNA(VLOOKUP($CZ132,'Audit Values'!$A$2:$BU$353,2,FALSE)),'Preliminary SO66'!AQ131,VLOOKUP($CZ132,'Audit Values'!$A$2:$BU$353,65,FALSE))</f>
        <v>0</v>
      </c>
      <c r="AJ132" s="95">
        <f>AI132*'Weighting Factors'!$Q$10</f>
        <v>0</v>
      </c>
      <c r="AK132" s="95">
        <f>IF(ISNA(VLOOKUP($CZ132,'Audit Values'!$A$2:$BU$353,2,FALSE)),'Preliminary SO66'!AR131,VLOOKUP($CZ132,'Audit Values'!$A$2:$BU$353,66,FALSE))</f>
        <v>261</v>
      </c>
      <c r="AL132" s="95"/>
      <c r="AM132" s="99">
        <f t="shared" si="51"/>
        <v>242730</v>
      </c>
      <c r="AN132" s="99">
        <v>266944</v>
      </c>
      <c r="AO132" s="95">
        <f>MAX(AN132, AM132)/'Weighting Factors'!$Q$5</f>
        <v>64.099999999999994</v>
      </c>
      <c r="AP132" s="95">
        <f>CN132/'Weighting Factors'!$Q$5</f>
        <v>0</v>
      </c>
      <c r="AQ132" s="95">
        <v>0</v>
      </c>
      <c r="AR132" s="95">
        <f>CS132/'Weighting Factors'!$Q$5</f>
        <v>0</v>
      </c>
      <c r="AS132" s="99">
        <v>287600</v>
      </c>
      <c r="AT132" s="95">
        <f>AS132/'Weighting Factors'!$Q$5</f>
        <v>69.099999999999994</v>
      </c>
      <c r="AU132" s="95">
        <f>IF(ISNA(VLOOKUP($CZ132,'Audit Values'!$A$2:$BU$353,2,FALSE)),'Preliminary SO66'!X131,VLOOKUP($CZ132,'Audit Values'!$A$2:$BU$353,47,FALSE))</f>
        <v>0</v>
      </c>
      <c r="AV132" s="95">
        <f t="shared" si="52"/>
        <v>761</v>
      </c>
      <c r="AW132" s="95">
        <f t="shared" si="53"/>
        <v>691.9</v>
      </c>
      <c r="AX132" s="95">
        <f>IF(ISNA(VLOOKUP($CZ132,'Audit Values'!$A$2:$BU$353,2,FALSE)),'Preliminary SO66'!AA131,VLOOKUP($CZ132,'Audit Values'!$A$2:$BU$353,41,FALSE))</f>
        <v>0</v>
      </c>
      <c r="AY132" s="95">
        <f>IF(ISNA(VLOOKUP($CZ132,'Audit Values'!$A$2:$BU$353,2,FALSE)),'Preliminary SO66'!AB131,VLOOKUP($CZ132,'Audit Values'!$A$2:$BU$353,42,FALSE))</f>
        <v>0</v>
      </c>
      <c r="AZ132" s="114">
        <v>0</v>
      </c>
      <c r="BA132" s="99">
        <f>SUM(AX132*'Weighting Factors'!$T$10)+('2019 Legal Max'!AY132*'Weighting Factors'!$T$11)+('2019 Legal Max'!AZ132*'Weighting Factors'!$T$12)</f>
        <v>0</v>
      </c>
      <c r="BB132" s="158">
        <v>0</v>
      </c>
      <c r="BC132" s="88">
        <f>IF(ISNA(VLOOKUP($CZ132,'Audit Values'!$A$2:$BU$353,2,FALSE)),"",IF(AND('Weighting Factors'!H132&gt;0,VLOOKUP($CZ132,'Audit Values'!$A$2:$BU$353,51,FALSE)&lt;'Weighting Factors'!H132),'Weighting Factors'!H132,VLOOKUP($CZ132,'Audit Values'!$A$2:$BU$353,50,FALSE)))</f>
        <v>17</v>
      </c>
      <c r="BD132" s="88" t="str">
        <f>IF(ISNA(VLOOKUP($CZ132,'Audit Values'!$A$2:$BV$353,2,FALSE)),"",VLOOKUP($CZ132,'Audit Values'!$A$2:$BV$353,51,FALSE))</f>
        <v>A</v>
      </c>
      <c r="BE132" s="88" t="str">
        <f>IF('Weighting Factors'!H132="","",IF('Weighting Factors'!J132="Pending","PX","R"))</f>
        <v/>
      </c>
      <c r="BF132" s="97">
        <f>SUM((S132+T132+Y132+AA132+AE132+AH132+AJ132++AO132+AP132+AQ132+AU132+AR132)*'Weighting Factors'!$Q$5)+'2019 Legal Max'!BA132+'2019 Legal Max'!BB132</f>
        <v>2881764</v>
      </c>
      <c r="BG132" s="99">
        <f>SUM((AV132+AR132)*'Weighting Factors'!$Q$5)+BA132+'2019 Legal Max'!BB132</f>
        <v>3169565</v>
      </c>
      <c r="BH132" s="108">
        <f>IF('Weighting Factors'!H132&gt;0,'Weighting Factors'!H132,'Preliminary SO66'!AV131)</f>
        <v>3299097</v>
      </c>
      <c r="BI132" s="99">
        <f t="shared" si="77"/>
        <v>3169565</v>
      </c>
      <c r="BJ132" s="112"/>
      <c r="BK132" s="112">
        <f>'Weighting Factors'!F132</f>
        <v>0</v>
      </c>
      <c r="BL132" s="112">
        <f>'Weighting Factors'!E132</f>
        <v>0</v>
      </c>
      <c r="BM132" s="99">
        <f t="shared" si="54"/>
        <v>0</v>
      </c>
      <c r="BN132" s="99">
        <f t="shared" si="55"/>
        <v>3169565</v>
      </c>
      <c r="BO132" s="99">
        <f>SUM((S132+T132+Y132+AA132+AE132+AH132+AJ132++AO132+AP132+AQ132+AR132)*'Weighting Factors'!Q$12)+(MAX(AS132,'Weighting Factors'!B132))</f>
        <v>3407320</v>
      </c>
      <c r="BP132" s="122">
        <v>0.3</v>
      </c>
      <c r="BQ132" s="99">
        <f t="shared" si="56"/>
        <v>1022196</v>
      </c>
      <c r="BR132" s="108">
        <v>1058895</v>
      </c>
      <c r="BS132" s="99">
        <f t="shared" si="57"/>
        <v>1022196</v>
      </c>
      <c r="BT132" s="167">
        <f t="shared" si="58"/>
        <v>0.3</v>
      </c>
      <c r="BU132" s="95">
        <f t="shared" si="59"/>
        <v>0</v>
      </c>
      <c r="BV132" s="87" t="b">
        <f t="shared" si="60"/>
        <v>0</v>
      </c>
      <c r="BW132" s="117">
        <f t="shared" si="61"/>
        <v>0</v>
      </c>
      <c r="BX132" s="116">
        <f t="shared" si="62"/>
        <v>0</v>
      </c>
      <c r="BY132" s="95">
        <f t="shared" si="63"/>
        <v>0</v>
      </c>
      <c r="BZ132" s="87" t="b">
        <f t="shared" si="64"/>
        <v>1</v>
      </c>
      <c r="CA132" s="87">
        <f t="shared" si="65"/>
        <v>102.0938</v>
      </c>
      <c r="CB132" s="116">
        <f t="shared" si="66"/>
        <v>0.45615699999999998</v>
      </c>
      <c r="CC132" s="95">
        <f t="shared" si="67"/>
        <v>174.5</v>
      </c>
      <c r="CD132" s="95">
        <f t="shared" si="68"/>
        <v>0</v>
      </c>
      <c r="CE132" s="98">
        <v>213</v>
      </c>
      <c r="CF132" s="250">
        <f t="shared" si="69"/>
        <v>1.2250000000000001</v>
      </c>
      <c r="CG132" s="274">
        <f>IF(CF132&lt;0.06,1,IF(CF132&gt;=18.29,52,MATCH(CF132-0.001,'Weighting Factors'!$Y$5:$Y$156)+1))</f>
        <v>33</v>
      </c>
      <c r="CH132" s="243">
        <f>VLOOKUP(CG132, 'Weighting Factors'!$W$5:$Z$56,4)</f>
        <v>930</v>
      </c>
      <c r="CI132" s="118">
        <f>('Weighting Factors'!$Q$5/'Weighting Factors'!$Q$14)</f>
        <v>1</v>
      </c>
      <c r="CJ132" s="245">
        <f t="shared" si="70"/>
        <v>242730</v>
      </c>
      <c r="CK132" s="245">
        <f>CJ132*'Weighting Factors'!$S$7</f>
        <v>242730</v>
      </c>
      <c r="CL132" s="245">
        <f t="shared" si="71"/>
        <v>242730</v>
      </c>
      <c r="CM132" s="95">
        <f>AM132/'Weighting Factors'!$Q$5</f>
        <v>58.3</v>
      </c>
      <c r="CN132" s="148">
        <v>0</v>
      </c>
      <c r="CO132" s="148">
        <v>0</v>
      </c>
      <c r="CP132" s="149">
        <v>0</v>
      </c>
      <c r="CQ132" s="151">
        <v>0</v>
      </c>
      <c r="CR132" s="99">
        <f>SUM((AV132*'Weighting Factors'!$Q$5)+'2019 Legal Max'!BA132)*CQ132</f>
        <v>0</v>
      </c>
      <c r="CS132" s="99">
        <f t="shared" si="72"/>
        <v>0</v>
      </c>
      <c r="CT132" s="106">
        <f t="shared" si="73"/>
        <v>0.29260000000000003</v>
      </c>
      <c r="CU132" s="95">
        <f t="shared" si="74"/>
        <v>0</v>
      </c>
      <c r="CV132" s="95">
        <f t="shared" si="75"/>
        <v>0</v>
      </c>
      <c r="CW132" s="95">
        <f t="shared" si="76"/>
        <v>761</v>
      </c>
      <c r="CX132" s="99">
        <f>'LOB Transfers'!G131</f>
        <v>75540</v>
      </c>
      <c r="CY132" s="99">
        <f>'LOB Transfers'!J131</f>
        <v>0</v>
      </c>
      <c r="CZ132" s="87" t="s">
        <v>324</v>
      </c>
    </row>
    <row r="133" spans="1:104" ht="15" customHeight="1">
      <c r="A133" s="88">
        <v>336</v>
      </c>
      <c r="B133" s="87" t="s">
        <v>58</v>
      </c>
      <c r="C133" s="87" t="s">
        <v>646</v>
      </c>
      <c r="D133" s="95">
        <v>1026.5</v>
      </c>
      <c r="E133" s="95">
        <v>0</v>
      </c>
      <c r="F133" s="95">
        <f t="shared" ref="F133:F196" si="80">D133+E133</f>
        <v>1026.5</v>
      </c>
      <c r="G133" s="95">
        <v>1064.5</v>
      </c>
      <c r="H133" s="95">
        <v>0</v>
      </c>
      <c r="I133" s="95">
        <f t="shared" ref="I133:I196" si="81">G133+H133</f>
        <v>1064.5</v>
      </c>
      <c r="J133" s="95">
        <v>1089</v>
      </c>
      <c r="K133" s="95">
        <v>0</v>
      </c>
      <c r="L133" s="95">
        <f t="shared" ref="L133:L196" si="82">J133+K133</f>
        <v>1089</v>
      </c>
      <c r="M133" s="95">
        <f>IF(ISNA(VLOOKUP($CZ133,'Audit Values'!$A$2:$BW$365,2,FALSE)),'Preliminary SO66'!C132,VLOOKUP($CZ133,'Audit Values'!$A$2:$BW$365,73,FALSE))</f>
        <v>1076</v>
      </c>
      <c r="N133" s="95">
        <f>IF(ISNA(VLOOKUP($CZ133,'Audit Values'!$A$2:$BW$365,2,FALSE)),'Preliminary SO66'!F132,VLOOKUP($CZ133,'Audit Values'!$A$2:$BW$365,4,FALSE))</f>
        <v>0</v>
      </c>
      <c r="O133" s="95">
        <f t="shared" ref="O133:O196" si="83">M133+N133</f>
        <v>1076</v>
      </c>
      <c r="P133" s="95">
        <f>IF('Military Provision'!J134="YES", MAX('2019 Legal Max'!L133,'2019 Legal Max'!I133,AVERAGE('2019 Legal Max'!F133,'2019 Legal Max'!I133,'2019 Legal Max'!L133)), MAX(L133, I133))</f>
        <v>1089</v>
      </c>
      <c r="Q133" s="95">
        <f>IF(ISNA(VLOOKUP($CZ133,'Audit Values'!$A$2:$BU$353,2,FALSE)),'Preliminary SO66'!AL132,VLOOKUP($CZ133,'Audit Values'!$A$2:$BU$3955,58,FALSE))</f>
        <v>3.5</v>
      </c>
      <c r="R133" s="95">
        <v>0</v>
      </c>
      <c r="S133" s="95">
        <f t="shared" si="79"/>
        <v>1092.5</v>
      </c>
      <c r="T133" s="95">
        <f t="shared" ref="T133:T196" si="84">MAX(BU133, BY133, CC133, CD133)</f>
        <v>234.8</v>
      </c>
      <c r="U133" s="95">
        <f>IF(ISNA(VLOOKUP($CZ133,'Audit Values'!$A$2:$BW$317,2,FALSE)),'Preliminary SO66'!AM132,VLOOKUP($CZ133,'Audit Values'!$A$2:$BW$317,62,FALSE))</f>
        <v>57</v>
      </c>
      <c r="V133" s="95">
        <f>(U133/6)*'Weighting Factors'!$Q$7</f>
        <v>3.8</v>
      </c>
      <c r="W133" s="132">
        <f>IF(ISNA(VLOOKUP($CZ133,'Audit Values'!$A$2:$BW$353,2,FALSE)),'Preliminary SO66'!AN132,VLOOKUP($CZ133,'Audit Values'!$A$2:$BW$353,61,FALSE))</f>
        <v>37</v>
      </c>
      <c r="X133" s="95">
        <f>W133*'Weighting Factors'!$Q$8</f>
        <v>6.8</v>
      </c>
      <c r="Y133" s="95">
        <f t="shared" ref="Y133:Y196" si="85">MAX(V133,X133)</f>
        <v>6.8</v>
      </c>
      <c r="Z133" s="276">
        <f>IF(ISNA(VLOOKUP($CZ133,'Audit Values'!$A$2:$BW$317,2,FALSE)),'Preliminary SO66'!AO132,VLOOKUP($CZ133,'Audit Values'!$A$2:$BW$317,60,FALSE))</f>
        <v>350</v>
      </c>
      <c r="AA133" s="95">
        <f>Z133/6*'Weighting Factors'!$Q$6</f>
        <v>29.2</v>
      </c>
      <c r="AB133" s="99">
        <f>IF(ISNA(VLOOKUP($CZ133,'Audit Values'!$A$2:$BU$353,2,FALSE)),'Preliminary SO66'!AS132,VLOOKUP($CZ133,'Audit Values'!$A$2:$BU$353,63,FALSE))</f>
        <v>1091</v>
      </c>
      <c r="AC133" s="99">
        <v>0</v>
      </c>
      <c r="AD133" s="99">
        <f>IF(ISNA(VLOOKUP($CZ133,'Audit Values'!$A$2:$BU$353,2,FALSE)),'Preliminary SO66'!AP132,VLOOKUP($CZ133,'Audit Values'!$A$2:$BU$353,64,FALSE))</f>
        <v>347</v>
      </c>
      <c r="AE133" s="95">
        <f>IF(A133=207, AD133,MAX(AC133,AD133))*'Weighting Factors'!$Q$9</f>
        <v>167.9</v>
      </c>
      <c r="AF133" s="95">
        <f t="shared" ref="AF133:AF196" si="86">MAX(CU133,CV133)</f>
        <v>0</v>
      </c>
      <c r="AG133" s="95">
        <f>IF(ISNA(VLOOKUP($CZ133,'Audit Values'!$A$2:$BW$353,2,FALSE)),'Preliminary SO66'!AG132,VLOOKUP($CZ133,'Audit Values'!$A$2:$BW$353,70,FALSE))</f>
        <v>0.1</v>
      </c>
      <c r="AH133" s="95">
        <f t="shared" ref="AH133:AH196" si="87">MAX(AF133, AG133)</f>
        <v>0.1</v>
      </c>
      <c r="AI133" s="95">
        <f>IF(ISNA(VLOOKUP($CZ133,'Audit Values'!$A$2:$BU$353,2,FALSE)),'Preliminary SO66'!AQ132,VLOOKUP($CZ133,'Audit Values'!$A$2:$BU$353,65,FALSE))</f>
        <v>0</v>
      </c>
      <c r="AJ133" s="95">
        <f>AI133*'Weighting Factors'!$Q$10</f>
        <v>0</v>
      </c>
      <c r="AK133" s="95">
        <f>IF(ISNA(VLOOKUP($CZ133,'Audit Values'!$A$2:$BU$353,2,FALSE)),'Preliminary SO66'!AR132,VLOOKUP($CZ133,'Audit Values'!$A$2:$BU$353,66,FALSE))</f>
        <v>355</v>
      </c>
      <c r="AL133" s="95"/>
      <c r="AM133" s="99">
        <f t="shared" ref="AM133:AM196" si="88">CL133</f>
        <v>294650</v>
      </c>
      <c r="AN133" s="99">
        <v>324338</v>
      </c>
      <c r="AO133" s="95">
        <f>MAX(AN133, AM133)/'Weighting Factors'!$Q$5</f>
        <v>77.900000000000006</v>
      </c>
      <c r="AP133" s="95">
        <f>CN133/'Weighting Factors'!$Q$5</f>
        <v>0</v>
      </c>
      <c r="AQ133" s="95">
        <v>0</v>
      </c>
      <c r="AR133" s="95">
        <f>CS133/'Weighting Factors'!$Q$5</f>
        <v>0</v>
      </c>
      <c r="AS133" s="99">
        <v>857259</v>
      </c>
      <c r="AT133" s="95">
        <f>AS133/'Weighting Factors'!$Q$5</f>
        <v>205.8</v>
      </c>
      <c r="AU133" s="95">
        <f>IF(ISNA(VLOOKUP($CZ133,'Audit Values'!$A$2:$BU$353,2,FALSE)),'Preliminary SO66'!X132,VLOOKUP($CZ133,'Audit Values'!$A$2:$BU$353,47,FALSE))</f>
        <v>0</v>
      </c>
      <c r="AV133" s="95">
        <f t="shared" ref="AV133:AV196" si="89">SUM(S133+T133+Y133+AA133+AE133+AH133+AJ133++AO133+AP133+AQ133+AT133+AU133)</f>
        <v>1815</v>
      </c>
      <c r="AW133" s="95">
        <f t="shared" ref="AW133:AW196" si="90">SUM(S133+T133+Y133+AA133+AE133+AH133+AJ133++AO133+AP133+AQ133+AR133+AU133)</f>
        <v>1609.2</v>
      </c>
      <c r="AX133" s="95">
        <f>IF(ISNA(VLOOKUP($CZ133,'Audit Values'!$A$2:$BU$353,2,FALSE)),'Preliminary SO66'!AA132,VLOOKUP($CZ133,'Audit Values'!$A$2:$BU$353,41,FALSE))</f>
        <v>7</v>
      </c>
      <c r="AY133" s="95">
        <f>IF(ISNA(VLOOKUP($CZ133,'Audit Values'!$A$2:$BU$353,2,FALSE)),'Preliminary SO66'!AB132,VLOOKUP($CZ133,'Audit Values'!$A$2:$BU$353,42,FALSE))</f>
        <v>0</v>
      </c>
      <c r="AZ133" s="114">
        <v>176</v>
      </c>
      <c r="BA133" s="99">
        <f>SUM(AX133*'Weighting Factors'!$T$10)+('2019 Legal Max'!AY133*'Weighting Factors'!$T$11)+('2019 Legal Max'!AZ133*'Weighting Factors'!$T$12)</f>
        <v>159784</v>
      </c>
      <c r="BB133" s="158">
        <v>0</v>
      </c>
      <c r="BC133" s="88">
        <f>IF(ISNA(VLOOKUP($CZ133,'Audit Values'!$A$2:$BU$353,2,FALSE)),"",IF(AND('Weighting Factors'!H133&gt;0,VLOOKUP($CZ133,'Audit Values'!$A$2:$BU$353,51,FALSE)&lt;'Weighting Factors'!H133),'Weighting Factors'!H133,VLOOKUP($CZ133,'Audit Values'!$A$2:$BU$353,50,FALSE)))</f>
        <v>11</v>
      </c>
      <c r="BD133" s="88" t="str">
        <f>IF(ISNA(VLOOKUP($CZ133,'Audit Values'!$A$2:$BV$353,2,FALSE)),"",VLOOKUP($CZ133,'Audit Values'!$A$2:$BV$353,51,FALSE))</f>
        <v>A</v>
      </c>
      <c r="BE133" s="88" t="str">
        <f>IF('Weighting Factors'!H133="","",IF('Weighting Factors'!J133="Pending","PX","R"))</f>
        <v/>
      </c>
      <c r="BF133" s="97">
        <f>SUM((S133+T133+Y133+AA133+AE133+AH133+AJ133++AO133+AP133+AQ133+AU133+AR133)*'Weighting Factors'!$Q$5)+'2019 Legal Max'!BA133+'2019 Legal Max'!BB133</f>
        <v>6862102</v>
      </c>
      <c r="BG133" s="99">
        <f>SUM((AV133+AR133)*'Weighting Factors'!$Q$5)+BA133+'2019 Legal Max'!BB133</f>
        <v>7719259</v>
      </c>
      <c r="BH133" s="108">
        <f>IF('Weighting Factors'!H133&gt;0,'Weighting Factors'!H133,'Preliminary SO66'!AV132)</f>
        <v>7939088</v>
      </c>
      <c r="BI133" s="99">
        <f t="shared" si="77"/>
        <v>7719259</v>
      </c>
      <c r="BJ133" s="112"/>
      <c r="BK133" s="112">
        <f>'Weighting Factors'!F133</f>
        <v>0</v>
      </c>
      <c r="BL133" s="112">
        <f>'Weighting Factors'!E133</f>
        <v>-355</v>
      </c>
      <c r="BM133" s="99">
        <f t="shared" ref="BM133:BM196" si="91">SUM(BJ133:BL133)</f>
        <v>-355</v>
      </c>
      <c r="BN133" s="99">
        <f t="shared" ref="BN133:BN196" si="92">BI133+BM133</f>
        <v>7718904</v>
      </c>
      <c r="BO133" s="99">
        <f>SUM((S133+T133+Y133+AA133+AE133+AH133+AJ133++AO133+AP133+AQ133+AR133)*'Weighting Factors'!Q$12)+(MAX(AS133,'Weighting Factors'!B133))</f>
        <v>8216506</v>
      </c>
      <c r="BP133" s="122">
        <v>0.3</v>
      </c>
      <c r="BQ133" s="99">
        <f t="shared" ref="BQ133:BQ196" si="93">BO133*BP133</f>
        <v>2464952</v>
      </c>
      <c r="BR133" s="108">
        <v>2493699</v>
      </c>
      <c r="BS133" s="99">
        <f t="shared" ref="BS133:BS196" si="94">MIN(BQ133,BR133)</f>
        <v>2464952</v>
      </c>
      <c r="BT133" s="167">
        <f t="shared" ref="BT133:BT196" si="95">BS133/BO133</f>
        <v>0.3</v>
      </c>
      <c r="BU133" s="95">
        <f t="shared" ref="BU133:BU196" si="96">ROUND(IF(S133&lt;=99.9,(S133*1.014331),0),1)</f>
        <v>0</v>
      </c>
      <c r="BV133" s="87" t="b">
        <f t="shared" ref="BV133:BV196" si="97">AND(S133&gt;99.9,S133&lt;=299.9)</f>
        <v>0</v>
      </c>
      <c r="BW133" s="117">
        <f t="shared" ref="BW133:BW196" si="98">IF(BV133=TRUE,ROUND((S133-100)*9.655,3),0)</f>
        <v>0</v>
      </c>
      <c r="BX133" s="116">
        <f t="shared" ref="BX133:BX196" si="99">IF(BV133=TRUE,ROUND(((7337-BW133)/3642.4)-1,6),0)</f>
        <v>0</v>
      </c>
      <c r="BY133" s="95">
        <f t="shared" ref="BY133:BY196" si="100">ROUND(BX133*S133,1)</f>
        <v>0</v>
      </c>
      <c r="BZ133" s="87" t="b">
        <f t="shared" ref="BZ133:BZ196" si="101">AND(S133&gt;299.9,S133&lt;=1621.9)</f>
        <v>1</v>
      </c>
      <c r="CA133" s="87">
        <f t="shared" ref="CA133:CA196" si="102">IF(BZ133=TRUE,ROUND((S133-300)*1.2375,4),0)</f>
        <v>980.71879999999999</v>
      </c>
      <c r="CB133" s="116">
        <f t="shared" ref="CB133:CB196" si="103">IF(BZ133=TRUE,ROUND(((5406-CA133)/3642.4)-1,6),0)</f>
        <v>0.21493599999999999</v>
      </c>
      <c r="CC133" s="95">
        <f t="shared" ref="CC133:CC196" si="104">ROUND(CB133*S133,1)</f>
        <v>234.8</v>
      </c>
      <c r="CD133" s="95">
        <f t="shared" ref="CD133:CD196" si="105">ROUND(IF(S133&gt;=1622,(S133*0.03504),0),1)</f>
        <v>0</v>
      </c>
      <c r="CE133" s="98">
        <v>164.5</v>
      </c>
      <c r="CF133" s="250">
        <f t="shared" ref="CF133:CF196" si="106">AK133/CE133</f>
        <v>2.1579999999999999</v>
      </c>
      <c r="CG133" s="274">
        <f>IF(CF133&lt;0.06,1,IF(CF133&gt;=18.29,52,MATCH(CF133-0.001,'Weighting Factors'!$Y$5:$Y$156)+1))</f>
        <v>38</v>
      </c>
      <c r="CH133" s="243">
        <f>VLOOKUP(CG133, 'Weighting Factors'!$W$5:$Z$56,4)</f>
        <v>830</v>
      </c>
      <c r="CI133" s="118">
        <f>('Weighting Factors'!$Q$5/'Weighting Factors'!$Q$14)</f>
        <v>1</v>
      </c>
      <c r="CJ133" s="245">
        <f t="shared" ref="CJ133:CJ196" si="107">AK133*CH133</f>
        <v>294650</v>
      </c>
      <c r="CK133" s="245">
        <f>CJ133*'Weighting Factors'!$S$7</f>
        <v>294650</v>
      </c>
      <c r="CL133" s="245">
        <f t="shared" ref="CL133:CL196" si="108">CK133*CI133</f>
        <v>294650</v>
      </c>
      <c r="CM133" s="95">
        <f>AM133/'Weighting Factors'!$Q$5</f>
        <v>70.7</v>
      </c>
      <c r="CN133" s="148">
        <v>0</v>
      </c>
      <c r="CO133" s="148">
        <v>0</v>
      </c>
      <c r="CP133" s="149">
        <v>0</v>
      </c>
      <c r="CQ133" s="151">
        <v>0</v>
      </c>
      <c r="CR133" s="99">
        <f>SUM((AV133*'Weighting Factors'!$Q$5)+'2019 Legal Max'!BA133)*CQ133</f>
        <v>0</v>
      </c>
      <c r="CS133" s="99">
        <f t="shared" ref="CS133:CS196" si="109">IF(CP133&gt;CR133,CR133,CP133)</f>
        <v>0</v>
      </c>
      <c r="CT133" s="106">
        <f t="shared" ref="CT133:CT196" si="110">AD133/AB133</f>
        <v>0.31809999999999999</v>
      </c>
      <c r="CU133" s="95">
        <f t="shared" ref="CU133:CU196" si="111">IF(CT133&gt;=50%,AD133*10.5%,0)</f>
        <v>0</v>
      </c>
      <c r="CV133" s="95">
        <f t="shared" ref="CV133:CV196" si="112">IF(AND(CT133&gt;35%,CT133&lt;50%),AD133*(CT133-35%)*0.7,0)</f>
        <v>0</v>
      </c>
      <c r="CW133" s="95">
        <f t="shared" ref="CW133:CW196" si="113">AW133+AT133</f>
        <v>1815</v>
      </c>
      <c r="CX133" s="99">
        <f>'LOB Transfers'!G132</f>
        <v>228501</v>
      </c>
      <c r="CY133" s="99">
        <f>'LOB Transfers'!J132</f>
        <v>9367</v>
      </c>
      <c r="CZ133" s="87" t="s">
        <v>325</v>
      </c>
    </row>
    <row r="134" spans="1:104" ht="15" customHeight="1">
      <c r="A134" s="88">
        <v>337</v>
      </c>
      <c r="B134" s="87" t="s">
        <v>58</v>
      </c>
      <c r="C134" s="87" t="s">
        <v>647</v>
      </c>
      <c r="D134" s="95">
        <v>810.1</v>
      </c>
      <c r="E134" s="95">
        <v>0</v>
      </c>
      <c r="F134" s="95">
        <f t="shared" si="80"/>
        <v>810.1</v>
      </c>
      <c r="G134" s="95">
        <v>831.6</v>
      </c>
      <c r="H134" s="95">
        <v>0</v>
      </c>
      <c r="I134" s="95">
        <f t="shared" si="81"/>
        <v>831.6</v>
      </c>
      <c r="J134" s="95">
        <v>793.7</v>
      </c>
      <c r="K134" s="95">
        <v>0</v>
      </c>
      <c r="L134" s="95">
        <f t="shared" si="82"/>
        <v>793.7</v>
      </c>
      <c r="M134" s="95">
        <f>IF(ISNA(VLOOKUP($CZ134,'Audit Values'!$A$2:$BW$365,2,FALSE)),'Preliminary SO66'!C133,VLOOKUP($CZ134,'Audit Values'!$A$2:$BW$365,73,FALSE))</f>
        <v>805</v>
      </c>
      <c r="N134" s="95">
        <f>IF(ISNA(VLOOKUP($CZ134,'Audit Values'!$A$2:$BW$365,2,FALSE)),'Preliminary SO66'!F133,VLOOKUP($CZ134,'Audit Values'!$A$2:$BW$365,4,FALSE))</f>
        <v>0</v>
      </c>
      <c r="O134" s="95">
        <f t="shared" si="83"/>
        <v>805</v>
      </c>
      <c r="P134" s="95">
        <f>IF('Military Provision'!J135="YES", MAX('2019 Legal Max'!L134,'2019 Legal Max'!I134,AVERAGE('2019 Legal Max'!F134,'2019 Legal Max'!I134,'2019 Legal Max'!L134)), MAX(L134, I134))</f>
        <v>831.6</v>
      </c>
      <c r="Q134" s="95">
        <f>IF(ISNA(VLOOKUP($CZ134,'Audit Values'!$A$2:$BU$353,2,FALSE)),'Preliminary SO66'!AL133,VLOOKUP($CZ134,'Audit Values'!$A$2:$BU$3955,58,FALSE))</f>
        <v>8</v>
      </c>
      <c r="R134" s="95">
        <v>0</v>
      </c>
      <c r="S134" s="95">
        <f t="shared" si="79"/>
        <v>839.6</v>
      </c>
      <c r="T134" s="95">
        <f t="shared" si="84"/>
        <v>252.6</v>
      </c>
      <c r="U134" s="95">
        <f>IF(ISNA(VLOOKUP($CZ134,'Audit Values'!$A$2:$BW$317,2,FALSE)),'Preliminary SO66'!AM133,VLOOKUP($CZ134,'Audit Values'!$A$2:$BW$317,62,FALSE))</f>
        <v>0</v>
      </c>
      <c r="V134" s="95">
        <f>(U134/6)*'Weighting Factors'!$Q$7</f>
        <v>0</v>
      </c>
      <c r="W134" s="132">
        <f>IF(ISNA(VLOOKUP($CZ134,'Audit Values'!$A$2:$BW$353,2,FALSE)),'Preliminary SO66'!AN133,VLOOKUP($CZ134,'Audit Values'!$A$2:$BW$353,61,FALSE))</f>
        <v>0</v>
      </c>
      <c r="X134" s="95">
        <f>W134*'Weighting Factors'!$Q$8</f>
        <v>0</v>
      </c>
      <c r="Y134" s="95">
        <f t="shared" si="85"/>
        <v>0</v>
      </c>
      <c r="Z134" s="276">
        <f>IF(ISNA(VLOOKUP($CZ134,'Audit Values'!$A$2:$BW$317,2,FALSE)),'Preliminary SO66'!AO133,VLOOKUP($CZ134,'Audit Values'!$A$2:$BW$317,60,FALSE))</f>
        <v>214</v>
      </c>
      <c r="AA134" s="95">
        <f>Z134/6*'Weighting Factors'!$Q$6</f>
        <v>17.8</v>
      </c>
      <c r="AB134" s="99">
        <f>IF(ISNA(VLOOKUP($CZ134,'Audit Values'!$A$2:$BU$353,2,FALSE)),'Preliminary SO66'!AS133,VLOOKUP($CZ134,'Audit Values'!$A$2:$BU$353,63,FALSE))</f>
        <v>832</v>
      </c>
      <c r="AC134" s="99">
        <v>0</v>
      </c>
      <c r="AD134" s="99">
        <f>IF(ISNA(VLOOKUP($CZ134,'Audit Values'!$A$2:$BU$353,2,FALSE)),'Preliminary SO66'!AP133,VLOOKUP($CZ134,'Audit Values'!$A$2:$BU$353,64,FALSE))</f>
        <v>327</v>
      </c>
      <c r="AE134" s="95">
        <f>IF(A134=207, AD134,MAX(AC134,AD134))*'Weighting Factors'!$Q$9</f>
        <v>158.30000000000001</v>
      </c>
      <c r="AF134" s="95">
        <f t="shared" si="86"/>
        <v>9.8000000000000007</v>
      </c>
      <c r="AG134" s="95">
        <f>IF(ISNA(VLOOKUP($CZ134,'Audit Values'!$A$2:$BW$353,2,FALSE)),'Preliminary SO66'!AG133,VLOOKUP($CZ134,'Audit Values'!$A$2:$BW$353,70,FALSE))</f>
        <v>12.2</v>
      </c>
      <c r="AH134" s="95">
        <f t="shared" si="87"/>
        <v>12.2</v>
      </c>
      <c r="AI134" s="95">
        <f>IF(ISNA(VLOOKUP($CZ134,'Audit Values'!$A$2:$BU$353,2,FALSE)),'Preliminary SO66'!AQ133,VLOOKUP($CZ134,'Audit Values'!$A$2:$BU$353,65,FALSE))</f>
        <v>0</v>
      </c>
      <c r="AJ134" s="95">
        <f>AI134*'Weighting Factors'!$Q$10</f>
        <v>0</v>
      </c>
      <c r="AK134" s="95">
        <f>IF(ISNA(VLOOKUP($CZ134,'Audit Values'!$A$2:$BU$353,2,FALSE)),'Preliminary SO66'!AR133,VLOOKUP($CZ134,'Audit Values'!$A$2:$BU$353,66,FALSE))</f>
        <v>570.5</v>
      </c>
      <c r="AL134" s="95"/>
      <c r="AM134" s="99">
        <f t="shared" si="88"/>
        <v>439285</v>
      </c>
      <c r="AN134" s="99">
        <v>489974</v>
      </c>
      <c r="AO134" s="95">
        <f>MAX(AN134, AM134)/'Weighting Factors'!$Q$5</f>
        <v>117.6</v>
      </c>
      <c r="AP134" s="95">
        <f>CN134/'Weighting Factors'!$Q$5</f>
        <v>0</v>
      </c>
      <c r="AQ134" s="95">
        <v>0</v>
      </c>
      <c r="AR134" s="95">
        <f>CS134/'Weighting Factors'!$Q$5</f>
        <v>0</v>
      </c>
      <c r="AS134" s="99">
        <v>763844</v>
      </c>
      <c r="AT134" s="95">
        <f>AS134/'Weighting Factors'!$Q$5</f>
        <v>183.4</v>
      </c>
      <c r="AU134" s="95">
        <f>IF(ISNA(VLOOKUP($CZ134,'Audit Values'!$A$2:$BU$353,2,FALSE)),'Preliminary SO66'!X133,VLOOKUP($CZ134,'Audit Values'!$A$2:$BU$353,47,FALSE))</f>
        <v>0</v>
      </c>
      <c r="AV134" s="95">
        <f t="shared" si="89"/>
        <v>1581.5</v>
      </c>
      <c r="AW134" s="95">
        <f t="shared" si="90"/>
        <v>1398.1</v>
      </c>
      <c r="AX134" s="95">
        <f>IF(ISNA(VLOOKUP($CZ134,'Audit Values'!$A$2:$BU$353,2,FALSE)),'Preliminary SO66'!AA133,VLOOKUP($CZ134,'Audit Values'!$A$2:$BU$353,41,FALSE))</f>
        <v>0</v>
      </c>
      <c r="AY134" s="95">
        <f>IF(ISNA(VLOOKUP($CZ134,'Audit Values'!$A$2:$BU$353,2,FALSE)),'Preliminary SO66'!AB133,VLOOKUP($CZ134,'Audit Values'!$A$2:$BU$353,42,FALSE))</f>
        <v>0</v>
      </c>
      <c r="AZ134" s="114">
        <v>0</v>
      </c>
      <c r="BA134" s="99">
        <f>SUM(AX134*'Weighting Factors'!$T$10)+('2019 Legal Max'!AY134*'Weighting Factors'!$T$11)+('2019 Legal Max'!AZ134*'Weighting Factors'!$T$12)</f>
        <v>0</v>
      </c>
      <c r="BB134" s="158">
        <v>0</v>
      </c>
      <c r="BC134" s="88">
        <f>IF(ISNA(VLOOKUP($CZ134,'Audit Values'!$A$2:$BU$353,2,FALSE)),"",IF(AND('Weighting Factors'!H134&gt;0,VLOOKUP($CZ134,'Audit Values'!$A$2:$BU$353,51,FALSE)&lt;'Weighting Factors'!H134),'Weighting Factors'!H134,VLOOKUP($CZ134,'Audit Values'!$A$2:$BU$353,50,FALSE)))</f>
        <v>25</v>
      </c>
      <c r="BD134" s="88" t="str">
        <f>IF(ISNA(VLOOKUP($CZ134,'Audit Values'!$A$2:$BV$353,2,FALSE)),"",VLOOKUP($CZ134,'Audit Values'!$A$2:$BV$353,51,FALSE))</f>
        <v>A</v>
      </c>
      <c r="BE134" s="88" t="str">
        <f>IF('Weighting Factors'!H134="","",IF('Weighting Factors'!J134="Pending","PX","R"))</f>
        <v/>
      </c>
      <c r="BF134" s="97">
        <f>SUM((S134+T134+Y134+AA134+AE134+AH134+AJ134++AO134+AP134+AQ134+AU134+AR134)*'Weighting Factors'!$Q$5)+'2019 Legal Max'!BA134+'2019 Legal Max'!BB134</f>
        <v>5823087</v>
      </c>
      <c r="BG134" s="99">
        <f>SUM((AV134+AR134)*'Weighting Factors'!$Q$5)+BA134+'2019 Legal Max'!BB134</f>
        <v>6586948</v>
      </c>
      <c r="BH134" s="108">
        <f>IF('Weighting Factors'!H134&gt;0,'Weighting Factors'!H134,'Preliminary SO66'!AV133)</f>
        <v>6762711</v>
      </c>
      <c r="BI134" s="99">
        <f t="shared" ref="BI134:BI197" si="114">MIN(BG134,BH134)</f>
        <v>6586948</v>
      </c>
      <c r="BJ134" s="112"/>
      <c r="BK134" s="112">
        <f>'Weighting Factors'!F134</f>
        <v>-2897</v>
      </c>
      <c r="BL134" s="112">
        <f>'Weighting Factors'!E134</f>
        <v>0</v>
      </c>
      <c r="BM134" s="99">
        <f t="shared" si="91"/>
        <v>-2897</v>
      </c>
      <c r="BN134" s="99">
        <f t="shared" si="92"/>
        <v>6584051</v>
      </c>
      <c r="BO134" s="99">
        <f>SUM((S134+T134+Y134+AA134+AE134+AH134+AJ134++AO134+AP134+AQ134+AR134)*'Weighting Factors'!Q$12)+(MAX(AS134,'Weighting Factors'!B134))</f>
        <v>7221356</v>
      </c>
      <c r="BP134" s="122">
        <v>0.3</v>
      </c>
      <c r="BQ134" s="99">
        <f t="shared" si="93"/>
        <v>2166407</v>
      </c>
      <c r="BR134" s="108">
        <v>2164432</v>
      </c>
      <c r="BS134" s="99">
        <f t="shared" si="94"/>
        <v>2164432</v>
      </c>
      <c r="BT134" s="167">
        <f t="shared" si="95"/>
        <v>0.29970000000000002</v>
      </c>
      <c r="BU134" s="95">
        <f t="shared" si="96"/>
        <v>0</v>
      </c>
      <c r="BV134" s="87" t="b">
        <f t="shared" si="97"/>
        <v>0</v>
      </c>
      <c r="BW134" s="117">
        <f t="shared" si="98"/>
        <v>0</v>
      </c>
      <c r="BX134" s="116">
        <f t="shared" si="99"/>
        <v>0</v>
      </c>
      <c r="BY134" s="95">
        <f t="shared" si="100"/>
        <v>0</v>
      </c>
      <c r="BZ134" s="87" t="b">
        <f t="shared" si="101"/>
        <v>1</v>
      </c>
      <c r="CA134" s="87">
        <f t="shared" si="102"/>
        <v>667.755</v>
      </c>
      <c r="CB134" s="116">
        <f t="shared" si="103"/>
        <v>0.30085800000000001</v>
      </c>
      <c r="CC134" s="95">
        <f t="shared" si="104"/>
        <v>252.6</v>
      </c>
      <c r="CD134" s="95">
        <f t="shared" si="105"/>
        <v>0</v>
      </c>
      <c r="CE134" s="98">
        <v>169</v>
      </c>
      <c r="CF134" s="250">
        <f t="shared" si="106"/>
        <v>3.3759999999999999</v>
      </c>
      <c r="CG134" s="274">
        <f>IF(CF134&lt;0.06,1,IF(CF134&gt;=18.29,52,MATCH(CF134-0.001,'Weighting Factors'!$Y$5:$Y$156)+1))</f>
        <v>41</v>
      </c>
      <c r="CH134" s="243">
        <f>VLOOKUP(CG134, 'Weighting Factors'!$W$5:$Z$56,4)</f>
        <v>770</v>
      </c>
      <c r="CI134" s="118">
        <f>('Weighting Factors'!$Q$5/'Weighting Factors'!$Q$14)</f>
        <v>1</v>
      </c>
      <c r="CJ134" s="245">
        <f t="shared" si="107"/>
        <v>439285</v>
      </c>
      <c r="CK134" s="245">
        <f>CJ134*'Weighting Factors'!$S$7</f>
        <v>439285</v>
      </c>
      <c r="CL134" s="245">
        <f t="shared" si="108"/>
        <v>439285</v>
      </c>
      <c r="CM134" s="95">
        <f>AM134/'Weighting Factors'!$Q$5</f>
        <v>105.5</v>
      </c>
      <c r="CN134" s="148">
        <v>0</v>
      </c>
      <c r="CO134" s="148">
        <v>0</v>
      </c>
      <c r="CP134" s="149">
        <v>0</v>
      </c>
      <c r="CQ134" s="151">
        <v>0</v>
      </c>
      <c r="CR134" s="99">
        <f>SUM((AV134*'Weighting Factors'!$Q$5)+'2019 Legal Max'!BA134)*CQ134</f>
        <v>0</v>
      </c>
      <c r="CS134" s="99">
        <f t="shared" si="109"/>
        <v>0</v>
      </c>
      <c r="CT134" s="106">
        <f t="shared" si="110"/>
        <v>0.39300000000000002</v>
      </c>
      <c r="CU134" s="95">
        <f t="shared" si="111"/>
        <v>0</v>
      </c>
      <c r="CV134" s="95">
        <f t="shared" si="112"/>
        <v>9.8000000000000007</v>
      </c>
      <c r="CW134" s="95">
        <f t="shared" si="113"/>
        <v>1581.5</v>
      </c>
      <c r="CX134" s="99">
        <f>'LOB Transfers'!G133</f>
        <v>217742</v>
      </c>
      <c r="CY134" s="99">
        <f>'LOB Transfers'!J133</f>
        <v>0</v>
      </c>
      <c r="CZ134" s="87" t="s">
        <v>326</v>
      </c>
    </row>
    <row r="135" spans="1:104" ht="15" customHeight="1">
      <c r="A135" s="88">
        <v>338</v>
      </c>
      <c r="B135" s="87" t="s">
        <v>59</v>
      </c>
      <c r="C135" s="87" t="s">
        <v>648</v>
      </c>
      <c r="D135" s="95">
        <v>358.5</v>
      </c>
      <c r="E135" s="95">
        <v>0</v>
      </c>
      <c r="F135" s="95">
        <f t="shared" si="80"/>
        <v>358.5</v>
      </c>
      <c r="G135" s="95">
        <v>370</v>
      </c>
      <c r="H135" s="95">
        <v>0</v>
      </c>
      <c r="I135" s="95">
        <f t="shared" si="81"/>
        <v>370</v>
      </c>
      <c r="J135" s="95">
        <v>355.5</v>
      </c>
      <c r="K135" s="95">
        <v>0</v>
      </c>
      <c r="L135" s="95">
        <f t="shared" si="82"/>
        <v>355.5</v>
      </c>
      <c r="M135" s="95">
        <f>IF(ISNA(VLOOKUP($CZ135,'Audit Values'!$A$2:$BW$365,2,FALSE)),'Preliminary SO66'!C134,VLOOKUP($CZ135,'Audit Values'!$A$2:$BW$365,73,FALSE))</f>
        <v>363</v>
      </c>
      <c r="N135" s="95">
        <f>IF(ISNA(VLOOKUP($CZ135,'Audit Values'!$A$2:$BW$365,2,FALSE)),'Preliminary SO66'!F134,VLOOKUP($CZ135,'Audit Values'!$A$2:$BW$365,4,FALSE))</f>
        <v>0</v>
      </c>
      <c r="O135" s="95">
        <f t="shared" si="83"/>
        <v>363</v>
      </c>
      <c r="P135" s="95">
        <f>IF('Military Provision'!J136="YES", MAX('2019 Legal Max'!L135,'2019 Legal Max'!I135,AVERAGE('2019 Legal Max'!F135,'2019 Legal Max'!I135,'2019 Legal Max'!L135)), MAX(L135, I135))</f>
        <v>370</v>
      </c>
      <c r="Q135" s="95">
        <f>IF(ISNA(VLOOKUP($CZ135,'Audit Values'!$A$2:$BU$353,2,FALSE)),'Preliminary SO66'!AL134,VLOOKUP($CZ135,'Audit Values'!$A$2:$BU$3955,58,FALSE))</f>
        <v>3.5</v>
      </c>
      <c r="R135" s="95">
        <v>0</v>
      </c>
      <c r="S135" s="95">
        <f t="shared" si="79"/>
        <v>373.5</v>
      </c>
      <c r="T135" s="95">
        <f t="shared" si="84"/>
        <v>171.5</v>
      </c>
      <c r="U135" s="95">
        <f>IF(ISNA(VLOOKUP($CZ135,'Audit Values'!$A$2:$BW$317,2,FALSE)),'Preliminary SO66'!AM134,VLOOKUP($CZ135,'Audit Values'!$A$2:$BW$317,62,FALSE))</f>
        <v>0</v>
      </c>
      <c r="V135" s="95">
        <f>(U135/6)*'Weighting Factors'!$Q$7</f>
        <v>0</v>
      </c>
      <c r="W135" s="132">
        <f>IF(ISNA(VLOOKUP($CZ135,'Audit Values'!$A$2:$BW$353,2,FALSE)),'Preliminary SO66'!AN134,VLOOKUP($CZ135,'Audit Values'!$A$2:$BW$353,61,FALSE))</f>
        <v>0</v>
      </c>
      <c r="X135" s="95">
        <f>W135*'Weighting Factors'!$Q$8</f>
        <v>0</v>
      </c>
      <c r="Y135" s="95">
        <f t="shared" si="85"/>
        <v>0</v>
      </c>
      <c r="Z135" s="276">
        <f>IF(ISNA(VLOOKUP($CZ135,'Audit Values'!$A$2:$BW$317,2,FALSE)),'Preliminary SO66'!AO134,VLOOKUP($CZ135,'Audit Values'!$A$2:$BW$317,60,FALSE))</f>
        <v>74.2</v>
      </c>
      <c r="AA135" s="95">
        <f>Z135/6*'Weighting Factors'!$Q$6</f>
        <v>6.2</v>
      </c>
      <c r="AB135" s="99">
        <f>IF(ISNA(VLOOKUP($CZ135,'Audit Values'!$A$2:$BU$353,2,FALSE)),'Preliminary SO66'!AS134,VLOOKUP($CZ135,'Audit Values'!$A$2:$BU$353,63,FALSE))</f>
        <v>375</v>
      </c>
      <c r="AC135" s="99">
        <v>0</v>
      </c>
      <c r="AD135" s="99">
        <f>IF(ISNA(VLOOKUP($CZ135,'Audit Values'!$A$2:$BU$353,2,FALSE)),'Preliminary SO66'!AP134,VLOOKUP($CZ135,'Audit Values'!$A$2:$BU$353,64,FALSE))</f>
        <v>94</v>
      </c>
      <c r="AE135" s="95">
        <f>IF(A135=207, AD135,MAX(AC135,AD135))*'Weighting Factors'!$Q$9</f>
        <v>45.5</v>
      </c>
      <c r="AF135" s="95">
        <f t="shared" si="86"/>
        <v>0</v>
      </c>
      <c r="AG135" s="95">
        <f>IF(ISNA(VLOOKUP($CZ135,'Audit Values'!$A$2:$BW$353,2,FALSE)),'Preliminary SO66'!AG134,VLOOKUP($CZ135,'Audit Values'!$A$2:$BW$353,70,FALSE))</f>
        <v>0</v>
      </c>
      <c r="AH135" s="95">
        <f t="shared" si="87"/>
        <v>0</v>
      </c>
      <c r="AI135" s="95">
        <f>IF(ISNA(VLOOKUP($CZ135,'Audit Values'!$A$2:$BU$353,2,FALSE)),'Preliminary SO66'!AQ134,VLOOKUP($CZ135,'Audit Values'!$A$2:$BU$353,65,FALSE))</f>
        <v>0</v>
      </c>
      <c r="AJ135" s="95">
        <f>AI135*'Weighting Factors'!$Q$10</f>
        <v>0</v>
      </c>
      <c r="AK135" s="95">
        <f>IF(ISNA(VLOOKUP($CZ135,'Audit Values'!$A$2:$BU$353,2,FALSE)),'Preliminary SO66'!AR134,VLOOKUP($CZ135,'Audit Values'!$A$2:$BU$353,66,FALSE))</f>
        <v>116</v>
      </c>
      <c r="AL135" s="95"/>
      <c r="AM135" s="99">
        <f t="shared" si="88"/>
        <v>110200</v>
      </c>
      <c r="AN135" s="99">
        <v>129812</v>
      </c>
      <c r="AO135" s="95">
        <f>MAX(AN135, AM135)/'Weighting Factors'!$Q$5</f>
        <v>31.2</v>
      </c>
      <c r="AP135" s="95">
        <f>CN135/'Weighting Factors'!$Q$5</f>
        <v>0</v>
      </c>
      <c r="AQ135" s="95">
        <v>0</v>
      </c>
      <c r="AR135" s="95">
        <f>CS135/'Weighting Factors'!$Q$5</f>
        <v>0</v>
      </c>
      <c r="AS135" s="99">
        <v>637354</v>
      </c>
      <c r="AT135" s="95">
        <f>AS135/'Weighting Factors'!$Q$5</f>
        <v>153</v>
      </c>
      <c r="AU135" s="95">
        <f>IF(ISNA(VLOOKUP($CZ135,'Audit Values'!$A$2:$BU$353,2,FALSE)),'Preliminary SO66'!X134,VLOOKUP($CZ135,'Audit Values'!$A$2:$BU$353,47,FALSE))</f>
        <v>0</v>
      </c>
      <c r="AV135" s="95">
        <f t="shared" si="89"/>
        <v>780.9</v>
      </c>
      <c r="AW135" s="95">
        <f t="shared" si="90"/>
        <v>627.9</v>
      </c>
      <c r="AX135" s="95">
        <f>IF(ISNA(VLOOKUP($CZ135,'Audit Values'!$A$2:$BU$353,2,FALSE)),'Preliminary SO66'!AA134,VLOOKUP($CZ135,'Audit Values'!$A$2:$BU$353,41,FALSE))</f>
        <v>0</v>
      </c>
      <c r="AY135" s="95">
        <f>IF(ISNA(VLOOKUP($CZ135,'Audit Values'!$A$2:$BU$353,2,FALSE)),'Preliminary SO66'!AB134,VLOOKUP($CZ135,'Audit Values'!$A$2:$BU$353,42,FALSE))</f>
        <v>0</v>
      </c>
      <c r="AZ135" s="114">
        <v>0</v>
      </c>
      <c r="BA135" s="99">
        <f>SUM(AX135*'Weighting Factors'!$T$10)+('2019 Legal Max'!AY135*'Weighting Factors'!$T$11)+('2019 Legal Max'!AZ135*'Weighting Factors'!$T$12)</f>
        <v>0</v>
      </c>
      <c r="BB135" s="158">
        <v>0</v>
      </c>
      <c r="BC135" s="88">
        <f>IF(ISNA(VLOOKUP($CZ135,'Audit Values'!$A$2:$BU$353,2,FALSE)),"",IF(AND('Weighting Factors'!H135&gt;0,VLOOKUP($CZ135,'Audit Values'!$A$2:$BU$353,51,FALSE)&lt;'Weighting Factors'!H135),'Weighting Factors'!H135,VLOOKUP($CZ135,'Audit Values'!$A$2:$BU$353,50,FALSE)))</f>
        <v>4</v>
      </c>
      <c r="BD135" s="88" t="str">
        <f>IF(ISNA(VLOOKUP($CZ135,'Audit Values'!$A$2:$BV$353,2,FALSE)),"",VLOOKUP($CZ135,'Audit Values'!$A$2:$BV$353,51,FALSE))</f>
        <v>A</v>
      </c>
      <c r="BE135" s="88" t="str">
        <f>IF('Weighting Factors'!H135="","",IF('Weighting Factors'!J135="Pending","PX","R"))</f>
        <v/>
      </c>
      <c r="BF135" s="97">
        <f>SUM((S135+T135+Y135+AA135+AE135+AH135+AJ135++AO135+AP135+AQ135+AU135+AR135)*'Weighting Factors'!$Q$5)+'2019 Legal Max'!BA135+'2019 Legal Max'!BB135</f>
        <v>2615204</v>
      </c>
      <c r="BG135" s="99">
        <f>SUM((AV135+AR135)*'Weighting Factors'!$Q$5)+BA135+'2019 Legal Max'!BB135</f>
        <v>3252449</v>
      </c>
      <c r="BH135" s="108">
        <f>IF('Weighting Factors'!H135&gt;0,'Weighting Factors'!H135,'Preliminary SO66'!AV134)</f>
        <v>3347827</v>
      </c>
      <c r="BI135" s="99">
        <f t="shared" si="114"/>
        <v>3252449</v>
      </c>
      <c r="BJ135" s="112"/>
      <c r="BK135" s="112">
        <f>'Weighting Factors'!F135</f>
        <v>0</v>
      </c>
      <c r="BL135" s="112">
        <f>'Weighting Factors'!E135</f>
        <v>0</v>
      </c>
      <c r="BM135" s="99">
        <f t="shared" si="91"/>
        <v>0</v>
      </c>
      <c r="BN135" s="99">
        <f t="shared" si="92"/>
        <v>3252449</v>
      </c>
      <c r="BO135" s="99">
        <f>SUM((S135+T135+Y135+AA135+AE135+AH135+AJ135++AO135+AP135+AQ135+AR135)*'Weighting Factors'!Q$12)+(MAX(AS135,'Weighting Factors'!B135))</f>
        <v>3456625</v>
      </c>
      <c r="BP135" s="122">
        <v>0.33</v>
      </c>
      <c r="BQ135" s="99">
        <f t="shared" si="93"/>
        <v>1140686</v>
      </c>
      <c r="BR135" s="108">
        <v>1172161</v>
      </c>
      <c r="BS135" s="99">
        <f t="shared" si="94"/>
        <v>1140686</v>
      </c>
      <c r="BT135" s="167">
        <f t="shared" si="95"/>
        <v>0.33</v>
      </c>
      <c r="BU135" s="95">
        <f t="shared" si="96"/>
        <v>0</v>
      </c>
      <c r="BV135" s="87" t="b">
        <f t="shared" si="97"/>
        <v>0</v>
      </c>
      <c r="BW135" s="117">
        <f t="shared" si="98"/>
        <v>0</v>
      </c>
      <c r="BX135" s="116">
        <f t="shared" si="99"/>
        <v>0</v>
      </c>
      <c r="BY135" s="95">
        <f t="shared" si="100"/>
        <v>0</v>
      </c>
      <c r="BZ135" s="87" t="b">
        <f t="shared" si="101"/>
        <v>1</v>
      </c>
      <c r="CA135" s="87">
        <f t="shared" si="102"/>
        <v>90.956299999999999</v>
      </c>
      <c r="CB135" s="116">
        <f t="shared" si="103"/>
        <v>0.45921499999999998</v>
      </c>
      <c r="CC135" s="95">
        <f t="shared" si="104"/>
        <v>171.5</v>
      </c>
      <c r="CD135" s="95">
        <f t="shared" si="105"/>
        <v>0</v>
      </c>
      <c r="CE135" s="98">
        <v>115</v>
      </c>
      <c r="CF135" s="250">
        <f t="shared" si="106"/>
        <v>1.0089999999999999</v>
      </c>
      <c r="CG135" s="274">
        <f>IF(CF135&lt;0.06,1,IF(CF135&gt;=18.29,52,MATCH(CF135-0.001,'Weighting Factors'!$Y$5:$Y$156)+1))</f>
        <v>32</v>
      </c>
      <c r="CH135" s="243">
        <f>VLOOKUP(CG135, 'Weighting Factors'!$W$5:$Z$56,4)</f>
        <v>950</v>
      </c>
      <c r="CI135" s="118">
        <f>('Weighting Factors'!$Q$5/'Weighting Factors'!$Q$14)</f>
        <v>1</v>
      </c>
      <c r="CJ135" s="245">
        <f t="shared" si="107"/>
        <v>110200</v>
      </c>
      <c r="CK135" s="245">
        <f>CJ135*'Weighting Factors'!$S$7</f>
        <v>110200</v>
      </c>
      <c r="CL135" s="245">
        <f t="shared" si="108"/>
        <v>110200</v>
      </c>
      <c r="CM135" s="95">
        <f>AM135/'Weighting Factors'!$Q$5</f>
        <v>26.5</v>
      </c>
      <c r="CN135" s="148">
        <v>0</v>
      </c>
      <c r="CO135" s="148">
        <v>0</v>
      </c>
      <c r="CP135" s="149">
        <v>0</v>
      </c>
      <c r="CQ135" s="151">
        <v>0</v>
      </c>
      <c r="CR135" s="99">
        <f>SUM((AV135*'Weighting Factors'!$Q$5)+'2019 Legal Max'!BA135)*CQ135</f>
        <v>0</v>
      </c>
      <c r="CS135" s="99">
        <f t="shared" si="109"/>
        <v>0</v>
      </c>
      <c r="CT135" s="106">
        <f t="shared" si="110"/>
        <v>0.25069999999999998</v>
      </c>
      <c r="CU135" s="95">
        <f t="shared" si="111"/>
        <v>0</v>
      </c>
      <c r="CV135" s="95">
        <f t="shared" si="112"/>
        <v>0</v>
      </c>
      <c r="CW135" s="95">
        <f t="shared" si="113"/>
        <v>780.9</v>
      </c>
      <c r="CX135" s="99">
        <f>'LOB Transfers'!G134</f>
        <v>66730</v>
      </c>
      <c r="CY135" s="99">
        <f>'LOB Transfers'!J134</f>
        <v>0</v>
      </c>
      <c r="CZ135" s="87" t="s">
        <v>327</v>
      </c>
    </row>
    <row r="136" spans="1:104" ht="15" customHeight="1">
      <c r="A136" s="88">
        <v>339</v>
      </c>
      <c r="B136" s="87" t="s">
        <v>59</v>
      </c>
      <c r="C136" s="87" t="s">
        <v>649</v>
      </c>
      <c r="D136" s="95">
        <v>420</v>
      </c>
      <c r="E136" s="95">
        <v>0</v>
      </c>
      <c r="F136" s="95">
        <f t="shared" si="80"/>
        <v>420</v>
      </c>
      <c r="G136" s="95">
        <v>449.5</v>
      </c>
      <c r="H136" s="95">
        <v>0</v>
      </c>
      <c r="I136" s="95">
        <f t="shared" si="81"/>
        <v>449.5</v>
      </c>
      <c r="J136" s="95">
        <v>448.5</v>
      </c>
      <c r="K136" s="95">
        <v>0</v>
      </c>
      <c r="L136" s="95">
        <f t="shared" si="82"/>
        <v>448.5</v>
      </c>
      <c r="M136" s="95">
        <f>IF(ISNA(VLOOKUP($CZ136,'Audit Values'!$A$2:$BW$365,2,FALSE)),'Preliminary SO66'!C135,VLOOKUP($CZ136,'Audit Values'!$A$2:$BW$365,73,FALSE))</f>
        <v>447.5</v>
      </c>
      <c r="N136" s="95">
        <f>IF(ISNA(VLOOKUP($CZ136,'Audit Values'!$A$2:$BW$365,2,FALSE)),'Preliminary SO66'!F135,VLOOKUP($CZ136,'Audit Values'!$A$2:$BW$365,4,FALSE))</f>
        <v>0</v>
      </c>
      <c r="O136" s="95">
        <f t="shared" si="83"/>
        <v>447.5</v>
      </c>
      <c r="P136" s="95">
        <f>IF('Military Provision'!J137="YES", MAX('2019 Legal Max'!L136,'2019 Legal Max'!I136,AVERAGE('2019 Legal Max'!F136,'2019 Legal Max'!I136,'2019 Legal Max'!L136)), MAX(L136, I136))</f>
        <v>449.5</v>
      </c>
      <c r="Q136" s="95">
        <f>IF(ISNA(VLOOKUP($CZ136,'Audit Values'!$A$2:$BU$353,2,FALSE)),'Preliminary SO66'!AL135,VLOOKUP($CZ136,'Audit Values'!$A$2:$BU$3955,58,FALSE))</f>
        <v>7</v>
      </c>
      <c r="R136" s="95">
        <v>0</v>
      </c>
      <c r="S136" s="95">
        <f t="shared" si="79"/>
        <v>456.5</v>
      </c>
      <c r="T136" s="95">
        <f t="shared" si="84"/>
        <v>196.8</v>
      </c>
      <c r="U136" s="95">
        <f>IF(ISNA(VLOOKUP($CZ136,'Audit Values'!$A$2:$BW$317,2,FALSE)),'Preliminary SO66'!AM135,VLOOKUP($CZ136,'Audit Values'!$A$2:$BW$317,62,FALSE))</f>
        <v>0</v>
      </c>
      <c r="V136" s="95">
        <f>(U136/6)*'Weighting Factors'!$Q$7</f>
        <v>0</v>
      </c>
      <c r="W136" s="132">
        <f>IF(ISNA(VLOOKUP($CZ136,'Audit Values'!$A$2:$BW$353,2,FALSE)),'Preliminary SO66'!AN135,VLOOKUP($CZ136,'Audit Values'!$A$2:$BW$353,61,FALSE))</f>
        <v>0</v>
      </c>
      <c r="X136" s="95">
        <f>W136*'Weighting Factors'!$Q$8</f>
        <v>0</v>
      </c>
      <c r="Y136" s="95">
        <f t="shared" si="85"/>
        <v>0</v>
      </c>
      <c r="Z136" s="276">
        <f>IF(ISNA(VLOOKUP($CZ136,'Audit Values'!$A$2:$BW$317,2,FALSE)),'Preliminary SO66'!AO135,VLOOKUP($CZ136,'Audit Values'!$A$2:$BW$317,60,FALSE))</f>
        <v>72.7</v>
      </c>
      <c r="AA136" s="95">
        <f>Z136/6*'Weighting Factors'!$Q$6</f>
        <v>6.1</v>
      </c>
      <c r="AB136" s="99">
        <f>IF(ISNA(VLOOKUP($CZ136,'Audit Values'!$A$2:$BU$353,2,FALSE)),'Preliminary SO66'!AS135,VLOOKUP($CZ136,'Audit Values'!$A$2:$BU$353,63,FALSE))</f>
        <v>466</v>
      </c>
      <c r="AC136" s="99">
        <v>0</v>
      </c>
      <c r="AD136" s="99">
        <f>IF(ISNA(VLOOKUP($CZ136,'Audit Values'!$A$2:$BU$353,2,FALSE)),'Preliminary SO66'!AP135,VLOOKUP($CZ136,'Audit Values'!$A$2:$BU$353,64,FALSE))</f>
        <v>115</v>
      </c>
      <c r="AE136" s="95">
        <f>IF(A136=207, AD136,MAX(AC136,AD136))*'Weighting Factors'!$Q$9</f>
        <v>55.7</v>
      </c>
      <c r="AF136" s="95">
        <f t="shared" si="86"/>
        <v>0</v>
      </c>
      <c r="AG136" s="95">
        <f>IF(ISNA(VLOOKUP($CZ136,'Audit Values'!$A$2:$BW$353,2,FALSE)),'Preliminary SO66'!AG135,VLOOKUP($CZ136,'Audit Values'!$A$2:$BW$353,70,FALSE))</f>
        <v>0</v>
      </c>
      <c r="AH136" s="95">
        <f t="shared" si="87"/>
        <v>0</v>
      </c>
      <c r="AI136" s="95">
        <f>IF(ISNA(VLOOKUP($CZ136,'Audit Values'!$A$2:$BU$353,2,FALSE)),'Preliminary SO66'!AQ135,VLOOKUP($CZ136,'Audit Values'!$A$2:$BU$353,65,FALSE))</f>
        <v>0</v>
      </c>
      <c r="AJ136" s="95">
        <f>AI136*'Weighting Factors'!$Q$10</f>
        <v>0</v>
      </c>
      <c r="AK136" s="95">
        <f>IF(ISNA(VLOOKUP($CZ136,'Audit Values'!$A$2:$BU$353,2,FALSE)),'Preliminary SO66'!AR135,VLOOKUP($CZ136,'Audit Values'!$A$2:$BU$353,66,FALSE))</f>
        <v>207.5</v>
      </c>
      <c r="AL136" s="95"/>
      <c r="AM136" s="99">
        <f t="shared" si="88"/>
        <v>176375</v>
      </c>
      <c r="AN136" s="99">
        <v>197222</v>
      </c>
      <c r="AO136" s="95">
        <f>MAX(AN136, AM136)/'Weighting Factors'!$Q$5</f>
        <v>47.4</v>
      </c>
      <c r="AP136" s="95">
        <f>CN136/'Weighting Factors'!$Q$5</f>
        <v>0</v>
      </c>
      <c r="AQ136" s="95">
        <v>0</v>
      </c>
      <c r="AR136" s="95">
        <f>CS136/'Weighting Factors'!$Q$5</f>
        <v>0</v>
      </c>
      <c r="AS136" s="99">
        <v>743148</v>
      </c>
      <c r="AT136" s="95">
        <f>AS136/'Weighting Factors'!$Q$5</f>
        <v>178.4</v>
      </c>
      <c r="AU136" s="95">
        <f>IF(ISNA(VLOOKUP($CZ136,'Audit Values'!$A$2:$BU$353,2,FALSE)),'Preliminary SO66'!X135,VLOOKUP($CZ136,'Audit Values'!$A$2:$BU$353,47,FALSE))</f>
        <v>0</v>
      </c>
      <c r="AV136" s="95">
        <f t="shared" si="89"/>
        <v>940.9</v>
      </c>
      <c r="AW136" s="95">
        <f t="shared" si="90"/>
        <v>762.5</v>
      </c>
      <c r="AX136" s="95">
        <f>IF(ISNA(VLOOKUP($CZ136,'Audit Values'!$A$2:$BU$353,2,FALSE)),'Preliminary SO66'!AA135,VLOOKUP($CZ136,'Audit Values'!$A$2:$BU$353,41,FALSE))</f>
        <v>0</v>
      </c>
      <c r="AY136" s="95">
        <f>IF(ISNA(VLOOKUP($CZ136,'Audit Values'!$A$2:$BU$353,2,FALSE)),'Preliminary SO66'!AB135,VLOOKUP($CZ136,'Audit Values'!$A$2:$BU$353,42,FALSE))</f>
        <v>0</v>
      </c>
      <c r="AZ136" s="114">
        <v>0</v>
      </c>
      <c r="BA136" s="99">
        <f>SUM(AX136*'Weighting Factors'!$T$10)+('2019 Legal Max'!AY136*'Weighting Factors'!$T$11)+('2019 Legal Max'!AZ136*'Weighting Factors'!$T$12)</f>
        <v>0</v>
      </c>
      <c r="BB136" s="158">
        <v>0</v>
      </c>
      <c r="BC136" s="88">
        <f>IF(ISNA(VLOOKUP($CZ136,'Audit Values'!$A$2:$BU$353,2,FALSE)),"",IF(AND('Weighting Factors'!H136&gt;0,VLOOKUP($CZ136,'Audit Values'!$A$2:$BU$353,51,FALSE)&lt;'Weighting Factors'!H136),'Weighting Factors'!H136,VLOOKUP($CZ136,'Audit Values'!$A$2:$BU$353,50,FALSE)))</f>
        <v>17</v>
      </c>
      <c r="BD136" s="88" t="str">
        <f>IF(ISNA(VLOOKUP($CZ136,'Audit Values'!$A$2:$BV$353,2,FALSE)),"",VLOOKUP($CZ136,'Audit Values'!$A$2:$BV$353,51,FALSE))</f>
        <v>A</v>
      </c>
      <c r="BE136" s="88" t="str">
        <f>IF('Weighting Factors'!H136="","",IF('Weighting Factors'!J136="Pending","PX","R"))</f>
        <v/>
      </c>
      <c r="BF136" s="97">
        <f>SUM((S136+T136+Y136+AA136+AE136+AH136+AJ136++AO136+AP136+AQ136+AU136+AR136)*'Weighting Factors'!$Q$5)+'2019 Legal Max'!BA136+'2019 Legal Max'!BB136</f>
        <v>3175813</v>
      </c>
      <c r="BG136" s="99">
        <f>SUM((AV136+AR136)*'Weighting Factors'!$Q$5)+BA136+'2019 Legal Max'!BB136</f>
        <v>3918849</v>
      </c>
      <c r="BH136" s="108">
        <f>IF('Weighting Factors'!H136&gt;0,'Weighting Factors'!H136,'Preliminary SO66'!AV135)</f>
        <v>4033386</v>
      </c>
      <c r="BI136" s="99">
        <f t="shared" si="114"/>
        <v>3918849</v>
      </c>
      <c r="BJ136" s="112"/>
      <c r="BK136" s="112">
        <f>'Weighting Factors'!F136</f>
        <v>0</v>
      </c>
      <c r="BL136" s="112">
        <f>'Weighting Factors'!E136</f>
        <v>0</v>
      </c>
      <c r="BM136" s="99">
        <f t="shared" si="91"/>
        <v>0</v>
      </c>
      <c r="BN136" s="99">
        <f t="shared" si="92"/>
        <v>3918849</v>
      </c>
      <c r="BO136" s="99">
        <f>SUM((S136+T136+Y136+AA136+AE136+AH136+AJ136++AO136+AP136+AQ136+AR136)*'Weighting Factors'!Q$12)+(MAX(AS136,'Weighting Factors'!B136))</f>
        <v>4166773</v>
      </c>
      <c r="BP136" s="122">
        <v>0.3</v>
      </c>
      <c r="BQ136" s="99">
        <f t="shared" si="93"/>
        <v>1250032</v>
      </c>
      <c r="BR136" s="108">
        <v>1285326</v>
      </c>
      <c r="BS136" s="99">
        <f t="shared" si="94"/>
        <v>1250032</v>
      </c>
      <c r="BT136" s="167">
        <f t="shared" si="95"/>
        <v>0.3</v>
      </c>
      <c r="BU136" s="95">
        <f t="shared" si="96"/>
        <v>0</v>
      </c>
      <c r="BV136" s="87" t="b">
        <f t="shared" si="97"/>
        <v>0</v>
      </c>
      <c r="BW136" s="117">
        <f t="shared" si="98"/>
        <v>0</v>
      </c>
      <c r="BX136" s="116">
        <f t="shared" si="99"/>
        <v>0</v>
      </c>
      <c r="BY136" s="95">
        <f t="shared" si="100"/>
        <v>0</v>
      </c>
      <c r="BZ136" s="87" t="b">
        <f t="shared" si="101"/>
        <v>1</v>
      </c>
      <c r="CA136" s="87">
        <f t="shared" si="102"/>
        <v>193.6688</v>
      </c>
      <c r="CB136" s="116">
        <f t="shared" si="103"/>
        <v>0.43101600000000001</v>
      </c>
      <c r="CC136" s="95">
        <f t="shared" si="104"/>
        <v>196.8</v>
      </c>
      <c r="CD136" s="95">
        <f t="shared" si="105"/>
        <v>0</v>
      </c>
      <c r="CE136" s="98">
        <v>114</v>
      </c>
      <c r="CF136" s="250">
        <f t="shared" si="106"/>
        <v>1.82</v>
      </c>
      <c r="CG136" s="274">
        <f>IF(CF136&lt;0.06,1,IF(CF136&gt;=18.29,52,MATCH(CF136-0.001,'Weighting Factors'!$Y$5:$Y$156)+1))</f>
        <v>37</v>
      </c>
      <c r="CH136" s="243">
        <f>VLOOKUP(CG136, 'Weighting Factors'!$W$5:$Z$56,4)</f>
        <v>850</v>
      </c>
      <c r="CI136" s="118">
        <f>('Weighting Factors'!$Q$5/'Weighting Factors'!$Q$14)</f>
        <v>1</v>
      </c>
      <c r="CJ136" s="245">
        <f t="shared" si="107"/>
        <v>176375</v>
      </c>
      <c r="CK136" s="245">
        <f>CJ136*'Weighting Factors'!$S$7</f>
        <v>176375</v>
      </c>
      <c r="CL136" s="245">
        <f t="shared" si="108"/>
        <v>176375</v>
      </c>
      <c r="CM136" s="95">
        <f>AM136/'Weighting Factors'!$Q$5</f>
        <v>42.3</v>
      </c>
      <c r="CN136" s="148">
        <v>0</v>
      </c>
      <c r="CO136" s="148">
        <v>0</v>
      </c>
      <c r="CP136" s="149">
        <v>0</v>
      </c>
      <c r="CQ136" s="151">
        <v>0</v>
      </c>
      <c r="CR136" s="99">
        <f>SUM((AV136*'Weighting Factors'!$Q$5)+'2019 Legal Max'!BA136)*CQ136</f>
        <v>0</v>
      </c>
      <c r="CS136" s="99">
        <f t="shared" si="109"/>
        <v>0</v>
      </c>
      <c r="CT136" s="106">
        <f t="shared" si="110"/>
        <v>0.24679999999999999</v>
      </c>
      <c r="CU136" s="95">
        <f t="shared" si="111"/>
        <v>0</v>
      </c>
      <c r="CV136" s="95">
        <f t="shared" si="112"/>
        <v>0</v>
      </c>
      <c r="CW136" s="95">
        <f t="shared" si="113"/>
        <v>940.9</v>
      </c>
      <c r="CX136" s="99">
        <f>'LOB Transfers'!G135</f>
        <v>74502</v>
      </c>
      <c r="CY136" s="99">
        <f>'LOB Transfers'!J135</f>
        <v>0</v>
      </c>
      <c r="CZ136" s="87" t="s">
        <v>328</v>
      </c>
    </row>
    <row r="137" spans="1:104" ht="15" customHeight="1">
      <c r="A137" s="88">
        <v>340</v>
      </c>
      <c r="B137" s="87" t="s">
        <v>59</v>
      </c>
      <c r="C137" s="87" t="s">
        <v>650</v>
      </c>
      <c r="D137" s="95">
        <v>835</v>
      </c>
      <c r="E137" s="95">
        <v>0</v>
      </c>
      <c r="F137" s="95">
        <f t="shared" si="80"/>
        <v>835</v>
      </c>
      <c r="G137" s="95">
        <v>855</v>
      </c>
      <c r="H137" s="95">
        <v>0</v>
      </c>
      <c r="I137" s="95">
        <f t="shared" si="81"/>
        <v>855</v>
      </c>
      <c r="J137" s="95">
        <v>848.2</v>
      </c>
      <c r="K137" s="95">
        <v>0</v>
      </c>
      <c r="L137" s="95">
        <f t="shared" si="82"/>
        <v>848.2</v>
      </c>
      <c r="M137" s="95">
        <f>IF(ISNA(VLOOKUP($CZ137,'Audit Values'!$A$2:$BW$365,2,FALSE)),'Preliminary SO66'!C136,VLOOKUP($CZ137,'Audit Values'!$A$2:$BW$365,73,FALSE))</f>
        <v>841.7</v>
      </c>
      <c r="N137" s="95">
        <f>IF(ISNA(VLOOKUP($CZ137,'Audit Values'!$A$2:$BW$365,2,FALSE)),'Preliminary SO66'!F136,VLOOKUP($CZ137,'Audit Values'!$A$2:$BW$365,4,FALSE))</f>
        <v>0</v>
      </c>
      <c r="O137" s="95">
        <f t="shared" si="83"/>
        <v>841.7</v>
      </c>
      <c r="P137" s="95">
        <f>IF('Military Provision'!J138="YES", MAX('2019 Legal Max'!L137,'2019 Legal Max'!I137,AVERAGE('2019 Legal Max'!F137,'2019 Legal Max'!I137,'2019 Legal Max'!L137)), MAX(L137, I137))</f>
        <v>855</v>
      </c>
      <c r="Q137" s="95">
        <f>IF(ISNA(VLOOKUP($CZ137,'Audit Values'!$A$2:$BU$353,2,FALSE)),'Preliminary SO66'!AL136,VLOOKUP($CZ137,'Audit Values'!$A$2:$BU$3955,58,FALSE))</f>
        <v>0</v>
      </c>
      <c r="R137" s="95">
        <v>0</v>
      </c>
      <c r="S137" s="95">
        <f t="shared" si="79"/>
        <v>855</v>
      </c>
      <c r="T137" s="95">
        <f t="shared" si="84"/>
        <v>252.8</v>
      </c>
      <c r="U137" s="95">
        <f>IF(ISNA(VLOOKUP($CZ137,'Audit Values'!$A$2:$BW$317,2,FALSE)),'Preliminary SO66'!AM136,VLOOKUP($CZ137,'Audit Values'!$A$2:$BW$317,62,FALSE))</f>
        <v>0</v>
      </c>
      <c r="V137" s="95">
        <f>(U137/6)*'Weighting Factors'!$Q$7</f>
        <v>0</v>
      </c>
      <c r="W137" s="132">
        <f>IF(ISNA(VLOOKUP($CZ137,'Audit Values'!$A$2:$BW$353,2,FALSE)),'Preliminary SO66'!AN136,VLOOKUP($CZ137,'Audit Values'!$A$2:$BW$353,61,FALSE))</f>
        <v>0</v>
      </c>
      <c r="X137" s="95">
        <f>W137*'Weighting Factors'!$Q$8</f>
        <v>0</v>
      </c>
      <c r="Y137" s="95">
        <f t="shared" si="85"/>
        <v>0</v>
      </c>
      <c r="Z137" s="276">
        <f>IF(ISNA(VLOOKUP($CZ137,'Audit Values'!$A$2:$BW$317,2,FALSE)),'Preliminary SO66'!AO136,VLOOKUP($CZ137,'Audit Values'!$A$2:$BW$317,60,FALSE))</f>
        <v>255.7</v>
      </c>
      <c r="AA137" s="95">
        <f>Z137/6*'Weighting Factors'!$Q$6</f>
        <v>21.3</v>
      </c>
      <c r="AB137" s="99">
        <f>IF(ISNA(VLOOKUP($CZ137,'Audit Values'!$A$2:$BU$353,2,FALSE)),'Preliminary SO66'!AS136,VLOOKUP($CZ137,'Audit Values'!$A$2:$BU$353,63,FALSE))</f>
        <v>847</v>
      </c>
      <c r="AC137" s="99">
        <v>0</v>
      </c>
      <c r="AD137" s="99">
        <f>IF(ISNA(VLOOKUP($CZ137,'Audit Values'!$A$2:$BU$353,2,FALSE)),'Preliminary SO66'!AP136,VLOOKUP($CZ137,'Audit Values'!$A$2:$BU$353,64,FALSE))</f>
        <v>192</v>
      </c>
      <c r="AE137" s="95">
        <f>IF(A137=207, AD137,MAX(AC137,AD137))*'Weighting Factors'!$Q$9</f>
        <v>92.9</v>
      </c>
      <c r="AF137" s="95">
        <f t="shared" si="86"/>
        <v>0</v>
      </c>
      <c r="AG137" s="95">
        <f>IF(ISNA(VLOOKUP($CZ137,'Audit Values'!$A$2:$BW$353,2,FALSE)),'Preliminary SO66'!AG136,VLOOKUP($CZ137,'Audit Values'!$A$2:$BW$353,70,FALSE))</f>
        <v>0</v>
      </c>
      <c r="AH137" s="95">
        <f t="shared" si="87"/>
        <v>0</v>
      </c>
      <c r="AI137" s="95">
        <f>IF(ISNA(VLOOKUP($CZ137,'Audit Values'!$A$2:$BU$353,2,FALSE)),'Preliminary SO66'!AQ136,VLOOKUP($CZ137,'Audit Values'!$A$2:$BU$353,65,FALSE))</f>
        <v>0</v>
      </c>
      <c r="AJ137" s="95">
        <f>AI137*'Weighting Factors'!$Q$10</f>
        <v>0</v>
      </c>
      <c r="AK137" s="95">
        <f>IF(ISNA(VLOOKUP($CZ137,'Audit Values'!$A$2:$BU$353,2,FALSE)),'Preliminary SO66'!AR136,VLOOKUP($CZ137,'Audit Values'!$A$2:$BU$353,66,FALSE))</f>
        <v>486</v>
      </c>
      <c r="AL137" s="95"/>
      <c r="AM137" s="99">
        <f t="shared" si="88"/>
        <v>325620</v>
      </c>
      <c r="AN137" s="99">
        <v>339746</v>
      </c>
      <c r="AO137" s="95">
        <f>MAX(AN137, AM137)/'Weighting Factors'!$Q$5</f>
        <v>81.599999999999994</v>
      </c>
      <c r="AP137" s="95">
        <f>CN137/'Weighting Factors'!$Q$5</f>
        <v>0</v>
      </c>
      <c r="AQ137" s="95">
        <v>0</v>
      </c>
      <c r="AR137" s="95">
        <f>CS137/'Weighting Factors'!$Q$5</f>
        <v>0</v>
      </c>
      <c r="AS137" s="99">
        <v>1361899</v>
      </c>
      <c r="AT137" s="95">
        <f>AS137/'Weighting Factors'!$Q$5</f>
        <v>327</v>
      </c>
      <c r="AU137" s="95">
        <f>IF(ISNA(VLOOKUP($CZ137,'Audit Values'!$A$2:$BU$353,2,FALSE)),'Preliminary SO66'!X136,VLOOKUP($CZ137,'Audit Values'!$A$2:$BU$353,47,FALSE))</f>
        <v>1</v>
      </c>
      <c r="AV137" s="95">
        <f t="shared" si="89"/>
        <v>1631.6</v>
      </c>
      <c r="AW137" s="95">
        <f t="shared" si="90"/>
        <v>1304.5999999999999</v>
      </c>
      <c r="AX137" s="95">
        <f>IF(ISNA(VLOOKUP($CZ137,'Audit Values'!$A$2:$BU$353,2,FALSE)),'Preliminary SO66'!AA136,VLOOKUP($CZ137,'Audit Values'!$A$2:$BU$353,41,FALSE))</f>
        <v>0</v>
      </c>
      <c r="AY137" s="95">
        <f>IF(ISNA(VLOOKUP($CZ137,'Audit Values'!$A$2:$BU$353,2,FALSE)),'Preliminary SO66'!AB136,VLOOKUP($CZ137,'Audit Values'!$A$2:$BU$353,42,FALSE))</f>
        <v>0</v>
      </c>
      <c r="AZ137" s="114">
        <v>0.5</v>
      </c>
      <c r="BA137" s="99">
        <f>SUM(AX137*'Weighting Factors'!$T$10)+('2019 Legal Max'!AY137*'Weighting Factors'!$T$11)+('2019 Legal Max'!AZ137*'Weighting Factors'!$T$12)</f>
        <v>355</v>
      </c>
      <c r="BB137" s="158">
        <v>0</v>
      </c>
      <c r="BC137" s="88">
        <f>IF(ISNA(VLOOKUP($CZ137,'Audit Values'!$A$2:$BU$353,2,FALSE)),"",IF(AND('Weighting Factors'!H137&gt;0,VLOOKUP($CZ137,'Audit Values'!$A$2:$BU$353,51,FALSE)&lt;'Weighting Factors'!H137),'Weighting Factors'!H137,VLOOKUP($CZ137,'Audit Values'!$A$2:$BU$353,50,FALSE)))</f>
        <v>15</v>
      </c>
      <c r="BD137" s="88" t="str">
        <f>IF(ISNA(VLOOKUP($CZ137,'Audit Values'!$A$2:$BV$353,2,FALSE)),"",VLOOKUP($CZ137,'Audit Values'!$A$2:$BV$353,51,FALSE))</f>
        <v>A</v>
      </c>
      <c r="BE137" s="88" t="str">
        <f>IF('Weighting Factors'!H137="","",IF('Weighting Factors'!J137="Pending","PX","R"))</f>
        <v/>
      </c>
      <c r="BF137" s="97">
        <f>SUM((S137+T137+Y137+AA137+AE137+AH137+AJ137++AO137+AP137+AQ137+AU137+AR137)*'Weighting Factors'!$Q$5)+'2019 Legal Max'!BA137+'2019 Legal Max'!BB137</f>
        <v>5434014</v>
      </c>
      <c r="BG137" s="99">
        <f>SUM((AV137+AR137)*'Weighting Factors'!$Q$5)+BA137+'2019 Legal Max'!BB137</f>
        <v>6795969</v>
      </c>
      <c r="BH137" s="108">
        <f>IF('Weighting Factors'!H137&gt;0,'Weighting Factors'!H137,'Preliminary SO66'!AV136)</f>
        <v>6965130</v>
      </c>
      <c r="BI137" s="99">
        <f t="shared" si="114"/>
        <v>6795969</v>
      </c>
      <c r="BJ137" s="112"/>
      <c r="BK137" s="112">
        <f>'Weighting Factors'!F137</f>
        <v>0</v>
      </c>
      <c r="BL137" s="112">
        <f>'Weighting Factors'!E137</f>
        <v>0</v>
      </c>
      <c r="BM137" s="99">
        <f t="shared" si="91"/>
        <v>0</v>
      </c>
      <c r="BN137" s="99">
        <f t="shared" si="92"/>
        <v>6795969</v>
      </c>
      <c r="BO137" s="99">
        <f>SUM((S137+T137+Y137+AA137+AE137+AH137+AJ137++AO137+AP137+AQ137+AR137)*'Weighting Factors'!Q$12)+(MAX(AS137,'Weighting Factors'!B137))</f>
        <v>7215063</v>
      </c>
      <c r="BP137" s="122">
        <v>0.3</v>
      </c>
      <c r="BQ137" s="99">
        <f t="shared" si="93"/>
        <v>2164519</v>
      </c>
      <c r="BR137" s="108">
        <v>2214941</v>
      </c>
      <c r="BS137" s="99">
        <f t="shared" si="94"/>
        <v>2164519</v>
      </c>
      <c r="BT137" s="167">
        <f t="shared" si="95"/>
        <v>0.3</v>
      </c>
      <c r="BU137" s="95">
        <f t="shared" si="96"/>
        <v>0</v>
      </c>
      <c r="BV137" s="87" t="b">
        <f t="shared" si="97"/>
        <v>0</v>
      </c>
      <c r="BW137" s="117">
        <f t="shared" si="98"/>
        <v>0</v>
      </c>
      <c r="BX137" s="116">
        <f t="shared" si="99"/>
        <v>0</v>
      </c>
      <c r="BY137" s="95">
        <f t="shared" si="100"/>
        <v>0</v>
      </c>
      <c r="BZ137" s="87" t="b">
        <f t="shared" si="101"/>
        <v>1</v>
      </c>
      <c r="CA137" s="87">
        <f t="shared" si="102"/>
        <v>686.8125</v>
      </c>
      <c r="CB137" s="116">
        <f t="shared" si="103"/>
        <v>0.295626</v>
      </c>
      <c r="CC137" s="95">
        <f t="shared" si="104"/>
        <v>252.8</v>
      </c>
      <c r="CD137" s="95">
        <f t="shared" si="105"/>
        <v>0</v>
      </c>
      <c r="CE137" s="98">
        <v>68</v>
      </c>
      <c r="CF137" s="250">
        <f t="shared" si="106"/>
        <v>7.1470000000000002</v>
      </c>
      <c r="CG137" s="274">
        <f>IF(CF137&lt;0.06,1,IF(CF137&gt;=18.29,52,MATCH(CF137-0.001,'Weighting Factors'!$Y$5:$Y$156)+1))</f>
        <v>46</v>
      </c>
      <c r="CH137" s="243">
        <f>VLOOKUP(CG137, 'Weighting Factors'!$W$5:$Z$56,4)</f>
        <v>670</v>
      </c>
      <c r="CI137" s="118">
        <f>('Weighting Factors'!$Q$5/'Weighting Factors'!$Q$14)</f>
        <v>1</v>
      </c>
      <c r="CJ137" s="245">
        <f t="shared" si="107"/>
        <v>325620</v>
      </c>
      <c r="CK137" s="245">
        <f>CJ137*'Weighting Factors'!$S$7</f>
        <v>325620</v>
      </c>
      <c r="CL137" s="245">
        <f t="shared" si="108"/>
        <v>325620</v>
      </c>
      <c r="CM137" s="95">
        <f>AM137/'Weighting Factors'!$Q$5</f>
        <v>78.2</v>
      </c>
      <c r="CN137" s="148">
        <v>0</v>
      </c>
      <c r="CO137" s="148">
        <v>0</v>
      </c>
      <c r="CP137" s="149">
        <v>0</v>
      </c>
      <c r="CQ137" s="151">
        <v>0</v>
      </c>
      <c r="CR137" s="99">
        <f>SUM((AV137*'Weighting Factors'!$Q$5)+'2019 Legal Max'!BA137)*CQ137</f>
        <v>0</v>
      </c>
      <c r="CS137" s="99">
        <f t="shared" si="109"/>
        <v>0</v>
      </c>
      <c r="CT137" s="106">
        <f t="shared" si="110"/>
        <v>0.22670000000000001</v>
      </c>
      <c r="CU137" s="95">
        <f t="shared" si="111"/>
        <v>0</v>
      </c>
      <c r="CV137" s="95">
        <f t="shared" si="112"/>
        <v>0</v>
      </c>
      <c r="CW137" s="95">
        <f t="shared" si="113"/>
        <v>1631.6</v>
      </c>
      <c r="CX137" s="99">
        <f>'LOB Transfers'!G136</f>
        <v>123378</v>
      </c>
      <c r="CY137" s="99">
        <f>'LOB Transfers'!J136</f>
        <v>0</v>
      </c>
      <c r="CZ137" s="87" t="s">
        <v>329</v>
      </c>
    </row>
    <row r="138" spans="1:104" ht="15" customHeight="1">
      <c r="A138" s="88">
        <v>341</v>
      </c>
      <c r="B138" s="87" t="s">
        <v>59</v>
      </c>
      <c r="C138" s="87" t="s">
        <v>651</v>
      </c>
      <c r="D138" s="95">
        <v>528.79999999999995</v>
      </c>
      <c r="E138" s="95">
        <v>0</v>
      </c>
      <c r="F138" s="95">
        <f t="shared" si="80"/>
        <v>528.79999999999995</v>
      </c>
      <c r="G138" s="95">
        <v>580.5</v>
      </c>
      <c r="H138" s="95">
        <v>0</v>
      </c>
      <c r="I138" s="95">
        <f t="shared" si="81"/>
        <v>580.5</v>
      </c>
      <c r="J138" s="95">
        <v>562.9</v>
      </c>
      <c r="K138" s="95">
        <v>0</v>
      </c>
      <c r="L138" s="95">
        <f t="shared" si="82"/>
        <v>562.9</v>
      </c>
      <c r="M138" s="95">
        <f>IF(ISNA(VLOOKUP($CZ138,'Audit Values'!$A$2:$BW$365,2,FALSE)),'Preliminary SO66'!C137,VLOOKUP($CZ138,'Audit Values'!$A$2:$BW$365,73,FALSE))</f>
        <v>579</v>
      </c>
      <c r="N138" s="95">
        <f>IF(ISNA(VLOOKUP($CZ138,'Audit Values'!$A$2:$BW$365,2,FALSE)),'Preliminary SO66'!F137,VLOOKUP($CZ138,'Audit Values'!$A$2:$BW$365,4,FALSE))</f>
        <v>0</v>
      </c>
      <c r="O138" s="95">
        <f t="shared" si="83"/>
        <v>579</v>
      </c>
      <c r="P138" s="95">
        <f>IF('Military Provision'!J139="YES", MAX('2019 Legal Max'!L138,'2019 Legal Max'!I138,AVERAGE('2019 Legal Max'!F138,'2019 Legal Max'!I138,'2019 Legal Max'!L138)), MAX(L138, I138))</f>
        <v>580.5</v>
      </c>
      <c r="Q138" s="95">
        <f>IF(ISNA(VLOOKUP($CZ138,'Audit Values'!$A$2:$BU$353,2,FALSE)),'Preliminary SO66'!AL137,VLOOKUP($CZ138,'Audit Values'!$A$2:$BU$3955,58,FALSE))</f>
        <v>9.5</v>
      </c>
      <c r="R138" s="95">
        <v>0</v>
      </c>
      <c r="S138" s="95">
        <f t="shared" si="79"/>
        <v>590</v>
      </c>
      <c r="T138" s="95">
        <f t="shared" si="84"/>
        <v>227.5</v>
      </c>
      <c r="U138" s="95">
        <f>IF(ISNA(VLOOKUP($CZ138,'Audit Values'!$A$2:$BW$317,2,FALSE)),'Preliminary SO66'!AM137,VLOOKUP($CZ138,'Audit Values'!$A$2:$BW$317,62,FALSE))</f>
        <v>0</v>
      </c>
      <c r="V138" s="95">
        <f>(U138/6)*'Weighting Factors'!$Q$7</f>
        <v>0</v>
      </c>
      <c r="W138" s="132">
        <f>IF(ISNA(VLOOKUP($CZ138,'Audit Values'!$A$2:$BW$353,2,FALSE)),'Preliminary SO66'!AN137,VLOOKUP($CZ138,'Audit Values'!$A$2:$BW$353,61,FALSE))</f>
        <v>0</v>
      </c>
      <c r="X138" s="95">
        <f>W138*'Weighting Factors'!$Q$8</f>
        <v>0</v>
      </c>
      <c r="Y138" s="95">
        <f t="shared" si="85"/>
        <v>0</v>
      </c>
      <c r="Z138" s="276">
        <f>IF(ISNA(VLOOKUP($CZ138,'Audit Values'!$A$2:$BW$317,2,FALSE)),'Preliminary SO66'!AO137,VLOOKUP($CZ138,'Audit Values'!$A$2:$BW$317,60,FALSE))</f>
        <v>108.1</v>
      </c>
      <c r="AA138" s="95">
        <f>Z138/6*'Weighting Factors'!$Q$6</f>
        <v>9</v>
      </c>
      <c r="AB138" s="99">
        <f>IF(ISNA(VLOOKUP($CZ138,'Audit Values'!$A$2:$BU$353,2,FALSE)),'Preliminary SO66'!AS137,VLOOKUP($CZ138,'Audit Values'!$A$2:$BU$353,63,FALSE))</f>
        <v>603</v>
      </c>
      <c r="AC138" s="99">
        <v>0</v>
      </c>
      <c r="AD138" s="99">
        <f>IF(ISNA(VLOOKUP($CZ138,'Audit Values'!$A$2:$BU$353,2,FALSE)),'Preliminary SO66'!AP137,VLOOKUP($CZ138,'Audit Values'!$A$2:$BU$353,64,FALSE))</f>
        <v>251</v>
      </c>
      <c r="AE138" s="95">
        <f>IF(A138=207, AD138,MAX(AC138,AD138))*'Weighting Factors'!$Q$9</f>
        <v>121.5</v>
      </c>
      <c r="AF138" s="95">
        <f t="shared" si="86"/>
        <v>11.6</v>
      </c>
      <c r="AG138" s="95">
        <f>IF(ISNA(VLOOKUP($CZ138,'Audit Values'!$A$2:$BW$353,2,FALSE)),'Preliminary SO66'!AG137,VLOOKUP($CZ138,'Audit Values'!$A$2:$BW$353,70,FALSE))</f>
        <v>12.1</v>
      </c>
      <c r="AH138" s="95">
        <f t="shared" si="87"/>
        <v>12.1</v>
      </c>
      <c r="AI138" s="95">
        <f>IF(ISNA(VLOOKUP($CZ138,'Audit Values'!$A$2:$BU$353,2,FALSE)),'Preliminary SO66'!AQ137,VLOOKUP($CZ138,'Audit Values'!$A$2:$BU$353,65,FALSE))</f>
        <v>0</v>
      </c>
      <c r="AJ138" s="95">
        <f>AI138*'Weighting Factors'!$Q$10</f>
        <v>0</v>
      </c>
      <c r="AK138" s="95">
        <f>IF(ISNA(VLOOKUP($CZ138,'Audit Values'!$A$2:$BU$353,2,FALSE)),'Preliminary SO66'!AR137,VLOOKUP($CZ138,'Audit Values'!$A$2:$BU$353,66,FALSE))</f>
        <v>286</v>
      </c>
      <c r="AL138" s="95"/>
      <c r="AM138" s="99">
        <f t="shared" si="88"/>
        <v>225940</v>
      </c>
      <c r="AN138" s="99">
        <v>258084</v>
      </c>
      <c r="AO138" s="95">
        <f>MAX(AN138, AM138)/'Weighting Factors'!$Q$5</f>
        <v>62</v>
      </c>
      <c r="AP138" s="95">
        <f>CN138/'Weighting Factors'!$Q$5</f>
        <v>0</v>
      </c>
      <c r="AQ138" s="95">
        <v>0</v>
      </c>
      <c r="AR138" s="95">
        <f>CS138/'Weighting Factors'!$Q$5</f>
        <v>0</v>
      </c>
      <c r="AS138" s="99">
        <v>1093321</v>
      </c>
      <c r="AT138" s="95">
        <f>AS138/'Weighting Factors'!$Q$5</f>
        <v>262.5</v>
      </c>
      <c r="AU138" s="95">
        <f>IF(ISNA(VLOOKUP($CZ138,'Audit Values'!$A$2:$BU$353,2,FALSE)),'Preliminary SO66'!X137,VLOOKUP($CZ138,'Audit Values'!$A$2:$BU$353,47,FALSE))</f>
        <v>0</v>
      </c>
      <c r="AV138" s="95">
        <f t="shared" si="89"/>
        <v>1284.5999999999999</v>
      </c>
      <c r="AW138" s="95">
        <f t="shared" si="90"/>
        <v>1022.1</v>
      </c>
      <c r="AX138" s="95">
        <f>IF(ISNA(VLOOKUP($CZ138,'Audit Values'!$A$2:$BU$353,2,FALSE)),'Preliminary SO66'!AA137,VLOOKUP($CZ138,'Audit Values'!$A$2:$BU$353,41,FALSE))</f>
        <v>0</v>
      </c>
      <c r="AY138" s="95">
        <f>IF(ISNA(VLOOKUP($CZ138,'Audit Values'!$A$2:$BU$353,2,FALSE)),'Preliminary SO66'!AB137,VLOOKUP($CZ138,'Audit Values'!$A$2:$BU$353,42,FALSE))</f>
        <v>0</v>
      </c>
      <c r="AZ138" s="114">
        <v>0</v>
      </c>
      <c r="BA138" s="99">
        <f>SUM(AX138*'Weighting Factors'!$T$10)+('2019 Legal Max'!AY138*'Weighting Factors'!$T$11)+('2019 Legal Max'!AZ138*'Weighting Factors'!$T$12)</f>
        <v>0</v>
      </c>
      <c r="BB138" s="158">
        <v>0</v>
      </c>
      <c r="BC138" s="88">
        <f>IF(ISNA(VLOOKUP($CZ138,'Audit Values'!$A$2:$BU$353,2,FALSE)),"",IF(AND('Weighting Factors'!H138&gt;0,VLOOKUP($CZ138,'Audit Values'!$A$2:$BU$353,51,FALSE)&lt;'Weighting Factors'!H138),'Weighting Factors'!H138,VLOOKUP($CZ138,'Audit Values'!$A$2:$BU$353,50,FALSE)))</f>
        <v>11</v>
      </c>
      <c r="BD138" s="88" t="str">
        <f>IF(ISNA(VLOOKUP($CZ138,'Audit Values'!$A$2:$BV$353,2,FALSE)),"",VLOOKUP($CZ138,'Audit Values'!$A$2:$BV$353,51,FALSE))</f>
        <v>A</v>
      </c>
      <c r="BE138" s="88" t="str">
        <f>IF('Weighting Factors'!H138="","",IF('Weighting Factors'!J138="Pending","PX","R"))</f>
        <v/>
      </c>
      <c r="BF138" s="97">
        <f>SUM((S138+T138+Y138+AA138+AE138+AH138+AJ138++AO138+AP138+AQ138+AU138+AR138)*'Weighting Factors'!$Q$5)+'2019 Legal Max'!BA138+'2019 Legal Max'!BB138</f>
        <v>4257047</v>
      </c>
      <c r="BG138" s="99">
        <f>SUM((AV138+AR138)*'Weighting Factors'!$Q$5)+BA138+'2019 Legal Max'!BB138</f>
        <v>5350359</v>
      </c>
      <c r="BH138" s="108">
        <f>IF('Weighting Factors'!H138&gt;0,'Weighting Factors'!H138,'Preliminary SO66'!AV137)</f>
        <v>5525289</v>
      </c>
      <c r="BI138" s="99">
        <f t="shared" si="114"/>
        <v>5350359</v>
      </c>
      <c r="BJ138" s="112"/>
      <c r="BK138" s="112">
        <f>'Weighting Factors'!F138</f>
        <v>0</v>
      </c>
      <c r="BL138" s="112">
        <f>'Weighting Factors'!E138</f>
        <v>0</v>
      </c>
      <c r="BM138" s="99">
        <f t="shared" si="91"/>
        <v>0</v>
      </c>
      <c r="BN138" s="99">
        <f t="shared" si="92"/>
        <v>5350359</v>
      </c>
      <c r="BO138" s="99">
        <f>SUM((S138+T138+Y138+AA138+AE138+AH138+AJ138++AO138+AP138+AQ138+AR138)*'Weighting Factors'!Q$12)+(MAX(AS138,'Weighting Factors'!B138))</f>
        <v>5682550</v>
      </c>
      <c r="BP138" s="122">
        <v>0.3</v>
      </c>
      <c r="BQ138" s="99">
        <f t="shared" si="93"/>
        <v>1704765</v>
      </c>
      <c r="BR138" s="108">
        <v>1758266</v>
      </c>
      <c r="BS138" s="99">
        <f t="shared" si="94"/>
        <v>1704765</v>
      </c>
      <c r="BT138" s="167">
        <f t="shared" si="95"/>
        <v>0.3</v>
      </c>
      <c r="BU138" s="95">
        <f t="shared" si="96"/>
        <v>0</v>
      </c>
      <c r="BV138" s="87" t="b">
        <f t="shared" si="97"/>
        <v>0</v>
      </c>
      <c r="BW138" s="117">
        <f t="shared" si="98"/>
        <v>0</v>
      </c>
      <c r="BX138" s="116">
        <f t="shared" si="99"/>
        <v>0</v>
      </c>
      <c r="BY138" s="95">
        <f t="shared" si="100"/>
        <v>0</v>
      </c>
      <c r="BZ138" s="87" t="b">
        <f t="shared" si="101"/>
        <v>1</v>
      </c>
      <c r="CA138" s="87">
        <f t="shared" si="102"/>
        <v>358.875</v>
      </c>
      <c r="CB138" s="116">
        <f t="shared" si="103"/>
        <v>0.38565899999999997</v>
      </c>
      <c r="CC138" s="95">
        <f t="shared" si="104"/>
        <v>227.5</v>
      </c>
      <c r="CD138" s="95">
        <f t="shared" si="105"/>
        <v>0</v>
      </c>
      <c r="CE138" s="98">
        <v>97</v>
      </c>
      <c r="CF138" s="250">
        <f t="shared" si="106"/>
        <v>2.948</v>
      </c>
      <c r="CG138" s="274">
        <f>IF(CF138&lt;0.06,1,IF(CF138&gt;=18.29,52,MATCH(CF138-0.001,'Weighting Factors'!$Y$5:$Y$156)+1))</f>
        <v>40</v>
      </c>
      <c r="CH138" s="243">
        <f>VLOOKUP(CG138, 'Weighting Factors'!$W$5:$Z$56,4)</f>
        <v>790</v>
      </c>
      <c r="CI138" s="118">
        <f>('Weighting Factors'!$Q$5/'Weighting Factors'!$Q$14)</f>
        <v>1</v>
      </c>
      <c r="CJ138" s="245">
        <f t="shared" si="107"/>
        <v>225940</v>
      </c>
      <c r="CK138" s="245">
        <f>CJ138*'Weighting Factors'!$S$7</f>
        <v>225940</v>
      </c>
      <c r="CL138" s="245">
        <f t="shared" si="108"/>
        <v>225940</v>
      </c>
      <c r="CM138" s="95">
        <f>AM138/'Weighting Factors'!$Q$5</f>
        <v>54.2</v>
      </c>
      <c r="CN138" s="148">
        <v>0</v>
      </c>
      <c r="CO138" s="148">
        <v>0</v>
      </c>
      <c r="CP138" s="149">
        <v>0</v>
      </c>
      <c r="CQ138" s="151">
        <v>0</v>
      </c>
      <c r="CR138" s="99">
        <f>SUM((AV138*'Weighting Factors'!$Q$5)+'2019 Legal Max'!BA138)*CQ138</f>
        <v>0</v>
      </c>
      <c r="CS138" s="99">
        <f t="shared" si="109"/>
        <v>0</v>
      </c>
      <c r="CT138" s="106">
        <f t="shared" si="110"/>
        <v>0.4163</v>
      </c>
      <c r="CU138" s="95">
        <f t="shared" si="111"/>
        <v>0</v>
      </c>
      <c r="CV138" s="95">
        <f t="shared" si="112"/>
        <v>11.6</v>
      </c>
      <c r="CW138" s="95">
        <f t="shared" si="113"/>
        <v>1284.5999999999999</v>
      </c>
      <c r="CX138" s="99">
        <f>'LOB Transfers'!G137</f>
        <v>162464</v>
      </c>
      <c r="CY138" s="99">
        <f>'LOB Transfers'!J137</f>
        <v>0</v>
      </c>
      <c r="CZ138" s="87" t="s">
        <v>330</v>
      </c>
    </row>
    <row r="139" spans="1:104" ht="15" customHeight="1">
      <c r="A139" s="88">
        <v>342</v>
      </c>
      <c r="B139" s="87" t="s">
        <v>59</v>
      </c>
      <c r="C139" s="87" t="s">
        <v>652</v>
      </c>
      <c r="D139" s="95">
        <v>451</v>
      </c>
      <c r="E139" s="95">
        <v>0</v>
      </c>
      <c r="F139" s="95">
        <f t="shared" si="80"/>
        <v>451</v>
      </c>
      <c r="G139" s="95">
        <v>455.8</v>
      </c>
      <c r="H139" s="95">
        <v>0</v>
      </c>
      <c r="I139" s="95">
        <f t="shared" si="81"/>
        <v>455.8</v>
      </c>
      <c r="J139" s="95">
        <v>466.2</v>
      </c>
      <c r="K139" s="95">
        <v>0</v>
      </c>
      <c r="L139" s="95">
        <f t="shared" si="82"/>
        <v>466.2</v>
      </c>
      <c r="M139" s="95">
        <f>IF(ISNA(VLOOKUP($CZ139,'Audit Values'!$A$2:$BW$365,2,FALSE)),'Preliminary SO66'!C138,VLOOKUP($CZ139,'Audit Values'!$A$2:$BW$365,73,FALSE))</f>
        <v>465.6</v>
      </c>
      <c r="N139" s="95">
        <f>IF(ISNA(VLOOKUP($CZ139,'Audit Values'!$A$2:$BW$365,2,FALSE)),'Preliminary SO66'!F138,VLOOKUP($CZ139,'Audit Values'!$A$2:$BW$365,4,FALSE))</f>
        <v>0</v>
      </c>
      <c r="O139" s="95">
        <f t="shared" si="83"/>
        <v>465.6</v>
      </c>
      <c r="P139" s="95">
        <f>IF('Military Provision'!J140="YES", MAX('2019 Legal Max'!L139,'2019 Legal Max'!I139,AVERAGE('2019 Legal Max'!F139,'2019 Legal Max'!I139,'2019 Legal Max'!L139)), MAX(L139, I139))</f>
        <v>466.2</v>
      </c>
      <c r="Q139" s="95">
        <f>IF(ISNA(VLOOKUP($CZ139,'Audit Values'!$A$2:$BU$353,2,FALSE)),'Preliminary SO66'!AL138,VLOOKUP($CZ139,'Audit Values'!$A$2:$BU$3955,58,FALSE))</f>
        <v>10.5</v>
      </c>
      <c r="R139" s="95">
        <v>0</v>
      </c>
      <c r="S139" s="95">
        <f t="shared" si="79"/>
        <v>476.7</v>
      </c>
      <c r="T139" s="95">
        <f t="shared" si="84"/>
        <v>202.2</v>
      </c>
      <c r="U139" s="95">
        <f>IF(ISNA(VLOOKUP($CZ139,'Audit Values'!$A$2:$BW$317,2,FALSE)),'Preliminary SO66'!AM138,VLOOKUP($CZ139,'Audit Values'!$A$2:$BW$317,62,FALSE))</f>
        <v>0</v>
      </c>
      <c r="V139" s="95">
        <f>(U139/6)*'Weighting Factors'!$Q$7</f>
        <v>0</v>
      </c>
      <c r="W139" s="132">
        <f>IF(ISNA(VLOOKUP($CZ139,'Audit Values'!$A$2:$BW$353,2,FALSE)),'Preliminary SO66'!AN138,VLOOKUP($CZ139,'Audit Values'!$A$2:$BW$353,61,FALSE))</f>
        <v>0</v>
      </c>
      <c r="X139" s="95">
        <f>W139*'Weighting Factors'!$Q$8</f>
        <v>0</v>
      </c>
      <c r="Y139" s="95">
        <f t="shared" si="85"/>
        <v>0</v>
      </c>
      <c r="Z139" s="276">
        <f>IF(ISNA(VLOOKUP($CZ139,'Audit Values'!$A$2:$BW$317,2,FALSE)),'Preliminary SO66'!AO138,VLOOKUP($CZ139,'Audit Values'!$A$2:$BW$317,60,FALSE))</f>
        <v>152.9</v>
      </c>
      <c r="AA139" s="95">
        <f>Z139/6*'Weighting Factors'!$Q$6</f>
        <v>12.7</v>
      </c>
      <c r="AB139" s="99">
        <f>IF(ISNA(VLOOKUP($CZ139,'Audit Values'!$A$2:$BU$353,2,FALSE)),'Preliminary SO66'!AS138,VLOOKUP($CZ139,'Audit Values'!$A$2:$BU$353,63,FALSE))</f>
        <v>494</v>
      </c>
      <c r="AC139" s="99">
        <v>0</v>
      </c>
      <c r="AD139" s="99">
        <f>IF(ISNA(VLOOKUP($CZ139,'Audit Values'!$A$2:$BU$353,2,FALSE)),'Preliminary SO66'!AP138,VLOOKUP($CZ139,'Audit Values'!$A$2:$BU$353,64,FALSE))</f>
        <v>144</v>
      </c>
      <c r="AE139" s="95">
        <f>IF(A139=207, AD139,MAX(AC139,AD139))*'Weighting Factors'!$Q$9</f>
        <v>69.7</v>
      </c>
      <c r="AF139" s="95">
        <f t="shared" si="86"/>
        <v>0</v>
      </c>
      <c r="AG139" s="95">
        <f>IF(ISNA(VLOOKUP($CZ139,'Audit Values'!$A$2:$BW$353,2,FALSE)),'Preliminary SO66'!AG138,VLOOKUP($CZ139,'Audit Values'!$A$2:$BW$353,70,FALSE))</f>
        <v>0</v>
      </c>
      <c r="AH139" s="95">
        <f t="shared" si="87"/>
        <v>0</v>
      </c>
      <c r="AI139" s="95">
        <f>IF(ISNA(VLOOKUP($CZ139,'Audit Values'!$A$2:$BU$353,2,FALSE)),'Preliminary SO66'!AQ138,VLOOKUP($CZ139,'Audit Values'!$A$2:$BU$353,65,FALSE))</f>
        <v>0</v>
      </c>
      <c r="AJ139" s="95">
        <f>AI139*'Weighting Factors'!$Q$10</f>
        <v>0</v>
      </c>
      <c r="AK139" s="95">
        <f>IF(ISNA(VLOOKUP($CZ139,'Audit Values'!$A$2:$BU$353,2,FALSE)),'Preliminary SO66'!AR138,VLOOKUP($CZ139,'Audit Values'!$A$2:$BU$353,66,FALSE))</f>
        <v>235.5</v>
      </c>
      <c r="AL139" s="95"/>
      <c r="AM139" s="99">
        <f t="shared" si="88"/>
        <v>190755</v>
      </c>
      <c r="AN139" s="99">
        <v>203771</v>
      </c>
      <c r="AO139" s="95">
        <f>MAX(AN139, AM139)/'Weighting Factors'!$Q$5</f>
        <v>48.9</v>
      </c>
      <c r="AP139" s="95">
        <f>CN139/'Weighting Factors'!$Q$5</f>
        <v>0</v>
      </c>
      <c r="AQ139" s="95">
        <v>0</v>
      </c>
      <c r="AR139" s="95">
        <f>CS139/'Weighting Factors'!$Q$5</f>
        <v>0</v>
      </c>
      <c r="AS139" s="99">
        <v>814300</v>
      </c>
      <c r="AT139" s="95">
        <f>AS139/'Weighting Factors'!$Q$5</f>
        <v>195.5</v>
      </c>
      <c r="AU139" s="95">
        <f>IF(ISNA(VLOOKUP($CZ139,'Audit Values'!$A$2:$BU$353,2,FALSE)),'Preliminary SO66'!X138,VLOOKUP($CZ139,'Audit Values'!$A$2:$BU$353,47,FALSE))</f>
        <v>0</v>
      </c>
      <c r="AV139" s="95">
        <f t="shared" si="89"/>
        <v>1005.7</v>
      </c>
      <c r="AW139" s="95">
        <f t="shared" si="90"/>
        <v>810.2</v>
      </c>
      <c r="AX139" s="95">
        <f>IF(ISNA(VLOOKUP($CZ139,'Audit Values'!$A$2:$BU$353,2,FALSE)),'Preliminary SO66'!AA138,VLOOKUP($CZ139,'Audit Values'!$A$2:$BU$353,41,FALSE))</f>
        <v>0</v>
      </c>
      <c r="AY139" s="95">
        <f>IF(ISNA(VLOOKUP($CZ139,'Audit Values'!$A$2:$BU$353,2,FALSE)),'Preliminary SO66'!AB138,VLOOKUP($CZ139,'Audit Values'!$A$2:$BU$353,42,FALSE))</f>
        <v>0</v>
      </c>
      <c r="AZ139" s="114">
        <v>0</v>
      </c>
      <c r="BA139" s="99">
        <f>SUM(AX139*'Weighting Factors'!$T$10)+('2019 Legal Max'!AY139*'Weighting Factors'!$T$11)+('2019 Legal Max'!AZ139*'Weighting Factors'!$T$12)</f>
        <v>0</v>
      </c>
      <c r="BB139" s="158">
        <v>0</v>
      </c>
      <c r="BC139" s="88">
        <f>IF(ISNA(VLOOKUP($CZ139,'Audit Values'!$A$2:$BU$353,2,FALSE)),"",IF(AND('Weighting Factors'!H139&gt;0,VLOOKUP($CZ139,'Audit Values'!$A$2:$BU$353,51,FALSE)&lt;'Weighting Factors'!H139),'Weighting Factors'!H139,VLOOKUP($CZ139,'Audit Values'!$A$2:$BU$353,50,FALSE)))</f>
        <v>5</v>
      </c>
      <c r="BD139" s="88" t="str">
        <f>IF(ISNA(VLOOKUP($CZ139,'Audit Values'!$A$2:$BV$353,2,FALSE)),"",VLOOKUP($CZ139,'Audit Values'!$A$2:$BV$353,51,FALSE))</f>
        <v>A</v>
      </c>
      <c r="BE139" s="88" t="str">
        <f>IF('Weighting Factors'!H139="","",IF('Weighting Factors'!J139="Pending","PX","R"))</f>
        <v/>
      </c>
      <c r="BF139" s="97">
        <f>SUM((S139+T139+Y139+AA139+AE139+AH139+AJ139++AO139+AP139+AQ139+AU139+AR139)*'Weighting Factors'!$Q$5)+'2019 Legal Max'!BA139+'2019 Legal Max'!BB139</f>
        <v>3374483</v>
      </c>
      <c r="BG139" s="99">
        <f>SUM((AV139+AR139)*'Weighting Factors'!$Q$5)+BA139+'2019 Legal Max'!BB139</f>
        <v>4188741</v>
      </c>
      <c r="BH139" s="108">
        <f>IF('Weighting Factors'!H139&gt;0,'Weighting Factors'!H139,'Preliminary SO66'!AV138)</f>
        <v>4336598</v>
      </c>
      <c r="BI139" s="99">
        <f t="shared" si="114"/>
        <v>4188741</v>
      </c>
      <c r="BJ139" s="112"/>
      <c r="BK139" s="112">
        <f>'Weighting Factors'!F139</f>
        <v>0</v>
      </c>
      <c r="BL139" s="112">
        <f>'Weighting Factors'!E139</f>
        <v>0</v>
      </c>
      <c r="BM139" s="99">
        <f t="shared" si="91"/>
        <v>0</v>
      </c>
      <c r="BN139" s="99">
        <f t="shared" si="92"/>
        <v>4188741</v>
      </c>
      <c r="BO139" s="99">
        <f>SUM((S139+T139+Y139+AA139+AE139+AH139+AJ139++AO139+AP139+AQ139+AR139)*'Weighting Factors'!Q$12)+(MAX(AS139,'Weighting Factors'!B139))</f>
        <v>4452098</v>
      </c>
      <c r="BP139" s="122">
        <v>0.3</v>
      </c>
      <c r="BQ139" s="99">
        <f t="shared" si="93"/>
        <v>1335629</v>
      </c>
      <c r="BR139" s="108">
        <v>1380987</v>
      </c>
      <c r="BS139" s="99">
        <f t="shared" si="94"/>
        <v>1335629</v>
      </c>
      <c r="BT139" s="167">
        <f t="shared" si="95"/>
        <v>0.3</v>
      </c>
      <c r="BU139" s="95">
        <f t="shared" si="96"/>
        <v>0</v>
      </c>
      <c r="BV139" s="87" t="b">
        <f t="shared" si="97"/>
        <v>0</v>
      </c>
      <c r="BW139" s="117">
        <f t="shared" si="98"/>
        <v>0</v>
      </c>
      <c r="BX139" s="116">
        <f t="shared" si="99"/>
        <v>0</v>
      </c>
      <c r="BY139" s="95">
        <f t="shared" si="100"/>
        <v>0</v>
      </c>
      <c r="BZ139" s="87" t="b">
        <f t="shared" si="101"/>
        <v>1</v>
      </c>
      <c r="CA139" s="87">
        <f t="shared" si="102"/>
        <v>218.66630000000001</v>
      </c>
      <c r="CB139" s="116">
        <f t="shared" si="103"/>
        <v>0.424153</v>
      </c>
      <c r="CC139" s="95">
        <f t="shared" si="104"/>
        <v>202.2</v>
      </c>
      <c r="CD139" s="95">
        <f t="shared" si="105"/>
        <v>0</v>
      </c>
      <c r="CE139" s="98">
        <v>90</v>
      </c>
      <c r="CF139" s="250">
        <f t="shared" si="106"/>
        <v>2.617</v>
      </c>
      <c r="CG139" s="274">
        <f>IF(CF139&lt;0.06,1,IF(CF139&gt;=18.29,52,MATCH(CF139-0.001,'Weighting Factors'!$Y$5:$Y$156)+1))</f>
        <v>39</v>
      </c>
      <c r="CH139" s="243">
        <f>VLOOKUP(CG139, 'Weighting Factors'!$W$5:$Z$56,4)</f>
        <v>810</v>
      </c>
      <c r="CI139" s="118">
        <f>('Weighting Factors'!$Q$5/'Weighting Factors'!$Q$14)</f>
        <v>1</v>
      </c>
      <c r="CJ139" s="245">
        <f t="shared" si="107"/>
        <v>190755</v>
      </c>
      <c r="CK139" s="245">
        <f>CJ139*'Weighting Factors'!$S$7</f>
        <v>190755</v>
      </c>
      <c r="CL139" s="245">
        <f t="shared" si="108"/>
        <v>190755</v>
      </c>
      <c r="CM139" s="95">
        <f>AM139/'Weighting Factors'!$Q$5</f>
        <v>45.8</v>
      </c>
      <c r="CN139" s="148">
        <v>0</v>
      </c>
      <c r="CO139" s="148">
        <v>0</v>
      </c>
      <c r="CP139" s="149">
        <v>0</v>
      </c>
      <c r="CQ139" s="151">
        <v>0</v>
      </c>
      <c r="CR139" s="99">
        <f>SUM((AV139*'Weighting Factors'!$Q$5)+'2019 Legal Max'!BA139)*CQ139</f>
        <v>0</v>
      </c>
      <c r="CS139" s="99">
        <f t="shared" si="109"/>
        <v>0</v>
      </c>
      <c r="CT139" s="106">
        <f t="shared" si="110"/>
        <v>0.29149999999999998</v>
      </c>
      <c r="CU139" s="95">
        <f t="shared" si="111"/>
        <v>0</v>
      </c>
      <c r="CV139" s="95">
        <f t="shared" si="112"/>
        <v>0</v>
      </c>
      <c r="CW139" s="95">
        <f t="shared" si="113"/>
        <v>1005.7</v>
      </c>
      <c r="CX139" s="99">
        <f>'LOB Transfers'!G138</f>
        <v>93494</v>
      </c>
      <c r="CY139" s="99">
        <f>'LOB Transfers'!J138</f>
        <v>0</v>
      </c>
      <c r="CZ139" s="87" t="s">
        <v>331</v>
      </c>
    </row>
    <row r="140" spans="1:104" ht="15" customHeight="1">
      <c r="A140" s="88">
        <v>343</v>
      </c>
      <c r="B140" s="87" t="s">
        <v>59</v>
      </c>
      <c r="C140" s="87" t="s">
        <v>653</v>
      </c>
      <c r="D140" s="95">
        <v>736</v>
      </c>
      <c r="E140" s="95">
        <v>0</v>
      </c>
      <c r="F140" s="95">
        <f t="shared" si="80"/>
        <v>736</v>
      </c>
      <c r="G140" s="95">
        <v>730</v>
      </c>
      <c r="H140" s="95">
        <v>0</v>
      </c>
      <c r="I140" s="95">
        <f t="shared" si="81"/>
        <v>730</v>
      </c>
      <c r="J140" s="95">
        <v>727.5</v>
      </c>
      <c r="K140" s="95">
        <v>0</v>
      </c>
      <c r="L140" s="95">
        <f t="shared" si="82"/>
        <v>727.5</v>
      </c>
      <c r="M140" s="95">
        <f>IF(ISNA(VLOOKUP($CZ140,'Audit Values'!$A$2:$BW$365,2,FALSE)),'Preliminary SO66'!C139,VLOOKUP($CZ140,'Audit Values'!$A$2:$BW$365,73,FALSE))</f>
        <v>740.5</v>
      </c>
      <c r="N140" s="95">
        <f>IF(ISNA(VLOOKUP($CZ140,'Audit Values'!$A$2:$BW$365,2,FALSE)),'Preliminary SO66'!F139,VLOOKUP($CZ140,'Audit Values'!$A$2:$BW$365,4,FALSE))</f>
        <v>0</v>
      </c>
      <c r="O140" s="95">
        <f t="shared" si="83"/>
        <v>740.5</v>
      </c>
      <c r="P140" s="95">
        <f>IF('Military Provision'!J141="YES", MAX('2019 Legal Max'!L140,'2019 Legal Max'!I140,AVERAGE('2019 Legal Max'!F140,'2019 Legal Max'!I140,'2019 Legal Max'!L140)), MAX(L140, I140))</f>
        <v>730</v>
      </c>
      <c r="Q140" s="95">
        <f>IF(ISNA(VLOOKUP($CZ140,'Audit Values'!$A$2:$BU$353,2,FALSE)),'Preliminary SO66'!AL139,VLOOKUP($CZ140,'Audit Values'!$A$2:$BU$3955,58,FALSE))</f>
        <v>7.5</v>
      </c>
      <c r="R140" s="95">
        <v>0</v>
      </c>
      <c r="S140" s="95">
        <f t="shared" si="79"/>
        <v>737.5</v>
      </c>
      <c r="T140" s="95">
        <f t="shared" si="84"/>
        <v>247.5</v>
      </c>
      <c r="U140" s="95">
        <f>IF(ISNA(VLOOKUP($CZ140,'Audit Values'!$A$2:$BW$317,2,FALSE)),'Preliminary SO66'!AM139,VLOOKUP($CZ140,'Audit Values'!$A$2:$BW$317,62,FALSE))</f>
        <v>0</v>
      </c>
      <c r="V140" s="95">
        <f>(U140/6)*'Weighting Factors'!$Q$7</f>
        <v>0</v>
      </c>
      <c r="W140" s="132">
        <f>IF(ISNA(VLOOKUP($CZ140,'Audit Values'!$A$2:$BW$353,2,FALSE)),'Preliminary SO66'!AN139,VLOOKUP($CZ140,'Audit Values'!$A$2:$BW$353,61,FALSE))</f>
        <v>0</v>
      </c>
      <c r="X140" s="95">
        <f>W140*'Weighting Factors'!$Q$8</f>
        <v>0</v>
      </c>
      <c r="Y140" s="95">
        <f t="shared" si="85"/>
        <v>0</v>
      </c>
      <c r="Z140" s="276">
        <f>IF(ISNA(VLOOKUP($CZ140,'Audit Values'!$A$2:$BW$317,2,FALSE)),'Preliminary SO66'!AO139,VLOOKUP($CZ140,'Audit Values'!$A$2:$BW$317,60,FALSE))</f>
        <v>92.8</v>
      </c>
      <c r="AA140" s="95">
        <f>Z140/6*'Weighting Factors'!$Q$6</f>
        <v>7.7</v>
      </c>
      <c r="AB140" s="99">
        <f>IF(ISNA(VLOOKUP($CZ140,'Audit Values'!$A$2:$BU$353,2,FALSE)),'Preliminary SO66'!AS139,VLOOKUP($CZ140,'Audit Values'!$A$2:$BU$353,63,FALSE))</f>
        <v>762</v>
      </c>
      <c r="AC140" s="99">
        <v>0</v>
      </c>
      <c r="AD140" s="99">
        <f>IF(ISNA(VLOOKUP($CZ140,'Audit Values'!$A$2:$BU$353,2,FALSE)),'Preliminary SO66'!AP139,VLOOKUP($CZ140,'Audit Values'!$A$2:$BU$353,64,FALSE))</f>
        <v>196</v>
      </c>
      <c r="AE140" s="95">
        <f>IF(A140=207, AD140,MAX(AC140,AD140))*'Weighting Factors'!$Q$9</f>
        <v>94.9</v>
      </c>
      <c r="AF140" s="95">
        <f t="shared" si="86"/>
        <v>0</v>
      </c>
      <c r="AG140" s="95">
        <f>IF(ISNA(VLOOKUP($CZ140,'Audit Values'!$A$2:$BW$353,2,FALSE)),'Preliminary SO66'!AG139,VLOOKUP($CZ140,'Audit Values'!$A$2:$BW$353,70,FALSE))</f>
        <v>0</v>
      </c>
      <c r="AH140" s="95">
        <f t="shared" si="87"/>
        <v>0</v>
      </c>
      <c r="AI140" s="95">
        <f>IF(ISNA(VLOOKUP($CZ140,'Audit Values'!$A$2:$BU$353,2,FALSE)),'Preliminary SO66'!AQ139,VLOOKUP($CZ140,'Audit Values'!$A$2:$BU$353,65,FALSE))</f>
        <v>0</v>
      </c>
      <c r="AJ140" s="95">
        <f>AI140*'Weighting Factors'!$Q$10</f>
        <v>0</v>
      </c>
      <c r="AK140" s="95">
        <f>IF(ISNA(VLOOKUP($CZ140,'Audit Values'!$A$2:$BU$353,2,FALSE)),'Preliminary SO66'!AR139,VLOOKUP($CZ140,'Audit Values'!$A$2:$BU$353,66,FALSE))</f>
        <v>455.5</v>
      </c>
      <c r="AL140" s="95"/>
      <c r="AM140" s="99">
        <f t="shared" si="88"/>
        <v>359845</v>
      </c>
      <c r="AN140" s="99">
        <v>413705</v>
      </c>
      <c r="AO140" s="95">
        <f>MAX(AN140, AM140)/'Weighting Factors'!$Q$5</f>
        <v>99.3</v>
      </c>
      <c r="AP140" s="95">
        <f>CN140/'Weighting Factors'!$Q$5</f>
        <v>0</v>
      </c>
      <c r="AQ140" s="95">
        <v>0</v>
      </c>
      <c r="AR140" s="95">
        <f>CS140/'Weighting Factors'!$Q$5</f>
        <v>0</v>
      </c>
      <c r="AS140" s="99">
        <v>1092615</v>
      </c>
      <c r="AT140" s="95">
        <f>AS140/'Weighting Factors'!$Q$5</f>
        <v>262.3</v>
      </c>
      <c r="AU140" s="95">
        <f>IF(ISNA(VLOOKUP($CZ140,'Audit Values'!$A$2:$BU$353,2,FALSE)),'Preliminary SO66'!X139,VLOOKUP($CZ140,'Audit Values'!$A$2:$BU$353,47,FALSE))</f>
        <v>0</v>
      </c>
      <c r="AV140" s="95">
        <f t="shared" si="89"/>
        <v>1449.2</v>
      </c>
      <c r="AW140" s="95">
        <f t="shared" si="90"/>
        <v>1186.9000000000001</v>
      </c>
      <c r="AX140" s="95">
        <f>IF(ISNA(VLOOKUP($CZ140,'Audit Values'!$A$2:$BU$353,2,FALSE)),'Preliminary SO66'!AA139,VLOOKUP($CZ140,'Audit Values'!$A$2:$BU$353,41,FALSE))</f>
        <v>0</v>
      </c>
      <c r="AY140" s="95">
        <f>IF(ISNA(VLOOKUP($CZ140,'Audit Values'!$A$2:$BU$353,2,FALSE)),'Preliminary SO66'!AB139,VLOOKUP($CZ140,'Audit Values'!$A$2:$BU$353,42,FALSE))</f>
        <v>0</v>
      </c>
      <c r="AZ140" s="114">
        <v>0</v>
      </c>
      <c r="BA140" s="99">
        <f>SUM(AX140*'Weighting Factors'!$T$10)+('2019 Legal Max'!AY140*'Weighting Factors'!$T$11)+('2019 Legal Max'!AZ140*'Weighting Factors'!$T$12)</f>
        <v>0</v>
      </c>
      <c r="BB140" s="158">
        <v>0</v>
      </c>
      <c r="BC140" s="88">
        <f>IF(ISNA(VLOOKUP($CZ140,'Audit Values'!$A$2:$BU$353,2,FALSE)),"",IF(AND('Weighting Factors'!H140&gt;0,VLOOKUP($CZ140,'Audit Values'!$A$2:$BU$353,51,FALSE)&lt;'Weighting Factors'!H140),'Weighting Factors'!H140,VLOOKUP($CZ140,'Audit Values'!$A$2:$BU$353,50,FALSE)))</f>
        <v>3</v>
      </c>
      <c r="BD140" s="88" t="str">
        <f>IF(ISNA(VLOOKUP($CZ140,'Audit Values'!$A$2:$BV$353,2,FALSE)),"",VLOOKUP($CZ140,'Audit Values'!$A$2:$BV$353,51,FALSE))</f>
        <v>A</v>
      </c>
      <c r="BE140" s="88" t="str">
        <f>IF('Weighting Factors'!H140="","",IF('Weighting Factors'!J140="Pending","PX","R"))</f>
        <v/>
      </c>
      <c r="BF140" s="97">
        <f>SUM((S140+T140+Y140+AA140+AE140+AH140+AJ140++AO140+AP140+AQ140+AU140+AR140)*'Weighting Factors'!$Q$5)+'2019 Legal Max'!BA140+'2019 Legal Max'!BB140</f>
        <v>4943439</v>
      </c>
      <c r="BG140" s="99">
        <f>SUM((AV140+AR140)*'Weighting Factors'!$Q$5)+BA140+'2019 Legal Max'!BB140</f>
        <v>6035918</v>
      </c>
      <c r="BH140" s="108">
        <f>IF('Weighting Factors'!H140&gt;0,'Weighting Factors'!H140,'Preliminary SO66'!AV139)</f>
        <v>6150456</v>
      </c>
      <c r="BI140" s="99">
        <f t="shared" si="114"/>
        <v>6035918</v>
      </c>
      <c r="BJ140" s="112"/>
      <c r="BK140" s="112">
        <f>'Weighting Factors'!F140</f>
        <v>-34596</v>
      </c>
      <c r="BL140" s="112">
        <f>'Weighting Factors'!E140</f>
        <v>0</v>
      </c>
      <c r="BM140" s="99">
        <f t="shared" si="91"/>
        <v>-34596</v>
      </c>
      <c r="BN140" s="99">
        <f t="shared" si="92"/>
        <v>6001322</v>
      </c>
      <c r="BO140" s="99">
        <f>SUM((S140+T140+Y140+AA140+AE140+AH140+AJ140++AO140+AP140+AQ140+AR140)*'Weighting Factors'!Q$12)+(MAX(AS140,'Weighting Factors'!B140))</f>
        <v>6421796</v>
      </c>
      <c r="BP140" s="122">
        <v>0.3</v>
      </c>
      <c r="BQ140" s="99">
        <f t="shared" si="93"/>
        <v>1926539</v>
      </c>
      <c r="BR140" s="108">
        <v>1961272</v>
      </c>
      <c r="BS140" s="99">
        <f t="shared" si="94"/>
        <v>1926539</v>
      </c>
      <c r="BT140" s="167">
        <f t="shared" si="95"/>
        <v>0.3</v>
      </c>
      <c r="BU140" s="95">
        <f t="shared" si="96"/>
        <v>0</v>
      </c>
      <c r="BV140" s="87" t="b">
        <f t="shared" si="97"/>
        <v>0</v>
      </c>
      <c r="BW140" s="117">
        <f t="shared" si="98"/>
        <v>0</v>
      </c>
      <c r="BX140" s="116">
        <f t="shared" si="99"/>
        <v>0</v>
      </c>
      <c r="BY140" s="95">
        <f t="shared" si="100"/>
        <v>0</v>
      </c>
      <c r="BZ140" s="87" t="b">
        <f t="shared" si="101"/>
        <v>1</v>
      </c>
      <c r="CA140" s="87">
        <f t="shared" si="102"/>
        <v>541.40629999999999</v>
      </c>
      <c r="CB140" s="116">
        <f t="shared" si="103"/>
        <v>0.33554600000000001</v>
      </c>
      <c r="CC140" s="95">
        <f t="shared" si="104"/>
        <v>247.5</v>
      </c>
      <c r="CD140" s="95">
        <f t="shared" si="105"/>
        <v>0</v>
      </c>
      <c r="CE140" s="98">
        <v>153.1</v>
      </c>
      <c r="CF140" s="250">
        <f t="shared" si="106"/>
        <v>2.9750000000000001</v>
      </c>
      <c r="CG140" s="274">
        <f>IF(CF140&lt;0.06,1,IF(CF140&gt;=18.29,52,MATCH(CF140-0.001,'Weighting Factors'!$Y$5:$Y$156)+1))</f>
        <v>40</v>
      </c>
      <c r="CH140" s="243">
        <f>VLOOKUP(CG140, 'Weighting Factors'!$W$5:$Z$56,4)</f>
        <v>790</v>
      </c>
      <c r="CI140" s="118">
        <f>('Weighting Factors'!$Q$5/'Weighting Factors'!$Q$14)</f>
        <v>1</v>
      </c>
      <c r="CJ140" s="245">
        <f t="shared" si="107"/>
        <v>359845</v>
      </c>
      <c r="CK140" s="245">
        <f>CJ140*'Weighting Factors'!$S$7</f>
        <v>359845</v>
      </c>
      <c r="CL140" s="245">
        <f t="shared" si="108"/>
        <v>359845</v>
      </c>
      <c r="CM140" s="95">
        <f>AM140/'Weighting Factors'!$Q$5</f>
        <v>86.4</v>
      </c>
      <c r="CN140" s="148">
        <v>0</v>
      </c>
      <c r="CO140" s="148">
        <v>0</v>
      </c>
      <c r="CP140" s="149">
        <v>0</v>
      </c>
      <c r="CQ140" s="151">
        <v>0</v>
      </c>
      <c r="CR140" s="99">
        <f>SUM((AV140*'Weighting Factors'!$Q$5)+'2019 Legal Max'!BA140)*CQ140</f>
        <v>0</v>
      </c>
      <c r="CS140" s="99">
        <f t="shared" si="109"/>
        <v>0</v>
      </c>
      <c r="CT140" s="106">
        <f t="shared" si="110"/>
        <v>0.25719999999999998</v>
      </c>
      <c r="CU140" s="95">
        <f t="shared" si="111"/>
        <v>0</v>
      </c>
      <c r="CV140" s="95">
        <f t="shared" si="112"/>
        <v>0</v>
      </c>
      <c r="CW140" s="95">
        <f t="shared" si="113"/>
        <v>1449.2</v>
      </c>
      <c r="CX140" s="99">
        <f>'LOB Transfers'!G139</f>
        <v>126766</v>
      </c>
      <c r="CY140" s="99">
        <f>'LOB Transfers'!J139</f>
        <v>0</v>
      </c>
      <c r="CZ140" s="87" t="s">
        <v>332</v>
      </c>
    </row>
    <row r="141" spans="1:104" ht="15" customHeight="1">
      <c r="A141" s="88">
        <v>344</v>
      </c>
      <c r="B141" s="87" t="s">
        <v>60</v>
      </c>
      <c r="C141" s="87" t="s">
        <v>654</v>
      </c>
      <c r="D141" s="95">
        <v>327.5</v>
      </c>
      <c r="E141" s="95">
        <v>0</v>
      </c>
      <c r="F141" s="95">
        <f t="shared" si="80"/>
        <v>327.5</v>
      </c>
      <c r="G141" s="95">
        <v>338.5</v>
      </c>
      <c r="H141" s="95">
        <v>0</v>
      </c>
      <c r="I141" s="95">
        <f t="shared" si="81"/>
        <v>338.5</v>
      </c>
      <c r="J141" s="95">
        <v>358</v>
      </c>
      <c r="K141" s="95">
        <v>0</v>
      </c>
      <c r="L141" s="95">
        <f t="shared" si="82"/>
        <v>358</v>
      </c>
      <c r="M141" s="95">
        <f>IF(ISNA(VLOOKUP($CZ141,'Audit Values'!$A$2:$BW$365,2,FALSE)),'Preliminary SO66'!C140,VLOOKUP($CZ141,'Audit Values'!$A$2:$BW$365,73,FALSE))</f>
        <v>353.5</v>
      </c>
      <c r="N141" s="95">
        <f>IF(ISNA(VLOOKUP($CZ141,'Audit Values'!$A$2:$BW$365,2,FALSE)),'Preliminary SO66'!F140,VLOOKUP($CZ141,'Audit Values'!$A$2:$BW$365,4,FALSE))</f>
        <v>0</v>
      </c>
      <c r="O141" s="95">
        <f t="shared" si="83"/>
        <v>353.5</v>
      </c>
      <c r="P141" s="95">
        <f>IF('Military Provision'!J142="YES", MAX('2019 Legal Max'!L141,'2019 Legal Max'!I141,AVERAGE('2019 Legal Max'!F141,'2019 Legal Max'!I141,'2019 Legal Max'!L141)), MAX(L141, I141))</f>
        <v>358</v>
      </c>
      <c r="Q141" s="95">
        <f>IF(ISNA(VLOOKUP($CZ141,'Audit Values'!$A$2:$BU$353,2,FALSE)),'Preliminary SO66'!AL140,VLOOKUP($CZ141,'Audit Values'!$A$2:$BU$3955,58,FALSE))</f>
        <v>6</v>
      </c>
      <c r="R141" s="95">
        <v>0</v>
      </c>
      <c r="S141" s="95">
        <f t="shared" si="79"/>
        <v>364</v>
      </c>
      <c r="T141" s="95">
        <f t="shared" si="84"/>
        <v>168.3</v>
      </c>
      <c r="U141" s="95">
        <f>IF(ISNA(VLOOKUP($CZ141,'Audit Values'!$A$2:$BW$317,2,FALSE)),'Preliminary SO66'!AM140,VLOOKUP($CZ141,'Audit Values'!$A$2:$BW$317,62,FALSE))</f>
        <v>0</v>
      </c>
      <c r="V141" s="95">
        <f>(U141/6)*'Weighting Factors'!$Q$7</f>
        <v>0</v>
      </c>
      <c r="W141" s="132">
        <f>IF(ISNA(VLOOKUP($CZ141,'Audit Values'!$A$2:$BW$353,2,FALSE)),'Preliminary SO66'!AN140,VLOOKUP($CZ141,'Audit Values'!$A$2:$BW$353,61,FALSE))</f>
        <v>0</v>
      </c>
      <c r="X141" s="95">
        <f>W141*'Weighting Factors'!$Q$8</f>
        <v>0</v>
      </c>
      <c r="Y141" s="95">
        <f t="shared" si="85"/>
        <v>0</v>
      </c>
      <c r="Z141" s="276">
        <f>IF(ISNA(VLOOKUP($CZ141,'Audit Values'!$A$2:$BW$317,2,FALSE)),'Preliminary SO66'!AO140,VLOOKUP($CZ141,'Audit Values'!$A$2:$BW$317,60,FALSE))</f>
        <v>84.8</v>
      </c>
      <c r="AA141" s="95">
        <f>Z141/6*'Weighting Factors'!$Q$6</f>
        <v>7.1</v>
      </c>
      <c r="AB141" s="99">
        <f>IF(ISNA(VLOOKUP($CZ141,'Audit Values'!$A$2:$BU$353,2,FALSE)),'Preliminary SO66'!AS140,VLOOKUP($CZ141,'Audit Values'!$A$2:$BU$353,63,FALSE))</f>
        <v>366</v>
      </c>
      <c r="AC141" s="99">
        <v>0</v>
      </c>
      <c r="AD141" s="99">
        <f>IF(ISNA(VLOOKUP($CZ141,'Audit Values'!$A$2:$BU$353,2,FALSE)),'Preliminary SO66'!AP140,VLOOKUP($CZ141,'Audit Values'!$A$2:$BU$353,64,FALSE))</f>
        <v>134</v>
      </c>
      <c r="AE141" s="95">
        <f>IF(A141=207, AD141,MAX(AC141,AD141))*'Weighting Factors'!$Q$9</f>
        <v>64.900000000000006</v>
      </c>
      <c r="AF141" s="95">
        <f t="shared" si="86"/>
        <v>1.5</v>
      </c>
      <c r="AG141" s="95">
        <f>IF(ISNA(VLOOKUP($CZ141,'Audit Values'!$A$2:$BW$353,2,FALSE)),'Preliminary SO66'!AG140,VLOOKUP($CZ141,'Audit Values'!$A$2:$BW$353,70,FALSE))</f>
        <v>2.8</v>
      </c>
      <c r="AH141" s="95">
        <f t="shared" si="87"/>
        <v>2.8</v>
      </c>
      <c r="AI141" s="95">
        <f>IF(ISNA(VLOOKUP($CZ141,'Audit Values'!$A$2:$BU$353,2,FALSE)),'Preliminary SO66'!AQ140,VLOOKUP($CZ141,'Audit Values'!$A$2:$BU$353,65,FALSE))</f>
        <v>0</v>
      </c>
      <c r="AJ141" s="95">
        <f>AI141*'Weighting Factors'!$Q$10</f>
        <v>0</v>
      </c>
      <c r="AK141" s="95">
        <f>IF(ISNA(VLOOKUP($CZ141,'Audit Values'!$A$2:$BU$353,2,FALSE)),'Preliminary SO66'!AR140,VLOOKUP($CZ141,'Audit Values'!$A$2:$BU$353,66,FALSE))</f>
        <v>55</v>
      </c>
      <c r="AL141" s="95"/>
      <c r="AM141" s="99">
        <f t="shared" si="88"/>
        <v>57750</v>
      </c>
      <c r="AN141" s="99">
        <v>78196</v>
      </c>
      <c r="AO141" s="95">
        <f>MAX(AN141, AM141)/'Weighting Factors'!$Q$5</f>
        <v>18.8</v>
      </c>
      <c r="AP141" s="95">
        <f>CN141/'Weighting Factors'!$Q$5</f>
        <v>0</v>
      </c>
      <c r="AQ141" s="95">
        <v>0</v>
      </c>
      <c r="AR141" s="95">
        <f>CS141/'Weighting Factors'!$Q$5</f>
        <v>0</v>
      </c>
      <c r="AS141" s="99">
        <v>288301</v>
      </c>
      <c r="AT141" s="95">
        <f>AS141/'Weighting Factors'!$Q$5</f>
        <v>69.2</v>
      </c>
      <c r="AU141" s="95">
        <f>IF(ISNA(VLOOKUP($CZ141,'Audit Values'!$A$2:$BU$353,2,FALSE)),'Preliminary SO66'!X140,VLOOKUP($CZ141,'Audit Values'!$A$2:$BU$353,47,FALSE))</f>
        <v>0</v>
      </c>
      <c r="AV141" s="95">
        <f t="shared" si="89"/>
        <v>695.1</v>
      </c>
      <c r="AW141" s="95">
        <f t="shared" si="90"/>
        <v>625.9</v>
      </c>
      <c r="AX141" s="95">
        <f>IF(ISNA(VLOOKUP($CZ141,'Audit Values'!$A$2:$BU$353,2,FALSE)),'Preliminary SO66'!AA140,VLOOKUP($CZ141,'Audit Values'!$A$2:$BU$353,41,FALSE))</f>
        <v>0</v>
      </c>
      <c r="AY141" s="95">
        <f>IF(ISNA(VLOOKUP($CZ141,'Audit Values'!$A$2:$BU$353,2,FALSE)),'Preliminary SO66'!AB140,VLOOKUP($CZ141,'Audit Values'!$A$2:$BU$353,42,FALSE))</f>
        <v>0</v>
      </c>
      <c r="AZ141" s="114">
        <v>0</v>
      </c>
      <c r="BA141" s="99">
        <f>SUM(AX141*'Weighting Factors'!$T$10)+('2019 Legal Max'!AY141*'Weighting Factors'!$T$11)+('2019 Legal Max'!AZ141*'Weighting Factors'!$T$12)</f>
        <v>0</v>
      </c>
      <c r="BB141" s="158">
        <v>0</v>
      </c>
      <c r="BC141" s="88">
        <f>IF(ISNA(VLOOKUP($CZ141,'Audit Values'!$A$2:$BU$353,2,FALSE)),"",IF(AND('Weighting Factors'!H141&gt;0,VLOOKUP($CZ141,'Audit Values'!$A$2:$BU$353,51,FALSE)&lt;'Weighting Factors'!H141),'Weighting Factors'!H141,VLOOKUP($CZ141,'Audit Values'!$A$2:$BU$353,50,FALSE)))</f>
        <v>17</v>
      </c>
      <c r="BD141" s="88" t="str">
        <f>IF(ISNA(VLOOKUP($CZ141,'Audit Values'!$A$2:$BV$353,2,FALSE)),"",VLOOKUP($CZ141,'Audit Values'!$A$2:$BV$353,51,FALSE))</f>
        <v>A</v>
      </c>
      <c r="BE141" s="88" t="str">
        <f>IF('Weighting Factors'!H141="","",IF('Weighting Factors'!J141="Pending","PX","R"))</f>
        <v/>
      </c>
      <c r="BF141" s="97">
        <f>SUM((S141+T141+Y141+AA141+AE141+AH141+AJ141++AO141+AP141+AQ141+AU141+AR141)*'Weighting Factors'!$Q$5)+'2019 Legal Max'!BA141+'2019 Legal Max'!BB141</f>
        <v>2606874</v>
      </c>
      <c r="BG141" s="99">
        <f>SUM((AV141+AR141)*'Weighting Factors'!$Q$5)+BA141+'2019 Legal Max'!BB141</f>
        <v>2895092</v>
      </c>
      <c r="BH141" s="108">
        <f>IF('Weighting Factors'!H141&gt;0,'Weighting Factors'!H141,'Preliminary SO66'!AV140)</f>
        <v>3012128</v>
      </c>
      <c r="BI141" s="99">
        <f t="shared" si="114"/>
        <v>2895092</v>
      </c>
      <c r="BJ141" s="112"/>
      <c r="BK141" s="112">
        <f>'Weighting Factors'!F141</f>
        <v>-18967</v>
      </c>
      <c r="BL141" s="112">
        <f>'Weighting Factors'!E141</f>
        <v>0</v>
      </c>
      <c r="BM141" s="99">
        <f t="shared" si="91"/>
        <v>-18967</v>
      </c>
      <c r="BN141" s="99">
        <f t="shared" si="92"/>
        <v>2876125</v>
      </c>
      <c r="BO141" s="99">
        <f>SUM((S141+T141+Y141+AA141+AE141+AH141+AJ141++AO141+AP141+AQ141+AR141)*'Weighting Factors'!Q$12)+(MAX(AS141,'Weighting Factors'!B141))</f>
        <v>3098592</v>
      </c>
      <c r="BP141" s="122">
        <v>0.33</v>
      </c>
      <c r="BQ141" s="99">
        <f t="shared" si="93"/>
        <v>1022535</v>
      </c>
      <c r="BR141" s="108">
        <v>1064517</v>
      </c>
      <c r="BS141" s="99">
        <f t="shared" si="94"/>
        <v>1022535</v>
      </c>
      <c r="BT141" s="167">
        <f t="shared" si="95"/>
        <v>0.33</v>
      </c>
      <c r="BU141" s="95">
        <f t="shared" si="96"/>
        <v>0</v>
      </c>
      <c r="BV141" s="87" t="b">
        <f t="shared" si="97"/>
        <v>0</v>
      </c>
      <c r="BW141" s="117">
        <f t="shared" si="98"/>
        <v>0</v>
      </c>
      <c r="BX141" s="116">
        <f t="shared" si="99"/>
        <v>0</v>
      </c>
      <c r="BY141" s="95">
        <f t="shared" si="100"/>
        <v>0</v>
      </c>
      <c r="BZ141" s="87" t="b">
        <f t="shared" si="101"/>
        <v>1</v>
      </c>
      <c r="CA141" s="87">
        <f t="shared" si="102"/>
        <v>79.2</v>
      </c>
      <c r="CB141" s="116">
        <f t="shared" si="103"/>
        <v>0.46244200000000002</v>
      </c>
      <c r="CC141" s="95">
        <f t="shared" si="104"/>
        <v>168.3</v>
      </c>
      <c r="CD141" s="95">
        <f t="shared" si="105"/>
        <v>0</v>
      </c>
      <c r="CE141" s="98">
        <v>92.5</v>
      </c>
      <c r="CF141" s="250">
        <f t="shared" si="106"/>
        <v>0.59499999999999997</v>
      </c>
      <c r="CG141" s="274">
        <f>IF(CF141&lt;0.06,1,IF(CF141&gt;=18.29,52,MATCH(CF141-0.001,'Weighting Factors'!$Y$5:$Y$156)+1))</f>
        <v>27</v>
      </c>
      <c r="CH141" s="243">
        <f>VLOOKUP(CG141, 'Weighting Factors'!$W$5:$Z$56,4)</f>
        <v>1050</v>
      </c>
      <c r="CI141" s="118">
        <f>('Weighting Factors'!$Q$5/'Weighting Factors'!$Q$14)</f>
        <v>1</v>
      </c>
      <c r="CJ141" s="245">
        <f t="shared" si="107"/>
        <v>57750</v>
      </c>
      <c r="CK141" s="245">
        <f>CJ141*'Weighting Factors'!$S$7</f>
        <v>57750</v>
      </c>
      <c r="CL141" s="245">
        <f t="shared" si="108"/>
        <v>57750</v>
      </c>
      <c r="CM141" s="95">
        <f>AM141/'Weighting Factors'!$Q$5</f>
        <v>13.9</v>
      </c>
      <c r="CN141" s="148">
        <v>0</v>
      </c>
      <c r="CO141" s="148">
        <v>0</v>
      </c>
      <c r="CP141" s="149">
        <v>0</v>
      </c>
      <c r="CQ141" s="151">
        <v>0</v>
      </c>
      <c r="CR141" s="99">
        <f>SUM((AV141*'Weighting Factors'!$Q$5)+'2019 Legal Max'!BA141)*CQ141</f>
        <v>0</v>
      </c>
      <c r="CS141" s="99">
        <f t="shared" si="109"/>
        <v>0</v>
      </c>
      <c r="CT141" s="106">
        <f t="shared" si="110"/>
        <v>0.36609999999999998</v>
      </c>
      <c r="CU141" s="95">
        <f t="shared" si="111"/>
        <v>0</v>
      </c>
      <c r="CV141" s="95">
        <f t="shared" si="112"/>
        <v>1.5</v>
      </c>
      <c r="CW141" s="95">
        <f t="shared" si="113"/>
        <v>695.1</v>
      </c>
      <c r="CX141" s="99">
        <f>'LOB Transfers'!G140</f>
        <v>96323</v>
      </c>
      <c r="CY141" s="99">
        <f>'LOB Transfers'!J140</f>
        <v>0</v>
      </c>
      <c r="CZ141" s="87" t="s">
        <v>333</v>
      </c>
    </row>
    <row r="142" spans="1:104" ht="15" customHeight="1">
      <c r="A142" s="88">
        <v>345</v>
      </c>
      <c r="B142" s="87" t="s">
        <v>61</v>
      </c>
      <c r="C142" s="87" t="s">
        <v>655</v>
      </c>
      <c r="D142" s="95">
        <v>3619</v>
      </c>
      <c r="E142" s="95">
        <v>0</v>
      </c>
      <c r="F142" s="95">
        <f t="shared" si="80"/>
        <v>3619</v>
      </c>
      <c r="G142" s="95">
        <v>3721.5</v>
      </c>
      <c r="H142" s="95">
        <v>0</v>
      </c>
      <c r="I142" s="95">
        <f t="shared" si="81"/>
        <v>3721.5</v>
      </c>
      <c r="J142" s="95">
        <v>3834.3</v>
      </c>
      <c r="K142" s="95">
        <v>0</v>
      </c>
      <c r="L142" s="95">
        <f t="shared" si="82"/>
        <v>3834.3</v>
      </c>
      <c r="M142" s="95">
        <f>IF(ISNA(VLOOKUP($CZ142,'Audit Values'!$A$2:$BW$365,2,FALSE)),'Preliminary SO66'!C141,VLOOKUP($CZ142,'Audit Values'!$A$2:$BW$365,73,FALSE))</f>
        <v>3803.3</v>
      </c>
      <c r="N142" s="95">
        <f>IF(ISNA(VLOOKUP($CZ142,'Audit Values'!$A$2:$BW$365,2,FALSE)),'Preliminary SO66'!F141,VLOOKUP($CZ142,'Audit Values'!$A$2:$BW$365,4,FALSE))</f>
        <v>0</v>
      </c>
      <c r="O142" s="95">
        <f t="shared" si="83"/>
        <v>3803.3</v>
      </c>
      <c r="P142" s="95">
        <f>IF('Military Provision'!J143="YES", MAX('2019 Legal Max'!L142,'2019 Legal Max'!I142,AVERAGE('2019 Legal Max'!F142,'2019 Legal Max'!I142,'2019 Legal Max'!L142)), MAX(L142, I142))</f>
        <v>3834.3</v>
      </c>
      <c r="Q142" s="95">
        <f>IF(ISNA(VLOOKUP($CZ142,'Audit Values'!$A$2:$BU$353,2,FALSE)),'Preliminary SO66'!AL141,VLOOKUP($CZ142,'Audit Values'!$A$2:$BU$3955,58,FALSE))</f>
        <v>30</v>
      </c>
      <c r="R142" s="95">
        <v>0</v>
      </c>
      <c r="S142" s="95">
        <f t="shared" si="79"/>
        <v>3864.3</v>
      </c>
      <c r="T142" s="95">
        <f t="shared" si="84"/>
        <v>135.4</v>
      </c>
      <c r="U142" s="95">
        <f>IF(ISNA(VLOOKUP($CZ142,'Audit Values'!$A$2:$BW$317,2,FALSE)),'Preliminary SO66'!AM141,VLOOKUP($CZ142,'Audit Values'!$A$2:$BW$317,62,FALSE))</f>
        <v>22.8</v>
      </c>
      <c r="V142" s="95">
        <f>(U142/6)*'Weighting Factors'!$Q$7</f>
        <v>1.5</v>
      </c>
      <c r="W142" s="132">
        <f>IF(ISNA(VLOOKUP($CZ142,'Audit Values'!$A$2:$BW$353,2,FALSE)),'Preliminary SO66'!AN141,VLOOKUP($CZ142,'Audit Values'!$A$2:$BW$353,61,FALSE))</f>
        <v>29</v>
      </c>
      <c r="X142" s="95">
        <f>W142*'Weighting Factors'!$Q$8</f>
        <v>5.4</v>
      </c>
      <c r="Y142" s="95">
        <f t="shared" si="85"/>
        <v>5.4</v>
      </c>
      <c r="Z142" s="276">
        <f>IF(ISNA(VLOOKUP($CZ142,'Audit Values'!$A$2:$BW$317,2,FALSE)),'Preliminary SO66'!AO141,VLOOKUP($CZ142,'Audit Values'!$A$2:$BW$317,60,FALSE))</f>
        <v>1140</v>
      </c>
      <c r="AA142" s="95">
        <f>Z142/6*'Weighting Factors'!$Q$6</f>
        <v>95</v>
      </c>
      <c r="AB142" s="99">
        <f>IF(ISNA(VLOOKUP($CZ142,'Audit Values'!$A$2:$BU$353,2,FALSE)),'Preliminary SO66'!AS141,VLOOKUP($CZ142,'Audit Values'!$A$2:$BU$353,63,FALSE))</f>
        <v>3901</v>
      </c>
      <c r="AC142" s="99">
        <v>0</v>
      </c>
      <c r="AD142" s="99">
        <f>IF(ISNA(VLOOKUP($CZ142,'Audit Values'!$A$2:$BU$353,2,FALSE)),'Preliminary SO66'!AP141,VLOOKUP($CZ142,'Audit Values'!$A$2:$BU$353,64,FALSE))</f>
        <v>1015</v>
      </c>
      <c r="AE142" s="95">
        <f>IF(A142=207, AD142,MAX(AC142,AD142))*'Weighting Factors'!$Q$9</f>
        <v>491.3</v>
      </c>
      <c r="AF142" s="95">
        <f t="shared" si="86"/>
        <v>0</v>
      </c>
      <c r="AG142" s="95">
        <f>IF(ISNA(VLOOKUP($CZ142,'Audit Values'!$A$2:$BW$353,2,FALSE)),'Preliminary SO66'!AG141,VLOOKUP($CZ142,'Audit Values'!$A$2:$BW$353,70,FALSE))</f>
        <v>33.5</v>
      </c>
      <c r="AH142" s="95">
        <f t="shared" si="87"/>
        <v>33.5</v>
      </c>
      <c r="AI142" s="95">
        <f>IF(ISNA(VLOOKUP($CZ142,'Audit Values'!$A$2:$BU$353,2,FALSE)),'Preliminary SO66'!AQ141,VLOOKUP($CZ142,'Audit Values'!$A$2:$BU$353,65,FALSE))</f>
        <v>0</v>
      </c>
      <c r="AJ142" s="95">
        <f>AI142*'Weighting Factors'!$Q$10</f>
        <v>0</v>
      </c>
      <c r="AK142" s="95">
        <f>IF(ISNA(VLOOKUP($CZ142,'Audit Values'!$A$2:$BU$353,2,FALSE)),'Preliminary SO66'!AR141,VLOOKUP($CZ142,'Audit Values'!$A$2:$BU$353,66,FALSE))</f>
        <v>1880.2</v>
      </c>
      <c r="AL142" s="95"/>
      <c r="AM142" s="99">
        <f t="shared" si="88"/>
        <v>1034110</v>
      </c>
      <c r="AN142" s="99">
        <v>1006528</v>
      </c>
      <c r="AO142" s="95">
        <f>MAX(AN142, AM142)/'Weighting Factors'!$Q$5</f>
        <v>248.3</v>
      </c>
      <c r="AP142" s="95">
        <f>CN142/'Weighting Factors'!$Q$5</f>
        <v>0</v>
      </c>
      <c r="AQ142" s="95">
        <v>0</v>
      </c>
      <c r="AR142" s="95">
        <f>CS142/'Weighting Factors'!$Q$5</f>
        <v>0</v>
      </c>
      <c r="AS142" s="99">
        <v>4808327</v>
      </c>
      <c r="AT142" s="95">
        <f>AS142/'Weighting Factors'!$Q$5</f>
        <v>1154.5</v>
      </c>
      <c r="AU142" s="95">
        <f>IF(ISNA(VLOOKUP($CZ142,'Audit Values'!$A$2:$BU$353,2,FALSE)),'Preliminary SO66'!X141,VLOOKUP($CZ142,'Audit Values'!$A$2:$BU$353,47,FALSE))</f>
        <v>0</v>
      </c>
      <c r="AV142" s="95">
        <f t="shared" si="89"/>
        <v>6027.7</v>
      </c>
      <c r="AW142" s="95">
        <f t="shared" si="90"/>
        <v>4873.2</v>
      </c>
      <c r="AX142" s="95">
        <f>IF(ISNA(VLOOKUP($CZ142,'Audit Values'!$A$2:$BU$353,2,FALSE)),'Preliminary SO66'!AA141,VLOOKUP($CZ142,'Audit Values'!$A$2:$BU$353,41,FALSE))</f>
        <v>2</v>
      </c>
      <c r="AY142" s="95">
        <f>IF(ISNA(VLOOKUP($CZ142,'Audit Values'!$A$2:$BU$353,2,FALSE)),'Preliminary SO66'!AB141,VLOOKUP($CZ142,'Audit Values'!$A$2:$BU$353,42,FALSE))</f>
        <v>0</v>
      </c>
      <c r="AZ142" s="114">
        <v>31</v>
      </c>
      <c r="BA142" s="99">
        <f>SUM(AX142*'Weighting Factors'!$T$10)+('2019 Legal Max'!AY142*'Weighting Factors'!$T$11)+('2019 Legal Max'!AZ142*'Weighting Factors'!$T$12)</f>
        <v>31979</v>
      </c>
      <c r="BB142" s="158">
        <v>0</v>
      </c>
      <c r="BC142" s="88">
        <f>IF(ISNA(VLOOKUP($CZ142,'Audit Values'!$A$2:$BU$353,2,FALSE)),"",IF(AND('Weighting Factors'!H142&gt;0,VLOOKUP($CZ142,'Audit Values'!$A$2:$BU$353,51,FALSE)&lt;'Weighting Factors'!H142),'Weighting Factors'!H142,VLOOKUP($CZ142,'Audit Values'!$A$2:$BU$353,50,FALSE)))</f>
        <v>11</v>
      </c>
      <c r="BD142" s="88" t="str">
        <f>IF(ISNA(VLOOKUP($CZ142,'Audit Values'!$A$2:$BV$353,2,FALSE)),"",VLOOKUP($CZ142,'Audit Values'!$A$2:$BV$353,51,FALSE))</f>
        <v>A</v>
      </c>
      <c r="BE142" s="88" t="str">
        <f>IF('Weighting Factors'!H142="","",IF('Weighting Factors'!J142="Pending","PX","R"))</f>
        <v/>
      </c>
      <c r="BF142" s="97">
        <f>SUM((S142+T142+Y142+AA142+AE142+AH142+AJ142++AO142+AP142+AQ142+AU142+AR142)*'Weighting Factors'!$Q$5)+'2019 Legal Max'!BA142+'2019 Legal Max'!BB142</f>
        <v>20328857</v>
      </c>
      <c r="BG142" s="99">
        <f>SUM((AV142+AR142)*'Weighting Factors'!$Q$5)+BA142+'2019 Legal Max'!BB142</f>
        <v>25137350</v>
      </c>
      <c r="BH142" s="108">
        <f>IF('Weighting Factors'!H142&gt;0,'Weighting Factors'!H142,'Preliminary SO66'!AV141)</f>
        <v>25448179</v>
      </c>
      <c r="BI142" s="99">
        <f t="shared" si="114"/>
        <v>25137350</v>
      </c>
      <c r="BJ142" s="112"/>
      <c r="BK142" s="112">
        <f>'Weighting Factors'!F142</f>
        <v>0</v>
      </c>
      <c r="BL142" s="112">
        <f>'Weighting Factors'!E142</f>
        <v>0</v>
      </c>
      <c r="BM142" s="99">
        <f t="shared" si="91"/>
        <v>0</v>
      </c>
      <c r="BN142" s="99">
        <f t="shared" si="92"/>
        <v>25137350</v>
      </c>
      <c r="BO142" s="99">
        <f>SUM((S142+T142+Y142+AA142+AE142+AH142+AJ142++AO142+AP142+AQ142+AR142)*'Weighting Factors'!Q$12)+(MAX(AS142,'Weighting Factors'!B142))</f>
        <v>26688995</v>
      </c>
      <c r="BP142" s="122">
        <v>0.3</v>
      </c>
      <c r="BQ142" s="99">
        <f t="shared" si="93"/>
        <v>8006699</v>
      </c>
      <c r="BR142" s="108">
        <v>8107857</v>
      </c>
      <c r="BS142" s="99">
        <f t="shared" si="94"/>
        <v>8006699</v>
      </c>
      <c r="BT142" s="167">
        <f t="shared" si="95"/>
        <v>0.3</v>
      </c>
      <c r="BU142" s="95">
        <f t="shared" si="96"/>
        <v>0</v>
      </c>
      <c r="BV142" s="87" t="b">
        <f t="shared" si="97"/>
        <v>0</v>
      </c>
      <c r="BW142" s="117">
        <f t="shared" si="98"/>
        <v>0</v>
      </c>
      <c r="BX142" s="116">
        <f t="shared" si="99"/>
        <v>0</v>
      </c>
      <c r="BY142" s="95">
        <f t="shared" si="100"/>
        <v>0</v>
      </c>
      <c r="BZ142" s="87" t="b">
        <f t="shared" si="101"/>
        <v>0</v>
      </c>
      <c r="CA142" s="87">
        <f t="shared" si="102"/>
        <v>0</v>
      </c>
      <c r="CB142" s="116">
        <f t="shared" si="103"/>
        <v>0</v>
      </c>
      <c r="CC142" s="95">
        <f t="shared" si="104"/>
        <v>0</v>
      </c>
      <c r="CD142" s="95">
        <f t="shared" si="105"/>
        <v>135.4</v>
      </c>
      <c r="CE142" s="98">
        <v>84</v>
      </c>
      <c r="CF142" s="250">
        <f t="shared" si="106"/>
        <v>22.382999999999999</v>
      </c>
      <c r="CG142" s="274">
        <f>IF(CF142&lt;0.06,1,IF(CF142&gt;=18.29,52,MATCH(CF142-0.001,'Weighting Factors'!$Y$5:$Y$156)+1))</f>
        <v>52</v>
      </c>
      <c r="CH142" s="243">
        <f>VLOOKUP(CG142, 'Weighting Factors'!$W$5:$Z$56,4)</f>
        <v>550</v>
      </c>
      <c r="CI142" s="118">
        <f>('Weighting Factors'!$Q$5/'Weighting Factors'!$Q$14)</f>
        <v>1</v>
      </c>
      <c r="CJ142" s="245">
        <f t="shared" si="107"/>
        <v>1034110</v>
      </c>
      <c r="CK142" s="245">
        <f>CJ142*'Weighting Factors'!$S$7</f>
        <v>1034110</v>
      </c>
      <c r="CL142" s="245">
        <f t="shared" si="108"/>
        <v>1034110</v>
      </c>
      <c r="CM142" s="95">
        <f>AM142/'Weighting Factors'!$Q$5</f>
        <v>248.3</v>
      </c>
      <c r="CN142" s="148">
        <v>0</v>
      </c>
      <c r="CO142" s="148">
        <v>0</v>
      </c>
      <c r="CP142" s="149">
        <v>0</v>
      </c>
      <c r="CQ142" s="151">
        <v>0</v>
      </c>
      <c r="CR142" s="99">
        <f>SUM((AV142*'Weighting Factors'!$Q$5)+'2019 Legal Max'!BA142)*CQ142</f>
        <v>0</v>
      </c>
      <c r="CS142" s="99">
        <f t="shared" si="109"/>
        <v>0</v>
      </c>
      <c r="CT142" s="106">
        <f t="shared" si="110"/>
        <v>0.26019999999999999</v>
      </c>
      <c r="CU142" s="95">
        <f t="shared" si="111"/>
        <v>0</v>
      </c>
      <c r="CV142" s="95">
        <f t="shared" si="112"/>
        <v>0</v>
      </c>
      <c r="CW142" s="95">
        <f t="shared" si="113"/>
        <v>6027.7</v>
      </c>
      <c r="CX142" s="99">
        <f>'LOB Transfers'!G141</f>
        <v>655749</v>
      </c>
      <c r="CY142" s="99">
        <f>'LOB Transfers'!J141</f>
        <v>7206</v>
      </c>
      <c r="CZ142" s="87" t="s">
        <v>334</v>
      </c>
    </row>
    <row r="143" spans="1:104" ht="15" customHeight="1">
      <c r="A143" s="88">
        <v>346</v>
      </c>
      <c r="B143" s="87" t="s">
        <v>60</v>
      </c>
      <c r="C143" s="87" t="s">
        <v>656</v>
      </c>
      <c r="D143" s="95">
        <v>530.5</v>
      </c>
      <c r="E143" s="95">
        <v>0</v>
      </c>
      <c r="F143" s="95">
        <f t="shared" si="80"/>
        <v>530.5</v>
      </c>
      <c r="G143" s="95">
        <v>548</v>
      </c>
      <c r="H143" s="95">
        <v>0</v>
      </c>
      <c r="I143" s="95">
        <f t="shared" si="81"/>
        <v>548</v>
      </c>
      <c r="J143" s="95">
        <v>570.79999999999995</v>
      </c>
      <c r="K143" s="95">
        <v>0</v>
      </c>
      <c r="L143" s="95">
        <f t="shared" si="82"/>
        <v>570.79999999999995</v>
      </c>
      <c r="M143" s="95">
        <f>IF(ISNA(VLOOKUP($CZ143,'Audit Values'!$A$2:$BW$365,2,FALSE)),'Preliminary SO66'!C142,VLOOKUP($CZ143,'Audit Values'!$A$2:$BW$365,73,FALSE))</f>
        <v>565.79999999999995</v>
      </c>
      <c r="N143" s="95">
        <f>IF(ISNA(VLOOKUP($CZ143,'Audit Values'!$A$2:$BW$365,2,FALSE)),'Preliminary SO66'!F142,VLOOKUP($CZ143,'Audit Values'!$A$2:$BW$365,4,FALSE))</f>
        <v>0</v>
      </c>
      <c r="O143" s="95">
        <f t="shared" si="83"/>
        <v>565.79999999999995</v>
      </c>
      <c r="P143" s="95">
        <f>IF('Military Provision'!J144="YES", MAX('2019 Legal Max'!L143,'2019 Legal Max'!I143,AVERAGE('2019 Legal Max'!F143,'2019 Legal Max'!I143,'2019 Legal Max'!L143)), MAX(L143, I143))</f>
        <v>570.79999999999995</v>
      </c>
      <c r="Q143" s="95">
        <f>IF(ISNA(VLOOKUP($CZ143,'Audit Values'!$A$2:$BU$353,2,FALSE)),'Preliminary SO66'!AL142,VLOOKUP($CZ143,'Audit Values'!$A$2:$BU$3955,58,FALSE))</f>
        <v>7</v>
      </c>
      <c r="R143" s="95">
        <v>0</v>
      </c>
      <c r="S143" s="95">
        <f t="shared" si="79"/>
        <v>577.79999999999995</v>
      </c>
      <c r="T143" s="95">
        <f t="shared" si="84"/>
        <v>225.2</v>
      </c>
      <c r="U143" s="95">
        <f>IF(ISNA(VLOOKUP($CZ143,'Audit Values'!$A$2:$BW$317,2,FALSE)),'Preliminary SO66'!AM142,VLOOKUP($CZ143,'Audit Values'!$A$2:$BW$317,62,FALSE))</f>
        <v>0.4</v>
      </c>
      <c r="V143" s="95">
        <f>(U143/6)*'Weighting Factors'!$Q$7</f>
        <v>0</v>
      </c>
      <c r="W143" s="132">
        <f>IF(ISNA(VLOOKUP($CZ143,'Audit Values'!$A$2:$BW$353,2,FALSE)),'Preliminary SO66'!AN142,VLOOKUP($CZ143,'Audit Values'!$A$2:$BW$353,61,FALSE))</f>
        <v>8</v>
      </c>
      <c r="X143" s="95">
        <f>W143*'Weighting Factors'!$Q$8</f>
        <v>1.5</v>
      </c>
      <c r="Y143" s="95">
        <f t="shared" si="85"/>
        <v>1.5</v>
      </c>
      <c r="Z143" s="276">
        <f>IF(ISNA(VLOOKUP($CZ143,'Audit Values'!$A$2:$BW$317,2,FALSE)),'Preliminary SO66'!AO142,VLOOKUP($CZ143,'Audit Values'!$A$2:$BW$317,60,FALSE))</f>
        <v>123.9</v>
      </c>
      <c r="AA143" s="95">
        <f>Z143/6*'Weighting Factors'!$Q$6</f>
        <v>10.3</v>
      </c>
      <c r="AB143" s="99">
        <f>IF(ISNA(VLOOKUP($CZ143,'Audit Values'!$A$2:$BU$353,2,FALSE)),'Preliminary SO66'!AS142,VLOOKUP($CZ143,'Audit Values'!$A$2:$BU$353,63,FALSE))</f>
        <v>589</v>
      </c>
      <c r="AC143" s="99">
        <v>0</v>
      </c>
      <c r="AD143" s="99">
        <f>IF(ISNA(VLOOKUP($CZ143,'Audit Values'!$A$2:$BU$353,2,FALSE)),'Preliminary SO66'!AP142,VLOOKUP($CZ143,'Audit Values'!$A$2:$BU$353,64,FALSE))</f>
        <v>269</v>
      </c>
      <c r="AE143" s="95">
        <f>IF(A143=207, AD143,MAX(AC143,AD143))*'Weighting Factors'!$Q$9</f>
        <v>130.19999999999999</v>
      </c>
      <c r="AF143" s="95">
        <f t="shared" si="86"/>
        <v>20.100000000000001</v>
      </c>
      <c r="AG143" s="95">
        <f>IF(ISNA(VLOOKUP($CZ143,'Audit Values'!$A$2:$BW$353,2,FALSE)),'Preliminary SO66'!AG142,VLOOKUP($CZ143,'Audit Values'!$A$2:$BW$353,70,FALSE))</f>
        <v>21</v>
      </c>
      <c r="AH143" s="95">
        <f t="shared" si="87"/>
        <v>21</v>
      </c>
      <c r="AI143" s="95">
        <f>IF(ISNA(VLOOKUP($CZ143,'Audit Values'!$A$2:$BU$353,2,FALSE)),'Preliminary SO66'!AQ142,VLOOKUP($CZ143,'Audit Values'!$A$2:$BU$353,65,FALSE))</f>
        <v>0</v>
      </c>
      <c r="AJ143" s="95">
        <f>AI143*'Weighting Factors'!$Q$10</f>
        <v>0</v>
      </c>
      <c r="AK143" s="95">
        <f>IF(ISNA(VLOOKUP($CZ143,'Audit Values'!$A$2:$BU$353,2,FALSE)),'Preliminary SO66'!AR142,VLOOKUP($CZ143,'Audit Values'!$A$2:$BU$353,66,FALSE))</f>
        <v>326</v>
      </c>
      <c r="AL143" s="95"/>
      <c r="AM143" s="99">
        <f t="shared" si="88"/>
        <v>309700</v>
      </c>
      <c r="AN143" s="99">
        <v>328576</v>
      </c>
      <c r="AO143" s="95">
        <f>MAX(AN143, AM143)/'Weighting Factors'!$Q$5</f>
        <v>78.900000000000006</v>
      </c>
      <c r="AP143" s="95">
        <f>CN143/'Weighting Factors'!$Q$5</f>
        <v>0</v>
      </c>
      <c r="AQ143" s="95">
        <v>0</v>
      </c>
      <c r="AR143" s="95">
        <f>CS143/'Weighting Factors'!$Q$5</f>
        <v>0</v>
      </c>
      <c r="AS143" s="99">
        <v>801725</v>
      </c>
      <c r="AT143" s="95">
        <f>AS143/'Weighting Factors'!$Q$5</f>
        <v>192.5</v>
      </c>
      <c r="AU143" s="95">
        <f>IF(ISNA(VLOOKUP($CZ143,'Audit Values'!$A$2:$BU$353,2,FALSE)),'Preliminary SO66'!X142,VLOOKUP($CZ143,'Audit Values'!$A$2:$BU$353,47,FALSE))</f>
        <v>0</v>
      </c>
      <c r="AV143" s="95">
        <f t="shared" si="89"/>
        <v>1237.4000000000001</v>
      </c>
      <c r="AW143" s="95">
        <f t="shared" si="90"/>
        <v>1044.9000000000001</v>
      </c>
      <c r="AX143" s="95">
        <f>IF(ISNA(VLOOKUP($CZ143,'Audit Values'!$A$2:$BU$353,2,FALSE)),'Preliminary SO66'!AA142,VLOOKUP($CZ143,'Audit Values'!$A$2:$BU$353,41,FALSE))</f>
        <v>4</v>
      </c>
      <c r="AY143" s="95">
        <f>IF(ISNA(VLOOKUP($CZ143,'Audit Values'!$A$2:$BU$353,2,FALSE)),'Preliminary SO66'!AB142,VLOOKUP($CZ143,'Audit Values'!$A$2:$BU$353,42,FALSE))</f>
        <v>0</v>
      </c>
      <c r="AZ143" s="114">
        <v>0.5</v>
      </c>
      <c r="BA143" s="99">
        <f>SUM(AX143*'Weighting Factors'!$T$10)+('2019 Legal Max'!AY143*'Weighting Factors'!$T$11)+('2019 Legal Max'!AZ143*'Weighting Factors'!$T$12)</f>
        <v>20355</v>
      </c>
      <c r="BB143" s="158">
        <v>0</v>
      </c>
      <c r="BC143" s="88">
        <f>IF(ISNA(VLOOKUP($CZ143,'Audit Values'!$A$2:$BU$353,2,FALSE)),"",IF(AND('Weighting Factors'!H143&gt;0,VLOOKUP($CZ143,'Audit Values'!$A$2:$BU$353,51,FALSE)&lt;'Weighting Factors'!H143),'Weighting Factors'!H143,VLOOKUP($CZ143,'Audit Values'!$A$2:$BU$353,50,FALSE)))</f>
        <v>17</v>
      </c>
      <c r="BD143" s="88" t="str">
        <f>IF(ISNA(VLOOKUP($CZ143,'Audit Values'!$A$2:$BV$353,2,FALSE)),"",VLOOKUP($CZ143,'Audit Values'!$A$2:$BV$353,51,FALSE))</f>
        <v>A</v>
      </c>
      <c r="BE143" s="88" t="str">
        <f>IF('Weighting Factors'!H143="","",IF('Weighting Factors'!J143="Pending","PX","R"))</f>
        <v/>
      </c>
      <c r="BF143" s="97">
        <f>SUM((S143+T143+Y143+AA143+AE143+AH143+AJ143++AO143+AP143+AQ143+AU143+AR143)*'Weighting Factors'!$Q$5)+'2019 Legal Max'!BA143+'2019 Legal Max'!BB143</f>
        <v>4372364</v>
      </c>
      <c r="BG143" s="99">
        <f>SUM((AV143+AR143)*'Weighting Factors'!$Q$5)+BA143+'2019 Legal Max'!BB143</f>
        <v>5174126</v>
      </c>
      <c r="BH143" s="108">
        <f>IF('Weighting Factors'!H143&gt;0,'Weighting Factors'!H143,'Preliminary SO66'!AV142)</f>
        <v>5249480</v>
      </c>
      <c r="BI143" s="99">
        <f t="shared" si="114"/>
        <v>5174126</v>
      </c>
      <c r="BJ143" s="112"/>
      <c r="BK143" s="112">
        <f>'Weighting Factors'!F143</f>
        <v>0</v>
      </c>
      <c r="BL143" s="112">
        <f>'Weighting Factors'!E143</f>
        <v>0</v>
      </c>
      <c r="BM143" s="99">
        <f t="shared" si="91"/>
        <v>0</v>
      </c>
      <c r="BN143" s="99">
        <f t="shared" si="92"/>
        <v>5174126</v>
      </c>
      <c r="BO143" s="99">
        <f>SUM((S143+T143+Y143+AA143+AE143+AH143+AJ143++AO143+AP143+AQ143+AR143)*'Weighting Factors'!Q$12)+(MAX(AS143,'Weighting Factors'!B143))</f>
        <v>5493326</v>
      </c>
      <c r="BP143" s="122">
        <v>0.3</v>
      </c>
      <c r="BQ143" s="99">
        <f t="shared" si="93"/>
        <v>1647998</v>
      </c>
      <c r="BR143" s="108">
        <v>1674916</v>
      </c>
      <c r="BS143" s="99">
        <f t="shared" si="94"/>
        <v>1647998</v>
      </c>
      <c r="BT143" s="167">
        <f t="shared" si="95"/>
        <v>0.3</v>
      </c>
      <c r="BU143" s="95">
        <f t="shared" si="96"/>
        <v>0</v>
      </c>
      <c r="BV143" s="87" t="b">
        <f t="shared" si="97"/>
        <v>0</v>
      </c>
      <c r="BW143" s="117">
        <f t="shared" si="98"/>
        <v>0</v>
      </c>
      <c r="BX143" s="116">
        <f t="shared" si="99"/>
        <v>0</v>
      </c>
      <c r="BY143" s="95">
        <f t="shared" si="100"/>
        <v>0</v>
      </c>
      <c r="BZ143" s="87" t="b">
        <f t="shared" si="101"/>
        <v>1</v>
      </c>
      <c r="CA143" s="87">
        <f t="shared" si="102"/>
        <v>343.77749999999997</v>
      </c>
      <c r="CB143" s="116">
        <f t="shared" si="103"/>
        <v>0.38980399999999998</v>
      </c>
      <c r="CC143" s="95">
        <f t="shared" si="104"/>
        <v>225.2</v>
      </c>
      <c r="CD143" s="95">
        <f t="shared" si="105"/>
        <v>0</v>
      </c>
      <c r="CE143" s="98">
        <v>302</v>
      </c>
      <c r="CF143" s="250">
        <f t="shared" si="106"/>
        <v>1.079</v>
      </c>
      <c r="CG143" s="274">
        <f>IF(CF143&lt;0.06,1,IF(CF143&gt;=18.29,52,MATCH(CF143-0.001,'Weighting Factors'!$Y$5:$Y$156)+1))</f>
        <v>32</v>
      </c>
      <c r="CH143" s="243">
        <f>VLOOKUP(CG143, 'Weighting Factors'!$W$5:$Z$56,4)</f>
        <v>950</v>
      </c>
      <c r="CI143" s="118">
        <f>('Weighting Factors'!$Q$5/'Weighting Factors'!$Q$14)</f>
        <v>1</v>
      </c>
      <c r="CJ143" s="245">
        <f t="shared" si="107"/>
        <v>309700</v>
      </c>
      <c r="CK143" s="245">
        <f>CJ143*'Weighting Factors'!$S$7</f>
        <v>309700</v>
      </c>
      <c r="CL143" s="245">
        <f t="shared" si="108"/>
        <v>309700</v>
      </c>
      <c r="CM143" s="95">
        <f>AM143/'Weighting Factors'!$Q$5</f>
        <v>74.400000000000006</v>
      </c>
      <c r="CN143" s="148">
        <v>0</v>
      </c>
      <c r="CO143" s="148">
        <v>0</v>
      </c>
      <c r="CP143" s="149">
        <v>0</v>
      </c>
      <c r="CQ143" s="151">
        <v>0</v>
      </c>
      <c r="CR143" s="99">
        <f>SUM((AV143*'Weighting Factors'!$Q$5)+'2019 Legal Max'!BA143)*CQ143</f>
        <v>0</v>
      </c>
      <c r="CS143" s="99">
        <f t="shared" si="109"/>
        <v>0</v>
      </c>
      <c r="CT143" s="106">
        <f t="shared" si="110"/>
        <v>0.45669999999999999</v>
      </c>
      <c r="CU143" s="95">
        <f t="shared" si="111"/>
        <v>0</v>
      </c>
      <c r="CV143" s="95">
        <f t="shared" si="112"/>
        <v>20.100000000000001</v>
      </c>
      <c r="CW143" s="95">
        <f t="shared" si="113"/>
        <v>1237.4000000000001</v>
      </c>
      <c r="CX143" s="99">
        <f>'LOB Transfers'!G142</f>
        <v>174358</v>
      </c>
      <c r="CY143" s="99">
        <f>'LOB Transfers'!J142</f>
        <v>1978</v>
      </c>
      <c r="CZ143" s="87" t="s">
        <v>335</v>
      </c>
    </row>
    <row r="144" spans="1:104" ht="15" customHeight="1">
      <c r="A144" s="88">
        <v>347</v>
      </c>
      <c r="B144" s="87" t="s">
        <v>62</v>
      </c>
      <c r="C144" s="87" t="s">
        <v>657</v>
      </c>
      <c r="D144" s="95">
        <v>319</v>
      </c>
      <c r="E144" s="95">
        <v>0</v>
      </c>
      <c r="F144" s="95">
        <f t="shared" si="80"/>
        <v>319</v>
      </c>
      <c r="G144" s="95">
        <v>332</v>
      </c>
      <c r="H144" s="95">
        <v>0</v>
      </c>
      <c r="I144" s="95">
        <f t="shared" si="81"/>
        <v>332</v>
      </c>
      <c r="J144" s="95">
        <v>313</v>
      </c>
      <c r="K144" s="95">
        <v>0</v>
      </c>
      <c r="L144" s="95">
        <f t="shared" si="82"/>
        <v>313</v>
      </c>
      <c r="M144" s="95">
        <f>IF(ISNA(VLOOKUP($CZ144,'Audit Values'!$A$2:$BW$365,2,FALSE)),'Preliminary SO66'!C143,VLOOKUP($CZ144,'Audit Values'!$A$2:$BW$365,73,FALSE))</f>
        <v>304</v>
      </c>
      <c r="N144" s="95">
        <f>IF(ISNA(VLOOKUP($CZ144,'Audit Values'!$A$2:$BW$365,2,FALSE)),'Preliminary SO66'!F143,VLOOKUP($CZ144,'Audit Values'!$A$2:$BW$365,4,FALSE))</f>
        <v>0</v>
      </c>
      <c r="O144" s="95">
        <f t="shared" si="83"/>
        <v>304</v>
      </c>
      <c r="P144" s="95">
        <f>IF('Military Provision'!J145="YES", MAX('2019 Legal Max'!L144,'2019 Legal Max'!I144,AVERAGE('2019 Legal Max'!F144,'2019 Legal Max'!I144,'2019 Legal Max'!L144)), MAX(L144, I144))</f>
        <v>332</v>
      </c>
      <c r="Q144" s="95">
        <f>IF(ISNA(VLOOKUP($CZ144,'Audit Values'!$A$2:$BU$353,2,FALSE)),'Preliminary SO66'!AL143,VLOOKUP($CZ144,'Audit Values'!$A$2:$BU$3955,58,FALSE))</f>
        <v>3</v>
      </c>
      <c r="R144" s="95">
        <v>0</v>
      </c>
      <c r="S144" s="95">
        <f t="shared" si="79"/>
        <v>335</v>
      </c>
      <c r="T144" s="95">
        <f t="shared" si="84"/>
        <v>158.19999999999999</v>
      </c>
      <c r="U144" s="95">
        <f>IF(ISNA(VLOOKUP($CZ144,'Audit Values'!$A$2:$BW$317,2,FALSE)),'Preliminary SO66'!AM143,VLOOKUP($CZ144,'Audit Values'!$A$2:$BW$317,62,FALSE))</f>
        <v>215.4</v>
      </c>
      <c r="V144" s="95">
        <f>(U144/6)*'Weighting Factors'!$Q$7</f>
        <v>14.2</v>
      </c>
      <c r="W144" s="132">
        <f>IF(ISNA(VLOOKUP($CZ144,'Audit Values'!$A$2:$BW$353,2,FALSE)),'Preliminary SO66'!AN143,VLOOKUP($CZ144,'Audit Values'!$A$2:$BW$353,61,FALSE))</f>
        <v>52</v>
      </c>
      <c r="X144" s="95">
        <f>W144*'Weighting Factors'!$Q$8</f>
        <v>9.6</v>
      </c>
      <c r="Y144" s="95">
        <f t="shared" si="85"/>
        <v>14.2</v>
      </c>
      <c r="Z144" s="276">
        <f>IF(ISNA(VLOOKUP($CZ144,'Audit Values'!$A$2:$BW$317,2,FALSE)),'Preliminary SO66'!AO143,VLOOKUP($CZ144,'Audit Values'!$A$2:$BW$317,60,FALSE))</f>
        <v>148</v>
      </c>
      <c r="AA144" s="95">
        <f>Z144/6*'Weighting Factors'!$Q$6</f>
        <v>12.3</v>
      </c>
      <c r="AB144" s="99">
        <f>IF(ISNA(VLOOKUP($CZ144,'Audit Values'!$A$2:$BU$353,2,FALSE)),'Preliminary SO66'!AS143,VLOOKUP($CZ144,'Audit Values'!$A$2:$BU$353,63,FALSE))</f>
        <v>312</v>
      </c>
      <c r="AC144" s="99">
        <v>0</v>
      </c>
      <c r="AD144" s="99">
        <f>IF(ISNA(VLOOKUP($CZ144,'Audit Values'!$A$2:$BU$353,2,FALSE)),'Preliminary SO66'!AP143,VLOOKUP($CZ144,'Audit Values'!$A$2:$BU$353,64,FALSE))</f>
        <v>132</v>
      </c>
      <c r="AE144" s="95">
        <f>IF(A144=207, AD144,MAX(AC144,AD144))*'Weighting Factors'!$Q$9</f>
        <v>63.9</v>
      </c>
      <c r="AF144" s="95">
        <f t="shared" si="86"/>
        <v>6.8</v>
      </c>
      <c r="AG144" s="95">
        <f>IF(ISNA(VLOOKUP($CZ144,'Audit Values'!$A$2:$BW$353,2,FALSE)),'Preliminary SO66'!AG143,VLOOKUP($CZ144,'Audit Values'!$A$2:$BW$353,70,FALSE))</f>
        <v>6.8</v>
      </c>
      <c r="AH144" s="95">
        <f t="shared" si="87"/>
        <v>6.8</v>
      </c>
      <c r="AI144" s="95">
        <f>IF(ISNA(VLOOKUP($CZ144,'Audit Values'!$A$2:$BU$353,2,FALSE)),'Preliminary SO66'!AQ143,VLOOKUP($CZ144,'Audit Values'!$A$2:$BU$353,65,FALSE))</f>
        <v>0</v>
      </c>
      <c r="AJ144" s="95">
        <f>AI144*'Weighting Factors'!$Q$10</f>
        <v>0</v>
      </c>
      <c r="AK144" s="95">
        <f>IF(ISNA(VLOOKUP($CZ144,'Audit Values'!$A$2:$BU$353,2,FALSE)),'Preliminary SO66'!AR143,VLOOKUP($CZ144,'Audit Values'!$A$2:$BU$353,66,FALSE))</f>
        <v>146</v>
      </c>
      <c r="AL144" s="95"/>
      <c r="AM144" s="99">
        <f t="shared" si="88"/>
        <v>164980</v>
      </c>
      <c r="AN144" s="99">
        <v>214942</v>
      </c>
      <c r="AO144" s="95">
        <f>MAX(AN144, AM144)/'Weighting Factors'!$Q$5</f>
        <v>51.6</v>
      </c>
      <c r="AP144" s="95">
        <f>CN144/'Weighting Factors'!$Q$5</f>
        <v>0</v>
      </c>
      <c r="AQ144" s="95">
        <v>0</v>
      </c>
      <c r="AR144" s="95">
        <f>CS144/'Weighting Factors'!$Q$5</f>
        <v>0</v>
      </c>
      <c r="AS144" s="99">
        <v>347792</v>
      </c>
      <c r="AT144" s="95">
        <f>AS144/'Weighting Factors'!$Q$5</f>
        <v>83.5</v>
      </c>
      <c r="AU144" s="95">
        <f>IF(ISNA(VLOOKUP($CZ144,'Audit Values'!$A$2:$BU$353,2,FALSE)),'Preliminary SO66'!X143,VLOOKUP($CZ144,'Audit Values'!$A$2:$BU$353,47,FALSE))</f>
        <v>0</v>
      </c>
      <c r="AV144" s="95">
        <f t="shared" si="89"/>
        <v>725.5</v>
      </c>
      <c r="AW144" s="95">
        <f t="shared" si="90"/>
        <v>642</v>
      </c>
      <c r="AX144" s="95">
        <f>IF(ISNA(VLOOKUP($CZ144,'Audit Values'!$A$2:$BU$353,2,FALSE)),'Preliminary SO66'!AA143,VLOOKUP($CZ144,'Audit Values'!$A$2:$BU$353,41,FALSE))</f>
        <v>0</v>
      </c>
      <c r="AY144" s="95">
        <f>IF(ISNA(VLOOKUP($CZ144,'Audit Values'!$A$2:$BU$353,2,FALSE)),'Preliminary SO66'!AB143,VLOOKUP($CZ144,'Audit Values'!$A$2:$BU$353,42,FALSE))</f>
        <v>0</v>
      </c>
      <c r="AZ144" s="114">
        <v>0</v>
      </c>
      <c r="BA144" s="99">
        <f>SUM(AX144*'Weighting Factors'!$T$10)+('2019 Legal Max'!AY144*'Weighting Factors'!$T$11)+('2019 Legal Max'!AZ144*'Weighting Factors'!$T$12)</f>
        <v>0</v>
      </c>
      <c r="BB144" s="158">
        <v>0</v>
      </c>
      <c r="BC144" s="88">
        <f>IF(ISNA(VLOOKUP($CZ144,'Audit Values'!$A$2:$BU$353,2,FALSE)),"",IF(AND('Weighting Factors'!H144&gt;0,VLOOKUP($CZ144,'Audit Values'!$A$2:$BU$353,51,FALSE)&lt;'Weighting Factors'!H144),'Weighting Factors'!H144,VLOOKUP($CZ144,'Audit Values'!$A$2:$BU$353,50,FALSE)))</f>
        <v>15</v>
      </c>
      <c r="BD144" s="88" t="str">
        <f>IF(ISNA(VLOOKUP($CZ144,'Audit Values'!$A$2:$BV$353,2,FALSE)),"",VLOOKUP($CZ144,'Audit Values'!$A$2:$BV$353,51,FALSE))</f>
        <v>A</v>
      </c>
      <c r="BE144" s="88" t="str">
        <f>IF('Weighting Factors'!H144="","",IF('Weighting Factors'!J144="Pending","PX","R"))</f>
        <v/>
      </c>
      <c r="BF144" s="97">
        <f>SUM((S144+T144+Y144+AA144+AE144+AH144+AJ144++AO144+AP144+AQ144+AU144+AR144)*'Weighting Factors'!$Q$5)+'2019 Legal Max'!BA144+'2019 Legal Max'!BB144</f>
        <v>2673930</v>
      </c>
      <c r="BG144" s="99">
        <f>SUM((AV144+AR144)*'Weighting Factors'!$Q$5)+BA144+'2019 Legal Max'!BB144</f>
        <v>3021708</v>
      </c>
      <c r="BH144" s="108">
        <f>IF('Weighting Factors'!H144&gt;0,'Weighting Factors'!H144,'Preliminary SO66'!AV143)</f>
        <v>3117919</v>
      </c>
      <c r="BI144" s="99">
        <f t="shared" si="114"/>
        <v>3021708</v>
      </c>
      <c r="BJ144" s="112"/>
      <c r="BK144" s="112">
        <f>'Weighting Factors'!F144</f>
        <v>-12510</v>
      </c>
      <c r="BL144" s="112">
        <f>'Weighting Factors'!E144</f>
        <v>0</v>
      </c>
      <c r="BM144" s="99">
        <f t="shared" si="91"/>
        <v>-12510</v>
      </c>
      <c r="BN144" s="99">
        <f t="shared" si="92"/>
        <v>3009198</v>
      </c>
      <c r="BO144" s="99">
        <f>SUM((S144+T144+Y144+AA144+AE144+AH144+AJ144++AO144+AP144+AQ144+AR144)*'Weighting Factors'!Q$12)+(MAX(AS144,'Weighting Factors'!B144))</f>
        <v>3271359</v>
      </c>
      <c r="BP144" s="122">
        <v>0.3</v>
      </c>
      <c r="BQ144" s="99">
        <f t="shared" si="93"/>
        <v>981408</v>
      </c>
      <c r="BR144" s="108">
        <v>998032</v>
      </c>
      <c r="BS144" s="99">
        <f t="shared" si="94"/>
        <v>981408</v>
      </c>
      <c r="BT144" s="167">
        <f t="shared" si="95"/>
        <v>0.3</v>
      </c>
      <c r="BU144" s="95">
        <f t="shared" si="96"/>
        <v>0</v>
      </c>
      <c r="BV144" s="87" t="b">
        <f t="shared" si="97"/>
        <v>0</v>
      </c>
      <c r="BW144" s="117">
        <f t="shared" si="98"/>
        <v>0</v>
      </c>
      <c r="BX144" s="116">
        <f t="shared" si="99"/>
        <v>0</v>
      </c>
      <c r="BY144" s="95">
        <f t="shared" si="100"/>
        <v>0</v>
      </c>
      <c r="BZ144" s="87" t="b">
        <f t="shared" si="101"/>
        <v>1</v>
      </c>
      <c r="CA144" s="87">
        <f t="shared" si="102"/>
        <v>43.3125</v>
      </c>
      <c r="CB144" s="116">
        <f t="shared" si="103"/>
        <v>0.47229500000000002</v>
      </c>
      <c r="CC144" s="95">
        <f t="shared" si="104"/>
        <v>158.19999999999999</v>
      </c>
      <c r="CD144" s="95">
        <f t="shared" si="105"/>
        <v>0</v>
      </c>
      <c r="CE144" s="98">
        <v>340</v>
      </c>
      <c r="CF144" s="250">
        <f t="shared" si="106"/>
        <v>0.42899999999999999</v>
      </c>
      <c r="CG144" s="274">
        <f>IF(CF144&lt;0.06,1,IF(CF144&gt;=18.29,52,MATCH(CF144-0.001,'Weighting Factors'!$Y$5:$Y$156)+1))</f>
        <v>23</v>
      </c>
      <c r="CH144" s="243">
        <f>VLOOKUP(CG144, 'Weighting Factors'!$W$5:$Z$56,4)</f>
        <v>1130</v>
      </c>
      <c r="CI144" s="118">
        <f>('Weighting Factors'!$Q$5/'Weighting Factors'!$Q$14)</f>
        <v>1</v>
      </c>
      <c r="CJ144" s="245">
        <f t="shared" si="107"/>
        <v>164980</v>
      </c>
      <c r="CK144" s="245">
        <f>CJ144*'Weighting Factors'!$S$7</f>
        <v>164980</v>
      </c>
      <c r="CL144" s="245">
        <f t="shared" si="108"/>
        <v>164980</v>
      </c>
      <c r="CM144" s="95">
        <f>AM144/'Weighting Factors'!$Q$5</f>
        <v>39.6</v>
      </c>
      <c r="CN144" s="148">
        <v>0</v>
      </c>
      <c r="CO144" s="148">
        <v>0</v>
      </c>
      <c r="CP144" s="149">
        <v>0</v>
      </c>
      <c r="CQ144" s="151">
        <v>0</v>
      </c>
      <c r="CR144" s="99">
        <f>SUM((AV144*'Weighting Factors'!$Q$5)+'2019 Legal Max'!BA144)*CQ144</f>
        <v>0</v>
      </c>
      <c r="CS144" s="99">
        <f t="shared" si="109"/>
        <v>0</v>
      </c>
      <c r="CT144" s="106">
        <f t="shared" si="110"/>
        <v>0.42309999999999998</v>
      </c>
      <c r="CU144" s="95">
        <f t="shared" si="111"/>
        <v>0</v>
      </c>
      <c r="CV144" s="95">
        <f t="shared" si="112"/>
        <v>6.8</v>
      </c>
      <c r="CW144" s="95">
        <f t="shared" si="113"/>
        <v>725.5</v>
      </c>
      <c r="CX144" s="99">
        <f>'LOB Transfers'!G143</f>
        <v>86756</v>
      </c>
      <c r="CY144" s="99">
        <f>'LOB Transfers'!J143</f>
        <v>19334</v>
      </c>
      <c r="CZ144" s="87" t="s">
        <v>336</v>
      </c>
    </row>
    <row r="145" spans="1:104" ht="15" customHeight="1">
      <c r="A145" s="88">
        <v>348</v>
      </c>
      <c r="B145" s="87" t="s">
        <v>63</v>
      </c>
      <c r="C145" s="87" t="s">
        <v>658</v>
      </c>
      <c r="D145" s="95">
        <v>1298.2</v>
      </c>
      <c r="E145" s="95">
        <v>0</v>
      </c>
      <c r="F145" s="95">
        <f t="shared" si="80"/>
        <v>1298.2</v>
      </c>
      <c r="G145" s="95">
        <v>1377.7</v>
      </c>
      <c r="H145" s="95">
        <v>0</v>
      </c>
      <c r="I145" s="95">
        <f t="shared" si="81"/>
        <v>1377.7</v>
      </c>
      <c r="J145" s="95">
        <v>1339</v>
      </c>
      <c r="K145" s="95">
        <v>0</v>
      </c>
      <c r="L145" s="95">
        <f t="shared" si="82"/>
        <v>1339</v>
      </c>
      <c r="M145" s="95">
        <f>IF(ISNA(VLOOKUP($CZ145,'Audit Values'!$A$2:$BW$365,2,FALSE)),'Preliminary SO66'!C144,VLOOKUP($CZ145,'Audit Values'!$A$2:$BW$365,73,FALSE))</f>
        <v>1342.9</v>
      </c>
      <c r="N145" s="95">
        <f>IF(ISNA(VLOOKUP($CZ145,'Audit Values'!$A$2:$BW$365,2,FALSE)),'Preliminary SO66'!F144,VLOOKUP($CZ145,'Audit Values'!$A$2:$BW$365,4,FALSE))</f>
        <v>0</v>
      </c>
      <c r="O145" s="95">
        <f t="shared" si="83"/>
        <v>1342.9</v>
      </c>
      <c r="P145" s="95">
        <f>IF('Military Provision'!J146="YES", MAX('2019 Legal Max'!L145,'2019 Legal Max'!I145,AVERAGE('2019 Legal Max'!F145,'2019 Legal Max'!I145,'2019 Legal Max'!L145)), MAX(L145, I145))</f>
        <v>1377.7</v>
      </c>
      <c r="Q145" s="95">
        <f>IF(ISNA(VLOOKUP($CZ145,'Audit Values'!$A$2:$BU$353,2,FALSE)),'Preliminary SO66'!AL144,VLOOKUP($CZ145,'Audit Values'!$A$2:$BU$3955,58,FALSE))</f>
        <v>10</v>
      </c>
      <c r="R145" s="95">
        <v>0</v>
      </c>
      <c r="S145" s="95">
        <f t="shared" si="79"/>
        <v>1387.7</v>
      </c>
      <c r="T145" s="95">
        <f t="shared" si="84"/>
        <v>159.1</v>
      </c>
      <c r="U145" s="95">
        <f>IF(ISNA(VLOOKUP($CZ145,'Audit Values'!$A$2:$BW$317,2,FALSE)),'Preliminary SO66'!AM144,VLOOKUP($CZ145,'Audit Values'!$A$2:$BW$317,62,FALSE))</f>
        <v>0</v>
      </c>
      <c r="V145" s="95">
        <f>(U145/6)*'Weighting Factors'!$Q$7</f>
        <v>0</v>
      </c>
      <c r="W145" s="132">
        <f>IF(ISNA(VLOOKUP($CZ145,'Audit Values'!$A$2:$BW$353,2,FALSE)),'Preliminary SO66'!AN144,VLOOKUP($CZ145,'Audit Values'!$A$2:$BW$353,61,FALSE))</f>
        <v>0</v>
      </c>
      <c r="X145" s="95">
        <f>W145*'Weighting Factors'!$Q$8</f>
        <v>0</v>
      </c>
      <c r="Y145" s="95">
        <f t="shared" si="85"/>
        <v>0</v>
      </c>
      <c r="Z145" s="276">
        <f>IF(ISNA(VLOOKUP($CZ145,'Audit Values'!$A$2:$BW$317,2,FALSE)),'Preliminary SO66'!AO144,VLOOKUP($CZ145,'Audit Values'!$A$2:$BW$317,60,FALSE))</f>
        <v>362.3</v>
      </c>
      <c r="AA145" s="95">
        <f>Z145/6*'Weighting Factors'!$Q$6</f>
        <v>30.2</v>
      </c>
      <c r="AB145" s="99">
        <f>IF(ISNA(VLOOKUP($CZ145,'Audit Values'!$A$2:$BU$353,2,FALSE)),'Preliminary SO66'!AS144,VLOOKUP($CZ145,'Audit Values'!$A$2:$BU$353,63,FALSE))</f>
        <v>1380</v>
      </c>
      <c r="AC145" s="99">
        <v>0</v>
      </c>
      <c r="AD145" s="99">
        <f>IF(ISNA(VLOOKUP($CZ145,'Audit Values'!$A$2:$BU$353,2,FALSE)),'Preliminary SO66'!AP144,VLOOKUP($CZ145,'Audit Values'!$A$2:$BU$353,64,FALSE))</f>
        <v>283</v>
      </c>
      <c r="AE145" s="95">
        <f>IF(A145=207, AD145,MAX(AC145,AD145))*'Weighting Factors'!$Q$9</f>
        <v>137</v>
      </c>
      <c r="AF145" s="95">
        <f t="shared" si="86"/>
        <v>0</v>
      </c>
      <c r="AG145" s="95">
        <f>IF(ISNA(VLOOKUP($CZ145,'Audit Values'!$A$2:$BW$353,2,FALSE)),'Preliminary SO66'!AG144,VLOOKUP($CZ145,'Audit Values'!$A$2:$BW$353,70,FALSE))</f>
        <v>0</v>
      </c>
      <c r="AH145" s="95">
        <f t="shared" si="87"/>
        <v>0</v>
      </c>
      <c r="AI145" s="95">
        <f>IF(ISNA(VLOOKUP($CZ145,'Audit Values'!$A$2:$BU$353,2,FALSE)),'Preliminary SO66'!AQ144,VLOOKUP($CZ145,'Audit Values'!$A$2:$BU$353,65,FALSE))</f>
        <v>0</v>
      </c>
      <c r="AJ145" s="95">
        <f>AI145*'Weighting Factors'!$Q$10</f>
        <v>0</v>
      </c>
      <c r="AK145" s="95">
        <f>IF(ISNA(VLOOKUP($CZ145,'Audit Values'!$A$2:$BU$353,2,FALSE)),'Preliminary SO66'!AR144,VLOOKUP($CZ145,'Audit Values'!$A$2:$BU$353,66,FALSE))</f>
        <v>446</v>
      </c>
      <c r="AL145" s="95"/>
      <c r="AM145" s="99">
        <f t="shared" si="88"/>
        <v>343420</v>
      </c>
      <c r="AN145" s="99">
        <v>380963</v>
      </c>
      <c r="AO145" s="95">
        <f>MAX(AN145, AM145)/'Weighting Factors'!$Q$5</f>
        <v>91.5</v>
      </c>
      <c r="AP145" s="95">
        <f>CN145/'Weighting Factors'!$Q$5</f>
        <v>0</v>
      </c>
      <c r="AQ145" s="95">
        <v>0</v>
      </c>
      <c r="AR145" s="95">
        <f>CS145/'Weighting Factors'!$Q$5</f>
        <v>0</v>
      </c>
      <c r="AS145" s="99">
        <v>1575177</v>
      </c>
      <c r="AT145" s="95">
        <f>AS145/'Weighting Factors'!$Q$5</f>
        <v>378.2</v>
      </c>
      <c r="AU145" s="95">
        <f>IF(ISNA(VLOOKUP($CZ145,'Audit Values'!$A$2:$BU$353,2,FALSE)),'Preliminary SO66'!X144,VLOOKUP($CZ145,'Audit Values'!$A$2:$BU$353,47,FALSE))</f>
        <v>0</v>
      </c>
      <c r="AV145" s="95">
        <f t="shared" si="89"/>
        <v>2183.6999999999998</v>
      </c>
      <c r="AW145" s="95">
        <f t="shared" si="90"/>
        <v>1805.5</v>
      </c>
      <c r="AX145" s="95">
        <f>IF(ISNA(VLOOKUP($CZ145,'Audit Values'!$A$2:$BU$353,2,FALSE)),'Preliminary SO66'!AA144,VLOOKUP($CZ145,'Audit Values'!$A$2:$BU$353,41,FALSE))</f>
        <v>2</v>
      </c>
      <c r="AY145" s="95">
        <f>IF(ISNA(VLOOKUP($CZ145,'Audit Values'!$A$2:$BU$353,2,FALSE)),'Preliminary SO66'!AB144,VLOOKUP($CZ145,'Audit Values'!$A$2:$BU$353,42,FALSE))</f>
        <v>3.7</v>
      </c>
      <c r="AZ145" s="114">
        <v>3.5</v>
      </c>
      <c r="BA145" s="99">
        <f>SUM(AX145*'Weighting Factors'!$T$10)+('2019 Legal Max'!AY145*'Weighting Factors'!$T$11)+('2019 Legal Max'!AZ145*'Weighting Factors'!$T$12)</f>
        <v>18772</v>
      </c>
      <c r="BB145" s="158">
        <v>0</v>
      </c>
      <c r="BC145" s="88">
        <f>IF(ISNA(VLOOKUP($CZ145,'Audit Values'!$A$2:$BU$353,2,FALSE)),"",IF(AND('Weighting Factors'!H145&gt;0,VLOOKUP($CZ145,'Audit Values'!$A$2:$BU$353,51,FALSE)&lt;'Weighting Factors'!H145),'Weighting Factors'!H145,VLOOKUP($CZ145,'Audit Values'!$A$2:$BU$353,50,FALSE)))</f>
        <v>17</v>
      </c>
      <c r="BD145" s="88" t="str">
        <f>IF(ISNA(VLOOKUP($CZ145,'Audit Values'!$A$2:$BV$353,2,FALSE)),"",VLOOKUP($CZ145,'Audit Values'!$A$2:$BV$353,51,FALSE))</f>
        <v>A</v>
      </c>
      <c r="BE145" s="88" t="str">
        <f>IF('Weighting Factors'!H145="","",IF('Weighting Factors'!J145="Pending","PX","R"))</f>
        <v/>
      </c>
      <c r="BF145" s="97">
        <f>SUM((S145+T145+Y145+AA145+AE145+AH145+AJ145++AO145+AP145+AQ145+AU145+AR145)*'Weighting Factors'!$Q$5)+'2019 Legal Max'!BA145+'2019 Legal Max'!BB145</f>
        <v>7538680</v>
      </c>
      <c r="BG145" s="99">
        <f>SUM((AV145+AR145)*'Weighting Factors'!$Q$5)+BA145+'2019 Legal Max'!BB145</f>
        <v>9113883</v>
      </c>
      <c r="BH145" s="108">
        <f>IF('Weighting Factors'!H145&gt;0,'Weighting Factors'!H145,'Preliminary SO66'!AV144)</f>
        <v>9285800</v>
      </c>
      <c r="BI145" s="99">
        <f t="shared" si="114"/>
        <v>9113883</v>
      </c>
      <c r="BJ145" s="112"/>
      <c r="BK145" s="112">
        <f>'Weighting Factors'!F145</f>
        <v>0</v>
      </c>
      <c r="BL145" s="112">
        <f>'Weighting Factors'!E145</f>
        <v>-1064</v>
      </c>
      <c r="BM145" s="99">
        <f t="shared" si="91"/>
        <v>-1064</v>
      </c>
      <c r="BN145" s="99">
        <f t="shared" si="92"/>
        <v>9112819</v>
      </c>
      <c r="BO145" s="99">
        <f>SUM((S145+T145+Y145+AA145+AE145+AH145+AJ145++AO145+AP145+AQ145+AR145)*'Weighting Factors'!Q$12)+(MAX(AS145,'Weighting Factors'!B145))</f>
        <v>9681872</v>
      </c>
      <c r="BP145" s="122">
        <v>0.315</v>
      </c>
      <c r="BQ145" s="99">
        <f t="shared" si="93"/>
        <v>3049790</v>
      </c>
      <c r="BR145" s="108">
        <v>3101189</v>
      </c>
      <c r="BS145" s="99">
        <f t="shared" si="94"/>
        <v>3049790</v>
      </c>
      <c r="BT145" s="167">
        <f t="shared" si="95"/>
        <v>0.315</v>
      </c>
      <c r="BU145" s="95">
        <f t="shared" si="96"/>
        <v>0</v>
      </c>
      <c r="BV145" s="87" t="b">
        <f t="shared" si="97"/>
        <v>0</v>
      </c>
      <c r="BW145" s="117">
        <f t="shared" si="98"/>
        <v>0</v>
      </c>
      <c r="BX145" s="116">
        <f t="shared" si="99"/>
        <v>0</v>
      </c>
      <c r="BY145" s="95">
        <f t="shared" si="100"/>
        <v>0</v>
      </c>
      <c r="BZ145" s="87" t="b">
        <f t="shared" si="101"/>
        <v>1</v>
      </c>
      <c r="CA145" s="87">
        <f t="shared" si="102"/>
        <v>1346.0288</v>
      </c>
      <c r="CB145" s="116">
        <f t="shared" si="103"/>
        <v>0.11464199999999999</v>
      </c>
      <c r="CC145" s="95">
        <f t="shared" si="104"/>
        <v>159.1</v>
      </c>
      <c r="CD145" s="95">
        <f t="shared" si="105"/>
        <v>0</v>
      </c>
      <c r="CE145" s="98">
        <v>139</v>
      </c>
      <c r="CF145" s="250">
        <f t="shared" si="106"/>
        <v>3.2090000000000001</v>
      </c>
      <c r="CG145" s="274">
        <f>IF(CF145&lt;0.06,1,IF(CF145&gt;=18.29,52,MATCH(CF145-0.001,'Weighting Factors'!$Y$5:$Y$156)+1))</f>
        <v>41</v>
      </c>
      <c r="CH145" s="243">
        <f>VLOOKUP(CG145, 'Weighting Factors'!$W$5:$Z$56,4)</f>
        <v>770</v>
      </c>
      <c r="CI145" s="118">
        <f>('Weighting Factors'!$Q$5/'Weighting Factors'!$Q$14)</f>
        <v>1</v>
      </c>
      <c r="CJ145" s="245">
        <f t="shared" si="107"/>
        <v>343420</v>
      </c>
      <c r="CK145" s="245">
        <f>CJ145*'Weighting Factors'!$S$7</f>
        <v>343420</v>
      </c>
      <c r="CL145" s="245">
        <f t="shared" si="108"/>
        <v>343420</v>
      </c>
      <c r="CM145" s="95">
        <f>AM145/'Weighting Factors'!$Q$5</f>
        <v>82.5</v>
      </c>
      <c r="CN145" s="148">
        <v>0</v>
      </c>
      <c r="CO145" s="148">
        <v>0</v>
      </c>
      <c r="CP145" s="149">
        <v>0</v>
      </c>
      <c r="CQ145" s="151">
        <v>8.3999999999999995E-3</v>
      </c>
      <c r="CR145" s="99">
        <f>SUM((AV145*'Weighting Factors'!$Q$5)+'2019 Legal Max'!BA145)*CQ145</f>
        <v>76557</v>
      </c>
      <c r="CS145" s="99">
        <f t="shared" si="109"/>
        <v>0</v>
      </c>
      <c r="CT145" s="106">
        <f t="shared" si="110"/>
        <v>0.2051</v>
      </c>
      <c r="CU145" s="95">
        <f t="shared" si="111"/>
        <v>0</v>
      </c>
      <c r="CV145" s="95">
        <f t="shared" si="112"/>
        <v>0</v>
      </c>
      <c r="CW145" s="95">
        <f t="shared" si="113"/>
        <v>2183.6999999999998</v>
      </c>
      <c r="CX145" s="99">
        <f>'LOB Transfers'!G144</f>
        <v>192137</v>
      </c>
      <c r="CY145" s="99">
        <f>'LOB Transfers'!J144</f>
        <v>0</v>
      </c>
      <c r="CZ145" s="87" t="s">
        <v>337</v>
      </c>
    </row>
    <row r="146" spans="1:104" ht="15" customHeight="1">
      <c r="A146" s="88">
        <v>349</v>
      </c>
      <c r="B146" s="87" t="s">
        <v>64</v>
      </c>
      <c r="C146" s="87" t="s">
        <v>659</v>
      </c>
      <c r="D146" s="95">
        <v>243.4</v>
      </c>
      <c r="E146" s="95">
        <v>0</v>
      </c>
      <c r="F146" s="95">
        <f t="shared" si="80"/>
        <v>243.4</v>
      </c>
      <c r="G146" s="95">
        <v>202.1</v>
      </c>
      <c r="H146" s="95">
        <v>0</v>
      </c>
      <c r="I146" s="95">
        <f t="shared" si="81"/>
        <v>202.1</v>
      </c>
      <c r="J146" s="95">
        <v>229.8</v>
      </c>
      <c r="K146" s="95">
        <v>0</v>
      </c>
      <c r="L146" s="95">
        <f t="shared" si="82"/>
        <v>229.8</v>
      </c>
      <c r="M146" s="95">
        <f>IF(ISNA(VLOOKUP($CZ146,'Audit Values'!$A$2:$BW$365,2,FALSE)),'Preliminary SO66'!C145,VLOOKUP($CZ146,'Audit Values'!$A$2:$BW$365,73,FALSE))</f>
        <v>243.8</v>
      </c>
      <c r="N146" s="95">
        <f>IF(ISNA(VLOOKUP($CZ146,'Audit Values'!$A$2:$BW$365,2,FALSE)),'Preliminary SO66'!F145,VLOOKUP($CZ146,'Audit Values'!$A$2:$BW$365,4,FALSE))</f>
        <v>0</v>
      </c>
      <c r="O146" s="95">
        <f t="shared" si="83"/>
        <v>243.8</v>
      </c>
      <c r="P146" s="95">
        <f>IF('Military Provision'!J147="YES", MAX('2019 Legal Max'!L146,'2019 Legal Max'!I146,AVERAGE('2019 Legal Max'!F146,'2019 Legal Max'!I146,'2019 Legal Max'!L146)), MAX(L146, I146))</f>
        <v>229.8</v>
      </c>
      <c r="Q146" s="95">
        <f>IF(ISNA(VLOOKUP($CZ146,'Audit Values'!$A$2:$BU$353,2,FALSE)),'Preliminary SO66'!AL145,VLOOKUP($CZ146,'Audit Values'!$A$2:$BU$3955,58,FALSE))</f>
        <v>6.5</v>
      </c>
      <c r="R146" s="95">
        <v>0</v>
      </c>
      <c r="S146" s="95">
        <f t="shared" si="79"/>
        <v>236.3</v>
      </c>
      <c r="T146" s="95">
        <f t="shared" si="84"/>
        <v>154.30000000000001</v>
      </c>
      <c r="U146" s="95">
        <f>IF(ISNA(VLOOKUP($CZ146,'Audit Values'!$A$2:$BW$317,2,FALSE)),'Preliminary SO66'!AM145,VLOOKUP($CZ146,'Audit Values'!$A$2:$BW$317,62,FALSE))</f>
        <v>27.9</v>
      </c>
      <c r="V146" s="95">
        <f>(U146/6)*'Weighting Factors'!$Q$7</f>
        <v>1.8</v>
      </c>
      <c r="W146" s="132">
        <f>IF(ISNA(VLOOKUP($CZ146,'Audit Values'!$A$2:$BW$353,2,FALSE)),'Preliminary SO66'!AN145,VLOOKUP($CZ146,'Audit Values'!$A$2:$BW$353,61,FALSE))</f>
        <v>20</v>
      </c>
      <c r="X146" s="95">
        <f>W146*'Weighting Factors'!$Q$8</f>
        <v>3.7</v>
      </c>
      <c r="Y146" s="95">
        <f t="shared" si="85"/>
        <v>3.7</v>
      </c>
      <c r="Z146" s="276">
        <f>IF(ISNA(VLOOKUP($CZ146,'Audit Values'!$A$2:$BW$317,2,FALSE)),'Preliminary SO66'!AO145,VLOOKUP($CZ146,'Audit Values'!$A$2:$BW$317,60,FALSE))</f>
        <v>84.5</v>
      </c>
      <c r="AA146" s="95">
        <f>Z146/6*'Weighting Factors'!$Q$6</f>
        <v>7</v>
      </c>
      <c r="AB146" s="99">
        <f>IF(ISNA(VLOOKUP($CZ146,'Audit Values'!$A$2:$BU$353,2,FALSE)),'Preliminary SO66'!AS145,VLOOKUP($CZ146,'Audit Values'!$A$2:$BU$353,63,FALSE))</f>
        <v>263</v>
      </c>
      <c r="AC146" s="99">
        <v>0</v>
      </c>
      <c r="AD146" s="99">
        <f>IF(ISNA(VLOOKUP($CZ146,'Audit Values'!$A$2:$BU$353,2,FALSE)),'Preliminary SO66'!AP145,VLOOKUP($CZ146,'Audit Values'!$A$2:$BU$353,64,FALSE))</f>
        <v>102</v>
      </c>
      <c r="AE146" s="95">
        <f>IF(A146=207, AD146,MAX(AC146,AD146))*'Weighting Factors'!$Q$9</f>
        <v>49.4</v>
      </c>
      <c r="AF146" s="95">
        <f t="shared" si="86"/>
        <v>2.7</v>
      </c>
      <c r="AG146" s="95">
        <f>IF(ISNA(VLOOKUP($CZ146,'Audit Values'!$A$2:$BW$353,2,FALSE)),'Preliminary SO66'!AG145,VLOOKUP($CZ146,'Audit Values'!$A$2:$BW$353,70,FALSE))</f>
        <v>8.6</v>
      </c>
      <c r="AH146" s="95">
        <f t="shared" si="87"/>
        <v>8.6</v>
      </c>
      <c r="AI146" s="95">
        <f>IF(ISNA(VLOOKUP($CZ146,'Audit Values'!$A$2:$BU$353,2,FALSE)),'Preliminary SO66'!AQ145,VLOOKUP($CZ146,'Audit Values'!$A$2:$BU$353,65,FALSE))</f>
        <v>0</v>
      </c>
      <c r="AJ146" s="95">
        <f>AI146*'Weighting Factors'!$Q$10</f>
        <v>0</v>
      </c>
      <c r="AK146" s="95">
        <f>IF(ISNA(VLOOKUP($CZ146,'Audit Values'!$A$2:$BU$353,2,FALSE)),'Preliminary SO66'!AR145,VLOOKUP($CZ146,'Audit Values'!$A$2:$BU$353,66,FALSE))</f>
        <v>9</v>
      </c>
      <c r="AL146" s="95"/>
      <c r="AM146" s="99">
        <f t="shared" si="88"/>
        <v>14580</v>
      </c>
      <c r="AN146" s="99">
        <v>47380</v>
      </c>
      <c r="AO146" s="95">
        <f>MAX(AN146, AM146)/'Weighting Factors'!$Q$5</f>
        <v>11.4</v>
      </c>
      <c r="AP146" s="95">
        <f>CN146/'Weighting Factors'!$Q$5</f>
        <v>0</v>
      </c>
      <c r="AQ146" s="95">
        <v>0</v>
      </c>
      <c r="AR146" s="95">
        <f>CS146/'Weighting Factors'!$Q$5</f>
        <v>0</v>
      </c>
      <c r="AS146" s="99">
        <v>296664</v>
      </c>
      <c r="AT146" s="95">
        <f>AS146/'Weighting Factors'!$Q$5</f>
        <v>71.2</v>
      </c>
      <c r="AU146" s="95">
        <f>IF(ISNA(VLOOKUP($CZ146,'Audit Values'!$A$2:$BU$353,2,FALSE)),'Preliminary SO66'!X145,VLOOKUP($CZ146,'Audit Values'!$A$2:$BU$353,47,FALSE))</f>
        <v>0</v>
      </c>
      <c r="AV146" s="95">
        <f t="shared" si="89"/>
        <v>541.9</v>
      </c>
      <c r="AW146" s="95">
        <f t="shared" si="90"/>
        <v>470.7</v>
      </c>
      <c r="AX146" s="95">
        <f>IF(ISNA(VLOOKUP($CZ146,'Audit Values'!$A$2:$BU$353,2,FALSE)),'Preliminary SO66'!AA145,VLOOKUP($CZ146,'Audit Values'!$A$2:$BU$353,41,FALSE))</f>
        <v>0</v>
      </c>
      <c r="AY146" s="95">
        <f>IF(ISNA(VLOOKUP($CZ146,'Audit Values'!$A$2:$BU$353,2,FALSE)),'Preliminary SO66'!AB145,VLOOKUP($CZ146,'Audit Values'!$A$2:$BU$353,42,FALSE))</f>
        <v>0</v>
      </c>
      <c r="AZ146" s="114">
        <v>0</v>
      </c>
      <c r="BA146" s="99">
        <f>SUM(AX146*'Weighting Factors'!$T$10)+('2019 Legal Max'!AY146*'Weighting Factors'!$T$11)+('2019 Legal Max'!AZ146*'Weighting Factors'!$T$12)</f>
        <v>0</v>
      </c>
      <c r="BB146" s="158">
        <v>0</v>
      </c>
      <c r="BC146" s="88">
        <f>IF(ISNA(VLOOKUP($CZ146,'Audit Values'!$A$2:$BU$353,2,FALSE)),"",IF(AND('Weighting Factors'!H146&gt;0,VLOOKUP($CZ146,'Audit Values'!$A$2:$BU$353,51,FALSE)&lt;'Weighting Factors'!H146),'Weighting Factors'!H146,VLOOKUP($CZ146,'Audit Values'!$A$2:$BU$353,50,FALSE)))</f>
        <v>17</v>
      </c>
      <c r="BD146" s="88" t="str">
        <f>IF(ISNA(VLOOKUP($CZ146,'Audit Values'!$A$2:$BV$353,2,FALSE)),"",VLOOKUP($CZ146,'Audit Values'!$A$2:$BV$353,51,FALSE))</f>
        <v>A</v>
      </c>
      <c r="BE146" s="88" t="str">
        <f>IF('Weighting Factors'!H146="","",IF('Weighting Factors'!J146="Pending","PX","R"))</f>
        <v/>
      </c>
      <c r="BF146" s="97">
        <f>SUM((S146+T146+Y146+AA146+AE146+AH146+AJ146++AO146+AP146+AQ146+AU146+AR146)*'Weighting Factors'!$Q$5)+'2019 Legal Max'!BA146+'2019 Legal Max'!BB146</f>
        <v>1960466</v>
      </c>
      <c r="BG146" s="99">
        <f>SUM((AV146+AR146)*'Weighting Factors'!$Q$5)+BA146+'2019 Legal Max'!BB146</f>
        <v>2257014</v>
      </c>
      <c r="BH146" s="108">
        <f>IF('Weighting Factors'!H146&gt;0,'Weighting Factors'!H146,'Preliminary SO66'!AV145)</f>
        <v>2365304</v>
      </c>
      <c r="BI146" s="99">
        <f t="shared" si="114"/>
        <v>2257014</v>
      </c>
      <c r="BJ146" s="112"/>
      <c r="BK146" s="112">
        <f>'Weighting Factors'!F146</f>
        <v>-31158</v>
      </c>
      <c r="BL146" s="112">
        <f>'Weighting Factors'!E146</f>
        <v>0</v>
      </c>
      <c r="BM146" s="99">
        <f t="shared" si="91"/>
        <v>-31158</v>
      </c>
      <c r="BN146" s="99">
        <f t="shared" si="92"/>
        <v>2225856</v>
      </c>
      <c r="BO146" s="99">
        <f>SUM((S146+T146+Y146+AA146+AE146+AH146+AJ146++AO146+AP146+AQ146+AR146)*'Weighting Factors'!Q$12)+(MAX(AS146,'Weighting Factors'!B146))</f>
        <v>2410107</v>
      </c>
      <c r="BP146" s="122">
        <v>0.3</v>
      </c>
      <c r="BQ146" s="99">
        <f t="shared" si="93"/>
        <v>723032</v>
      </c>
      <c r="BR146" s="108">
        <v>757841</v>
      </c>
      <c r="BS146" s="99">
        <f t="shared" si="94"/>
        <v>723032</v>
      </c>
      <c r="BT146" s="167">
        <f t="shared" si="95"/>
        <v>0.3</v>
      </c>
      <c r="BU146" s="95">
        <f t="shared" si="96"/>
        <v>0</v>
      </c>
      <c r="BV146" s="87" t="b">
        <f t="shared" si="97"/>
        <v>1</v>
      </c>
      <c r="BW146" s="117">
        <f t="shared" si="98"/>
        <v>1315.9770000000001</v>
      </c>
      <c r="BX146" s="116">
        <f t="shared" si="99"/>
        <v>0.65303699999999998</v>
      </c>
      <c r="BY146" s="95">
        <f t="shared" si="100"/>
        <v>154.30000000000001</v>
      </c>
      <c r="BZ146" s="87" t="b">
        <f t="shared" si="101"/>
        <v>0</v>
      </c>
      <c r="CA146" s="87">
        <f t="shared" si="102"/>
        <v>0</v>
      </c>
      <c r="CB146" s="116">
        <f t="shared" si="103"/>
        <v>0</v>
      </c>
      <c r="CC146" s="95">
        <f t="shared" si="104"/>
        <v>0</v>
      </c>
      <c r="CD146" s="95">
        <f t="shared" si="105"/>
        <v>0</v>
      </c>
      <c r="CE146" s="98">
        <v>242</v>
      </c>
      <c r="CF146" s="250">
        <f t="shared" si="106"/>
        <v>3.6999999999999998E-2</v>
      </c>
      <c r="CG146" s="274">
        <f>IF(CF146&lt;0.06,1,IF(CF146&gt;=18.29,52,MATCH(CF146-0.001,'Weighting Factors'!$Y$5:$Y$156)+1))</f>
        <v>1</v>
      </c>
      <c r="CH146" s="243">
        <f>VLOOKUP(CG146, 'Weighting Factors'!$W$5:$Z$56,4)</f>
        <v>1620</v>
      </c>
      <c r="CI146" s="118">
        <f>('Weighting Factors'!$Q$5/'Weighting Factors'!$Q$14)</f>
        <v>1</v>
      </c>
      <c r="CJ146" s="245">
        <f t="shared" si="107"/>
        <v>14580</v>
      </c>
      <c r="CK146" s="245">
        <f>CJ146*'Weighting Factors'!$S$7</f>
        <v>14580</v>
      </c>
      <c r="CL146" s="245">
        <f t="shared" si="108"/>
        <v>14580</v>
      </c>
      <c r="CM146" s="95">
        <f>AM146/'Weighting Factors'!$Q$5</f>
        <v>3.5</v>
      </c>
      <c r="CN146" s="148">
        <v>0</v>
      </c>
      <c r="CO146" s="148">
        <v>0</v>
      </c>
      <c r="CP146" s="149">
        <v>0</v>
      </c>
      <c r="CQ146" s="151">
        <v>0</v>
      </c>
      <c r="CR146" s="99">
        <f>SUM((AV146*'Weighting Factors'!$Q$5)+'2019 Legal Max'!BA146)*CQ146</f>
        <v>0</v>
      </c>
      <c r="CS146" s="99">
        <f t="shared" si="109"/>
        <v>0</v>
      </c>
      <c r="CT146" s="106">
        <f t="shared" si="110"/>
        <v>0.38779999999999998</v>
      </c>
      <c r="CU146" s="95">
        <f t="shared" si="111"/>
        <v>0</v>
      </c>
      <c r="CV146" s="95">
        <f t="shared" si="112"/>
        <v>2.7</v>
      </c>
      <c r="CW146" s="95">
        <f t="shared" si="113"/>
        <v>541.9</v>
      </c>
      <c r="CX146" s="99">
        <f>'LOB Transfers'!G145</f>
        <v>66736</v>
      </c>
      <c r="CY146" s="99">
        <f>'LOB Transfers'!J145</f>
        <v>4989</v>
      </c>
      <c r="CZ146" s="87" t="s">
        <v>338</v>
      </c>
    </row>
    <row r="147" spans="1:104" ht="15" customHeight="1">
      <c r="A147" s="88">
        <v>350</v>
      </c>
      <c r="B147" s="87" t="s">
        <v>64</v>
      </c>
      <c r="C147" s="87" t="s">
        <v>660</v>
      </c>
      <c r="D147" s="95">
        <v>327.39999999999998</v>
      </c>
      <c r="E147" s="95">
        <v>0</v>
      </c>
      <c r="F147" s="95">
        <f t="shared" si="80"/>
        <v>327.39999999999998</v>
      </c>
      <c r="G147" s="95">
        <v>325.5</v>
      </c>
      <c r="H147" s="95">
        <v>0</v>
      </c>
      <c r="I147" s="95">
        <f t="shared" si="81"/>
        <v>325.5</v>
      </c>
      <c r="J147" s="95">
        <v>302.8</v>
      </c>
      <c r="K147" s="95">
        <v>0</v>
      </c>
      <c r="L147" s="95">
        <f t="shared" si="82"/>
        <v>302.8</v>
      </c>
      <c r="M147" s="95">
        <f>IF(ISNA(VLOOKUP($CZ147,'Audit Values'!$A$2:$BW$365,2,FALSE)),'Preliminary SO66'!C146,VLOOKUP($CZ147,'Audit Values'!$A$2:$BW$365,73,FALSE))</f>
        <v>314.5</v>
      </c>
      <c r="N147" s="95">
        <f>IF(ISNA(VLOOKUP($CZ147,'Audit Values'!$A$2:$BW$365,2,FALSE)),'Preliminary SO66'!F146,VLOOKUP($CZ147,'Audit Values'!$A$2:$BW$365,4,FALSE))</f>
        <v>0</v>
      </c>
      <c r="O147" s="95">
        <f t="shared" si="83"/>
        <v>314.5</v>
      </c>
      <c r="P147" s="95">
        <f>IF('Military Provision'!J148="YES", MAX('2019 Legal Max'!L147,'2019 Legal Max'!I147,AVERAGE('2019 Legal Max'!F147,'2019 Legal Max'!I147,'2019 Legal Max'!L147)), MAX(L147, I147))</f>
        <v>325.5</v>
      </c>
      <c r="Q147" s="95">
        <f>IF(ISNA(VLOOKUP($CZ147,'Audit Values'!$A$2:$BU$353,2,FALSE)),'Preliminary SO66'!AL146,VLOOKUP($CZ147,'Audit Values'!$A$2:$BU$3955,58,FALSE))</f>
        <v>6.5</v>
      </c>
      <c r="R147" s="95">
        <v>0</v>
      </c>
      <c r="S147" s="95">
        <f t="shared" si="79"/>
        <v>332</v>
      </c>
      <c r="T147" s="95">
        <f t="shared" si="84"/>
        <v>157.1</v>
      </c>
      <c r="U147" s="95">
        <f>IF(ISNA(VLOOKUP($CZ147,'Audit Values'!$A$2:$BW$317,2,FALSE)),'Preliminary SO66'!AM146,VLOOKUP($CZ147,'Audit Values'!$A$2:$BW$317,62,FALSE))</f>
        <v>84.2</v>
      </c>
      <c r="V147" s="95">
        <f>(U147/6)*'Weighting Factors'!$Q$7</f>
        <v>5.5</v>
      </c>
      <c r="W147" s="132">
        <f>IF(ISNA(VLOOKUP($CZ147,'Audit Values'!$A$2:$BW$353,2,FALSE)),'Preliminary SO66'!AN146,VLOOKUP($CZ147,'Audit Values'!$A$2:$BW$353,61,FALSE))</f>
        <v>41</v>
      </c>
      <c r="X147" s="95">
        <f>W147*'Weighting Factors'!$Q$8</f>
        <v>7.6</v>
      </c>
      <c r="Y147" s="95">
        <f t="shared" si="85"/>
        <v>7.6</v>
      </c>
      <c r="Z147" s="276">
        <f>IF(ISNA(VLOOKUP($CZ147,'Audit Values'!$A$2:$BW$317,2,FALSE)),'Preliminary SO66'!AO146,VLOOKUP($CZ147,'Audit Values'!$A$2:$BW$317,60,FALSE))</f>
        <v>78.599999999999994</v>
      </c>
      <c r="AA147" s="95">
        <f>Z147/6*'Weighting Factors'!$Q$6</f>
        <v>6.6</v>
      </c>
      <c r="AB147" s="99">
        <f>IF(ISNA(VLOOKUP($CZ147,'Audit Values'!$A$2:$BU$353,2,FALSE)),'Preliminary SO66'!AS146,VLOOKUP($CZ147,'Audit Values'!$A$2:$BU$353,63,FALSE))</f>
        <v>330</v>
      </c>
      <c r="AC147" s="99">
        <v>0</v>
      </c>
      <c r="AD147" s="99">
        <f>IF(ISNA(VLOOKUP($CZ147,'Audit Values'!$A$2:$BU$353,2,FALSE)),'Preliminary SO66'!AP146,VLOOKUP($CZ147,'Audit Values'!$A$2:$BU$353,64,FALSE))</f>
        <v>133</v>
      </c>
      <c r="AE147" s="95">
        <f>IF(A147=207, AD147,MAX(AC147,AD147))*'Weighting Factors'!$Q$9</f>
        <v>64.400000000000006</v>
      </c>
      <c r="AF147" s="95">
        <f t="shared" si="86"/>
        <v>4.9000000000000004</v>
      </c>
      <c r="AG147" s="95">
        <f>IF(ISNA(VLOOKUP($CZ147,'Audit Values'!$A$2:$BW$353,2,FALSE)),'Preliminary SO66'!AG146,VLOOKUP($CZ147,'Audit Values'!$A$2:$BW$353,70,FALSE))</f>
        <v>4.9000000000000004</v>
      </c>
      <c r="AH147" s="95">
        <f t="shared" si="87"/>
        <v>4.9000000000000004</v>
      </c>
      <c r="AI147" s="95">
        <f>IF(ISNA(VLOOKUP($CZ147,'Audit Values'!$A$2:$BU$353,2,FALSE)),'Preliminary SO66'!AQ146,VLOOKUP($CZ147,'Audit Values'!$A$2:$BU$353,65,FALSE))</f>
        <v>0</v>
      </c>
      <c r="AJ147" s="95">
        <f>AI147*'Weighting Factors'!$Q$10</f>
        <v>0</v>
      </c>
      <c r="AK147" s="95">
        <f>IF(ISNA(VLOOKUP($CZ147,'Audit Values'!$A$2:$BU$353,2,FALSE)),'Preliminary SO66'!AR146,VLOOKUP($CZ147,'Audit Values'!$A$2:$BU$353,66,FALSE))</f>
        <v>58.5</v>
      </c>
      <c r="AL147" s="95"/>
      <c r="AM147" s="99">
        <f t="shared" si="88"/>
        <v>76050</v>
      </c>
      <c r="AN147" s="99">
        <v>78966</v>
      </c>
      <c r="AO147" s="95">
        <f>MAX(AN147, AM147)/'Weighting Factors'!$Q$5</f>
        <v>19</v>
      </c>
      <c r="AP147" s="95">
        <f>CN147/'Weighting Factors'!$Q$5</f>
        <v>0</v>
      </c>
      <c r="AQ147" s="95">
        <v>0</v>
      </c>
      <c r="AR147" s="95">
        <f>CS147/'Weighting Factors'!$Q$5</f>
        <v>0</v>
      </c>
      <c r="AS147" s="99">
        <v>387290</v>
      </c>
      <c r="AT147" s="95">
        <f>AS147/'Weighting Factors'!$Q$5</f>
        <v>93</v>
      </c>
      <c r="AU147" s="95">
        <f>IF(ISNA(VLOOKUP($CZ147,'Audit Values'!$A$2:$BU$353,2,FALSE)),'Preliminary SO66'!X146,VLOOKUP($CZ147,'Audit Values'!$A$2:$BU$353,47,FALSE))</f>
        <v>0</v>
      </c>
      <c r="AV147" s="95">
        <f t="shared" si="89"/>
        <v>684.6</v>
      </c>
      <c r="AW147" s="95">
        <f t="shared" si="90"/>
        <v>591.6</v>
      </c>
      <c r="AX147" s="95">
        <f>IF(ISNA(VLOOKUP($CZ147,'Audit Values'!$A$2:$BU$353,2,FALSE)),'Preliminary SO66'!AA146,VLOOKUP($CZ147,'Audit Values'!$A$2:$BU$353,41,FALSE))</f>
        <v>0</v>
      </c>
      <c r="AY147" s="95">
        <f>IF(ISNA(VLOOKUP($CZ147,'Audit Values'!$A$2:$BU$353,2,FALSE)),'Preliminary SO66'!AB146,VLOOKUP($CZ147,'Audit Values'!$A$2:$BU$353,42,FALSE))</f>
        <v>0</v>
      </c>
      <c r="AZ147" s="114">
        <v>0</v>
      </c>
      <c r="BA147" s="99">
        <f>SUM(AX147*'Weighting Factors'!$T$10)+('2019 Legal Max'!AY147*'Weighting Factors'!$T$11)+('2019 Legal Max'!AZ147*'Weighting Factors'!$T$12)</f>
        <v>0</v>
      </c>
      <c r="BB147" s="158">
        <v>0</v>
      </c>
      <c r="BC147" s="88">
        <f>IF(ISNA(VLOOKUP($CZ147,'Audit Values'!$A$2:$BU$353,2,FALSE)),"",IF(AND('Weighting Factors'!H147&gt;0,VLOOKUP($CZ147,'Audit Values'!$A$2:$BU$353,51,FALSE)&lt;'Weighting Factors'!H147),'Weighting Factors'!H147,VLOOKUP($CZ147,'Audit Values'!$A$2:$BU$353,50,FALSE)))</f>
        <v>20</v>
      </c>
      <c r="BD147" s="88" t="str">
        <f>IF(ISNA(VLOOKUP($CZ147,'Audit Values'!$A$2:$BV$353,2,FALSE)),"",VLOOKUP($CZ147,'Audit Values'!$A$2:$BV$353,51,FALSE))</f>
        <v>A</v>
      </c>
      <c r="BE147" s="88" t="str">
        <f>IF('Weighting Factors'!H147="","",IF('Weighting Factors'!J147="Pending","PX","R"))</f>
        <v/>
      </c>
      <c r="BF147" s="97">
        <f>SUM((S147+T147+Y147+AA147+AE147+AH147+AJ147++AO147+AP147+AQ147+AU147+AR147)*'Weighting Factors'!$Q$5)+'2019 Legal Max'!BA147+'2019 Legal Max'!BB147</f>
        <v>2464014</v>
      </c>
      <c r="BG147" s="99">
        <f>SUM((AV147+AR147)*'Weighting Factors'!$Q$5)+BA147+'2019 Legal Max'!BB147</f>
        <v>2851359</v>
      </c>
      <c r="BH147" s="108">
        <f>IF('Weighting Factors'!H147&gt;0,'Weighting Factors'!H147,'Preliminary SO66'!AV146)</f>
        <v>2949237</v>
      </c>
      <c r="BI147" s="99">
        <f t="shared" si="114"/>
        <v>2851359</v>
      </c>
      <c r="BJ147" s="112"/>
      <c r="BK147" s="112">
        <f>'Weighting Factors'!F147</f>
        <v>0</v>
      </c>
      <c r="BL147" s="112">
        <f>'Weighting Factors'!E147</f>
        <v>0</v>
      </c>
      <c r="BM147" s="99">
        <f t="shared" si="91"/>
        <v>0</v>
      </c>
      <c r="BN147" s="99">
        <f t="shared" si="92"/>
        <v>2851359</v>
      </c>
      <c r="BO147" s="99">
        <f>SUM((S147+T147+Y147+AA147+AE147+AH147+AJ147++AO147+AP147+AQ147+AR147)*'Weighting Factors'!Q$12)+(MAX(AS147,'Weighting Factors'!B147))</f>
        <v>3049825</v>
      </c>
      <c r="BP147" s="122">
        <v>0.33</v>
      </c>
      <c r="BQ147" s="99">
        <f t="shared" si="93"/>
        <v>1006442</v>
      </c>
      <c r="BR147" s="108">
        <v>1037651</v>
      </c>
      <c r="BS147" s="99">
        <f t="shared" si="94"/>
        <v>1006442</v>
      </c>
      <c r="BT147" s="167">
        <f t="shared" si="95"/>
        <v>0.33</v>
      </c>
      <c r="BU147" s="95">
        <f t="shared" si="96"/>
        <v>0</v>
      </c>
      <c r="BV147" s="87" t="b">
        <f t="shared" si="97"/>
        <v>0</v>
      </c>
      <c r="BW147" s="117">
        <f t="shared" si="98"/>
        <v>0</v>
      </c>
      <c r="BX147" s="116">
        <f t="shared" si="99"/>
        <v>0</v>
      </c>
      <c r="BY147" s="95">
        <f t="shared" si="100"/>
        <v>0</v>
      </c>
      <c r="BZ147" s="87" t="b">
        <f t="shared" si="101"/>
        <v>1</v>
      </c>
      <c r="CA147" s="87">
        <f t="shared" si="102"/>
        <v>39.6</v>
      </c>
      <c r="CB147" s="116">
        <f t="shared" si="103"/>
        <v>0.47331400000000001</v>
      </c>
      <c r="CC147" s="95">
        <f t="shared" si="104"/>
        <v>157.1</v>
      </c>
      <c r="CD147" s="95">
        <f t="shared" si="105"/>
        <v>0</v>
      </c>
      <c r="CE147" s="98">
        <v>308.3</v>
      </c>
      <c r="CF147" s="250">
        <f t="shared" si="106"/>
        <v>0.19</v>
      </c>
      <c r="CG147" s="274">
        <f>IF(CF147&lt;0.06,1,IF(CF147&gt;=18.29,52,MATCH(CF147-0.001,'Weighting Factors'!$Y$5:$Y$156)+1))</f>
        <v>14</v>
      </c>
      <c r="CH147" s="243">
        <f>VLOOKUP(CG147, 'Weighting Factors'!$W$5:$Z$56,4)</f>
        <v>1300</v>
      </c>
      <c r="CI147" s="118">
        <f>('Weighting Factors'!$Q$5/'Weighting Factors'!$Q$14)</f>
        <v>1</v>
      </c>
      <c r="CJ147" s="245">
        <f t="shared" si="107"/>
        <v>76050</v>
      </c>
      <c r="CK147" s="245">
        <f>CJ147*'Weighting Factors'!$S$7</f>
        <v>76050</v>
      </c>
      <c r="CL147" s="245">
        <f t="shared" si="108"/>
        <v>76050</v>
      </c>
      <c r="CM147" s="95">
        <f>AM147/'Weighting Factors'!$Q$5</f>
        <v>18.3</v>
      </c>
      <c r="CN147" s="148">
        <v>0</v>
      </c>
      <c r="CO147" s="148">
        <v>0</v>
      </c>
      <c r="CP147" s="149">
        <v>0</v>
      </c>
      <c r="CQ147" s="151">
        <v>0</v>
      </c>
      <c r="CR147" s="99">
        <f>SUM((AV147*'Weighting Factors'!$Q$5)+'2019 Legal Max'!BA147)*CQ147</f>
        <v>0</v>
      </c>
      <c r="CS147" s="99">
        <f t="shared" si="109"/>
        <v>0</v>
      </c>
      <c r="CT147" s="106">
        <f t="shared" si="110"/>
        <v>0.40300000000000002</v>
      </c>
      <c r="CU147" s="95">
        <f t="shared" si="111"/>
        <v>0</v>
      </c>
      <c r="CV147" s="95">
        <f t="shared" si="112"/>
        <v>4.9000000000000004</v>
      </c>
      <c r="CW147" s="95">
        <f t="shared" si="113"/>
        <v>684.6</v>
      </c>
      <c r="CX147" s="99">
        <f>'LOB Transfers'!G146</f>
        <v>95612</v>
      </c>
      <c r="CY147" s="99">
        <f>'LOB Transfers'!J146</f>
        <v>11272</v>
      </c>
      <c r="CZ147" s="87" t="s">
        <v>339</v>
      </c>
    </row>
    <row r="148" spans="1:104" ht="15" customHeight="1">
      <c r="A148" s="88">
        <v>351</v>
      </c>
      <c r="B148" s="87" t="s">
        <v>64</v>
      </c>
      <c r="C148" s="87" t="s">
        <v>661</v>
      </c>
      <c r="D148" s="95">
        <v>212.5</v>
      </c>
      <c r="E148" s="95">
        <v>0</v>
      </c>
      <c r="F148" s="95">
        <f t="shared" si="80"/>
        <v>212.5</v>
      </c>
      <c r="G148" s="95">
        <v>228.5</v>
      </c>
      <c r="H148" s="95">
        <v>0</v>
      </c>
      <c r="I148" s="95">
        <f t="shared" si="81"/>
        <v>228.5</v>
      </c>
      <c r="J148" s="95">
        <v>221.5</v>
      </c>
      <c r="K148" s="95">
        <v>0</v>
      </c>
      <c r="L148" s="95">
        <f t="shared" si="82"/>
        <v>221.5</v>
      </c>
      <c r="M148" s="95">
        <f>IF(ISNA(VLOOKUP($CZ148,'Audit Values'!$A$2:$BW$365,2,FALSE)),'Preliminary SO66'!C147,VLOOKUP($CZ148,'Audit Values'!$A$2:$BW$365,73,FALSE))</f>
        <v>214</v>
      </c>
      <c r="N148" s="95">
        <f>IF(ISNA(VLOOKUP($CZ148,'Audit Values'!$A$2:$BW$365,2,FALSE)),'Preliminary SO66'!F147,VLOOKUP($CZ148,'Audit Values'!$A$2:$BW$365,4,FALSE))</f>
        <v>0</v>
      </c>
      <c r="O148" s="95">
        <f t="shared" si="83"/>
        <v>214</v>
      </c>
      <c r="P148" s="95">
        <f>IF('Military Provision'!J149="YES", MAX('2019 Legal Max'!L148,'2019 Legal Max'!I148,AVERAGE('2019 Legal Max'!F148,'2019 Legal Max'!I148,'2019 Legal Max'!L148)), MAX(L148, I148))</f>
        <v>228.5</v>
      </c>
      <c r="Q148" s="95">
        <f>IF(ISNA(VLOOKUP($CZ148,'Audit Values'!$A$2:$BU$353,2,FALSE)),'Preliminary SO66'!AL147,VLOOKUP($CZ148,'Audit Values'!$A$2:$BU$3955,58,FALSE))</f>
        <v>2.5</v>
      </c>
      <c r="R148" s="95">
        <v>0</v>
      </c>
      <c r="S148" s="95">
        <f t="shared" si="79"/>
        <v>231</v>
      </c>
      <c r="T148" s="95">
        <f t="shared" si="84"/>
        <v>154.1</v>
      </c>
      <c r="U148" s="95">
        <f>IF(ISNA(VLOOKUP($CZ148,'Audit Values'!$A$2:$BW$317,2,FALSE)),'Preliminary SO66'!AM147,VLOOKUP($CZ148,'Audit Values'!$A$2:$BW$317,62,FALSE))</f>
        <v>184.5</v>
      </c>
      <c r="V148" s="95">
        <f>(U148/6)*'Weighting Factors'!$Q$7</f>
        <v>12.1</v>
      </c>
      <c r="W148" s="132">
        <f>IF(ISNA(VLOOKUP($CZ148,'Audit Values'!$A$2:$BW$353,2,FALSE)),'Preliminary SO66'!AN147,VLOOKUP($CZ148,'Audit Values'!$A$2:$BW$353,61,FALSE))</f>
        <v>48</v>
      </c>
      <c r="X148" s="95">
        <f>W148*'Weighting Factors'!$Q$8</f>
        <v>8.9</v>
      </c>
      <c r="Y148" s="95">
        <f t="shared" si="85"/>
        <v>12.1</v>
      </c>
      <c r="Z148" s="276">
        <f>IF(ISNA(VLOOKUP($CZ148,'Audit Values'!$A$2:$BW$317,2,FALSE)),'Preliminary SO66'!AO147,VLOOKUP($CZ148,'Audit Values'!$A$2:$BW$317,60,FALSE))</f>
        <v>18.600000000000001</v>
      </c>
      <c r="AA148" s="95">
        <f>Z148/6*'Weighting Factors'!$Q$6</f>
        <v>1.6</v>
      </c>
      <c r="AB148" s="99">
        <f>IF(ISNA(VLOOKUP($CZ148,'Audit Values'!$A$2:$BU$353,2,FALSE)),'Preliminary SO66'!AS147,VLOOKUP($CZ148,'Audit Values'!$A$2:$BU$353,63,FALSE))</f>
        <v>221</v>
      </c>
      <c r="AC148" s="99">
        <v>0</v>
      </c>
      <c r="AD148" s="99">
        <f>IF(ISNA(VLOOKUP($CZ148,'Audit Values'!$A$2:$BU$353,2,FALSE)),'Preliminary SO66'!AP147,VLOOKUP($CZ148,'Audit Values'!$A$2:$BU$353,64,FALSE))</f>
        <v>108</v>
      </c>
      <c r="AE148" s="95">
        <f>IF(A148=207, AD148,MAX(AC148,AD148))*'Weighting Factors'!$Q$9</f>
        <v>52.3</v>
      </c>
      <c r="AF148" s="95">
        <f t="shared" si="86"/>
        <v>10.5</v>
      </c>
      <c r="AG148" s="95">
        <f>IF(ISNA(VLOOKUP($CZ148,'Audit Values'!$A$2:$BW$353,2,FALSE)),'Preliminary SO66'!AG147,VLOOKUP($CZ148,'Audit Values'!$A$2:$BW$353,70,FALSE))</f>
        <v>7.7</v>
      </c>
      <c r="AH148" s="95">
        <f t="shared" si="87"/>
        <v>10.5</v>
      </c>
      <c r="AI148" s="95">
        <f>IF(ISNA(VLOOKUP($CZ148,'Audit Values'!$A$2:$BU$353,2,FALSE)),'Preliminary SO66'!AQ147,VLOOKUP($CZ148,'Audit Values'!$A$2:$BU$353,65,FALSE))</f>
        <v>0</v>
      </c>
      <c r="AJ148" s="95">
        <f>AI148*'Weighting Factors'!$Q$10</f>
        <v>0</v>
      </c>
      <c r="AK148" s="95">
        <f>IF(ISNA(VLOOKUP($CZ148,'Audit Values'!$A$2:$BU$353,2,FALSE)),'Preliminary SO66'!AR147,VLOOKUP($CZ148,'Audit Values'!$A$2:$BU$353,66,FALSE))</f>
        <v>73</v>
      </c>
      <c r="AL148" s="95"/>
      <c r="AM148" s="99">
        <f t="shared" si="88"/>
        <v>94170</v>
      </c>
      <c r="AN148" s="99">
        <v>124034</v>
      </c>
      <c r="AO148" s="95">
        <f>MAX(AN148, AM148)/'Weighting Factors'!$Q$5</f>
        <v>29.8</v>
      </c>
      <c r="AP148" s="95">
        <f>CN148/'Weighting Factors'!$Q$5</f>
        <v>0</v>
      </c>
      <c r="AQ148" s="95">
        <v>0</v>
      </c>
      <c r="AR148" s="95">
        <f>CS148/'Weighting Factors'!$Q$5</f>
        <v>0</v>
      </c>
      <c r="AS148" s="99">
        <v>269121</v>
      </c>
      <c r="AT148" s="95">
        <f>AS148/'Weighting Factors'!$Q$5</f>
        <v>64.599999999999994</v>
      </c>
      <c r="AU148" s="95">
        <f>IF(ISNA(VLOOKUP($CZ148,'Audit Values'!$A$2:$BU$353,2,FALSE)),'Preliminary SO66'!X147,VLOOKUP($CZ148,'Audit Values'!$A$2:$BU$353,47,FALSE))</f>
        <v>0</v>
      </c>
      <c r="AV148" s="95">
        <f t="shared" si="89"/>
        <v>556</v>
      </c>
      <c r="AW148" s="95">
        <f t="shared" si="90"/>
        <v>491.4</v>
      </c>
      <c r="AX148" s="95">
        <f>IF(ISNA(VLOOKUP($CZ148,'Audit Values'!$A$2:$BU$353,2,FALSE)),'Preliminary SO66'!AA147,VLOOKUP($CZ148,'Audit Values'!$A$2:$BU$353,41,FALSE))</f>
        <v>0</v>
      </c>
      <c r="AY148" s="95">
        <f>IF(ISNA(VLOOKUP($CZ148,'Audit Values'!$A$2:$BU$353,2,FALSE)),'Preliminary SO66'!AB147,VLOOKUP($CZ148,'Audit Values'!$A$2:$BU$353,42,FALSE))</f>
        <v>0</v>
      </c>
      <c r="AZ148" s="114">
        <v>0</v>
      </c>
      <c r="BA148" s="99">
        <f>SUM(AX148*'Weighting Factors'!$T$10)+('2019 Legal Max'!AY148*'Weighting Factors'!$T$11)+('2019 Legal Max'!AZ148*'Weighting Factors'!$T$12)</f>
        <v>0</v>
      </c>
      <c r="BB148" s="158">
        <v>0</v>
      </c>
      <c r="BC148" s="88">
        <f>IF(ISNA(VLOOKUP($CZ148,'Audit Values'!$A$2:$BU$353,2,FALSE)),"",IF(AND('Weighting Factors'!H148&gt;0,VLOOKUP($CZ148,'Audit Values'!$A$2:$BU$353,51,FALSE)&lt;'Weighting Factors'!H148),'Weighting Factors'!H148,VLOOKUP($CZ148,'Audit Values'!$A$2:$BU$353,50,FALSE)))</f>
        <v>19</v>
      </c>
      <c r="BD148" s="88" t="str">
        <f>IF(ISNA(VLOOKUP($CZ148,'Audit Values'!$A$2:$BV$353,2,FALSE)),"",VLOOKUP($CZ148,'Audit Values'!$A$2:$BV$353,51,FALSE))</f>
        <v>A</v>
      </c>
      <c r="BE148" s="88" t="str">
        <f>IF('Weighting Factors'!H148="","",IF('Weighting Factors'!J148="Pending","PX","R"))</f>
        <v/>
      </c>
      <c r="BF148" s="97">
        <f>SUM((S148+T148+Y148+AA148+AE148+AH148+AJ148++AO148+AP148+AQ148+AU148+AR148)*'Weighting Factors'!$Q$5)+'2019 Legal Max'!BA148+'2019 Legal Max'!BB148</f>
        <v>2046681</v>
      </c>
      <c r="BG148" s="99">
        <f>SUM((AV148+AR148)*'Weighting Factors'!$Q$5)+BA148+'2019 Legal Max'!BB148</f>
        <v>2315740</v>
      </c>
      <c r="BH148" s="108">
        <f>IF('Weighting Factors'!H148&gt;0,'Weighting Factors'!H148,'Preliminary SO66'!AV147)</f>
        <v>2536485</v>
      </c>
      <c r="BI148" s="99">
        <f t="shared" si="114"/>
        <v>2315740</v>
      </c>
      <c r="BJ148" s="112"/>
      <c r="BK148" s="112">
        <f>'Weighting Factors'!F148</f>
        <v>0</v>
      </c>
      <c r="BL148" s="112">
        <f>'Weighting Factors'!E148</f>
        <v>0</v>
      </c>
      <c r="BM148" s="99">
        <f t="shared" si="91"/>
        <v>0</v>
      </c>
      <c r="BN148" s="99">
        <f t="shared" si="92"/>
        <v>2315740</v>
      </c>
      <c r="BO148" s="99">
        <f>SUM((S148+T148+Y148+AA148+AE148+AH148+AJ148++AO148+AP148+AQ148+AR148)*'Weighting Factors'!Q$12)+(MAX(AS148,'Weighting Factors'!B148))</f>
        <v>2514721</v>
      </c>
      <c r="BP148" s="120">
        <v>0.3</v>
      </c>
      <c r="BQ148" s="99">
        <f t="shared" si="93"/>
        <v>754416</v>
      </c>
      <c r="BR148" s="108">
        <v>811287</v>
      </c>
      <c r="BS148" s="99">
        <f t="shared" si="94"/>
        <v>754416</v>
      </c>
      <c r="BT148" s="167">
        <f t="shared" si="95"/>
        <v>0.3</v>
      </c>
      <c r="BU148" s="95">
        <f t="shared" si="96"/>
        <v>0</v>
      </c>
      <c r="BV148" s="87" t="b">
        <f t="shared" si="97"/>
        <v>1</v>
      </c>
      <c r="BW148" s="117">
        <f t="shared" si="98"/>
        <v>1264.8050000000001</v>
      </c>
      <c r="BX148" s="116">
        <f t="shared" si="99"/>
        <v>0.66708599999999996</v>
      </c>
      <c r="BY148" s="95">
        <f t="shared" si="100"/>
        <v>154.1</v>
      </c>
      <c r="BZ148" s="87" t="b">
        <f t="shared" si="101"/>
        <v>0</v>
      </c>
      <c r="CA148" s="87">
        <f t="shared" si="102"/>
        <v>0</v>
      </c>
      <c r="CB148" s="116">
        <f t="shared" si="103"/>
        <v>0</v>
      </c>
      <c r="CC148" s="95">
        <f t="shared" si="104"/>
        <v>0</v>
      </c>
      <c r="CD148" s="95">
        <f t="shared" si="105"/>
        <v>0</v>
      </c>
      <c r="CE148" s="98">
        <v>360</v>
      </c>
      <c r="CF148" s="250">
        <f t="shared" si="106"/>
        <v>0.20300000000000001</v>
      </c>
      <c r="CG148" s="274">
        <f>IF(CF148&lt;0.06,1,IF(CF148&gt;=18.29,52,MATCH(CF148-0.001,'Weighting Factors'!$Y$5:$Y$156)+1))</f>
        <v>15</v>
      </c>
      <c r="CH148" s="243">
        <f>VLOOKUP(CG148, 'Weighting Factors'!$W$5:$Z$56,4)</f>
        <v>1290</v>
      </c>
      <c r="CI148" s="118">
        <f>('Weighting Factors'!$Q$5/'Weighting Factors'!$Q$14)</f>
        <v>1</v>
      </c>
      <c r="CJ148" s="245">
        <f t="shared" si="107"/>
        <v>94170</v>
      </c>
      <c r="CK148" s="245">
        <f>CJ148*'Weighting Factors'!$S$7</f>
        <v>94170</v>
      </c>
      <c r="CL148" s="245">
        <f t="shared" si="108"/>
        <v>94170</v>
      </c>
      <c r="CM148" s="95">
        <f>AM148/'Weighting Factors'!$Q$5</f>
        <v>22.6</v>
      </c>
      <c r="CN148" s="148">
        <v>0</v>
      </c>
      <c r="CO148" s="148">
        <v>0</v>
      </c>
      <c r="CP148" s="149">
        <v>0</v>
      </c>
      <c r="CQ148" s="151">
        <v>0</v>
      </c>
      <c r="CR148" s="99">
        <f>SUM((AV148*'Weighting Factors'!$Q$5)+'2019 Legal Max'!BA148)*CQ148</f>
        <v>0</v>
      </c>
      <c r="CS148" s="99">
        <f t="shared" si="109"/>
        <v>0</v>
      </c>
      <c r="CT148" s="106">
        <f t="shared" si="110"/>
        <v>0.48870000000000002</v>
      </c>
      <c r="CU148" s="95">
        <f t="shared" si="111"/>
        <v>0</v>
      </c>
      <c r="CV148" s="95">
        <f t="shared" si="112"/>
        <v>10.5</v>
      </c>
      <c r="CW148" s="95">
        <f t="shared" si="113"/>
        <v>556</v>
      </c>
      <c r="CX148" s="99">
        <f>'LOB Transfers'!G147</f>
        <v>71292</v>
      </c>
      <c r="CY148" s="99">
        <f>'LOB Transfers'!J147</f>
        <v>16522</v>
      </c>
      <c r="CZ148" s="87" t="s">
        <v>340</v>
      </c>
    </row>
    <row r="149" spans="1:104" ht="15" customHeight="1">
      <c r="A149" s="88">
        <v>352</v>
      </c>
      <c r="B149" s="87" t="s">
        <v>65</v>
      </c>
      <c r="C149" s="87" t="s">
        <v>662</v>
      </c>
      <c r="D149" s="95">
        <v>879.7</v>
      </c>
      <c r="E149" s="95">
        <v>0</v>
      </c>
      <c r="F149" s="95">
        <f t="shared" si="80"/>
        <v>879.7</v>
      </c>
      <c r="G149" s="95">
        <v>905.9</v>
      </c>
      <c r="H149" s="95">
        <v>0</v>
      </c>
      <c r="I149" s="95">
        <f t="shared" si="81"/>
        <v>905.9</v>
      </c>
      <c r="J149" s="95">
        <v>897.5</v>
      </c>
      <c r="K149" s="95">
        <v>0</v>
      </c>
      <c r="L149" s="95">
        <f t="shared" si="82"/>
        <v>897.5</v>
      </c>
      <c r="M149" s="95">
        <f>IF(ISNA(VLOOKUP($CZ149,'Audit Values'!$A$2:$BW$365,2,FALSE)),'Preliminary SO66'!C148,VLOOKUP($CZ149,'Audit Values'!$A$2:$BW$365,73,FALSE))</f>
        <v>901.5</v>
      </c>
      <c r="N149" s="95">
        <f>IF(ISNA(VLOOKUP($CZ149,'Audit Values'!$A$2:$BW$365,2,FALSE)),'Preliminary SO66'!F148,VLOOKUP($CZ149,'Audit Values'!$A$2:$BW$365,4,FALSE))</f>
        <v>0</v>
      </c>
      <c r="O149" s="95">
        <f t="shared" si="83"/>
        <v>901.5</v>
      </c>
      <c r="P149" s="95">
        <f>IF('Military Provision'!J150="YES", MAX('2019 Legal Max'!L149,'2019 Legal Max'!I149,AVERAGE('2019 Legal Max'!F149,'2019 Legal Max'!I149,'2019 Legal Max'!L149)), MAX(L149, I149))</f>
        <v>905.9</v>
      </c>
      <c r="Q149" s="95">
        <f>IF(ISNA(VLOOKUP($CZ149,'Audit Values'!$A$2:$BU$353,2,FALSE)),'Preliminary SO66'!AL148,VLOOKUP($CZ149,'Audit Values'!$A$2:$BU$3955,58,FALSE))</f>
        <v>12</v>
      </c>
      <c r="R149" s="95">
        <v>0</v>
      </c>
      <c r="S149" s="95">
        <f t="shared" ref="S149:S180" si="115">P149+Q149</f>
        <v>917.9</v>
      </c>
      <c r="T149" s="95">
        <f t="shared" si="84"/>
        <v>251.7</v>
      </c>
      <c r="U149" s="95">
        <f>IF(ISNA(VLOOKUP($CZ149,'Audit Values'!$A$2:$BW$317,2,FALSE)),'Preliminary SO66'!AM148,VLOOKUP($CZ149,'Audit Values'!$A$2:$BW$317,62,FALSE))</f>
        <v>273.5</v>
      </c>
      <c r="V149" s="95">
        <f>(U149/6)*'Weighting Factors'!$Q$7</f>
        <v>18</v>
      </c>
      <c r="W149" s="132">
        <f>IF(ISNA(VLOOKUP($CZ149,'Audit Values'!$A$2:$BW$353,2,FALSE)),'Preliminary SO66'!AN148,VLOOKUP($CZ149,'Audit Values'!$A$2:$BW$353,61,FALSE))</f>
        <v>72</v>
      </c>
      <c r="X149" s="95">
        <f>W149*'Weighting Factors'!$Q$8</f>
        <v>13.3</v>
      </c>
      <c r="Y149" s="95">
        <f t="shared" si="85"/>
        <v>18</v>
      </c>
      <c r="Z149" s="276">
        <f>IF(ISNA(VLOOKUP($CZ149,'Audit Values'!$A$2:$BW$317,2,FALSE)),'Preliminary SO66'!AO148,VLOOKUP($CZ149,'Audit Values'!$A$2:$BW$317,60,FALSE))</f>
        <v>227.7</v>
      </c>
      <c r="AA149" s="95">
        <f>Z149/6*'Weighting Factors'!$Q$6</f>
        <v>19</v>
      </c>
      <c r="AB149" s="99">
        <f>IF(ISNA(VLOOKUP($CZ149,'Audit Values'!$A$2:$BU$353,2,FALSE)),'Preliminary SO66'!AS148,VLOOKUP($CZ149,'Audit Values'!$A$2:$BU$353,63,FALSE))</f>
        <v>935</v>
      </c>
      <c r="AC149" s="99">
        <v>0</v>
      </c>
      <c r="AD149" s="99">
        <f>IF(ISNA(VLOOKUP($CZ149,'Audit Values'!$A$2:$BU$353,2,FALSE)),'Preliminary SO66'!AP148,VLOOKUP($CZ149,'Audit Values'!$A$2:$BU$353,64,FALSE))</f>
        <v>383</v>
      </c>
      <c r="AE149" s="95">
        <f>IF(A149=207, AD149,MAX(AC149,AD149))*'Weighting Factors'!$Q$9</f>
        <v>185.4</v>
      </c>
      <c r="AF149" s="95">
        <f t="shared" si="86"/>
        <v>16</v>
      </c>
      <c r="AG149" s="95">
        <f>IF(ISNA(VLOOKUP($CZ149,'Audit Values'!$A$2:$BW$353,2,FALSE)),'Preliminary SO66'!AG148,VLOOKUP($CZ149,'Audit Values'!$A$2:$BW$353,70,FALSE))</f>
        <v>11.3</v>
      </c>
      <c r="AH149" s="95">
        <f t="shared" si="87"/>
        <v>16</v>
      </c>
      <c r="AI149" s="95">
        <f>IF(ISNA(VLOOKUP($CZ149,'Audit Values'!$A$2:$BU$353,2,FALSE)),'Preliminary SO66'!AQ148,VLOOKUP($CZ149,'Audit Values'!$A$2:$BU$353,65,FALSE))</f>
        <v>0</v>
      </c>
      <c r="AJ149" s="95">
        <f>AI149*'Weighting Factors'!$Q$10</f>
        <v>0</v>
      </c>
      <c r="AK149" s="95">
        <f>IF(ISNA(VLOOKUP($CZ149,'Audit Values'!$A$2:$BU$353,2,FALSE)),'Preliminary SO66'!AR148,VLOOKUP($CZ149,'Audit Values'!$A$2:$BU$353,66,FALSE))</f>
        <v>156</v>
      </c>
      <c r="AL149" s="95"/>
      <c r="AM149" s="99">
        <f t="shared" si="88"/>
        <v>205920</v>
      </c>
      <c r="AN149" s="99">
        <v>234972</v>
      </c>
      <c r="AO149" s="95">
        <f>MAX(AN149, AM149)/'Weighting Factors'!$Q$5</f>
        <v>56.4</v>
      </c>
      <c r="AP149" s="95">
        <f>CN149/'Weighting Factors'!$Q$5</f>
        <v>0</v>
      </c>
      <c r="AQ149" s="95">
        <v>0</v>
      </c>
      <c r="AR149" s="95">
        <f>CS149/'Weighting Factors'!$Q$5</f>
        <v>0</v>
      </c>
      <c r="AS149" s="99">
        <v>919556</v>
      </c>
      <c r="AT149" s="95">
        <f>AS149/'Weighting Factors'!$Q$5</f>
        <v>220.8</v>
      </c>
      <c r="AU149" s="95">
        <f>IF(ISNA(VLOOKUP($CZ149,'Audit Values'!$A$2:$BU$353,2,FALSE)),'Preliminary SO66'!X148,VLOOKUP($CZ149,'Audit Values'!$A$2:$BU$353,47,FALSE))</f>
        <v>0</v>
      </c>
      <c r="AV149" s="95">
        <f t="shared" si="89"/>
        <v>1685.2</v>
      </c>
      <c r="AW149" s="95">
        <f t="shared" si="90"/>
        <v>1464.4</v>
      </c>
      <c r="AX149" s="95">
        <f>IF(ISNA(VLOOKUP($CZ149,'Audit Values'!$A$2:$BU$353,2,FALSE)),'Preliminary SO66'!AA148,VLOOKUP($CZ149,'Audit Values'!$A$2:$BU$353,41,FALSE))</f>
        <v>9</v>
      </c>
      <c r="AY149" s="95">
        <f>IF(ISNA(VLOOKUP($CZ149,'Audit Values'!$A$2:$BU$353,2,FALSE)),'Preliminary SO66'!AB148,VLOOKUP($CZ149,'Audit Values'!$A$2:$BU$353,42,FALSE))</f>
        <v>0</v>
      </c>
      <c r="AZ149" s="114">
        <v>8</v>
      </c>
      <c r="BA149" s="99">
        <f>SUM(AX149*'Weighting Factors'!$T$10)+('2019 Legal Max'!AY149*'Weighting Factors'!$T$11)+('2019 Legal Max'!AZ149*'Weighting Factors'!$T$12)</f>
        <v>50672</v>
      </c>
      <c r="BB149" s="158">
        <v>0</v>
      </c>
      <c r="BC149" s="88">
        <f>IF(ISNA(VLOOKUP($CZ149,'Audit Values'!$A$2:$BU$353,2,FALSE)),"",IF(AND('Weighting Factors'!H149&gt;0,VLOOKUP($CZ149,'Audit Values'!$A$2:$BU$353,51,FALSE)&lt;'Weighting Factors'!H149),'Weighting Factors'!H149,VLOOKUP($CZ149,'Audit Values'!$A$2:$BU$353,50,FALSE)))</f>
        <v>6</v>
      </c>
      <c r="BD149" s="88" t="str">
        <f>IF(ISNA(VLOOKUP($CZ149,'Audit Values'!$A$2:$BV$353,2,FALSE)),"",VLOOKUP($CZ149,'Audit Values'!$A$2:$BV$353,51,FALSE))</f>
        <v>A</v>
      </c>
      <c r="BE149" s="88" t="str">
        <f>IF('Weighting Factors'!H149="","",IF('Weighting Factors'!J149="Pending","PX","R"))</f>
        <v/>
      </c>
      <c r="BF149" s="97">
        <f>SUM((S149+T149+Y149+AA149+AE149+AH149+AJ149++AO149+AP149+AQ149+AU149+AR149)*'Weighting Factors'!$Q$5)+'2019 Legal Max'!BA149+'2019 Legal Max'!BB149</f>
        <v>6149898</v>
      </c>
      <c r="BG149" s="99">
        <f>SUM((AV149+AR149)*'Weighting Factors'!$Q$5)+BA149+'2019 Legal Max'!BB149</f>
        <v>7069530</v>
      </c>
      <c r="BH149" s="108">
        <f>IF('Weighting Factors'!H149&gt;0,'Weighting Factors'!H149,'Preliminary SO66'!AV148)</f>
        <v>7085179</v>
      </c>
      <c r="BI149" s="99">
        <f t="shared" si="114"/>
        <v>7069530</v>
      </c>
      <c r="BJ149" s="112"/>
      <c r="BK149" s="112">
        <f>'Weighting Factors'!F149</f>
        <v>-51709</v>
      </c>
      <c r="BL149" s="112">
        <f>'Weighting Factors'!E149</f>
        <v>-3191</v>
      </c>
      <c r="BM149" s="99">
        <f t="shared" si="91"/>
        <v>-54900</v>
      </c>
      <c r="BN149" s="99">
        <f t="shared" si="92"/>
        <v>7014630</v>
      </c>
      <c r="BO149" s="99">
        <f>SUM((S149+T149+Y149+AA149+AE149+AH149+AJ149++AO149+AP149+AQ149+AR149)*'Weighting Factors'!Q$12)+(MAX(AS149,'Weighting Factors'!B149))</f>
        <v>7494712</v>
      </c>
      <c r="BP149" s="122">
        <v>0.3</v>
      </c>
      <c r="BQ149" s="99">
        <f t="shared" si="93"/>
        <v>2248414</v>
      </c>
      <c r="BR149" s="108">
        <v>2254080</v>
      </c>
      <c r="BS149" s="99">
        <f t="shared" si="94"/>
        <v>2248414</v>
      </c>
      <c r="BT149" s="167">
        <f t="shared" si="95"/>
        <v>0.3</v>
      </c>
      <c r="BU149" s="95">
        <f t="shared" si="96"/>
        <v>0</v>
      </c>
      <c r="BV149" s="87" t="b">
        <f t="shared" si="97"/>
        <v>0</v>
      </c>
      <c r="BW149" s="117">
        <f t="shared" si="98"/>
        <v>0</v>
      </c>
      <c r="BX149" s="116">
        <f t="shared" si="99"/>
        <v>0</v>
      </c>
      <c r="BY149" s="95">
        <f t="shared" si="100"/>
        <v>0</v>
      </c>
      <c r="BZ149" s="87" t="b">
        <f t="shared" si="101"/>
        <v>1</v>
      </c>
      <c r="CA149" s="87">
        <f t="shared" si="102"/>
        <v>764.65129999999999</v>
      </c>
      <c r="CB149" s="116">
        <f t="shared" si="103"/>
        <v>0.274256</v>
      </c>
      <c r="CC149" s="95">
        <f t="shared" si="104"/>
        <v>251.7</v>
      </c>
      <c r="CD149" s="95">
        <f t="shared" si="105"/>
        <v>0</v>
      </c>
      <c r="CE149" s="98">
        <v>914.2</v>
      </c>
      <c r="CF149" s="250">
        <f t="shared" si="106"/>
        <v>0.17100000000000001</v>
      </c>
      <c r="CG149" s="274">
        <f>IF(CF149&lt;0.06,1,IF(CF149&gt;=18.29,52,MATCH(CF149-0.001,'Weighting Factors'!$Y$5:$Y$156)+1))</f>
        <v>13</v>
      </c>
      <c r="CH149" s="243">
        <f>VLOOKUP(CG149, 'Weighting Factors'!$W$5:$Z$56,4)</f>
        <v>1320</v>
      </c>
      <c r="CI149" s="118">
        <f>('Weighting Factors'!$Q$5/'Weighting Factors'!$Q$14)</f>
        <v>1</v>
      </c>
      <c r="CJ149" s="245">
        <f t="shared" si="107"/>
        <v>205920</v>
      </c>
      <c r="CK149" s="245">
        <f>CJ149*'Weighting Factors'!$S$7</f>
        <v>205920</v>
      </c>
      <c r="CL149" s="245">
        <f t="shared" si="108"/>
        <v>205920</v>
      </c>
      <c r="CM149" s="95">
        <f>AM149/'Weighting Factors'!$Q$5</f>
        <v>49.4</v>
      </c>
      <c r="CN149" s="148">
        <v>0</v>
      </c>
      <c r="CO149" s="148">
        <v>0</v>
      </c>
      <c r="CP149" s="149">
        <v>0</v>
      </c>
      <c r="CQ149" s="151">
        <v>0</v>
      </c>
      <c r="CR149" s="99">
        <f>SUM((AV149*'Weighting Factors'!$Q$5)+'2019 Legal Max'!BA149)*CQ149</f>
        <v>0</v>
      </c>
      <c r="CS149" s="99">
        <f t="shared" si="109"/>
        <v>0</v>
      </c>
      <c r="CT149" s="106">
        <f t="shared" si="110"/>
        <v>0.40960000000000002</v>
      </c>
      <c r="CU149" s="95">
        <f t="shared" si="111"/>
        <v>0</v>
      </c>
      <c r="CV149" s="95">
        <f t="shared" si="112"/>
        <v>16</v>
      </c>
      <c r="CW149" s="95">
        <f t="shared" si="113"/>
        <v>1685.2</v>
      </c>
      <c r="CX149" s="99">
        <f>'LOB Transfers'!G148</f>
        <v>249124</v>
      </c>
      <c r="CY149" s="99">
        <f>'LOB Transfers'!J148</f>
        <v>24283</v>
      </c>
      <c r="CZ149" s="87" t="s">
        <v>341</v>
      </c>
    </row>
    <row r="150" spans="1:104" ht="15" customHeight="1">
      <c r="A150" s="88">
        <v>353</v>
      </c>
      <c r="B150" s="87" t="s">
        <v>66</v>
      </c>
      <c r="C150" s="87" t="s">
        <v>663</v>
      </c>
      <c r="D150" s="95">
        <v>1534.5</v>
      </c>
      <c r="E150" s="95">
        <v>0</v>
      </c>
      <c r="F150" s="95">
        <f t="shared" si="80"/>
        <v>1534.5</v>
      </c>
      <c r="G150" s="95">
        <v>1589.5</v>
      </c>
      <c r="H150" s="95">
        <v>0</v>
      </c>
      <c r="I150" s="95">
        <f t="shared" si="81"/>
        <v>1589.5</v>
      </c>
      <c r="J150" s="95">
        <v>1528.2</v>
      </c>
      <c r="K150" s="95">
        <v>0</v>
      </c>
      <c r="L150" s="95">
        <f t="shared" si="82"/>
        <v>1528.2</v>
      </c>
      <c r="M150" s="95">
        <f>IF(ISNA(VLOOKUP($CZ150,'Audit Values'!$A$2:$BW$365,2,FALSE)),'Preliminary SO66'!C149,VLOOKUP($CZ150,'Audit Values'!$A$2:$BW$365,73,FALSE))</f>
        <v>1552.4</v>
      </c>
      <c r="N150" s="95">
        <f>IF(ISNA(VLOOKUP($CZ150,'Audit Values'!$A$2:$BW$365,2,FALSE)),'Preliminary SO66'!F149,VLOOKUP($CZ150,'Audit Values'!$A$2:$BW$365,4,FALSE))</f>
        <v>0</v>
      </c>
      <c r="O150" s="95">
        <f t="shared" si="83"/>
        <v>1552.4</v>
      </c>
      <c r="P150" s="95">
        <f>IF('Military Provision'!J151="YES", MAX('2019 Legal Max'!L150,'2019 Legal Max'!I150,AVERAGE('2019 Legal Max'!F150,'2019 Legal Max'!I150,'2019 Legal Max'!L150)), MAX(L150, I150))</f>
        <v>1589.5</v>
      </c>
      <c r="Q150" s="95">
        <f>IF(ISNA(VLOOKUP($CZ150,'Audit Values'!$A$2:$BU$353,2,FALSE)),'Preliminary SO66'!AL149,VLOOKUP($CZ150,'Audit Values'!$A$2:$BU$3955,58,FALSE))</f>
        <v>2.5</v>
      </c>
      <c r="R150" s="95">
        <v>0</v>
      </c>
      <c r="S150" s="95">
        <f t="shared" si="115"/>
        <v>1592</v>
      </c>
      <c r="T150" s="95">
        <f t="shared" si="84"/>
        <v>72</v>
      </c>
      <c r="U150" s="95">
        <f>IF(ISNA(VLOOKUP($CZ150,'Audit Values'!$A$2:$BW$317,2,FALSE)),'Preliminary SO66'!AM149,VLOOKUP($CZ150,'Audit Values'!$A$2:$BW$317,62,FALSE))</f>
        <v>7.6</v>
      </c>
      <c r="V150" s="95">
        <f>(U150/6)*'Weighting Factors'!$Q$7</f>
        <v>0.5</v>
      </c>
      <c r="W150" s="132">
        <f>IF(ISNA(VLOOKUP($CZ150,'Audit Values'!$A$2:$BW$353,2,FALSE)),'Preliminary SO66'!AN149,VLOOKUP($CZ150,'Audit Values'!$A$2:$BW$353,61,FALSE))</f>
        <v>21</v>
      </c>
      <c r="X150" s="95">
        <f>W150*'Weighting Factors'!$Q$8</f>
        <v>3.9</v>
      </c>
      <c r="Y150" s="95">
        <f t="shared" si="85"/>
        <v>3.9</v>
      </c>
      <c r="Z150" s="276">
        <f>IF(ISNA(VLOOKUP($CZ150,'Audit Values'!$A$2:$BW$317,2,FALSE)),'Preliminary SO66'!AO149,VLOOKUP($CZ150,'Audit Values'!$A$2:$BW$317,60,FALSE))</f>
        <v>276.10000000000002</v>
      </c>
      <c r="AA150" s="95">
        <f>Z150/6*'Weighting Factors'!$Q$6</f>
        <v>23</v>
      </c>
      <c r="AB150" s="99">
        <f>IF(ISNA(VLOOKUP($CZ150,'Audit Values'!$A$2:$BU$353,2,FALSE)),'Preliminary SO66'!AS149,VLOOKUP($CZ150,'Audit Values'!$A$2:$BU$353,63,FALSE))</f>
        <v>1575</v>
      </c>
      <c r="AC150" s="99">
        <v>0</v>
      </c>
      <c r="AD150" s="99">
        <f>IF(ISNA(VLOOKUP($CZ150,'Audit Values'!$A$2:$BU$353,2,FALSE)),'Preliminary SO66'!AP149,VLOOKUP($CZ150,'Audit Values'!$A$2:$BU$353,64,FALSE))</f>
        <v>695</v>
      </c>
      <c r="AE150" s="95">
        <f>IF(A150=207, AD150,MAX(AC150,AD150))*'Weighting Factors'!$Q$9</f>
        <v>336.4</v>
      </c>
      <c r="AF150" s="95">
        <f t="shared" si="86"/>
        <v>44.4</v>
      </c>
      <c r="AG150" s="95">
        <f>IF(ISNA(VLOOKUP($CZ150,'Audit Values'!$A$2:$BW$353,2,FALSE)),'Preliminary SO66'!AG149,VLOOKUP($CZ150,'Audit Values'!$A$2:$BW$353,70,FALSE))</f>
        <v>40.200000000000003</v>
      </c>
      <c r="AH150" s="95">
        <f t="shared" si="87"/>
        <v>44.4</v>
      </c>
      <c r="AI150" s="95">
        <f>IF(ISNA(VLOOKUP($CZ150,'Audit Values'!$A$2:$BU$353,2,FALSE)),'Preliminary SO66'!AQ149,VLOOKUP($CZ150,'Audit Values'!$A$2:$BU$353,65,FALSE))</f>
        <v>0</v>
      </c>
      <c r="AJ150" s="95">
        <f>AI150*'Weighting Factors'!$Q$10</f>
        <v>0</v>
      </c>
      <c r="AK150" s="95">
        <f>IF(ISNA(VLOOKUP($CZ150,'Audit Values'!$A$2:$BU$353,2,FALSE)),'Preliminary SO66'!AR149,VLOOKUP($CZ150,'Audit Values'!$A$2:$BU$353,66,FALSE))</f>
        <v>213</v>
      </c>
      <c r="AL150" s="95"/>
      <c r="AM150" s="99">
        <f t="shared" si="88"/>
        <v>206610</v>
      </c>
      <c r="AN150" s="99">
        <v>219179</v>
      </c>
      <c r="AO150" s="95">
        <f>MAX(AN150, AM150)/'Weighting Factors'!$Q$5</f>
        <v>52.6</v>
      </c>
      <c r="AP150" s="95">
        <f>CN150/'Weighting Factors'!$Q$5</f>
        <v>0</v>
      </c>
      <c r="AQ150" s="95">
        <v>0</v>
      </c>
      <c r="AR150" s="95">
        <f>CS150/'Weighting Factors'!$Q$5</f>
        <v>0</v>
      </c>
      <c r="AS150" s="99">
        <v>2356299</v>
      </c>
      <c r="AT150" s="95">
        <f>AS150/'Weighting Factors'!$Q$5</f>
        <v>565.70000000000005</v>
      </c>
      <c r="AU150" s="95">
        <f>IF(ISNA(VLOOKUP($CZ150,'Audit Values'!$A$2:$BU$353,2,FALSE)),'Preliminary SO66'!X149,VLOOKUP($CZ150,'Audit Values'!$A$2:$BU$353,47,FALSE))</f>
        <v>0</v>
      </c>
      <c r="AV150" s="95">
        <f t="shared" si="89"/>
        <v>2690</v>
      </c>
      <c r="AW150" s="95">
        <f t="shared" si="90"/>
        <v>2124.3000000000002</v>
      </c>
      <c r="AX150" s="95">
        <f>IF(ISNA(VLOOKUP($CZ150,'Audit Values'!$A$2:$BU$353,2,FALSE)),'Preliminary SO66'!AA149,VLOOKUP($CZ150,'Audit Values'!$A$2:$BU$353,41,FALSE))</f>
        <v>0</v>
      </c>
      <c r="AY150" s="95">
        <f>IF(ISNA(VLOOKUP($CZ150,'Audit Values'!$A$2:$BU$353,2,FALSE)),'Preliminary SO66'!AB149,VLOOKUP($CZ150,'Audit Values'!$A$2:$BU$353,42,FALSE))</f>
        <v>0</v>
      </c>
      <c r="AZ150" s="114">
        <v>0</v>
      </c>
      <c r="BA150" s="99">
        <f>SUM(AX150*'Weighting Factors'!$T$10)+('2019 Legal Max'!AY150*'Weighting Factors'!$T$11)+('2019 Legal Max'!AZ150*'Weighting Factors'!$T$12)</f>
        <v>0</v>
      </c>
      <c r="BB150" s="158">
        <v>0</v>
      </c>
      <c r="BC150" s="88">
        <f>IF(ISNA(VLOOKUP($CZ150,'Audit Values'!$A$2:$BU$353,2,FALSE)),"",IF(AND('Weighting Factors'!H150&gt;0,VLOOKUP($CZ150,'Audit Values'!$A$2:$BU$353,51,FALSE)&lt;'Weighting Factors'!H150),'Weighting Factors'!H150,VLOOKUP($CZ150,'Audit Values'!$A$2:$BU$353,50,FALSE)))</f>
        <v>17</v>
      </c>
      <c r="BD150" s="88" t="str">
        <f>IF(ISNA(VLOOKUP($CZ150,'Audit Values'!$A$2:$BV$353,2,FALSE)),"",VLOOKUP($CZ150,'Audit Values'!$A$2:$BV$353,51,FALSE))</f>
        <v>A</v>
      </c>
      <c r="BE150" s="88" t="str">
        <f>IF('Weighting Factors'!H150="","",IF('Weighting Factors'!J150="Pending","PX","R"))</f>
        <v/>
      </c>
      <c r="BF150" s="97">
        <f>SUM((S150+T150+Y150+AA150+AE150+AH150+AJ150++AO150+AP150+AQ150+AU150+AR150)*'Weighting Factors'!$Q$5)+'2019 Legal Max'!BA150+'2019 Legal Max'!BB150</f>
        <v>8847710</v>
      </c>
      <c r="BG150" s="99">
        <f>SUM((AV150+AR150)*'Weighting Factors'!$Q$5)+BA150+'2019 Legal Max'!BB150</f>
        <v>11203850</v>
      </c>
      <c r="BH150" s="108">
        <f>IF('Weighting Factors'!H150&gt;0,'Weighting Factors'!H150,'Preliminary SO66'!AV149)</f>
        <v>11297146</v>
      </c>
      <c r="BI150" s="99">
        <f t="shared" si="114"/>
        <v>11203850</v>
      </c>
      <c r="BJ150" s="112"/>
      <c r="BK150" s="112">
        <f>'Weighting Factors'!F150</f>
        <v>0</v>
      </c>
      <c r="BL150" s="112">
        <f>'Weighting Factors'!E150</f>
        <v>0</v>
      </c>
      <c r="BM150" s="99">
        <f t="shared" si="91"/>
        <v>0</v>
      </c>
      <c r="BN150" s="99">
        <f t="shared" si="92"/>
        <v>11203850</v>
      </c>
      <c r="BO150" s="99">
        <f>SUM((S150+T150+Y150+AA150+AE150+AH150+AJ150++AO150+AP150+AQ150+AR150)*'Weighting Factors'!Q$12)+(MAX(AS150,'Weighting Factors'!B150))</f>
        <v>11894406</v>
      </c>
      <c r="BP150" s="120">
        <v>0.3</v>
      </c>
      <c r="BQ150" s="99">
        <f t="shared" si="93"/>
        <v>3568322</v>
      </c>
      <c r="BR150" s="108">
        <v>3597691</v>
      </c>
      <c r="BS150" s="99">
        <f t="shared" si="94"/>
        <v>3568322</v>
      </c>
      <c r="BT150" s="167">
        <f t="shared" si="95"/>
        <v>0.3</v>
      </c>
      <c r="BU150" s="95">
        <f t="shared" si="96"/>
        <v>0</v>
      </c>
      <c r="BV150" s="87" t="b">
        <f t="shared" si="97"/>
        <v>0</v>
      </c>
      <c r="BW150" s="117">
        <f t="shared" si="98"/>
        <v>0</v>
      </c>
      <c r="BX150" s="116">
        <f t="shared" si="99"/>
        <v>0</v>
      </c>
      <c r="BY150" s="95">
        <f t="shared" si="100"/>
        <v>0</v>
      </c>
      <c r="BZ150" s="87" t="b">
        <f t="shared" si="101"/>
        <v>1</v>
      </c>
      <c r="CA150" s="87">
        <f t="shared" si="102"/>
        <v>1598.85</v>
      </c>
      <c r="CB150" s="116">
        <f t="shared" si="103"/>
        <v>4.5231E-2</v>
      </c>
      <c r="CC150" s="95">
        <f t="shared" si="104"/>
        <v>72</v>
      </c>
      <c r="CD150" s="95">
        <f t="shared" si="105"/>
        <v>0</v>
      </c>
      <c r="CE150" s="98">
        <v>228.5</v>
      </c>
      <c r="CF150" s="250">
        <f t="shared" si="106"/>
        <v>0.93200000000000005</v>
      </c>
      <c r="CG150" s="274">
        <f>IF(CF150&lt;0.06,1,IF(CF150&gt;=18.29,52,MATCH(CF150-0.001,'Weighting Factors'!$Y$5:$Y$156)+1))</f>
        <v>31</v>
      </c>
      <c r="CH150" s="243">
        <f>VLOOKUP(CG150, 'Weighting Factors'!$W$5:$Z$56,4)</f>
        <v>970</v>
      </c>
      <c r="CI150" s="118">
        <f>('Weighting Factors'!$Q$5/'Weighting Factors'!$Q$14)</f>
        <v>1</v>
      </c>
      <c r="CJ150" s="245">
        <f t="shared" si="107"/>
        <v>206610</v>
      </c>
      <c r="CK150" s="245">
        <f>CJ150*'Weighting Factors'!$S$7</f>
        <v>206610</v>
      </c>
      <c r="CL150" s="245">
        <f t="shared" si="108"/>
        <v>206610</v>
      </c>
      <c r="CM150" s="95">
        <f>AM150/'Weighting Factors'!$Q$5</f>
        <v>49.6</v>
      </c>
      <c r="CN150" s="148">
        <v>0</v>
      </c>
      <c r="CO150" s="148">
        <v>0</v>
      </c>
      <c r="CP150" s="149">
        <v>0</v>
      </c>
      <c r="CQ150" s="151">
        <v>0</v>
      </c>
      <c r="CR150" s="99">
        <f>SUM((AV150*'Weighting Factors'!$Q$5)+'2019 Legal Max'!BA150)*CQ150</f>
        <v>0</v>
      </c>
      <c r="CS150" s="99">
        <f t="shared" si="109"/>
        <v>0</v>
      </c>
      <c r="CT150" s="106">
        <f t="shared" si="110"/>
        <v>0.44130000000000003</v>
      </c>
      <c r="CU150" s="95">
        <f t="shared" si="111"/>
        <v>0</v>
      </c>
      <c r="CV150" s="95">
        <f t="shared" si="112"/>
        <v>44.4</v>
      </c>
      <c r="CW150" s="95">
        <f t="shared" si="113"/>
        <v>2690</v>
      </c>
      <c r="CX150" s="99">
        <f>'LOB Transfers'!G149</f>
        <v>446754</v>
      </c>
      <c r="CY150" s="99">
        <f>'LOB Transfers'!J149</f>
        <v>5352</v>
      </c>
      <c r="CZ150" s="87" t="s">
        <v>342</v>
      </c>
    </row>
    <row r="151" spans="1:104" ht="15" customHeight="1">
      <c r="A151" s="88">
        <v>355</v>
      </c>
      <c r="B151" s="87" t="s">
        <v>67</v>
      </c>
      <c r="C151" s="87" t="s">
        <v>664</v>
      </c>
      <c r="D151" s="95">
        <v>424.3</v>
      </c>
      <c r="E151" s="95">
        <v>0</v>
      </c>
      <c r="F151" s="95">
        <f t="shared" si="80"/>
        <v>424.3</v>
      </c>
      <c r="G151" s="95">
        <v>446.4</v>
      </c>
      <c r="H151" s="95">
        <v>0</v>
      </c>
      <c r="I151" s="95">
        <f t="shared" si="81"/>
        <v>446.4</v>
      </c>
      <c r="J151" s="95">
        <v>450.3</v>
      </c>
      <c r="K151" s="95">
        <v>0</v>
      </c>
      <c r="L151" s="95">
        <f t="shared" si="82"/>
        <v>450.3</v>
      </c>
      <c r="M151" s="95">
        <f>IF(ISNA(VLOOKUP($CZ151,'Audit Values'!$A$2:$BW$365,2,FALSE)),'Preliminary SO66'!C150,VLOOKUP($CZ151,'Audit Values'!$A$2:$BW$365,73,FALSE))</f>
        <v>447.5</v>
      </c>
      <c r="N151" s="95">
        <f>IF(ISNA(VLOOKUP($CZ151,'Audit Values'!$A$2:$BW$365,2,FALSE)),'Preliminary SO66'!F150,VLOOKUP($CZ151,'Audit Values'!$A$2:$BW$365,4,FALSE))</f>
        <v>0</v>
      </c>
      <c r="O151" s="95">
        <f t="shared" si="83"/>
        <v>447.5</v>
      </c>
      <c r="P151" s="95">
        <f>IF('Military Provision'!J152="YES", MAX('2019 Legal Max'!L151,'2019 Legal Max'!I151,AVERAGE('2019 Legal Max'!F151,'2019 Legal Max'!I151,'2019 Legal Max'!L151)), MAX(L151, I151))</f>
        <v>450.3</v>
      </c>
      <c r="Q151" s="95">
        <f>IF(ISNA(VLOOKUP($CZ151,'Audit Values'!$A$2:$BU$353,2,FALSE)),'Preliminary SO66'!AL150,VLOOKUP($CZ151,'Audit Values'!$A$2:$BU$3955,58,FALSE))</f>
        <v>0</v>
      </c>
      <c r="R151" s="95">
        <v>0</v>
      </c>
      <c r="S151" s="95">
        <f t="shared" si="115"/>
        <v>450.3</v>
      </c>
      <c r="T151" s="95">
        <f t="shared" si="84"/>
        <v>195</v>
      </c>
      <c r="U151" s="95">
        <f>IF(ISNA(VLOOKUP($CZ151,'Audit Values'!$A$2:$BW$317,2,FALSE)),'Preliminary SO66'!AM150,VLOOKUP($CZ151,'Audit Values'!$A$2:$BW$317,62,FALSE))</f>
        <v>0</v>
      </c>
      <c r="V151" s="95">
        <f>(U151/6)*'Weighting Factors'!$Q$7</f>
        <v>0</v>
      </c>
      <c r="W151" s="132">
        <f>IF(ISNA(VLOOKUP($CZ151,'Audit Values'!$A$2:$BW$353,2,FALSE)),'Preliminary SO66'!AN150,VLOOKUP($CZ151,'Audit Values'!$A$2:$BW$353,61,FALSE))</f>
        <v>0</v>
      </c>
      <c r="X151" s="95">
        <f>W151*'Weighting Factors'!$Q$8</f>
        <v>0</v>
      </c>
      <c r="Y151" s="95">
        <f t="shared" si="85"/>
        <v>0</v>
      </c>
      <c r="Z151" s="276">
        <f>IF(ISNA(VLOOKUP($CZ151,'Audit Values'!$A$2:$BW$317,2,FALSE)),'Preliminary SO66'!AO150,VLOOKUP($CZ151,'Audit Values'!$A$2:$BW$317,60,FALSE))</f>
        <v>134.80000000000001</v>
      </c>
      <c r="AA151" s="95">
        <f>Z151/6*'Weighting Factors'!$Q$6</f>
        <v>11.2</v>
      </c>
      <c r="AB151" s="99">
        <f>IF(ISNA(VLOOKUP($CZ151,'Audit Values'!$A$2:$BU$353,2,FALSE)),'Preliminary SO66'!AS150,VLOOKUP($CZ151,'Audit Values'!$A$2:$BU$353,63,FALSE))</f>
        <v>508</v>
      </c>
      <c r="AC151" s="99">
        <v>0</v>
      </c>
      <c r="AD151" s="99">
        <f>IF(ISNA(VLOOKUP($CZ151,'Audit Values'!$A$2:$BU$353,2,FALSE)),'Preliminary SO66'!AP150,VLOOKUP($CZ151,'Audit Values'!$A$2:$BU$353,64,FALSE))</f>
        <v>144</v>
      </c>
      <c r="AE151" s="95">
        <f>IF(A151=207, AD151,MAX(AC151,AD151))*'Weighting Factors'!$Q$9</f>
        <v>69.7</v>
      </c>
      <c r="AF151" s="95">
        <f t="shared" si="86"/>
        <v>0</v>
      </c>
      <c r="AG151" s="95">
        <f>IF(ISNA(VLOOKUP($CZ151,'Audit Values'!$A$2:$BW$353,2,FALSE)),'Preliminary SO66'!AG150,VLOOKUP($CZ151,'Audit Values'!$A$2:$BW$353,70,FALSE))</f>
        <v>0</v>
      </c>
      <c r="AH151" s="95">
        <f t="shared" si="87"/>
        <v>0</v>
      </c>
      <c r="AI151" s="95">
        <f>IF(ISNA(VLOOKUP($CZ151,'Audit Values'!$A$2:$BU$353,2,FALSE)),'Preliminary SO66'!AQ150,VLOOKUP($CZ151,'Audit Values'!$A$2:$BU$353,65,FALSE))</f>
        <v>0</v>
      </c>
      <c r="AJ151" s="95">
        <f>AI151*'Weighting Factors'!$Q$10</f>
        <v>0</v>
      </c>
      <c r="AK151" s="95">
        <f>IF(ISNA(VLOOKUP($CZ151,'Audit Values'!$A$2:$BU$353,2,FALSE)),'Preliminary SO66'!AR150,VLOOKUP($CZ151,'Audit Values'!$A$2:$BU$353,66,FALSE))</f>
        <v>70.599999999999994</v>
      </c>
      <c r="AL151" s="95"/>
      <c r="AM151" s="99">
        <f t="shared" si="88"/>
        <v>78366</v>
      </c>
      <c r="AN151" s="99">
        <v>88211</v>
      </c>
      <c r="AO151" s="95">
        <f>MAX(AN151, AM151)/'Weighting Factors'!$Q$5</f>
        <v>21.2</v>
      </c>
      <c r="AP151" s="95">
        <f>CN151/'Weighting Factors'!$Q$5</f>
        <v>0</v>
      </c>
      <c r="AQ151" s="95">
        <v>0</v>
      </c>
      <c r="AR151" s="95">
        <f>CS151/'Weighting Factors'!$Q$5</f>
        <v>0</v>
      </c>
      <c r="AS151" s="99">
        <v>516228</v>
      </c>
      <c r="AT151" s="95">
        <f>AS151/'Weighting Factors'!$Q$5</f>
        <v>123.9</v>
      </c>
      <c r="AU151" s="95">
        <f>IF(ISNA(VLOOKUP($CZ151,'Audit Values'!$A$2:$BU$353,2,FALSE)),'Preliminary SO66'!X150,VLOOKUP($CZ151,'Audit Values'!$A$2:$BU$353,47,FALSE))</f>
        <v>0</v>
      </c>
      <c r="AV151" s="95">
        <f t="shared" si="89"/>
        <v>871.3</v>
      </c>
      <c r="AW151" s="95">
        <f t="shared" si="90"/>
        <v>747.4</v>
      </c>
      <c r="AX151" s="95">
        <f>IF(ISNA(VLOOKUP($CZ151,'Audit Values'!$A$2:$BU$353,2,FALSE)),'Preliminary SO66'!AA150,VLOOKUP($CZ151,'Audit Values'!$A$2:$BU$353,41,FALSE))</f>
        <v>0</v>
      </c>
      <c r="AY151" s="95">
        <f>IF(ISNA(VLOOKUP($CZ151,'Audit Values'!$A$2:$BU$353,2,FALSE)),'Preliminary SO66'!AB150,VLOOKUP($CZ151,'Audit Values'!$A$2:$BU$353,42,FALSE))</f>
        <v>0</v>
      </c>
      <c r="AZ151" s="114">
        <v>0</v>
      </c>
      <c r="BA151" s="99">
        <f>SUM(AX151*'Weighting Factors'!$T$10)+('2019 Legal Max'!AY151*'Weighting Factors'!$T$11)+('2019 Legal Max'!AZ151*'Weighting Factors'!$T$12)</f>
        <v>0</v>
      </c>
      <c r="BB151" s="158">
        <v>0</v>
      </c>
      <c r="BC151" s="88">
        <f>IF(ISNA(VLOOKUP($CZ151,'Audit Values'!$A$2:$BU$353,2,FALSE)),"",IF(AND('Weighting Factors'!H151&gt;0,VLOOKUP($CZ151,'Audit Values'!$A$2:$BU$353,51,FALSE)&lt;'Weighting Factors'!H151),'Weighting Factors'!H151,VLOOKUP($CZ151,'Audit Values'!$A$2:$BU$353,50,FALSE)))</f>
        <v>15</v>
      </c>
      <c r="BD151" s="88" t="str">
        <f>IF(ISNA(VLOOKUP($CZ151,'Audit Values'!$A$2:$BV$353,2,FALSE)),"",VLOOKUP($CZ151,'Audit Values'!$A$2:$BV$353,51,FALSE))</f>
        <v>A</v>
      </c>
      <c r="BE151" s="88" t="str">
        <f>IF('Weighting Factors'!H151="","",IF('Weighting Factors'!J151="Pending","PX","R"))</f>
        <v/>
      </c>
      <c r="BF151" s="97">
        <f>SUM((S151+T151+Y151+AA151+AE151+AH151+AJ151++AO151+AP151+AQ151+AU151+AR151)*'Weighting Factors'!$Q$5)+'2019 Legal Max'!BA151+'2019 Legal Max'!BB151</f>
        <v>3112921</v>
      </c>
      <c r="BG151" s="99">
        <f>SUM((AV151+AR151)*'Weighting Factors'!$Q$5)+BA151+'2019 Legal Max'!BB151</f>
        <v>3628965</v>
      </c>
      <c r="BH151" s="108">
        <f>IF('Weighting Factors'!H151&gt;0,'Weighting Factors'!H151,'Preliminary SO66'!AV150)</f>
        <v>3910102</v>
      </c>
      <c r="BI151" s="99">
        <f t="shared" si="114"/>
        <v>3628965</v>
      </c>
      <c r="BJ151" s="112"/>
      <c r="BK151" s="112">
        <f>'Weighting Factors'!F151</f>
        <v>0</v>
      </c>
      <c r="BL151" s="112">
        <f>'Weighting Factors'!E151</f>
        <v>0</v>
      </c>
      <c r="BM151" s="99">
        <f t="shared" si="91"/>
        <v>0</v>
      </c>
      <c r="BN151" s="99">
        <f t="shared" si="92"/>
        <v>3628965</v>
      </c>
      <c r="BO151" s="99">
        <f>SUM((S151+T151+Y151+AA151+AE151+AH151+AJ151++AO151+AP151+AQ151+AR151)*'Weighting Factors'!Q$12)+(MAX(AS151,'Weighting Factors'!B151))</f>
        <v>3872054</v>
      </c>
      <c r="BP151" s="122">
        <v>0.33</v>
      </c>
      <c r="BQ151" s="99">
        <f t="shared" si="93"/>
        <v>1277778</v>
      </c>
      <c r="BR151" s="108">
        <v>1375184</v>
      </c>
      <c r="BS151" s="99">
        <f t="shared" si="94"/>
        <v>1277778</v>
      </c>
      <c r="BT151" s="167">
        <f t="shared" si="95"/>
        <v>0.33</v>
      </c>
      <c r="BU151" s="95">
        <f t="shared" si="96"/>
        <v>0</v>
      </c>
      <c r="BV151" s="87" t="b">
        <f t="shared" si="97"/>
        <v>0</v>
      </c>
      <c r="BW151" s="117">
        <f t="shared" si="98"/>
        <v>0</v>
      </c>
      <c r="BX151" s="116">
        <f t="shared" si="99"/>
        <v>0</v>
      </c>
      <c r="BY151" s="95">
        <f t="shared" si="100"/>
        <v>0</v>
      </c>
      <c r="BZ151" s="87" t="b">
        <f t="shared" si="101"/>
        <v>1</v>
      </c>
      <c r="CA151" s="87">
        <f t="shared" si="102"/>
        <v>185.99629999999999</v>
      </c>
      <c r="CB151" s="116">
        <f t="shared" si="103"/>
        <v>0.43312200000000001</v>
      </c>
      <c r="CC151" s="95">
        <f t="shared" si="104"/>
        <v>195</v>
      </c>
      <c r="CD151" s="95">
        <f t="shared" si="105"/>
        <v>0</v>
      </c>
      <c r="CE151" s="98">
        <v>154</v>
      </c>
      <c r="CF151" s="250">
        <f t="shared" si="106"/>
        <v>0.45800000000000002</v>
      </c>
      <c r="CG151" s="274">
        <f>IF(CF151&lt;0.06,1,IF(CF151&gt;=18.29,52,MATCH(CF151-0.001,'Weighting Factors'!$Y$5:$Y$156)+1))</f>
        <v>24</v>
      </c>
      <c r="CH151" s="243">
        <f>VLOOKUP(CG151, 'Weighting Factors'!$W$5:$Z$56,4)</f>
        <v>1110</v>
      </c>
      <c r="CI151" s="118">
        <f>('Weighting Factors'!$Q$5/'Weighting Factors'!$Q$14)</f>
        <v>1</v>
      </c>
      <c r="CJ151" s="245">
        <f t="shared" si="107"/>
        <v>78366</v>
      </c>
      <c r="CK151" s="245">
        <f>CJ151*'Weighting Factors'!$S$7</f>
        <v>78366</v>
      </c>
      <c r="CL151" s="245">
        <f t="shared" si="108"/>
        <v>78366</v>
      </c>
      <c r="CM151" s="95">
        <f>AM151/'Weighting Factors'!$Q$5</f>
        <v>18.8</v>
      </c>
      <c r="CN151" s="148">
        <v>0</v>
      </c>
      <c r="CO151" s="148">
        <v>0</v>
      </c>
      <c r="CP151" s="149">
        <v>0</v>
      </c>
      <c r="CQ151" s="151">
        <v>0</v>
      </c>
      <c r="CR151" s="99">
        <f>SUM((AV151*'Weighting Factors'!$Q$5)+'2019 Legal Max'!BA151)*CQ151</f>
        <v>0</v>
      </c>
      <c r="CS151" s="99">
        <f t="shared" si="109"/>
        <v>0</v>
      </c>
      <c r="CT151" s="106">
        <f t="shared" si="110"/>
        <v>0.28349999999999997</v>
      </c>
      <c r="CU151" s="95">
        <f t="shared" si="111"/>
        <v>0</v>
      </c>
      <c r="CV151" s="95">
        <f t="shared" si="112"/>
        <v>0</v>
      </c>
      <c r="CW151" s="95">
        <f t="shared" si="113"/>
        <v>871.3</v>
      </c>
      <c r="CX151" s="99">
        <f>'LOB Transfers'!G150</f>
        <v>102222</v>
      </c>
      <c r="CY151" s="99">
        <f>'LOB Transfers'!J150</f>
        <v>0</v>
      </c>
      <c r="CZ151" s="87" t="s">
        <v>343</v>
      </c>
    </row>
    <row r="152" spans="1:104" ht="15" customHeight="1">
      <c r="A152" s="88">
        <v>356</v>
      </c>
      <c r="B152" s="87" t="s">
        <v>66</v>
      </c>
      <c r="C152" s="87" t="s">
        <v>665</v>
      </c>
      <c r="D152" s="95">
        <v>470.3</v>
      </c>
      <c r="E152" s="95">
        <v>0</v>
      </c>
      <c r="F152" s="95">
        <f t="shared" si="80"/>
        <v>470.3</v>
      </c>
      <c r="G152" s="95">
        <v>465.2</v>
      </c>
      <c r="H152" s="95">
        <v>0</v>
      </c>
      <c r="I152" s="95">
        <f t="shared" si="81"/>
        <v>465.2</v>
      </c>
      <c r="J152" s="95">
        <v>444.7</v>
      </c>
      <c r="K152" s="95">
        <v>0</v>
      </c>
      <c r="L152" s="95">
        <f t="shared" si="82"/>
        <v>444.7</v>
      </c>
      <c r="M152" s="95">
        <f>IF(ISNA(VLOOKUP($CZ152,'Audit Values'!$A$2:$BW$365,2,FALSE)),'Preliminary SO66'!C151,VLOOKUP($CZ152,'Audit Values'!$A$2:$BW$365,73,FALSE))</f>
        <v>430</v>
      </c>
      <c r="N152" s="95">
        <f>IF(ISNA(VLOOKUP($CZ152,'Audit Values'!$A$2:$BW$365,2,FALSE)),'Preliminary SO66'!F151,VLOOKUP($CZ152,'Audit Values'!$A$2:$BW$365,4,FALSE))</f>
        <v>0</v>
      </c>
      <c r="O152" s="95">
        <f t="shared" si="83"/>
        <v>430</v>
      </c>
      <c r="P152" s="95">
        <f>IF('Military Provision'!J153="YES", MAX('2019 Legal Max'!L152,'2019 Legal Max'!I152,AVERAGE('2019 Legal Max'!F152,'2019 Legal Max'!I152,'2019 Legal Max'!L152)), MAX(L152, I152))</f>
        <v>465.2</v>
      </c>
      <c r="Q152" s="95">
        <f>IF(ISNA(VLOOKUP($CZ152,'Audit Values'!$A$2:$BU$353,2,FALSE)),'Preliminary SO66'!AL151,VLOOKUP($CZ152,'Audit Values'!$A$2:$BU$3955,58,FALSE))</f>
        <v>0</v>
      </c>
      <c r="R152" s="95">
        <v>0</v>
      </c>
      <c r="S152" s="95">
        <f t="shared" si="115"/>
        <v>465.2</v>
      </c>
      <c r="T152" s="95">
        <f t="shared" si="84"/>
        <v>199.1</v>
      </c>
      <c r="U152" s="95">
        <f>IF(ISNA(VLOOKUP($CZ152,'Audit Values'!$A$2:$BW$317,2,FALSE)),'Preliminary SO66'!AM151,VLOOKUP($CZ152,'Audit Values'!$A$2:$BW$317,62,FALSE))</f>
        <v>0</v>
      </c>
      <c r="V152" s="95">
        <f>(U152/6)*'Weighting Factors'!$Q$7</f>
        <v>0</v>
      </c>
      <c r="W152" s="132">
        <f>IF(ISNA(VLOOKUP($CZ152,'Audit Values'!$A$2:$BW$353,2,FALSE)),'Preliminary SO66'!AN151,VLOOKUP($CZ152,'Audit Values'!$A$2:$BW$353,61,FALSE))</f>
        <v>0</v>
      </c>
      <c r="X152" s="95">
        <f>W152*'Weighting Factors'!$Q$8</f>
        <v>0</v>
      </c>
      <c r="Y152" s="95">
        <f t="shared" si="85"/>
        <v>0</v>
      </c>
      <c r="Z152" s="276">
        <f>IF(ISNA(VLOOKUP($CZ152,'Audit Values'!$A$2:$BW$317,2,FALSE)),'Preliminary SO66'!AO151,VLOOKUP($CZ152,'Audit Values'!$A$2:$BW$317,60,FALSE))</f>
        <v>116.2</v>
      </c>
      <c r="AA152" s="95">
        <f>Z152/6*'Weighting Factors'!$Q$6</f>
        <v>9.6999999999999993</v>
      </c>
      <c r="AB152" s="99">
        <f>IF(ISNA(VLOOKUP($CZ152,'Audit Values'!$A$2:$BU$353,2,FALSE)),'Preliminary SO66'!AS151,VLOOKUP($CZ152,'Audit Values'!$A$2:$BU$353,63,FALSE))</f>
        <v>514</v>
      </c>
      <c r="AC152" s="99">
        <v>0</v>
      </c>
      <c r="AD152" s="99">
        <f>IF(ISNA(VLOOKUP($CZ152,'Audit Values'!$A$2:$BU$353,2,FALSE)),'Preliminary SO66'!AP151,VLOOKUP($CZ152,'Audit Values'!$A$2:$BU$353,64,FALSE))</f>
        <v>88</v>
      </c>
      <c r="AE152" s="95">
        <f>IF(A152=207, AD152,MAX(AC152,AD152))*'Weighting Factors'!$Q$9</f>
        <v>42.6</v>
      </c>
      <c r="AF152" s="95">
        <f t="shared" si="86"/>
        <v>0</v>
      </c>
      <c r="AG152" s="95">
        <f>IF(ISNA(VLOOKUP($CZ152,'Audit Values'!$A$2:$BW$353,2,FALSE)),'Preliminary SO66'!AG151,VLOOKUP($CZ152,'Audit Values'!$A$2:$BW$353,70,FALSE))</f>
        <v>0</v>
      </c>
      <c r="AH152" s="95">
        <f t="shared" si="87"/>
        <v>0</v>
      </c>
      <c r="AI152" s="95">
        <f>IF(ISNA(VLOOKUP($CZ152,'Audit Values'!$A$2:$BU$353,2,FALSE)),'Preliminary SO66'!AQ151,VLOOKUP($CZ152,'Audit Values'!$A$2:$BU$353,65,FALSE))</f>
        <v>0</v>
      </c>
      <c r="AJ152" s="95">
        <f>AI152*'Weighting Factors'!$Q$10</f>
        <v>0</v>
      </c>
      <c r="AK152" s="95">
        <f>IF(ISNA(VLOOKUP($CZ152,'Audit Values'!$A$2:$BU$353,2,FALSE)),'Preliminary SO66'!AR151,VLOOKUP($CZ152,'Audit Values'!$A$2:$BU$353,66,FALSE))</f>
        <v>134.6</v>
      </c>
      <c r="AL152" s="95"/>
      <c r="AM152" s="99">
        <f t="shared" si="88"/>
        <v>133254</v>
      </c>
      <c r="AN152" s="99">
        <v>174881</v>
      </c>
      <c r="AO152" s="95">
        <f>MAX(AN152, AM152)/'Weighting Factors'!$Q$5</f>
        <v>42</v>
      </c>
      <c r="AP152" s="95">
        <f>CN152/'Weighting Factors'!$Q$5</f>
        <v>0</v>
      </c>
      <c r="AQ152" s="95">
        <v>0</v>
      </c>
      <c r="AR152" s="95">
        <f>CS152/'Weighting Factors'!$Q$5</f>
        <v>0</v>
      </c>
      <c r="AS152" s="99">
        <v>509890</v>
      </c>
      <c r="AT152" s="95">
        <f>AS152/'Weighting Factors'!$Q$5</f>
        <v>122.4</v>
      </c>
      <c r="AU152" s="95">
        <f>IF(ISNA(VLOOKUP($CZ152,'Audit Values'!$A$2:$BU$353,2,FALSE)),'Preliminary SO66'!X151,VLOOKUP($CZ152,'Audit Values'!$A$2:$BU$353,47,FALSE))</f>
        <v>0</v>
      </c>
      <c r="AV152" s="95">
        <f t="shared" si="89"/>
        <v>881</v>
      </c>
      <c r="AW152" s="95">
        <f t="shared" si="90"/>
        <v>758.6</v>
      </c>
      <c r="AX152" s="95">
        <f>IF(ISNA(VLOOKUP($CZ152,'Audit Values'!$A$2:$BU$353,2,FALSE)),'Preliminary SO66'!AA151,VLOOKUP($CZ152,'Audit Values'!$A$2:$BU$353,41,FALSE))</f>
        <v>1</v>
      </c>
      <c r="AY152" s="95">
        <f>IF(ISNA(VLOOKUP($CZ152,'Audit Values'!$A$2:$BU$353,2,FALSE)),'Preliminary SO66'!AB151,VLOOKUP($CZ152,'Audit Values'!$A$2:$BU$353,42,FALSE))</f>
        <v>0</v>
      </c>
      <c r="AZ152" s="114">
        <v>0</v>
      </c>
      <c r="BA152" s="99">
        <f>SUM(AX152*'Weighting Factors'!$T$10)+('2019 Legal Max'!AY152*'Weighting Factors'!$T$11)+('2019 Legal Max'!AZ152*'Weighting Factors'!$T$12)</f>
        <v>5000</v>
      </c>
      <c r="BB152" s="158">
        <v>0</v>
      </c>
      <c r="BC152" s="88">
        <f>IF(ISNA(VLOOKUP($CZ152,'Audit Values'!$A$2:$BU$353,2,FALSE)),"",IF(AND('Weighting Factors'!H152&gt;0,VLOOKUP($CZ152,'Audit Values'!$A$2:$BU$353,51,FALSE)&lt;'Weighting Factors'!H152),'Weighting Factors'!H152,VLOOKUP($CZ152,'Audit Values'!$A$2:$BU$353,50,FALSE)))</f>
        <v>3</v>
      </c>
      <c r="BD152" s="88" t="str">
        <f>IF(ISNA(VLOOKUP($CZ152,'Audit Values'!$A$2:$BV$353,2,FALSE)),"",VLOOKUP($CZ152,'Audit Values'!$A$2:$BV$353,51,FALSE))</f>
        <v>A</v>
      </c>
      <c r="BE152" s="88" t="str">
        <f>IF('Weighting Factors'!H152="","",IF('Weighting Factors'!J152="Pending","PX","R"))</f>
        <v/>
      </c>
      <c r="BF152" s="97">
        <f>SUM((S152+T152+Y152+AA152+AE152+AH152+AJ152++AO152+AP152+AQ152+AU152+AR152)*'Weighting Factors'!$Q$5)+'2019 Legal Max'!BA152+'2019 Legal Max'!BB152</f>
        <v>3164569</v>
      </c>
      <c r="BG152" s="99">
        <f>SUM((AV152+AR152)*'Weighting Factors'!$Q$5)+BA152+'2019 Legal Max'!BB152</f>
        <v>3674365</v>
      </c>
      <c r="BH152" s="108">
        <f>IF('Weighting Factors'!H152&gt;0,'Weighting Factors'!H152,'Preliminary SO66'!AV151)</f>
        <v>3774323</v>
      </c>
      <c r="BI152" s="99">
        <f t="shared" si="114"/>
        <v>3674365</v>
      </c>
      <c r="BJ152" s="112"/>
      <c r="BK152" s="112">
        <f>'Weighting Factors'!F152</f>
        <v>-94550</v>
      </c>
      <c r="BL152" s="112">
        <f>'Weighting Factors'!E152</f>
        <v>0</v>
      </c>
      <c r="BM152" s="99">
        <f t="shared" si="91"/>
        <v>-94550</v>
      </c>
      <c r="BN152" s="99">
        <f t="shared" si="92"/>
        <v>3579815</v>
      </c>
      <c r="BO152" s="99">
        <f>SUM((S152+T152+Y152+AA152+AE152+AH152+AJ152++AO152+AP152+AQ152+AR152)*'Weighting Factors'!Q$12)+(MAX(AS152,'Weighting Factors'!B152))</f>
        <v>3917396</v>
      </c>
      <c r="BP152" s="122">
        <v>0.3</v>
      </c>
      <c r="BQ152" s="99">
        <f t="shared" si="93"/>
        <v>1175219</v>
      </c>
      <c r="BR152" s="108">
        <v>1207072</v>
      </c>
      <c r="BS152" s="99">
        <f t="shared" si="94"/>
        <v>1175219</v>
      </c>
      <c r="BT152" s="167">
        <f t="shared" si="95"/>
        <v>0.3</v>
      </c>
      <c r="BU152" s="95">
        <f t="shared" si="96"/>
        <v>0</v>
      </c>
      <c r="BV152" s="87" t="b">
        <f t="shared" si="97"/>
        <v>0</v>
      </c>
      <c r="BW152" s="117">
        <f t="shared" si="98"/>
        <v>0</v>
      </c>
      <c r="BX152" s="116">
        <f t="shared" si="99"/>
        <v>0</v>
      </c>
      <c r="BY152" s="95">
        <f t="shared" si="100"/>
        <v>0</v>
      </c>
      <c r="BZ152" s="87" t="b">
        <f t="shared" si="101"/>
        <v>1</v>
      </c>
      <c r="CA152" s="87">
        <f t="shared" si="102"/>
        <v>204.435</v>
      </c>
      <c r="CB152" s="116">
        <f t="shared" si="103"/>
        <v>0.42806</v>
      </c>
      <c r="CC152" s="95">
        <f t="shared" si="104"/>
        <v>199.1</v>
      </c>
      <c r="CD152" s="95">
        <f t="shared" si="105"/>
        <v>0</v>
      </c>
      <c r="CE152" s="98">
        <v>158.19999999999999</v>
      </c>
      <c r="CF152" s="250">
        <f t="shared" si="106"/>
        <v>0.85099999999999998</v>
      </c>
      <c r="CG152" s="274">
        <f>IF(CF152&lt;0.06,1,IF(CF152&gt;=18.29,52,MATCH(CF152-0.001,'Weighting Factors'!$Y$5:$Y$156)+1))</f>
        <v>30</v>
      </c>
      <c r="CH152" s="243">
        <f>VLOOKUP(CG152, 'Weighting Factors'!$W$5:$Z$56,4)</f>
        <v>990</v>
      </c>
      <c r="CI152" s="118">
        <f>('Weighting Factors'!$Q$5/'Weighting Factors'!$Q$14)</f>
        <v>1</v>
      </c>
      <c r="CJ152" s="245">
        <f t="shared" si="107"/>
        <v>133254</v>
      </c>
      <c r="CK152" s="245">
        <f>CJ152*'Weighting Factors'!$S$7</f>
        <v>133254</v>
      </c>
      <c r="CL152" s="245">
        <f t="shared" si="108"/>
        <v>133254</v>
      </c>
      <c r="CM152" s="95">
        <f>AM152/'Weighting Factors'!$Q$5</f>
        <v>32</v>
      </c>
      <c r="CN152" s="148">
        <v>0</v>
      </c>
      <c r="CO152" s="148">
        <v>0</v>
      </c>
      <c r="CP152" s="149">
        <v>0</v>
      </c>
      <c r="CQ152" s="151">
        <v>0</v>
      </c>
      <c r="CR152" s="99">
        <f>SUM((AV152*'Weighting Factors'!$Q$5)+'2019 Legal Max'!BA152)*CQ152</f>
        <v>0</v>
      </c>
      <c r="CS152" s="99">
        <f t="shared" si="109"/>
        <v>0</v>
      </c>
      <c r="CT152" s="106">
        <f t="shared" si="110"/>
        <v>0.17119999999999999</v>
      </c>
      <c r="CU152" s="95">
        <f t="shared" si="111"/>
        <v>0</v>
      </c>
      <c r="CV152" s="95">
        <f t="shared" si="112"/>
        <v>0</v>
      </c>
      <c r="CW152" s="95">
        <f t="shared" si="113"/>
        <v>881</v>
      </c>
      <c r="CX152" s="99">
        <f>'LOB Transfers'!G151</f>
        <v>56881</v>
      </c>
      <c r="CY152" s="99">
        <f>'LOB Transfers'!J151</f>
        <v>0</v>
      </c>
      <c r="CZ152" s="87" t="s">
        <v>344</v>
      </c>
    </row>
    <row r="153" spans="1:104" ht="15" customHeight="1">
      <c r="A153" s="88">
        <v>357</v>
      </c>
      <c r="B153" s="87" t="s">
        <v>66</v>
      </c>
      <c r="C153" s="87" t="s">
        <v>666</v>
      </c>
      <c r="D153" s="95">
        <v>574.5</v>
      </c>
      <c r="E153" s="95">
        <v>0</v>
      </c>
      <c r="F153" s="95">
        <f t="shared" si="80"/>
        <v>574.5</v>
      </c>
      <c r="G153" s="95">
        <v>586.5</v>
      </c>
      <c r="H153" s="95">
        <v>0</v>
      </c>
      <c r="I153" s="95">
        <f t="shared" si="81"/>
        <v>586.5</v>
      </c>
      <c r="J153" s="95">
        <v>613.9</v>
      </c>
      <c r="K153" s="95">
        <v>0</v>
      </c>
      <c r="L153" s="95">
        <f t="shared" si="82"/>
        <v>613.9</v>
      </c>
      <c r="M153" s="95">
        <f>IF(ISNA(VLOOKUP($CZ153,'Audit Values'!$A$2:$BW$365,2,FALSE)),'Preliminary SO66'!C152,VLOOKUP($CZ153,'Audit Values'!$A$2:$BW$365,73,FALSE))</f>
        <v>602.29999999999995</v>
      </c>
      <c r="N153" s="95">
        <f>IF(ISNA(VLOOKUP($CZ153,'Audit Values'!$A$2:$BW$365,2,FALSE)),'Preliminary SO66'!F152,VLOOKUP($CZ153,'Audit Values'!$A$2:$BW$365,4,FALSE))</f>
        <v>0</v>
      </c>
      <c r="O153" s="95">
        <f t="shared" si="83"/>
        <v>602.29999999999995</v>
      </c>
      <c r="P153" s="95">
        <f>IF('Military Provision'!J154="YES", MAX('2019 Legal Max'!L153,'2019 Legal Max'!I153,AVERAGE('2019 Legal Max'!F153,'2019 Legal Max'!I153,'2019 Legal Max'!L153)), MAX(L153, I153))</f>
        <v>613.9</v>
      </c>
      <c r="Q153" s="95">
        <f>IF(ISNA(VLOOKUP($CZ153,'Audit Values'!$A$2:$BU$353,2,FALSE)),'Preliminary SO66'!AL152,VLOOKUP($CZ153,'Audit Values'!$A$2:$BU$3955,58,FALSE))</f>
        <v>8.5</v>
      </c>
      <c r="R153" s="95">
        <v>0</v>
      </c>
      <c r="S153" s="95">
        <f t="shared" si="115"/>
        <v>622.4</v>
      </c>
      <c r="T153" s="95">
        <f t="shared" si="84"/>
        <v>233.2</v>
      </c>
      <c r="U153" s="95">
        <f>IF(ISNA(VLOOKUP($CZ153,'Audit Values'!$A$2:$BW$317,2,FALSE)),'Preliminary SO66'!AM152,VLOOKUP($CZ153,'Audit Values'!$A$2:$BW$317,62,FALSE))</f>
        <v>0</v>
      </c>
      <c r="V153" s="95">
        <f>(U153/6)*'Weighting Factors'!$Q$7</f>
        <v>0</v>
      </c>
      <c r="W153" s="132">
        <f>IF(ISNA(VLOOKUP($CZ153,'Audit Values'!$A$2:$BW$353,2,FALSE)),'Preliminary SO66'!AN152,VLOOKUP($CZ153,'Audit Values'!$A$2:$BW$353,61,FALSE))</f>
        <v>0</v>
      </c>
      <c r="X153" s="95">
        <f>W153*'Weighting Factors'!$Q$8</f>
        <v>0</v>
      </c>
      <c r="Y153" s="95">
        <f t="shared" si="85"/>
        <v>0</v>
      </c>
      <c r="Z153" s="276">
        <f>IF(ISNA(VLOOKUP($CZ153,'Audit Values'!$A$2:$BW$317,2,FALSE)),'Preliminary SO66'!AO152,VLOOKUP($CZ153,'Audit Values'!$A$2:$BW$317,60,FALSE))</f>
        <v>124.5</v>
      </c>
      <c r="AA153" s="95">
        <f>Z153/6*'Weighting Factors'!$Q$6</f>
        <v>10.4</v>
      </c>
      <c r="AB153" s="99">
        <f>IF(ISNA(VLOOKUP($CZ153,'Audit Values'!$A$2:$BU$353,2,FALSE)),'Preliminary SO66'!AS152,VLOOKUP($CZ153,'Audit Values'!$A$2:$BU$353,63,FALSE))</f>
        <v>631</v>
      </c>
      <c r="AC153" s="99">
        <v>0</v>
      </c>
      <c r="AD153" s="99">
        <f>IF(ISNA(VLOOKUP($CZ153,'Audit Values'!$A$2:$BU$353,2,FALSE)),'Preliminary SO66'!AP152,VLOOKUP($CZ153,'Audit Values'!$A$2:$BU$353,64,FALSE))</f>
        <v>202</v>
      </c>
      <c r="AE153" s="95">
        <f>IF(A153=207, AD153,MAX(AC153,AD153))*'Weighting Factors'!$Q$9</f>
        <v>97.8</v>
      </c>
      <c r="AF153" s="95">
        <f t="shared" si="86"/>
        <v>0</v>
      </c>
      <c r="AG153" s="95">
        <f>IF(ISNA(VLOOKUP($CZ153,'Audit Values'!$A$2:$BW$353,2,FALSE)),'Preliminary SO66'!AG152,VLOOKUP($CZ153,'Audit Values'!$A$2:$BW$353,70,FALSE))</f>
        <v>3.6</v>
      </c>
      <c r="AH153" s="95">
        <f t="shared" si="87"/>
        <v>3.6</v>
      </c>
      <c r="AI153" s="95">
        <f>IF(ISNA(VLOOKUP($CZ153,'Audit Values'!$A$2:$BU$353,2,FALSE)),'Preliminary SO66'!AQ152,VLOOKUP($CZ153,'Audit Values'!$A$2:$BU$353,65,FALSE))</f>
        <v>138.19999999999999</v>
      </c>
      <c r="AJ153" s="95">
        <f>AI153*'Weighting Factors'!$Q$10</f>
        <v>34.6</v>
      </c>
      <c r="AK153" s="95">
        <f>IF(ISNA(VLOOKUP($CZ153,'Audit Values'!$A$2:$BU$353,2,FALSE)),'Preliminary SO66'!AR152,VLOOKUP($CZ153,'Audit Values'!$A$2:$BU$353,66,FALSE))</f>
        <v>155.5</v>
      </c>
      <c r="AL153" s="95"/>
      <c r="AM153" s="99">
        <f t="shared" si="88"/>
        <v>132175</v>
      </c>
      <c r="AN153" s="99">
        <v>160243</v>
      </c>
      <c r="AO153" s="95">
        <f>MAX(AN153, AM153)/'Weighting Factors'!$Q$5</f>
        <v>38.5</v>
      </c>
      <c r="AP153" s="95">
        <f>CN153/'Weighting Factors'!$Q$5</f>
        <v>0</v>
      </c>
      <c r="AQ153" s="95">
        <v>0</v>
      </c>
      <c r="AR153" s="95">
        <f>CS153/'Weighting Factors'!$Q$5</f>
        <v>0</v>
      </c>
      <c r="AS153" s="99">
        <v>797456</v>
      </c>
      <c r="AT153" s="95">
        <f>AS153/'Weighting Factors'!$Q$5</f>
        <v>191.5</v>
      </c>
      <c r="AU153" s="95">
        <f>IF(ISNA(VLOOKUP($CZ153,'Audit Values'!$A$2:$BU$353,2,FALSE)),'Preliminary SO66'!X152,VLOOKUP($CZ153,'Audit Values'!$A$2:$BU$353,47,FALSE))</f>
        <v>0</v>
      </c>
      <c r="AV153" s="95">
        <f t="shared" si="89"/>
        <v>1232</v>
      </c>
      <c r="AW153" s="95">
        <f t="shared" si="90"/>
        <v>1040.5</v>
      </c>
      <c r="AX153" s="95">
        <f>IF(ISNA(VLOOKUP($CZ153,'Audit Values'!$A$2:$BU$353,2,FALSE)),'Preliminary SO66'!AA152,VLOOKUP($CZ153,'Audit Values'!$A$2:$BU$353,41,FALSE))</f>
        <v>3</v>
      </c>
      <c r="AY153" s="95">
        <f>IF(ISNA(VLOOKUP($CZ153,'Audit Values'!$A$2:$BU$353,2,FALSE)),'Preliminary SO66'!AB152,VLOOKUP($CZ153,'Audit Values'!$A$2:$BU$353,42,FALSE))</f>
        <v>0.9</v>
      </c>
      <c r="AZ153" s="114">
        <v>11.5</v>
      </c>
      <c r="BA153" s="99">
        <f>SUM(AX153*'Weighting Factors'!$T$10)+('2019 Legal Max'!AY153*'Weighting Factors'!$T$11)+('2019 Legal Max'!AZ153*'Weighting Factors'!$T$12)</f>
        <v>24684</v>
      </c>
      <c r="BB153" s="158">
        <v>0</v>
      </c>
      <c r="BC153" s="88">
        <f>IF(ISNA(VLOOKUP($CZ153,'Audit Values'!$A$2:$BU$353,2,FALSE)),"",IF(AND('Weighting Factors'!H153&gt;0,VLOOKUP($CZ153,'Audit Values'!$A$2:$BU$353,51,FALSE)&lt;'Weighting Factors'!H153),'Weighting Factors'!H153,VLOOKUP($CZ153,'Audit Values'!$A$2:$BU$353,50,FALSE)))</f>
        <v>1</v>
      </c>
      <c r="BD153" s="88" t="str">
        <f>IF(ISNA(VLOOKUP($CZ153,'Audit Values'!$A$2:$BV$353,2,FALSE)),"",VLOOKUP($CZ153,'Audit Values'!$A$2:$BV$353,51,FALSE))</f>
        <v>A</v>
      </c>
      <c r="BE153" s="88" t="str">
        <f>IF('Weighting Factors'!H153="","",IF('Weighting Factors'!J153="Pending","PX","R"))</f>
        <v/>
      </c>
      <c r="BF153" s="97">
        <f>SUM((S153+T153+Y153+AA153+AE153+AH153+AJ153++AO153+AP153+AQ153+AU153+AR153)*'Weighting Factors'!$Q$5)+'2019 Legal Max'!BA153+'2019 Legal Max'!BB153</f>
        <v>4358367</v>
      </c>
      <c r="BG153" s="99">
        <f>SUM((AV153+AR153)*'Weighting Factors'!$Q$5)+BA153+'2019 Legal Max'!BB153</f>
        <v>5155964</v>
      </c>
      <c r="BH153" s="108">
        <f>IF('Weighting Factors'!H153&gt;0,'Weighting Factors'!H153,'Preliminary SO66'!AV152)</f>
        <v>5422676</v>
      </c>
      <c r="BI153" s="99">
        <f t="shared" si="114"/>
        <v>5155964</v>
      </c>
      <c r="BJ153" s="112"/>
      <c r="BK153" s="112">
        <f>'Weighting Factors'!F153</f>
        <v>0</v>
      </c>
      <c r="BL153" s="112">
        <f>'Weighting Factors'!E153</f>
        <v>0</v>
      </c>
      <c r="BM153" s="99">
        <f t="shared" si="91"/>
        <v>0</v>
      </c>
      <c r="BN153" s="99">
        <f t="shared" si="92"/>
        <v>5155964</v>
      </c>
      <c r="BO153" s="99">
        <f>SUM((S153+T153+Y153+AA153+AE153+AH153+AJ153++AO153+AP153+AQ153+AR153)*'Weighting Factors'!Q$12)+(MAX(AS153,'Weighting Factors'!B153))</f>
        <v>5617498</v>
      </c>
      <c r="BP153" s="122">
        <v>0.33</v>
      </c>
      <c r="BQ153" s="99">
        <f t="shared" si="93"/>
        <v>1853774</v>
      </c>
      <c r="BR153" s="108">
        <v>1887113</v>
      </c>
      <c r="BS153" s="99">
        <f t="shared" si="94"/>
        <v>1853774</v>
      </c>
      <c r="BT153" s="167">
        <f t="shared" si="95"/>
        <v>0.33</v>
      </c>
      <c r="BU153" s="95">
        <f t="shared" si="96"/>
        <v>0</v>
      </c>
      <c r="BV153" s="87" t="b">
        <f t="shared" si="97"/>
        <v>0</v>
      </c>
      <c r="BW153" s="117">
        <f t="shared" si="98"/>
        <v>0</v>
      </c>
      <c r="BX153" s="116">
        <f t="shared" si="99"/>
        <v>0</v>
      </c>
      <c r="BY153" s="95">
        <f t="shared" si="100"/>
        <v>0</v>
      </c>
      <c r="BZ153" s="87" t="b">
        <f t="shared" si="101"/>
        <v>1</v>
      </c>
      <c r="CA153" s="87">
        <f t="shared" si="102"/>
        <v>398.97</v>
      </c>
      <c r="CB153" s="116">
        <f t="shared" si="103"/>
        <v>0.37465100000000001</v>
      </c>
      <c r="CC153" s="95">
        <f t="shared" si="104"/>
        <v>233.2</v>
      </c>
      <c r="CD153" s="95">
        <f t="shared" si="105"/>
        <v>0</v>
      </c>
      <c r="CE153" s="98">
        <v>84</v>
      </c>
      <c r="CF153" s="250">
        <f t="shared" si="106"/>
        <v>1.851</v>
      </c>
      <c r="CG153" s="274">
        <f>IF(CF153&lt;0.06,1,IF(CF153&gt;=18.29,52,MATCH(CF153-0.001,'Weighting Factors'!$Y$5:$Y$156)+1))</f>
        <v>37</v>
      </c>
      <c r="CH153" s="243">
        <f>VLOOKUP(CG153, 'Weighting Factors'!$W$5:$Z$56,4)</f>
        <v>850</v>
      </c>
      <c r="CI153" s="118">
        <f>('Weighting Factors'!$Q$5/'Weighting Factors'!$Q$14)</f>
        <v>1</v>
      </c>
      <c r="CJ153" s="245">
        <f t="shared" si="107"/>
        <v>132175</v>
      </c>
      <c r="CK153" s="245">
        <f>CJ153*'Weighting Factors'!$S$7</f>
        <v>132175</v>
      </c>
      <c r="CL153" s="245">
        <f t="shared" si="108"/>
        <v>132175</v>
      </c>
      <c r="CM153" s="95">
        <f>AM153/'Weighting Factors'!$Q$5</f>
        <v>31.7</v>
      </c>
      <c r="CN153" s="148">
        <v>0</v>
      </c>
      <c r="CO153" s="148">
        <v>0</v>
      </c>
      <c r="CP153" s="149">
        <v>0</v>
      </c>
      <c r="CQ153" s="151">
        <v>0</v>
      </c>
      <c r="CR153" s="99">
        <f>SUM((AV153*'Weighting Factors'!$Q$5)+'2019 Legal Max'!BA153)*CQ153</f>
        <v>0</v>
      </c>
      <c r="CS153" s="99">
        <f t="shared" si="109"/>
        <v>0</v>
      </c>
      <c r="CT153" s="106">
        <f t="shared" si="110"/>
        <v>0.3201</v>
      </c>
      <c r="CU153" s="95">
        <f t="shared" si="111"/>
        <v>0</v>
      </c>
      <c r="CV153" s="95">
        <f t="shared" si="112"/>
        <v>0</v>
      </c>
      <c r="CW153" s="95">
        <f t="shared" si="113"/>
        <v>1232</v>
      </c>
      <c r="CX153" s="99">
        <f>'LOB Transfers'!G152</f>
        <v>148117</v>
      </c>
      <c r="CY153" s="99">
        <f>'LOB Transfers'!J152</f>
        <v>0</v>
      </c>
      <c r="CZ153" s="87" t="s">
        <v>345</v>
      </c>
    </row>
    <row r="154" spans="1:104" ht="15" customHeight="1">
      <c r="A154" s="88">
        <v>358</v>
      </c>
      <c r="B154" s="87" t="s">
        <v>66</v>
      </c>
      <c r="C154" s="87" t="s">
        <v>667</v>
      </c>
      <c r="D154" s="95">
        <v>287</v>
      </c>
      <c r="E154" s="95">
        <v>0</v>
      </c>
      <c r="F154" s="95">
        <f t="shared" si="80"/>
        <v>287</v>
      </c>
      <c r="G154" s="95">
        <v>296.5</v>
      </c>
      <c r="H154" s="95">
        <v>0</v>
      </c>
      <c r="I154" s="95">
        <f t="shared" si="81"/>
        <v>296.5</v>
      </c>
      <c r="J154" s="95">
        <v>368.9</v>
      </c>
      <c r="K154" s="95">
        <v>0</v>
      </c>
      <c r="L154" s="95">
        <f t="shared" si="82"/>
        <v>368.9</v>
      </c>
      <c r="M154" s="95">
        <f>IF(ISNA(VLOOKUP($CZ154,'Audit Values'!$A$2:$BW$365,2,FALSE)),'Preliminary SO66'!C153,VLOOKUP($CZ154,'Audit Values'!$A$2:$BW$365,73,FALSE))</f>
        <v>375.9</v>
      </c>
      <c r="N154" s="95">
        <f>IF(ISNA(VLOOKUP($CZ154,'Audit Values'!$A$2:$BW$365,2,FALSE)),'Preliminary SO66'!F153,VLOOKUP($CZ154,'Audit Values'!$A$2:$BW$365,4,FALSE))</f>
        <v>0</v>
      </c>
      <c r="O154" s="95">
        <f t="shared" si="83"/>
        <v>375.9</v>
      </c>
      <c r="P154" s="95">
        <f>IF('Military Provision'!J155="YES", MAX('2019 Legal Max'!L154,'2019 Legal Max'!I154,AVERAGE('2019 Legal Max'!F154,'2019 Legal Max'!I154,'2019 Legal Max'!L154)), MAX(L154, I154))</f>
        <v>368.9</v>
      </c>
      <c r="Q154" s="95">
        <f>IF(ISNA(VLOOKUP($CZ154,'Audit Values'!$A$2:$BU$353,2,FALSE)),'Preliminary SO66'!AL153,VLOOKUP($CZ154,'Audit Values'!$A$2:$BU$3955,58,FALSE))</f>
        <v>1.5</v>
      </c>
      <c r="R154" s="95">
        <v>0</v>
      </c>
      <c r="S154" s="95">
        <f t="shared" si="115"/>
        <v>370.4</v>
      </c>
      <c r="T154" s="95">
        <f t="shared" si="84"/>
        <v>170.5</v>
      </c>
      <c r="U154" s="95">
        <f>IF(ISNA(VLOOKUP($CZ154,'Audit Values'!$A$2:$BW$317,2,FALSE)),'Preliminary SO66'!AM153,VLOOKUP($CZ154,'Audit Values'!$A$2:$BW$317,62,FALSE))</f>
        <v>0.3</v>
      </c>
      <c r="V154" s="95">
        <f>(U154/6)*'Weighting Factors'!$Q$7</f>
        <v>0</v>
      </c>
      <c r="W154" s="132">
        <f>IF(ISNA(VLOOKUP($CZ154,'Audit Values'!$A$2:$BW$353,2,FALSE)),'Preliminary SO66'!AN153,VLOOKUP($CZ154,'Audit Values'!$A$2:$BW$353,61,FALSE))</f>
        <v>2</v>
      </c>
      <c r="X154" s="95">
        <f>W154*'Weighting Factors'!$Q$8</f>
        <v>0.4</v>
      </c>
      <c r="Y154" s="95">
        <f t="shared" si="85"/>
        <v>0.4</v>
      </c>
      <c r="Z154" s="276">
        <f>IF(ISNA(VLOOKUP($CZ154,'Audit Values'!$A$2:$BW$317,2,FALSE)),'Preliminary SO66'!AO153,VLOOKUP($CZ154,'Audit Values'!$A$2:$BW$317,60,FALSE))</f>
        <v>123.9</v>
      </c>
      <c r="AA154" s="95">
        <f>Z154/6*'Weighting Factors'!$Q$6</f>
        <v>10.3</v>
      </c>
      <c r="AB154" s="99">
        <f>IF(ISNA(VLOOKUP($CZ154,'Audit Values'!$A$2:$BU$353,2,FALSE)),'Preliminary SO66'!AS153,VLOOKUP($CZ154,'Audit Values'!$A$2:$BU$353,63,FALSE))</f>
        <v>390</v>
      </c>
      <c r="AC154" s="99">
        <v>0</v>
      </c>
      <c r="AD154" s="99">
        <f>IF(ISNA(VLOOKUP($CZ154,'Audit Values'!$A$2:$BU$353,2,FALSE)),'Preliminary SO66'!AP153,VLOOKUP($CZ154,'Audit Values'!$A$2:$BU$353,64,FALSE))</f>
        <v>121</v>
      </c>
      <c r="AE154" s="95">
        <f>IF(A154=207, AD154,MAX(AC154,AD154))*'Weighting Factors'!$Q$9</f>
        <v>58.6</v>
      </c>
      <c r="AF154" s="95">
        <f t="shared" si="86"/>
        <v>0</v>
      </c>
      <c r="AG154" s="95">
        <f>IF(ISNA(VLOOKUP($CZ154,'Audit Values'!$A$2:$BW$353,2,FALSE)),'Preliminary SO66'!AG153,VLOOKUP($CZ154,'Audit Values'!$A$2:$BW$353,70,FALSE))</f>
        <v>4.7</v>
      </c>
      <c r="AH154" s="95">
        <f t="shared" si="87"/>
        <v>4.7</v>
      </c>
      <c r="AI154" s="95">
        <f>IF(ISNA(VLOOKUP($CZ154,'Audit Values'!$A$2:$BU$353,2,FALSE)),'Preliminary SO66'!AQ153,VLOOKUP($CZ154,'Audit Values'!$A$2:$BU$353,65,FALSE))</f>
        <v>0</v>
      </c>
      <c r="AJ154" s="95">
        <f>AI154*'Weighting Factors'!$Q$10</f>
        <v>0</v>
      </c>
      <c r="AK154" s="95">
        <f>IF(ISNA(VLOOKUP($CZ154,'Audit Values'!$A$2:$BU$353,2,FALSE)),'Preliminary SO66'!AR153,VLOOKUP($CZ154,'Audit Values'!$A$2:$BU$353,66,FALSE))</f>
        <v>69.7</v>
      </c>
      <c r="AL154" s="95"/>
      <c r="AM154" s="99">
        <f t="shared" si="88"/>
        <v>75973</v>
      </c>
      <c r="AN154" s="99">
        <v>115175</v>
      </c>
      <c r="AO154" s="95">
        <f>MAX(AN154, AM154)/'Weighting Factors'!$Q$5</f>
        <v>27.7</v>
      </c>
      <c r="AP154" s="95">
        <f>CN154/'Weighting Factors'!$Q$5</f>
        <v>0</v>
      </c>
      <c r="AQ154" s="95">
        <v>0</v>
      </c>
      <c r="AR154" s="95">
        <f>CS154/'Weighting Factors'!$Q$5</f>
        <v>0</v>
      </c>
      <c r="AS154" s="99">
        <v>452482</v>
      </c>
      <c r="AT154" s="95">
        <f>AS154/'Weighting Factors'!$Q$5</f>
        <v>108.6</v>
      </c>
      <c r="AU154" s="95">
        <f>IF(ISNA(VLOOKUP($CZ154,'Audit Values'!$A$2:$BU$353,2,FALSE)),'Preliminary SO66'!X153,VLOOKUP($CZ154,'Audit Values'!$A$2:$BU$353,47,FALSE))</f>
        <v>0</v>
      </c>
      <c r="AV154" s="95">
        <f t="shared" si="89"/>
        <v>751.2</v>
      </c>
      <c r="AW154" s="95">
        <f t="shared" si="90"/>
        <v>642.6</v>
      </c>
      <c r="AX154" s="95">
        <f>IF(ISNA(VLOOKUP($CZ154,'Audit Values'!$A$2:$BU$353,2,FALSE)),'Preliminary SO66'!AA153,VLOOKUP($CZ154,'Audit Values'!$A$2:$BU$353,41,FALSE))</f>
        <v>49</v>
      </c>
      <c r="AY154" s="95">
        <f>IF(ISNA(VLOOKUP($CZ154,'Audit Values'!$A$2:$BU$353,2,FALSE)),'Preliminary SO66'!AB153,VLOOKUP($CZ154,'Audit Values'!$A$2:$BU$353,42,FALSE))</f>
        <v>3.2</v>
      </c>
      <c r="AZ154" s="114">
        <v>76</v>
      </c>
      <c r="BA154" s="99">
        <f>SUM(AX154*'Weighting Factors'!$T$10)+('2019 Legal Max'!AY154*'Weighting Factors'!$T$11)+('2019 Legal Max'!AZ154*'Weighting Factors'!$T$12)</f>
        <v>304324</v>
      </c>
      <c r="BB154" s="158">
        <v>0</v>
      </c>
      <c r="BC154" s="88">
        <f>IF(ISNA(VLOOKUP($CZ154,'Audit Values'!$A$2:$BU$353,2,FALSE)),"",IF(AND('Weighting Factors'!H154&gt;0,VLOOKUP($CZ154,'Audit Values'!$A$2:$BU$353,51,FALSE)&lt;'Weighting Factors'!H154),'Weighting Factors'!H154,VLOOKUP($CZ154,'Audit Values'!$A$2:$BU$353,50,FALSE)))</f>
        <v>25</v>
      </c>
      <c r="BD154" s="88" t="str">
        <f>IF(ISNA(VLOOKUP($CZ154,'Audit Values'!$A$2:$BV$353,2,FALSE)),"",VLOOKUP($CZ154,'Audit Values'!$A$2:$BV$353,51,FALSE))</f>
        <v>A</v>
      </c>
      <c r="BE154" s="88" t="str">
        <f>IF('Weighting Factors'!H154="","",IF('Weighting Factors'!J154="Pending","PX","R"))</f>
        <v/>
      </c>
      <c r="BF154" s="97">
        <f>SUM((S154+T154+Y154+AA154+AE154+AH154+AJ154++AO154+AP154+AQ154+AU154+AR154)*'Weighting Factors'!$Q$5)+'2019 Legal Max'!BA154+'2019 Legal Max'!BB154</f>
        <v>2980753</v>
      </c>
      <c r="BG154" s="99">
        <f>SUM((AV154+AR154)*'Weighting Factors'!$Q$5)+BA154+'2019 Legal Max'!BB154</f>
        <v>3433072</v>
      </c>
      <c r="BH154" s="108">
        <f>IF('Weighting Factors'!H154&gt;0,'Weighting Factors'!H154,'Preliminary SO66'!AV153)</f>
        <v>3628646</v>
      </c>
      <c r="BI154" s="99">
        <f t="shared" si="114"/>
        <v>3433072</v>
      </c>
      <c r="BJ154" s="112"/>
      <c r="BK154" s="112">
        <f>'Weighting Factors'!F154</f>
        <v>0</v>
      </c>
      <c r="BL154" s="112">
        <f>'Weighting Factors'!E154</f>
        <v>0</v>
      </c>
      <c r="BM154" s="99">
        <f t="shared" si="91"/>
        <v>0</v>
      </c>
      <c r="BN154" s="99">
        <f t="shared" si="92"/>
        <v>3433072</v>
      </c>
      <c r="BO154" s="99">
        <f>SUM((S154+T154+Y154+AA154+AE154+AH154+AJ154++AO154+AP154+AQ154+AR154)*'Weighting Factors'!Q$12)+(MAX(AS154,'Weighting Factors'!B154))</f>
        <v>3375150</v>
      </c>
      <c r="BP154" s="122">
        <v>0.3</v>
      </c>
      <c r="BQ154" s="99">
        <f t="shared" si="93"/>
        <v>1012545</v>
      </c>
      <c r="BR154" s="108">
        <v>1021166</v>
      </c>
      <c r="BS154" s="99">
        <f t="shared" si="94"/>
        <v>1012545</v>
      </c>
      <c r="BT154" s="167">
        <f t="shared" si="95"/>
        <v>0.3</v>
      </c>
      <c r="BU154" s="95">
        <f t="shared" si="96"/>
        <v>0</v>
      </c>
      <c r="BV154" s="87" t="b">
        <f t="shared" si="97"/>
        <v>0</v>
      </c>
      <c r="BW154" s="117">
        <f t="shared" si="98"/>
        <v>0</v>
      </c>
      <c r="BX154" s="116">
        <f t="shared" si="99"/>
        <v>0</v>
      </c>
      <c r="BY154" s="95">
        <f t="shared" si="100"/>
        <v>0</v>
      </c>
      <c r="BZ154" s="87" t="b">
        <f t="shared" si="101"/>
        <v>1</v>
      </c>
      <c r="CA154" s="87">
        <f t="shared" si="102"/>
        <v>87.12</v>
      </c>
      <c r="CB154" s="116">
        <f t="shared" si="103"/>
        <v>0.46026800000000001</v>
      </c>
      <c r="CC154" s="95">
        <f t="shared" si="104"/>
        <v>170.5</v>
      </c>
      <c r="CD154" s="95">
        <f t="shared" si="105"/>
        <v>0</v>
      </c>
      <c r="CE154" s="98">
        <v>136</v>
      </c>
      <c r="CF154" s="250">
        <f t="shared" si="106"/>
        <v>0.51300000000000001</v>
      </c>
      <c r="CG154" s="274">
        <f>IF(CF154&lt;0.06,1,IF(CF154&gt;=18.29,52,MATCH(CF154-0.001,'Weighting Factors'!$Y$5:$Y$156)+1))</f>
        <v>25</v>
      </c>
      <c r="CH154" s="243">
        <f>VLOOKUP(CG154, 'Weighting Factors'!$W$5:$Z$56,4)</f>
        <v>1090</v>
      </c>
      <c r="CI154" s="118">
        <f>('Weighting Factors'!$Q$5/'Weighting Factors'!$Q$14)</f>
        <v>1</v>
      </c>
      <c r="CJ154" s="245">
        <f t="shared" si="107"/>
        <v>75973</v>
      </c>
      <c r="CK154" s="245">
        <f>CJ154*'Weighting Factors'!$S$7</f>
        <v>75973</v>
      </c>
      <c r="CL154" s="245">
        <f t="shared" si="108"/>
        <v>75973</v>
      </c>
      <c r="CM154" s="95">
        <f>AM154/'Weighting Factors'!$Q$5</f>
        <v>18.2</v>
      </c>
      <c r="CN154" s="148">
        <v>0</v>
      </c>
      <c r="CO154" s="148">
        <v>0</v>
      </c>
      <c r="CP154" s="149">
        <v>0</v>
      </c>
      <c r="CQ154" s="151">
        <v>0</v>
      </c>
      <c r="CR154" s="99">
        <f>SUM((AV154*'Weighting Factors'!$Q$5)+'2019 Legal Max'!BA154)*CQ154</f>
        <v>0</v>
      </c>
      <c r="CS154" s="99">
        <f t="shared" si="109"/>
        <v>0</v>
      </c>
      <c r="CT154" s="106">
        <f t="shared" si="110"/>
        <v>0.31030000000000002</v>
      </c>
      <c r="CU154" s="95">
        <f t="shared" si="111"/>
        <v>0</v>
      </c>
      <c r="CV154" s="95">
        <f t="shared" si="112"/>
        <v>0</v>
      </c>
      <c r="CW154" s="95">
        <f t="shared" si="113"/>
        <v>751.2</v>
      </c>
      <c r="CX154" s="99">
        <f>'LOB Transfers'!G153</f>
        <v>79181</v>
      </c>
      <c r="CY154" s="99">
        <f>'LOB Transfers'!J153</f>
        <v>506</v>
      </c>
      <c r="CZ154" s="87" t="s">
        <v>346</v>
      </c>
    </row>
    <row r="155" spans="1:104" ht="15" customHeight="1">
      <c r="A155" s="88">
        <v>359</v>
      </c>
      <c r="B155" s="87" t="s">
        <v>66</v>
      </c>
      <c r="C155" s="87" t="s">
        <v>668</v>
      </c>
      <c r="D155" s="95">
        <v>155</v>
      </c>
      <c r="E155" s="95">
        <v>0</v>
      </c>
      <c r="F155" s="95">
        <f t="shared" si="80"/>
        <v>155</v>
      </c>
      <c r="G155" s="95">
        <v>186</v>
      </c>
      <c r="H155" s="95">
        <v>0</v>
      </c>
      <c r="I155" s="95">
        <f t="shared" si="81"/>
        <v>186</v>
      </c>
      <c r="J155" s="95">
        <v>170</v>
      </c>
      <c r="K155" s="95">
        <v>0</v>
      </c>
      <c r="L155" s="95">
        <f t="shared" si="82"/>
        <v>170</v>
      </c>
      <c r="M155" s="95">
        <f>IF(ISNA(VLOOKUP($CZ155,'Audit Values'!$A$2:$BW$365,2,FALSE)),'Preliminary SO66'!C154,VLOOKUP($CZ155,'Audit Values'!$A$2:$BW$365,73,FALSE))</f>
        <v>171.5</v>
      </c>
      <c r="N155" s="95">
        <f>IF(ISNA(VLOOKUP($CZ155,'Audit Values'!$A$2:$BW$365,2,FALSE)),'Preliminary SO66'!F154,VLOOKUP($CZ155,'Audit Values'!$A$2:$BW$365,4,FALSE))</f>
        <v>0</v>
      </c>
      <c r="O155" s="95">
        <f t="shared" si="83"/>
        <v>171.5</v>
      </c>
      <c r="P155" s="95">
        <f>IF('Military Provision'!J156="YES", MAX('2019 Legal Max'!L155,'2019 Legal Max'!I155,AVERAGE('2019 Legal Max'!F155,'2019 Legal Max'!I155,'2019 Legal Max'!L155)), MAX(L155, I155))</f>
        <v>186</v>
      </c>
      <c r="Q155" s="95">
        <f>IF(ISNA(VLOOKUP($CZ155,'Audit Values'!$A$2:$BU$353,2,FALSE)),'Preliminary SO66'!AL154,VLOOKUP($CZ155,'Audit Values'!$A$2:$BU$3955,58,FALSE))</f>
        <v>2</v>
      </c>
      <c r="R155" s="95">
        <v>0</v>
      </c>
      <c r="S155" s="95">
        <f t="shared" si="115"/>
        <v>188</v>
      </c>
      <c r="T155" s="95">
        <f t="shared" si="84"/>
        <v>146.80000000000001</v>
      </c>
      <c r="U155" s="95">
        <f>IF(ISNA(VLOOKUP($CZ155,'Audit Values'!$A$2:$BW$317,2,FALSE)),'Preliminary SO66'!AM154,VLOOKUP($CZ155,'Audit Values'!$A$2:$BW$317,62,FALSE))</f>
        <v>0</v>
      </c>
      <c r="V155" s="95">
        <f>(U155/6)*'Weighting Factors'!$Q$7</f>
        <v>0</v>
      </c>
      <c r="W155" s="132">
        <f>IF(ISNA(VLOOKUP($CZ155,'Audit Values'!$A$2:$BW$353,2,FALSE)),'Preliminary SO66'!AN154,VLOOKUP($CZ155,'Audit Values'!$A$2:$BW$353,61,FALSE))</f>
        <v>0</v>
      </c>
      <c r="X155" s="95">
        <f>W155*'Weighting Factors'!$Q$8</f>
        <v>0</v>
      </c>
      <c r="Y155" s="95">
        <f t="shared" si="85"/>
        <v>0</v>
      </c>
      <c r="Z155" s="276">
        <f>IF(ISNA(VLOOKUP($CZ155,'Audit Values'!$A$2:$BW$317,2,FALSE)),'Preliminary SO66'!AO154,VLOOKUP($CZ155,'Audit Values'!$A$2:$BW$317,60,FALSE))</f>
        <v>75.2</v>
      </c>
      <c r="AA155" s="95">
        <f>Z155/6*'Weighting Factors'!$Q$6</f>
        <v>6.3</v>
      </c>
      <c r="AB155" s="99">
        <f>IF(ISNA(VLOOKUP($CZ155,'Audit Values'!$A$2:$BU$353,2,FALSE)),'Preliminary SO66'!AS154,VLOOKUP($CZ155,'Audit Values'!$A$2:$BU$353,63,FALSE))</f>
        <v>177</v>
      </c>
      <c r="AC155" s="99">
        <v>0</v>
      </c>
      <c r="AD155" s="99">
        <f>IF(ISNA(VLOOKUP($CZ155,'Audit Values'!$A$2:$BU$353,2,FALSE)),'Preliminary SO66'!AP154,VLOOKUP($CZ155,'Audit Values'!$A$2:$BU$353,64,FALSE))</f>
        <v>67</v>
      </c>
      <c r="AE155" s="95">
        <f>IF(A155=207, AD155,MAX(AC155,AD155))*'Weighting Factors'!$Q$9</f>
        <v>32.4</v>
      </c>
      <c r="AF155" s="95">
        <f t="shared" si="86"/>
        <v>1.3</v>
      </c>
      <c r="AG155" s="95">
        <f>IF(ISNA(VLOOKUP($CZ155,'Audit Values'!$A$2:$BW$353,2,FALSE)),'Preliminary SO66'!AG154,VLOOKUP($CZ155,'Audit Values'!$A$2:$BW$353,70,FALSE))</f>
        <v>2.5</v>
      </c>
      <c r="AH155" s="95">
        <f t="shared" si="87"/>
        <v>2.5</v>
      </c>
      <c r="AI155" s="95">
        <f>IF(ISNA(VLOOKUP($CZ155,'Audit Values'!$A$2:$BU$353,2,FALSE)),'Preliminary SO66'!AQ154,VLOOKUP($CZ155,'Audit Values'!$A$2:$BU$353,65,FALSE))</f>
        <v>0</v>
      </c>
      <c r="AJ155" s="95">
        <f>AI155*'Weighting Factors'!$Q$10</f>
        <v>0</v>
      </c>
      <c r="AK155" s="95">
        <f>IF(ISNA(VLOOKUP($CZ155,'Audit Values'!$A$2:$BU$353,2,FALSE)),'Preliminary SO66'!AR154,VLOOKUP($CZ155,'Audit Values'!$A$2:$BU$353,66,FALSE))</f>
        <v>35.5</v>
      </c>
      <c r="AL155" s="95"/>
      <c r="AM155" s="99">
        <f t="shared" si="88"/>
        <v>45795</v>
      </c>
      <c r="AN155" s="99">
        <v>72803</v>
      </c>
      <c r="AO155" s="95">
        <f>MAX(AN155, AM155)/'Weighting Factors'!$Q$5</f>
        <v>17.5</v>
      </c>
      <c r="AP155" s="95">
        <f>CN155/'Weighting Factors'!$Q$5</f>
        <v>0</v>
      </c>
      <c r="AQ155" s="95">
        <v>0</v>
      </c>
      <c r="AR155" s="95">
        <f>CS155/'Weighting Factors'!$Q$5</f>
        <v>0</v>
      </c>
      <c r="AS155" s="99">
        <v>281429</v>
      </c>
      <c r="AT155" s="95">
        <f>AS155/'Weighting Factors'!$Q$5</f>
        <v>67.599999999999994</v>
      </c>
      <c r="AU155" s="95">
        <f>IF(ISNA(VLOOKUP($CZ155,'Audit Values'!$A$2:$BU$353,2,FALSE)),'Preliminary SO66'!X154,VLOOKUP($CZ155,'Audit Values'!$A$2:$BU$353,47,FALSE))</f>
        <v>0</v>
      </c>
      <c r="AV155" s="95">
        <f t="shared" si="89"/>
        <v>461.1</v>
      </c>
      <c r="AW155" s="95">
        <f t="shared" si="90"/>
        <v>393.5</v>
      </c>
      <c r="AX155" s="95">
        <f>IF(ISNA(VLOOKUP($CZ155,'Audit Values'!$A$2:$BU$353,2,FALSE)),'Preliminary SO66'!AA154,VLOOKUP($CZ155,'Audit Values'!$A$2:$BU$353,41,FALSE))</f>
        <v>0</v>
      </c>
      <c r="AY155" s="95">
        <f>IF(ISNA(VLOOKUP($CZ155,'Audit Values'!$A$2:$BU$353,2,FALSE)),'Preliminary SO66'!AB154,VLOOKUP($CZ155,'Audit Values'!$A$2:$BU$353,42,FALSE))</f>
        <v>0</v>
      </c>
      <c r="AZ155" s="114">
        <v>0</v>
      </c>
      <c r="BA155" s="99">
        <f>SUM(AX155*'Weighting Factors'!$T$10)+('2019 Legal Max'!AY155*'Weighting Factors'!$T$11)+('2019 Legal Max'!AZ155*'Weighting Factors'!$T$12)</f>
        <v>0</v>
      </c>
      <c r="BB155" s="158">
        <v>0</v>
      </c>
      <c r="BC155" s="88">
        <f>IF(ISNA(VLOOKUP($CZ155,'Audit Values'!$A$2:$BU$353,2,FALSE)),"",IF(AND('Weighting Factors'!H155&gt;0,VLOOKUP($CZ155,'Audit Values'!$A$2:$BU$353,51,FALSE)&lt;'Weighting Factors'!H155),'Weighting Factors'!H155,VLOOKUP($CZ155,'Audit Values'!$A$2:$BU$353,50,FALSE)))</f>
        <v>3</v>
      </c>
      <c r="BD155" s="88" t="str">
        <f>IF(ISNA(VLOOKUP($CZ155,'Audit Values'!$A$2:$BV$353,2,FALSE)),"",VLOOKUP($CZ155,'Audit Values'!$A$2:$BV$353,51,FALSE))</f>
        <v>A</v>
      </c>
      <c r="BE155" s="88" t="str">
        <f>IF('Weighting Factors'!H155="","",IF('Weighting Factors'!J155="Pending","PX","R"))</f>
        <v/>
      </c>
      <c r="BF155" s="97">
        <f>SUM((S155+T155+Y155+AA155+AE155+AH155+AJ155++AO155+AP155+AQ155+AU155+AR155)*'Weighting Factors'!$Q$5)+'2019 Legal Max'!BA155+'2019 Legal Max'!BB155</f>
        <v>1638928</v>
      </c>
      <c r="BG155" s="99">
        <f>SUM((AV155+AR155)*'Weighting Factors'!$Q$5)+BA155+'2019 Legal Max'!BB155</f>
        <v>1920482</v>
      </c>
      <c r="BH155" s="108">
        <f>IF('Weighting Factors'!H155&gt;0,'Weighting Factors'!H155,'Preliminary SO66'!AV154)</f>
        <v>1967130</v>
      </c>
      <c r="BI155" s="99">
        <f t="shared" si="114"/>
        <v>1920482</v>
      </c>
      <c r="BJ155" s="112"/>
      <c r="BK155" s="112">
        <f>'Weighting Factors'!F155</f>
        <v>0</v>
      </c>
      <c r="BL155" s="112">
        <f>'Weighting Factors'!E155</f>
        <v>0</v>
      </c>
      <c r="BM155" s="99">
        <f t="shared" si="91"/>
        <v>0</v>
      </c>
      <c r="BN155" s="99">
        <f t="shared" si="92"/>
        <v>1920482</v>
      </c>
      <c r="BO155" s="99">
        <f>SUM((S155+T155+Y155+AA155+AE155+AH155+AJ155++AO155+AP155+AQ155+AR155)*'Weighting Factors'!Q$12)+(MAX(AS155,'Weighting Factors'!B155))</f>
        <v>2048244</v>
      </c>
      <c r="BP155" s="122">
        <v>0.3</v>
      </c>
      <c r="BQ155" s="99">
        <f t="shared" si="93"/>
        <v>614473</v>
      </c>
      <c r="BR155" s="108">
        <v>629204</v>
      </c>
      <c r="BS155" s="99">
        <f t="shared" si="94"/>
        <v>614473</v>
      </c>
      <c r="BT155" s="167">
        <f t="shared" si="95"/>
        <v>0.3</v>
      </c>
      <c r="BU155" s="95">
        <f t="shared" si="96"/>
        <v>0</v>
      </c>
      <c r="BV155" s="87" t="b">
        <f t="shared" si="97"/>
        <v>1</v>
      </c>
      <c r="BW155" s="117">
        <f t="shared" si="98"/>
        <v>849.64</v>
      </c>
      <c r="BX155" s="116">
        <f t="shared" si="99"/>
        <v>0.78106699999999996</v>
      </c>
      <c r="BY155" s="95">
        <f t="shared" si="100"/>
        <v>146.80000000000001</v>
      </c>
      <c r="BZ155" s="87" t="b">
        <f t="shared" si="101"/>
        <v>0</v>
      </c>
      <c r="CA155" s="87">
        <f t="shared" si="102"/>
        <v>0</v>
      </c>
      <c r="CB155" s="116">
        <f t="shared" si="103"/>
        <v>0</v>
      </c>
      <c r="CC155" s="95">
        <f t="shared" si="104"/>
        <v>0</v>
      </c>
      <c r="CD155" s="95">
        <f t="shared" si="105"/>
        <v>0</v>
      </c>
      <c r="CE155" s="98">
        <v>174</v>
      </c>
      <c r="CF155" s="250">
        <f t="shared" si="106"/>
        <v>0.20399999999999999</v>
      </c>
      <c r="CG155" s="274">
        <f>IF(CF155&lt;0.06,1,IF(CF155&gt;=18.29,52,MATCH(CF155-0.001,'Weighting Factors'!$Y$5:$Y$156)+1))</f>
        <v>15</v>
      </c>
      <c r="CH155" s="243">
        <f>VLOOKUP(CG155, 'Weighting Factors'!$W$5:$Z$56,4)</f>
        <v>1290</v>
      </c>
      <c r="CI155" s="118">
        <f>('Weighting Factors'!$Q$5/'Weighting Factors'!$Q$14)</f>
        <v>1</v>
      </c>
      <c r="CJ155" s="245">
        <f t="shared" si="107"/>
        <v>45795</v>
      </c>
      <c r="CK155" s="245">
        <f>CJ155*'Weighting Factors'!$S$7</f>
        <v>45795</v>
      </c>
      <c r="CL155" s="245">
        <f t="shared" si="108"/>
        <v>45795</v>
      </c>
      <c r="CM155" s="95">
        <f>AM155/'Weighting Factors'!$Q$5</f>
        <v>11</v>
      </c>
      <c r="CN155" s="148">
        <v>0</v>
      </c>
      <c r="CO155" s="148">
        <v>0</v>
      </c>
      <c r="CP155" s="149">
        <v>0</v>
      </c>
      <c r="CQ155" s="151">
        <v>0</v>
      </c>
      <c r="CR155" s="99">
        <f>SUM((AV155*'Weighting Factors'!$Q$5)+'2019 Legal Max'!BA155)*CQ155</f>
        <v>0</v>
      </c>
      <c r="CS155" s="99">
        <f t="shared" si="109"/>
        <v>0</v>
      </c>
      <c r="CT155" s="106">
        <f t="shared" si="110"/>
        <v>0.3785</v>
      </c>
      <c r="CU155" s="95">
        <f t="shared" si="111"/>
        <v>0</v>
      </c>
      <c r="CV155" s="95">
        <f t="shared" si="112"/>
        <v>1.3</v>
      </c>
      <c r="CW155" s="95">
        <f t="shared" si="113"/>
        <v>461.1</v>
      </c>
      <c r="CX155" s="99">
        <f>'LOB Transfers'!G154</f>
        <v>43382</v>
      </c>
      <c r="CY155" s="99">
        <f>'LOB Transfers'!J154</f>
        <v>0</v>
      </c>
      <c r="CZ155" s="87" t="s">
        <v>347</v>
      </c>
    </row>
    <row r="156" spans="1:104" ht="15" customHeight="1">
      <c r="A156" s="88">
        <v>360</v>
      </c>
      <c r="B156" s="87" t="s">
        <v>66</v>
      </c>
      <c r="C156" s="87" t="s">
        <v>669</v>
      </c>
      <c r="D156" s="95">
        <v>222</v>
      </c>
      <c r="E156" s="95">
        <v>0</v>
      </c>
      <c r="F156" s="95">
        <f t="shared" si="80"/>
        <v>222</v>
      </c>
      <c r="G156" s="95">
        <v>221.5</v>
      </c>
      <c r="H156" s="95">
        <v>0</v>
      </c>
      <c r="I156" s="95">
        <f t="shared" si="81"/>
        <v>221.5</v>
      </c>
      <c r="J156" s="95">
        <v>239</v>
      </c>
      <c r="K156" s="95">
        <v>0</v>
      </c>
      <c r="L156" s="95">
        <f t="shared" si="82"/>
        <v>239</v>
      </c>
      <c r="M156" s="95">
        <f>IF(ISNA(VLOOKUP($CZ156,'Audit Values'!$A$2:$BW$365,2,FALSE)),'Preliminary SO66'!C155,VLOOKUP($CZ156,'Audit Values'!$A$2:$BW$365,73,FALSE))</f>
        <v>246.1</v>
      </c>
      <c r="N156" s="95">
        <f>IF(ISNA(VLOOKUP($CZ156,'Audit Values'!$A$2:$BW$365,2,FALSE)),'Preliminary SO66'!F155,VLOOKUP($CZ156,'Audit Values'!$A$2:$BW$365,4,FALSE))</f>
        <v>0</v>
      </c>
      <c r="O156" s="95">
        <f t="shared" si="83"/>
        <v>246.1</v>
      </c>
      <c r="P156" s="95">
        <f>IF('Military Provision'!J157="YES", MAX('2019 Legal Max'!L156,'2019 Legal Max'!I156,AVERAGE('2019 Legal Max'!F156,'2019 Legal Max'!I156,'2019 Legal Max'!L156)), MAX(L156, I156))</f>
        <v>239</v>
      </c>
      <c r="Q156" s="95">
        <f>IF(ISNA(VLOOKUP($CZ156,'Audit Values'!$A$2:$BU$353,2,FALSE)),'Preliminary SO66'!AL155,VLOOKUP($CZ156,'Audit Values'!$A$2:$BU$3955,58,FALSE))</f>
        <v>5</v>
      </c>
      <c r="R156" s="95">
        <v>0</v>
      </c>
      <c r="S156" s="95">
        <f t="shared" si="115"/>
        <v>244</v>
      </c>
      <c r="T156" s="95">
        <f t="shared" si="84"/>
        <v>154.4</v>
      </c>
      <c r="U156" s="95">
        <f>IF(ISNA(VLOOKUP($CZ156,'Audit Values'!$A$2:$BW$317,2,FALSE)),'Preliminary SO66'!AM155,VLOOKUP($CZ156,'Audit Values'!$A$2:$BW$317,62,FALSE))</f>
        <v>0</v>
      </c>
      <c r="V156" s="95">
        <f>(U156/6)*'Weighting Factors'!$Q$7</f>
        <v>0</v>
      </c>
      <c r="W156" s="132">
        <f>IF(ISNA(VLOOKUP($CZ156,'Audit Values'!$A$2:$BW$353,2,FALSE)),'Preliminary SO66'!AN155,VLOOKUP($CZ156,'Audit Values'!$A$2:$BW$353,61,FALSE))</f>
        <v>0</v>
      </c>
      <c r="X156" s="95">
        <f>W156*'Weighting Factors'!$Q$8</f>
        <v>0</v>
      </c>
      <c r="Y156" s="95">
        <f t="shared" si="85"/>
        <v>0</v>
      </c>
      <c r="Z156" s="276">
        <f>IF(ISNA(VLOOKUP($CZ156,'Audit Values'!$A$2:$BW$317,2,FALSE)),'Preliminary SO66'!AO155,VLOOKUP($CZ156,'Audit Values'!$A$2:$BW$317,60,FALSE))</f>
        <v>117.2</v>
      </c>
      <c r="AA156" s="95">
        <f>Z156/6*'Weighting Factors'!$Q$6</f>
        <v>9.8000000000000007</v>
      </c>
      <c r="AB156" s="99">
        <f>IF(ISNA(VLOOKUP($CZ156,'Audit Values'!$A$2:$BU$353,2,FALSE)),'Preliminary SO66'!AS155,VLOOKUP($CZ156,'Audit Values'!$A$2:$BU$353,63,FALSE))</f>
        <v>262</v>
      </c>
      <c r="AC156" s="99">
        <v>0</v>
      </c>
      <c r="AD156" s="99">
        <f>IF(ISNA(VLOOKUP($CZ156,'Audit Values'!$A$2:$BU$353,2,FALSE)),'Preliminary SO66'!AP155,VLOOKUP($CZ156,'Audit Values'!$A$2:$BU$353,64,FALSE))</f>
        <v>118</v>
      </c>
      <c r="AE156" s="95">
        <f>IF(A156=207, AD156,MAX(AC156,AD156))*'Weighting Factors'!$Q$9</f>
        <v>57.1</v>
      </c>
      <c r="AF156" s="95">
        <f t="shared" si="86"/>
        <v>8.3000000000000007</v>
      </c>
      <c r="AG156" s="95">
        <f>IF(ISNA(VLOOKUP($CZ156,'Audit Values'!$A$2:$BW$353,2,FALSE)),'Preliminary SO66'!AG155,VLOOKUP($CZ156,'Audit Values'!$A$2:$BW$353,70,FALSE))</f>
        <v>7.9</v>
      </c>
      <c r="AH156" s="95">
        <f t="shared" si="87"/>
        <v>8.3000000000000007</v>
      </c>
      <c r="AI156" s="95">
        <f>IF(ISNA(VLOOKUP($CZ156,'Audit Values'!$A$2:$BU$353,2,FALSE)),'Preliminary SO66'!AQ155,VLOOKUP($CZ156,'Audit Values'!$A$2:$BU$353,65,FALSE))</f>
        <v>0</v>
      </c>
      <c r="AJ156" s="95">
        <f>AI156*'Weighting Factors'!$Q$10</f>
        <v>0</v>
      </c>
      <c r="AK156" s="95">
        <f>IF(ISNA(VLOOKUP($CZ156,'Audit Values'!$A$2:$BU$353,2,FALSE)),'Preliminary SO66'!AR155,VLOOKUP($CZ156,'Audit Values'!$A$2:$BU$353,66,FALSE))</f>
        <v>38</v>
      </c>
      <c r="AL156" s="95"/>
      <c r="AM156" s="99">
        <f t="shared" si="88"/>
        <v>49400</v>
      </c>
      <c r="AN156" s="99">
        <v>62788</v>
      </c>
      <c r="AO156" s="95">
        <f>MAX(AN156, AM156)/'Weighting Factors'!$Q$5</f>
        <v>15.1</v>
      </c>
      <c r="AP156" s="95">
        <f>CN156/'Weighting Factors'!$Q$5</f>
        <v>0</v>
      </c>
      <c r="AQ156" s="95">
        <v>0</v>
      </c>
      <c r="AR156" s="95">
        <f>CS156/'Weighting Factors'!$Q$5</f>
        <v>0</v>
      </c>
      <c r="AS156" s="99">
        <v>335435</v>
      </c>
      <c r="AT156" s="95">
        <f>AS156/'Weighting Factors'!$Q$5</f>
        <v>80.5</v>
      </c>
      <c r="AU156" s="95">
        <f>IF(ISNA(VLOOKUP($CZ156,'Audit Values'!$A$2:$BU$353,2,FALSE)),'Preliminary SO66'!X155,VLOOKUP($CZ156,'Audit Values'!$A$2:$BU$353,47,FALSE))</f>
        <v>0</v>
      </c>
      <c r="AV156" s="95">
        <f t="shared" si="89"/>
        <v>569.20000000000005</v>
      </c>
      <c r="AW156" s="95">
        <f t="shared" si="90"/>
        <v>488.7</v>
      </c>
      <c r="AX156" s="95">
        <f>IF(ISNA(VLOOKUP($CZ156,'Audit Values'!$A$2:$BU$353,2,FALSE)),'Preliminary SO66'!AA155,VLOOKUP($CZ156,'Audit Values'!$A$2:$BU$353,41,FALSE))</f>
        <v>2</v>
      </c>
      <c r="AY156" s="95">
        <f>IF(ISNA(VLOOKUP($CZ156,'Audit Values'!$A$2:$BU$353,2,FALSE)),'Preliminary SO66'!AB155,VLOOKUP($CZ156,'Audit Values'!$A$2:$BU$353,42,FALSE))</f>
        <v>0</v>
      </c>
      <c r="AZ156" s="114">
        <v>6</v>
      </c>
      <c r="BA156" s="99">
        <f>SUM(AX156*'Weighting Factors'!$T$10)+('2019 Legal Max'!AY156*'Weighting Factors'!$T$11)+('2019 Legal Max'!AZ156*'Weighting Factors'!$T$12)</f>
        <v>14254</v>
      </c>
      <c r="BB156" s="158">
        <v>0</v>
      </c>
      <c r="BC156" s="88">
        <f>IF(ISNA(VLOOKUP($CZ156,'Audit Values'!$A$2:$BU$353,2,FALSE)),"",IF(AND('Weighting Factors'!H156&gt;0,VLOOKUP($CZ156,'Audit Values'!$A$2:$BU$353,51,FALSE)&lt;'Weighting Factors'!H156),'Weighting Factors'!H156,VLOOKUP($CZ156,'Audit Values'!$A$2:$BU$353,50,FALSE)))</f>
        <v>3</v>
      </c>
      <c r="BD156" s="88" t="str">
        <f>IF(ISNA(VLOOKUP($CZ156,'Audit Values'!$A$2:$BV$353,2,FALSE)),"",VLOOKUP($CZ156,'Audit Values'!$A$2:$BV$353,51,FALSE))</f>
        <v>A</v>
      </c>
      <c r="BE156" s="88" t="str">
        <f>IF('Weighting Factors'!H156="","",IF('Weighting Factors'!J156="Pending","PX","R"))</f>
        <v/>
      </c>
      <c r="BF156" s="97">
        <f>SUM((S156+T156+Y156+AA156+AE156+AH156+AJ156++AO156+AP156+AQ156+AU156+AR156)*'Weighting Factors'!$Q$5)+'2019 Legal Max'!BA156+'2019 Legal Max'!BB156</f>
        <v>2049690</v>
      </c>
      <c r="BG156" s="99">
        <f>SUM((AV156+AR156)*'Weighting Factors'!$Q$5)+BA156+'2019 Legal Max'!BB156</f>
        <v>2384972</v>
      </c>
      <c r="BH156" s="108">
        <f>IF('Weighting Factors'!H156&gt;0,'Weighting Factors'!H156,'Preliminary SO66'!AV155)</f>
        <v>2403380</v>
      </c>
      <c r="BI156" s="99">
        <f t="shared" si="114"/>
        <v>2384972</v>
      </c>
      <c r="BJ156" s="112"/>
      <c r="BK156" s="112">
        <f>'Weighting Factors'!F156</f>
        <v>0</v>
      </c>
      <c r="BL156" s="112">
        <f>'Weighting Factors'!E156</f>
        <v>0</v>
      </c>
      <c r="BM156" s="99">
        <f t="shared" si="91"/>
        <v>0</v>
      </c>
      <c r="BN156" s="99">
        <f t="shared" si="92"/>
        <v>2384972</v>
      </c>
      <c r="BO156" s="99">
        <f>SUM((S156+T156+Y156+AA156+AE156+AH156+AJ156++AO156+AP156+AQ156+AR156)*'Weighting Factors'!Q$12)+(MAX(AS156,'Weighting Factors'!B156))</f>
        <v>2529698</v>
      </c>
      <c r="BP156" s="122">
        <v>0.33</v>
      </c>
      <c r="BQ156" s="99">
        <f t="shared" si="93"/>
        <v>834800</v>
      </c>
      <c r="BR156" s="108">
        <v>840338</v>
      </c>
      <c r="BS156" s="99">
        <f t="shared" si="94"/>
        <v>834800</v>
      </c>
      <c r="BT156" s="167">
        <f t="shared" si="95"/>
        <v>0.33</v>
      </c>
      <c r="BU156" s="95">
        <f t="shared" si="96"/>
        <v>0</v>
      </c>
      <c r="BV156" s="87" t="b">
        <f t="shared" si="97"/>
        <v>1</v>
      </c>
      <c r="BW156" s="117">
        <f t="shared" si="98"/>
        <v>1390.32</v>
      </c>
      <c r="BX156" s="116">
        <f t="shared" si="99"/>
        <v>0.63262700000000005</v>
      </c>
      <c r="BY156" s="95">
        <f t="shared" si="100"/>
        <v>154.4</v>
      </c>
      <c r="BZ156" s="87" t="b">
        <f t="shared" si="101"/>
        <v>0</v>
      </c>
      <c r="CA156" s="87">
        <f t="shared" si="102"/>
        <v>0</v>
      </c>
      <c r="CB156" s="116">
        <f t="shared" si="103"/>
        <v>0</v>
      </c>
      <c r="CC156" s="95">
        <f t="shared" si="104"/>
        <v>0</v>
      </c>
      <c r="CD156" s="95">
        <f t="shared" si="105"/>
        <v>0</v>
      </c>
      <c r="CE156" s="98">
        <v>194</v>
      </c>
      <c r="CF156" s="250">
        <f t="shared" si="106"/>
        <v>0.19600000000000001</v>
      </c>
      <c r="CG156" s="274">
        <f>IF(CF156&lt;0.06,1,IF(CF156&gt;=18.29,52,MATCH(CF156-0.001,'Weighting Factors'!$Y$5:$Y$156)+1))</f>
        <v>14</v>
      </c>
      <c r="CH156" s="243">
        <f>VLOOKUP(CG156, 'Weighting Factors'!$W$5:$Z$56,4)</f>
        <v>1300</v>
      </c>
      <c r="CI156" s="118">
        <f>('Weighting Factors'!$Q$5/'Weighting Factors'!$Q$14)</f>
        <v>1</v>
      </c>
      <c r="CJ156" s="245">
        <f t="shared" si="107"/>
        <v>49400</v>
      </c>
      <c r="CK156" s="245">
        <f>CJ156*'Weighting Factors'!$S$7</f>
        <v>49400</v>
      </c>
      <c r="CL156" s="245">
        <f t="shared" si="108"/>
        <v>49400</v>
      </c>
      <c r="CM156" s="95">
        <f>AM156/'Weighting Factors'!$Q$5</f>
        <v>11.9</v>
      </c>
      <c r="CN156" s="148">
        <v>0</v>
      </c>
      <c r="CO156" s="148">
        <v>0</v>
      </c>
      <c r="CP156" s="149">
        <v>0</v>
      </c>
      <c r="CQ156" s="151">
        <v>0</v>
      </c>
      <c r="CR156" s="99">
        <f>SUM((AV156*'Weighting Factors'!$Q$5)+'2019 Legal Max'!BA156)*CQ156</f>
        <v>0</v>
      </c>
      <c r="CS156" s="99">
        <f t="shared" si="109"/>
        <v>0</v>
      </c>
      <c r="CT156" s="106">
        <f t="shared" si="110"/>
        <v>0.45040000000000002</v>
      </c>
      <c r="CU156" s="95">
        <f t="shared" si="111"/>
        <v>0</v>
      </c>
      <c r="CV156" s="95">
        <f t="shared" si="112"/>
        <v>8.3000000000000007</v>
      </c>
      <c r="CW156" s="95">
        <f t="shared" si="113"/>
        <v>569.20000000000005</v>
      </c>
      <c r="CX156" s="99">
        <f>'LOB Transfers'!G155</f>
        <v>84482</v>
      </c>
      <c r="CY156" s="99">
        <f>'LOB Transfers'!J155</f>
        <v>0</v>
      </c>
      <c r="CZ156" s="87" t="s">
        <v>348</v>
      </c>
    </row>
    <row r="157" spans="1:104" ht="15" customHeight="1">
      <c r="A157" s="88">
        <v>361</v>
      </c>
      <c r="B157" s="87" t="s">
        <v>68</v>
      </c>
      <c r="C157" s="87" t="s">
        <v>670</v>
      </c>
      <c r="D157" s="95">
        <v>788.5</v>
      </c>
      <c r="E157" s="95">
        <v>0</v>
      </c>
      <c r="F157" s="95">
        <f t="shared" si="80"/>
        <v>788.5</v>
      </c>
      <c r="G157" s="95">
        <v>796.1</v>
      </c>
      <c r="H157" s="95">
        <v>0</v>
      </c>
      <c r="I157" s="95">
        <f t="shared" si="81"/>
        <v>796.1</v>
      </c>
      <c r="J157" s="95">
        <v>778.9</v>
      </c>
      <c r="K157" s="95">
        <v>0</v>
      </c>
      <c r="L157" s="95">
        <f t="shared" si="82"/>
        <v>778.9</v>
      </c>
      <c r="M157" s="95">
        <f>IF(ISNA(VLOOKUP($CZ157,'Audit Values'!$A$2:$BW$365,2,FALSE)),'Preliminary SO66'!C156,VLOOKUP($CZ157,'Audit Values'!$A$2:$BW$365,73,FALSE))</f>
        <v>786.3</v>
      </c>
      <c r="N157" s="95">
        <f>IF(ISNA(VLOOKUP($CZ157,'Audit Values'!$A$2:$BW$365,2,FALSE)),'Preliminary SO66'!F156,VLOOKUP($CZ157,'Audit Values'!$A$2:$BW$365,4,FALSE))</f>
        <v>0</v>
      </c>
      <c r="O157" s="95">
        <f t="shared" si="83"/>
        <v>786.3</v>
      </c>
      <c r="P157" s="95">
        <f>IF('Military Provision'!J158="YES", MAX('2019 Legal Max'!L157,'2019 Legal Max'!I157,AVERAGE('2019 Legal Max'!F157,'2019 Legal Max'!I157,'2019 Legal Max'!L157)), MAX(L157, I157))</f>
        <v>796.1</v>
      </c>
      <c r="Q157" s="95">
        <f>IF(ISNA(VLOOKUP($CZ157,'Audit Values'!$A$2:$BU$353,2,FALSE)),'Preliminary SO66'!AL156,VLOOKUP($CZ157,'Audit Values'!$A$2:$BU$3955,58,FALSE))</f>
        <v>12</v>
      </c>
      <c r="R157" s="95">
        <v>0</v>
      </c>
      <c r="S157" s="95">
        <f t="shared" si="115"/>
        <v>808.1</v>
      </c>
      <c r="T157" s="95">
        <f t="shared" si="84"/>
        <v>251.8</v>
      </c>
      <c r="U157" s="95">
        <f>IF(ISNA(VLOOKUP($CZ157,'Audit Values'!$A$2:$BW$317,2,FALSE)),'Preliminary SO66'!AM156,VLOOKUP($CZ157,'Audit Values'!$A$2:$BW$317,62,FALSE))</f>
        <v>145</v>
      </c>
      <c r="V157" s="95">
        <f>(U157/6)*'Weighting Factors'!$Q$7</f>
        <v>9.5</v>
      </c>
      <c r="W157" s="132">
        <f>IF(ISNA(VLOOKUP($CZ157,'Audit Values'!$A$2:$BW$353,2,FALSE)),'Preliminary SO66'!AN156,VLOOKUP($CZ157,'Audit Values'!$A$2:$BW$353,61,FALSE))</f>
        <v>57</v>
      </c>
      <c r="X157" s="95">
        <f>W157*'Weighting Factors'!$Q$8</f>
        <v>10.5</v>
      </c>
      <c r="Y157" s="95">
        <f t="shared" si="85"/>
        <v>10.5</v>
      </c>
      <c r="Z157" s="276">
        <f>IF(ISNA(VLOOKUP($CZ157,'Audit Values'!$A$2:$BW$317,2,FALSE)),'Preliminary SO66'!AO156,VLOOKUP($CZ157,'Audit Values'!$A$2:$BW$317,60,FALSE))</f>
        <v>116.4</v>
      </c>
      <c r="AA157" s="95">
        <f>Z157/6*'Weighting Factors'!$Q$6</f>
        <v>9.6999999999999993</v>
      </c>
      <c r="AB157" s="99">
        <f>IF(ISNA(VLOOKUP($CZ157,'Audit Values'!$A$2:$BU$353,2,FALSE)),'Preliminary SO66'!AS156,VLOOKUP($CZ157,'Audit Values'!$A$2:$BU$353,63,FALSE))</f>
        <v>824</v>
      </c>
      <c r="AC157" s="99">
        <v>0</v>
      </c>
      <c r="AD157" s="99">
        <f>IF(ISNA(VLOOKUP($CZ157,'Audit Values'!$A$2:$BU$353,2,FALSE)),'Preliminary SO66'!AP156,VLOOKUP($CZ157,'Audit Values'!$A$2:$BU$353,64,FALSE))</f>
        <v>385</v>
      </c>
      <c r="AE157" s="95">
        <f>IF(A157=207, AD157,MAX(AC157,AD157))*'Weighting Factors'!$Q$9</f>
        <v>186.3</v>
      </c>
      <c r="AF157" s="95">
        <f t="shared" si="86"/>
        <v>31.6</v>
      </c>
      <c r="AG157" s="95">
        <f>IF(ISNA(VLOOKUP($CZ157,'Audit Values'!$A$2:$BW$353,2,FALSE)),'Preliminary SO66'!AG156,VLOOKUP($CZ157,'Audit Values'!$A$2:$BW$353,70,FALSE))</f>
        <v>28.6</v>
      </c>
      <c r="AH157" s="95">
        <f t="shared" si="87"/>
        <v>31.6</v>
      </c>
      <c r="AI157" s="95">
        <f>IF(ISNA(VLOOKUP($CZ157,'Audit Values'!$A$2:$BU$353,2,FALSE)),'Preliminary SO66'!AQ156,VLOOKUP($CZ157,'Audit Values'!$A$2:$BU$353,65,FALSE))</f>
        <v>0</v>
      </c>
      <c r="AJ157" s="95">
        <f>AI157*'Weighting Factors'!$Q$10</f>
        <v>0</v>
      </c>
      <c r="AK157" s="95">
        <f>IF(ISNA(VLOOKUP($CZ157,'Audit Values'!$A$2:$BU$353,2,FALSE)),'Preliminary SO66'!AR156,VLOOKUP($CZ157,'Audit Values'!$A$2:$BU$353,66,FALSE))</f>
        <v>374.5</v>
      </c>
      <c r="AL157" s="95"/>
      <c r="AM157" s="99">
        <f t="shared" si="88"/>
        <v>393225</v>
      </c>
      <c r="AN157" s="99">
        <v>419483</v>
      </c>
      <c r="AO157" s="95">
        <f>MAX(AN157, AM157)/'Weighting Factors'!$Q$5</f>
        <v>100.7</v>
      </c>
      <c r="AP157" s="95">
        <f>CN157/'Weighting Factors'!$Q$5</f>
        <v>0</v>
      </c>
      <c r="AQ157" s="95">
        <v>0</v>
      </c>
      <c r="AR157" s="95">
        <f>CS157/'Weighting Factors'!$Q$5</f>
        <v>0</v>
      </c>
      <c r="AS157" s="99">
        <v>1039843</v>
      </c>
      <c r="AT157" s="95">
        <f>AS157/'Weighting Factors'!$Q$5</f>
        <v>249.7</v>
      </c>
      <c r="AU157" s="95">
        <f>IF(ISNA(VLOOKUP($CZ157,'Audit Values'!$A$2:$BU$353,2,FALSE)),'Preliminary SO66'!X156,VLOOKUP($CZ157,'Audit Values'!$A$2:$BU$353,47,FALSE))</f>
        <v>0</v>
      </c>
      <c r="AV157" s="95">
        <f t="shared" si="89"/>
        <v>1648.4</v>
      </c>
      <c r="AW157" s="95">
        <f t="shared" si="90"/>
        <v>1398.7</v>
      </c>
      <c r="AX157" s="95">
        <f>IF(ISNA(VLOOKUP($CZ157,'Audit Values'!$A$2:$BU$353,2,FALSE)),'Preliminary SO66'!AA156,VLOOKUP($CZ157,'Audit Values'!$A$2:$BU$353,41,FALSE))</f>
        <v>2</v>
      </c>
      <c r="AY157" s="95">
        <f>IF(ISNA(VLOOKUP($CZ157,'Audit Values'!$A$2:$BU$353,2,FALSE)),'Preliminary SO66'!AB156,VLOOKUP($CZ157,'Audit Values'!$A$2:$BU$353,42,FALSE))</f>
        <v>0.9</v>
      </c>
      <c r="AZ157" s="114">
        <v>1</v>
      </c>
      <c r="BA157" s="99">
        <f>SUM(AX157*'Weighting Factors'!$T$10)+('2019 Legal Max'!AY157*'Weighting Factors'!$T$11)+('2019 Legal Max'!AZ157*'Weighting Factors'!$T$12)</f>
        <v>12239</v>
      </c>
      <c r="BB157" s="158">
        <v>0</v>
      </c>
      <c r="BC157" s="88">
        <f>IF(ISNA(VLOOKUP($CZ157,'Audit Values'!$A$2:$BU$353,2,FALSE)),"",IF(AND('Weighting Factors'!H157&gt;0,VLOOKUP($CZ157,'Audit Values'!$A$2:$BU$353,51,FALSE)&lt;'Weighting Factors'!H157),'Weighting Factors'!H157,VLOOKUP($CZ157,'Audit Values'!$A$2:$BU$353,50,FALSE)))</f>
        <v>19</v>
      </c>
      <c r="BD157" s="88" t="str">
        <f>IF(ISNA(VLOOKUP($CZ157,'Audit Values'!$A$2:$BV$353,2,FALSE)),"",VLOOKUP($CZ157,'Audit Values'!$A$2:$BV$353,51,FALSE))</f>
        <v>A</v>
      </c>
      <c r="BE157" s="88" t="str">
        <f>IF('Weighting Factors'!H157="","",IF('Weighting Factors'!J157="Pending","PX","R"))</f>
        <v/>
      </c>
      <c r="BF157" s="97">
        <f>SUM((S157+T157+Y157+AA157+AE157+AH157+AJ157++AO157+AP157+AQ157+AU157+AR157)*'Weighting Factors'!$Q$5)+'2019 Legal Max'!BA157+'2019 Legal Max'!BB157</f>
        <v>5837825</v>
      </c>
      <c r="BG157" s="99">
        <f>SUM((AV157+AR157)*'Weighting Factors'!$Q$5)+BA157+'2019 Legal Max'!BB157</f>
        <v>6877825</v>
      </c>
      <c r="BH157" s="108">
        <f>IF('Weighting Factors'!H157&gt;0,'Weighting Factors'!H157,'Preliminary SO66'!AV156)</f>
        <v>7146555</v>
      </c>
      <c r="BI157" s="99">
        <f t="shared" si="114"/>
        <v>6877825</v>
      </c>
      <c r="BJ157" s="112"/>
      <c r="BK157" s="112">
        <f>'Weighting Factors'!F157</f>
        <v>0</v>
      </c>
      <c r="BL157" s="112">
        <f>'Weighting Factors'!E157</f>
        <v>-2836</v>
      </c>
      <c r="BM157" s="99">
        <f t="shared" si="91"/>
        <v>-2836</v>
      </c>
      <c r="BN157" s="99">
        <f t="shared" si="92"/>
        <v>6874989</v>
      </c>
      <c r="BO157" s="99">
        <f>SUM((S157+T157+Y157+AA157+AE157+AH157+AJ157++AO157+AP157+AQ157+AR157)*'Weighting Factors'!Q$12)+(MAX(AS157,'Weighting Factors'!B157))</f>
        <v>7320006</v>
      </c>
      <c r="BP157" s="122">
        <v>0.3</v>
      </c>
      <c r="BQ157" s="99">
        <f t="shared" si="93"/>
        <v>2196002</v>
      </c>
      <c r="BR157" s="108">
        <v>1977770</v>
      </c>
      <c r="BS157" s="99">
        <f t="shared" si="94"/>
        <v>1977770</v>
      </c>
      <c r="BT157" s="167">
        <f t="shared" si="95"/>
        <v>0.2702</v>
      </c>
      <c r="BU157" s="95">
        <f t="shared" si="96"/>
        <v>0</v>
      </c>
      <c r="BV157" s="87" t="b">
        <f t="shared" si="97"/>
        <v>0</v>
      </c>
      <c r="BW157" s="117">
        <f t="shared" si="98"/>
        <v>0</v>
      </c>
      <c r="BX157" s="116">
        <f t="shared" si="99"/>
        <v>0</v>
      </c>
      <c r="BY157" s="95">
        <f t="shared" si="100"/>
        <v>0</v>
      </c>
      <c r="BZ157" s="87" t="b">
        <f t="shared" si="101"/>
        <v>1</v>
      </c>
      <c r="CA157" s="87">
        <f t="shared" si="102"/>
        <v>628.77380000000005</v>
      </c>
      <c r="CB157" s="116">
        <f t="shared" si="103"/>
        <v>0.31156</v>
      </c>
      <c r="CC157" s="95">
        <f t="shared" si="104"/>
        <v>251.8</v>
      </c>
      <c r="CD157" s="95">
        <f t="shared" si="105"/>
        <v>0</v>
      </c>
      <c r="CE157" s="98">
        <v>597.5</v>
      </c>
      <c r="CF157" s="250">
        <f t="shared" si="106"/>
        <v>0.627</v>
      </c>
      <c r="CG157" s="274">
        <f>IF(CF157&lt;0.06,1,IF(CF157&gt;=18.29,52,MATCH(CF157-0.001,'Weighting Factors'!$Y$5:$Y$156)+1))</f>
        <v>27</v>
      </c>
      <c r="CH157" s="243">
        <f>VLOOKUP(CG157, 'Weighting Factors'!$W$5:$Z$56,4)</f>
        <v>1050</v>
      </c>
      <c r="CI157" s="118">
        <f>('Weighting Factors'!$Q$5/'Weighting Factors'!$Q$14)</f>
        <v>1</v>
      </c>
      <c r="CJ157" s="245">
        <f t="shared" si="107"/>
        <v>393225</v>
      </c>
      <c r="CK157" s="245">
        <f>CJ157*'Weighting Factors'!$S$7</f>
        <v>393225</v>
      </c>
      <c r="CL157" s="245">
        <f t="shared" si="108"/>
        <v>393225</v>
      </c>
      <c r="CM157" s="95">
        <f>AM157/'Weighting Factors'!$Q$5</f>
        <v>94.4</v>
      </c>
      <c r="CN157" s="148">
        <v>0</v>
      </c>
      <c r="CO157" s="148">
        <v>0</v>
      </c>
      <c r="CP157" s="149">
        <v>0</v>
      </c>
      <c r="CQ157" s="151">
        <v>0</v>
      </c>
      <c r="CR157" s="99">
        <f>SUM((AV157*'Weighting Factors'!$Q$5)+'2019 Legal Max'!BA157)*CQ157</f>
        <v>0</v>
      </c>
      <c r="CS157" s="99">
        <f t="shared" si="109"/>
        <v>0</v>
      </c>
      <c r="CT157" s="106">
        <f t="shared" si="110"/>
        <v>0.4672</v>
      </c>
      <c r="CU157" s="95">
        <f t="shared" si="111"/>
        <v>0</v>
      </c>
      <c r="CV157" s="95">
        <f t="shared" si="112"/>
        <v>31.6</v>
      </c>
      <c r="CW157" s="95">
        <f t="shared" si="113"/>
        <v>1648.4</v>
      </c>
      <c r="CX157" s="99">
        <f>'LOB Transfers'!G156</f>
        <v>225070</v>
      </c>
      <c r="CY157" s="99">
        <f>'LOB Transfers'!J156</f>
        <v>12658</v>
      </c>
      <c r="CZ157" s="87" t="s">
        <v>349</v>
      </c>
    </row>
    <row r="158" spans="1:104" ht="15" customHeight="1">
      <c r="A158" s="88">
        <v>362</v>
      </c>
      <c r="B158" s="87" t="s">
        <v>60</v>
      </c>
      <c r="C158" s="87" t="s">
        <v>671</v>
      </c>
      <c r="D158" s="95">
        <v>852.1</v>
      </c>
      <c r="E158" s="95">
        <v>0</v>
      </c>
      <c r="F158" s="95">
        <f t="shared" si="80"/>
        <v>852.1</v>
      </c>
      <c r="G158" s="95">
        <v>907.4</v>
      </c>
      <c r="H158" s="95">
        <v>0</v>
      </c>
      <c r="I158" s="95">
        <f t="shared" si="81"/>
        <v>907.4</v>
      </c>
      <c r="J158" s="95">
        <v>881.8</v>
      </c>
      <c r="K158" s="95">
        <v>0</v>
      </c>
      <c r="L158" s="95">
        <f t="shared" si="82"/>
        <v>881.8</v>
      </c>
      <c r="M158" s="95">
        <f>IF(ISNA(VLOOKUP($CZ158,'Audit Values'!$A$2:$BW$365,2,FALSE)),'Preliminary SO66'!C157,VLOOKUP($CZ158,'Audit Values'!$A$2:$BW$365,73,FALSE))</f>
        <v>858.4</v>
      </c>
      <c r="N158" s="95">
        <f>IF(ISNA(VLOOKUP($CZ158,'Audit Values'!$A$2:$BW$365,2,FALSE)),'Preliminary SO66'!F157,VLOOKUP($CZ158,'Audit Values'!$A$2:$BW$365,4,FALSE))</f>
        <v>0</v>
      </c>
      <c r="O158" s="95">
        <f t="shared" si="83"/>
        <v>858.4</v>
      </c>
      <c r="P158" s="95">
        <f>IF('Military Provision'!J159="YES", MAX('2019 Legal Max'!L158,'2019 Legal Max'!I158,AVERAGE('2019 Legal Max'!F158,'2019 Legal Max'!I158,'2019 Legal Max'!L158)), MAX(L158, I158))</f>
        <v>907.4</v>
      </c>
      <c r="Q158" s="95">
        <f>IF(ISNA(VLOOKUP($CZ158,'Audit Values'!$A$2:$BU$353,2,FALSE)),'Preliminary SO66'!AL157,VLOOKUP($CZ158,'Audit Values'!$A$2:$BU$3955,58,FALSE))</f>
        <v>0</v>
      </c>
      <c r="R158" s="95">
        <v>0</v>
      </c>
      <c r="S158" s="95">
        <f t="shared" si="115"/>
        <v>907.4</v>
      </c>
      <c r="T158" s="95">
        <f t="shared" si="84"/>
        <v>252.1</v>
      </c>
      <c r="U158" s="95">
        <f>IF(ISNA(VLOOKUP($CZ158,'Audit Values'!$A$2:$BW$317,2,FALSE)),'Preliminary SO66'!AM157,VLOOKUP($CZ158,'Audit Values'!$A$2:$BW$317,62,FALSE))</f>
        <v>2</v>
      </c>
      <c r="V158" s="95">
        <f>(U158/6)*'Weighting Factors'!$Q$7</f>
        <v>0.1</v>
      </c>
      <c r="W158" s="132">
        <f>IF(ISNA(VLOOKUP($CZ158,'Audit Values'!$A$2:$BW$353,2,FALSE)),'Preliminary SO66'!AN157,VLOOKUP($CZ158,'Audit Values'!$A$2:$BW$353,61,FALSE))</f>
        <v>9</v>
      </c>
      <c r="X158" s="95">
        <f>W158*'Weighting Factors'!$Q$8</f>
        <v>1.7</v>
      </c>
      <c r="Y158" s="95">
        <f t="shared" si="85"/>
        <v>1.7</v>
      </c>
      <c r="Z158" s="276">
        <f>IF(ISNA(VLOOKUP($CZ158,'Audit Values'!$A$2:$BW$317,2,FALSE)),'Preliminary SO66'!AO157,VLOOKUP($CZ158,'Audit Values'!$A$2:$BW$317,60,FALSE))</f>
        <v>208.9</v>
      </c>
      <c r="AA158" s="95">
        <f>Z158/6*'Weighting Factors'!$Q$6</f>
        <v>17.399999999999999</v>
      </c>
      <c r="AB158" s="99">
        <f>IF(ISNA(VLOOKUP($CZ158,'Audit Values'!$A$2:$BU$353,2,FALSE)),'Preliminary SO66'!AS157,VLOOKUP($CZ158,'Audit Values'!$A$2:$BU$353,63,FALSE))</f>
        <v>870</v>
      </c>
      <c r="AC158" s="99">
        <v>0</v>
      </c>
      <c r="AD158" s="99">
        <f>IF(ISNA(VLOOKUP($CZ158,'Audit Values'!$A$2:$BU$353,2,FALSE)),'Preliminary SO66'!AP157,VLOOKUP($CZ158,'Audit Values'!$A$2:$BU$353,64,FALSE))</f>
        <v>313</v>
      </c>
      <c r="AE158" s="95">
        <f>IF(A158=207, AD158,MAX(AC158,AD158))*'Weighting Factors'!$Q$9</f>
        <v>151.5</v>
      </c>
      <c r="AF158" s="95">
        <f t="shared" si="86"/>
        <v>2.1</v>
      </c>
      <c r="AG158" s="95">
        <f>IF(ISNA(VLOOKUP($CZ158,'Audit Values'!$A$2:$BW$353,2,FALSE)),'Preliminary SO66'!AG157,VLOOKUP($CZ158,'Audit Values'!$A$2:$BW$353,70,FALSE))</f>
        <v>8.3000000000000007</v>
      </c>
      <c r="AH158" s="95">
        <f t="shared" si="87"/>
        <v>8.3000000000000007</v>
      </c>
      <c r="AI158" s="95">
        <f>IF(ISNA(VLOOKUP($CZ158,'Audit Values'!$A$2:$BU$353,2,FALSE)),'Preliminary SO66'!AQ157,VLOOKUP($CZ158,'Audit Values'!$A$2:$BU$353,65,FALSE))</f>
        <v>0</v>
      </c>
      <c r="AJ158" s="95">
        <f>AI158*'Weighting Factors'!$Q$10</f>
        <v>0</v>
      </c>
      <c r="AK158" s="95">
        <f>IF(ISNA(VLOOKUP($CZ158,'Audit Values'!$A$2:$BU$353,2,FALSE)),'Preliminary SO66'!AR157,VLOOKUP($CZ158,'Audit Values'!$A$2:$BU$353,66,FALSE))</f>
        <v>626</v>
      </c>
      <c r="AL158" s="95"/>
      <c r="AM158" s="99">
        <f t="shared" si="88"/>
        <v>532100</v>
      </c>
      <c r="AN158" s="99">
        <v>582808</v>
      </c>
      <c r="AO158" s="95">
        <f>MAX(AN158, AM158)/'Weighting Factors'!$Q$5</f>
        <v>139.9</v>
      </c>
      <c r="AP158" s="95">
        <f>CN158/'Weighting Factors'!$Q$5</f>
        <v>0</v>
      </c>
      <c r="AQ158" s="95">
        <v>0</v>
      </c>
      <c r="AR158" s="95">
        <f>CS158/'Weighting Factors'!$Q$5</f>
        <v>0</v>
      </c>
      <c r="AS158" s="99">
        <v>1317910</v>
      </c>
      <c r="AT158" s="95">
        <f>AS158/'Weighting Factors'!$Q$5</f>
        <v>316.39999999999998</v>
      </c>
      <c r="AU158" s="95">
        <f>IF(ISNA(VLOOKUP($CZ158,'Audit Values'!$A$2:$BU$353,2,FALSE)),'Preliminary SO66'!X157,VLOOKUP($CZ158,'Audit Values'!$A$2:$BU$353,47,FALSE))</f>
        <v>0</v>
      </c>
      <c r="AV158" s="95">
        <f t="shared" si="89"/>
        <v>1794.7</v>
      </c>
      <c r="AW158" s="95">
        <f t="shared" si="90"/>
        <v>1478.3</v>
      </c>
      <c r="AX158" s="95">
        <f>IF(ISNA(VLOOKUP($CZ158,'Audit Values'!$A$2:$BU$353,2,FALSE)),'Preliminary SO66'!AA157,VLOOKUP($CZ158,'Audit Values'!$A$2:$BU$353,41,FALSE))</f>
        <v>0</v>
      </c>
      <c r="AY158" s="95">
        <f>IF(ISNA(VLOOKUP($CZ158,'Audit Values'!$A$2:$BU$353,2,FALSE)),'Preliminary SO66'!AB157,VLOOKUP($CZ158,'Audit Values'!$A$2:$BU$353,42,FALSE))</f>
        <v>0.2</v>
      </c>
      <c r="AZ158" s="114">
        <v>0</v>
      </c>
      <c r="BA158" s="99">
        <f>SUM(AX158*'Weighting Factors'!$T$10)+('2019 Legal Max'!AY158*'Weighting Factors'!$T$11)+('2019 Legal Max'!AZ158*'Weighting Factors'!$T$12)</f>
        <v>340</v>
      </c>
      <c r="BB158" s="158">
        <v>0</v>
      </c>
      <c r="BC158" s="88">
        <f>IF(ISNA(VLOOKUP($CZ158,'Audit Values'!$A$2:$BU$353,2,FALSE)),"",IF(AND('Weighting Factors'!H158&gt;0,VLOOKUP($CZ158,'Audit Values'!$A$2:$BU$353,51,FALSE)&lt;'Weighting Factors'!H158),'Weighting Factors'!H158,VLOOKUP($CZ158,'Audit Values'!$A$2:$BU$353,50,FALSE)))</f>
        <v>11</v>
      </c>
      <c r="BD158" s="88" t="str">
        <f>IF(ISNA(VLOOKUP($CZ158,'Audit Values'!$A$2:$BV$353,2,FALSE)),"",VLOOKUP($CZ158,'Audit Values'!$A$2:$BV$353,51,FALSE))</f>
        <v>A</v>
      </c>
      <c r="BE158" s="88" t="str">
        <f>IF('Weighting Factors'!H158="","",IF('Weighting Factors'!J158="Pending","PX","R"))</f>
        <v/>
      </c>
      <c r="BF158" s="97">
        <f>SUM((S158+T158+Y158+AA158+AE158+AH158+AJ158++AO158+AP158+AQ158+AU158+AR158)*'Weighting Factors'!$Q$5)+'2019 Legal Max'!BA158+'2019 Legal Max'!BB158</f>
        <v>6157460</v>
      </c>
      <c r="BG158" s="99">
        <f>SUM((AV158+AR158)*'Weighting Factors'!$Q$5)+BA158+'2019 Legal Max'!BB158</f>
        <v>7475266</v>
      </c>
      <c r="BH158" s="108">
        <f>IF('Weighting Factors'!H158&gt;0,'Weighting Factors'!H158,'Preliminary SO66'!AV157)</f>
        <v>7861858</v>
      </c>
      <c r="BI158" s="99">
        <f t="shared" si="114"/>
        <v>7475266</v>
      </c>
      <c r="BJ158" s="112"/>
      <c r="BK158" s="112">
        <f>'Weighting Factors'!F158</f>
        <v>-123059</v>
      </c>
      <c r="BL158" s="112">
        <f>'Weighting Factors'!E158</f>
        <v>0</v>
      </c>
      <c r="BM158" s="99">
        <f t="shared" si="91"/>
        <v>-123059</v>
      </c>
      <c r="BN158" s="99">
        <f t="shared" si="92"/>
        <v>7352207</v>
      </c>
      <c r="BO158" s="99">
        <f>SUM((S158+T158+Y158+AA158+AE158+AH158+AJ158++AO158+AP158+AQ158+AR158)*'Weighting Factors'!Q$12)+(MAX(AS158,'Weighting Factors'!B158))</f>
        <v>8050212</v>
      </c>
      <c r="BP158" s="122">
        <v>0.33</v>
      </c>
      <c r="BQ158" s="99">
        <f t="shared" si="93"/>
        <v>2656570</v>
      </c>
      <c r="BR158" s="108">
        <v>2752226</v>
      </c>
      <c r="BS158" s="99">
        <f t="shared" si="94"/>
        <v>2656570</v>
      </c>
      <c r="BT158" s="167">
        <f t="shared" si="95"/>
        <v>0.33</v>
      </c>
      <c r="BU158" s="95">
        <f t="shared" si="96"/>
        <v>0</v>
      </c>
      <c r="BV158" s="87" t="b">
        <f t="shared" si="97"/>
        <v>0</v>
      </c>
      <c r="BW158" s="117">
        <f t="shared" si="98"/>
        <v>0</v>
      </c>
      <c r="BX158" s="116">
        <f t="shared" si="99"/>
        <v>0</v>
      </c>
      <c r="BY158" s="95">
        <f t="shared" si="100"/>
        <v>0</v>
      </c>
      <c r="BZ158" s="87" t="b">
        <f t="shared" si="101"/>
        <v>1</v>
      </c>
      <c r="CA158" s="87">
        <f t="shared" si="102"/>
        <v>751.65750000000003</v>
      </c>
      <c r="CB158" s="116">
        <f t="shared" si="103"/>
        <v>0.27782299999999999</v>
      </c>
      <c r="CC158" s="95">
        <f t="shared" si="104"/>
        <v>252.1</v>
      </c>
      <c r="CD158" s="95">
        <f t="shared" si="105"/>
        <v>0</v>
      </c>
      <c r="CE158" s="98">
        <v>320</v>
      </c>
      <c r="CF158" s="250">
        <f t="shared" si="106"/>
        <v>1.956</v>
      </c>
      <c r="CG158" s="274">
        <f>IF(CF158&lt;0.06,1,IF(CF158&gt;=18.29,52,MATCH(CF158-0.001,'Weighting Factors'!$Y$5:$Y$156)+1))</f>
        <v>37</v>
      </c>
      <c r="CH158" s="243">
        <f>VLOOKUP(CG158, 'Weighting Factors'!$W$5:$Z$56,4)</f>
        <v>850</v>
      </c>
      <c r="CI158" s="118">
        <f>('Weighting Factors'!$Q$5/'Weighting Factors'!$Q$14)</f>
        <v>1</v>
      </c>
      <c r="CJ158" s="245">
        <f t="shared" si="107"/>
        <v>532100</v>
      </c>
      <c r="CK158" s="245">
        <f>CJ158*'Weighting Factors'!$S$7</f>
        <v>532100</v>
      </c>
      <c r="CL158" s="245">
        <f t="shared" si="108"/>
        <v>532100</v>
      </c>
      <c r="CM158" s="95">
        <f>AM158/'Weighting Factors'!$Q$5</f>
        <v>127.8</v>
      </c>
      <c r="CN158" s="148">
        <v>0</v>
      </c>
      <c r="CO158" s="148">
        <v>0</v>
      </c>
      <c r="CP158" s="149">
        <v>0</v>
      </c>
      <c r="CQ158" s="151">
        <v>0</v>
      </c>
      <c r="CR158" s="99">
        <f>SUM((AV158*'Weighting Factors'!$Q$5)+'2019 Legal Max'!BA158)*CQ158</f>
        <v>0</v>
      </c>
      <c r="CS158" s="99">
        <f t="shared" si="109"/>
        <v>0</v>
      </c>
      <c r="CT158" s="106">
        <f t="shared" si="110"/>
        <v>0.35980000000000001</v>
      </c>
      <c r="CU158" s="95">
        <f t="shared" si="111"/>
        <v>0</v>
      </c>
      <c r="CV158" s="95">
        <f t="shared" si="112"/>
        <v>2.1</v>
      </c>
      <c r="CW158" s="95">
        <f t="shared" si="113"/>
        <v>1794.7</v>
      </c>
      <c r="CX158" s="99">
        <f>'LOB Transfers'!G157</f>
        <v>224215</v>
      </c>
      <c r="CY158" s="99">
        <f>'LOB Transfers'!J157</f>
        <v>2391</v>
      </c>
      <c r="CZ158" s="87" t="s">
        <v>350</v>
      </c>
    </row>
    <row r="159" spans="1:104" ht="15" customHeight="1">
      <c r="A159" s="88">
        <v>363</v>
      </c>
      <c r="B159" s="87" t="s">
        <v>69</v>
      </c>
      <c r="C159" s="87" t="s">
        <v>672</v>
      </c>
      <c r="D159" s="95">
        <v>946.5</v>
      </c>
      <c r="E159" s="95">
        <v>0</v>
      </c>
      <c r="F159" s="95">
        <f t="shared" si="80"/>
        <v>946.5</v>
      </c>
      <c r="G159" s="95">
        <v>973.5</v>
      </c>
      <c r="H159" s="95">
        <v>0</v>
      </c>
      <c r="I159" s="95">
        <f t="shared" si="81"/>
        <v>973.5</v>
      </c>
      <c r="J159" s="95">
        <v>956</v>
      </c>
      <c r="K159" s="95">
        <v>0</v>
      </c>
      <c r="L159" s="95">
        <f t="shared" si="82"/>
        <v>956</v>
      </c>
      <c r="M159" s="95">
        <f>IF(ISNA(VLOOKUP($CZ159,'Audit Values'!$A$2:$BW$365,2,FALSE)),'Preliminary SO66'!C158,VLOOKUP($CZ159,'Audit Values'!$A$2:$BW$365,73,FALSE))</f>
        <v>924.6</v>
      </c>
      <c r="N159" s="95">
        <f>IF(ISNA(VLOOKUP($CZ159,'Audit Values'!$A$2:$BW$365,2,FALSE)),'Preliminary SO66'!F158,VLOOKUP($CZ159,'Audit Values'!$A$2:$BW$365,4,FALSE))</f>
        <v>0</v>
      </c>
      <c r="O159" s="95">
        <f t="shared" si="83"/>
        <v>924.6</v>
      </c>
      <c r="P159" s="95">
        <f>IF('Military Provision'!J160="YES", MAX('2019 Legal Max'!L159,'2019 Legal Max'!I159,AVERAGE('2019 Legal Max'!F159,'2019 Legal Max'!I159,'2019 Legal Max'!L159)), MAX(L159, I159))</f>
        <v>973.5</v>
      </c>
      <c r="Q159" s="95">
        <f>IF(ISNA(VLOOKUP($CZ159,'Audit Values'!$A$2:$BU$353,2,FALSE)),'Preliminary SO66'!AL158,VLOOKUP($CZ159,'Audit Values'!$A$2:$BU$3955,58,FALSE))</f>
        <v>10.5</v>
      </c>
      <c r="R159" s="95">
        <v>0</v>
      </c>
      <c r="S159" s="95">
        <f t="shared" si="115"/>
        <v>984</v>
      </c>
      <c r="T159" s="95">
        <f t="shared" si="84"/>
        <v>247.8</v>
      </c>
      <c r="U159" s="95">
        <f>IF(ISNA(VLOOKUP($CZ159,'Audit Values'!$A$2:$BW$317,2,FALSE)),'Preliminary SO66'!AM158,VLOOKUP($CZ159,'Audit Values'!$A$2:$BW$317,62,FALSE))</f>
        <v>552.5</v>
      </c>
      <c r="V159" s="95">
        <f>(U159/6)*'Weighting Factors'!$Q$7</f>
        <v>36.4</v>
      </c>
      <c r="W159" s="132">
        <f>IF(ISNA(VLOOKUP($CZ159,'Audit Values'!$A$2:$BW$353,2,FALSE)),'Preliminary SO66'!AN158,VLOOKUP($CZ159,'Audit Values'!$A$2:$BW$353,61,FALSE))</f>
        <v>152</v>
      </c>
      <c r="X159" s="95">
        <f>W159*'Weighting Factors'!$Q$8</f>
        <v>28.1</v>
      </c>
      <c r="Y159" s="95">
        <f t="shared" si="85"/>
        <v>36.4</v>
      </c>
      <c r="Z159" s="276">
        <f>IF(ISNA(VLOOKUP($CZ159,'Audit Values'!$A$2:$BW$317,2,FALSE)),'Preliminary SO66'!AO158,VLOOKUP($CZ159,'Audit Values'!$A$2:$BW$317,60,FALSE))</f>
        <v>147.19999999999999</v>
      </c>
      <c r="AA159" s="95">
        <f>Z159/6*'Weighting Factors'!$Q$6</f>
        <v>12.3</v>
      </c>
      <c r="AB159" s="99">
        <f>IF(ISNA(VLOOKUP($CZ159,'Audit Values'!$A$2:$BU$353,2,FALSE)),'Preliminary SO66'!AS158,VLOOKUP($CZ159,'Audit Values'!$A$2:$BU$353,63,FALSE))</f>
        <v>952</v>
      </c>
      <c r="AC159" s="99">
        <v>0</v>
      </c>
      <c r="AD159" s="99">
        <f>IF(ISNA(VLOOKUP($CZ159,'Audit Values'!$A$2:$BU$353,2,FALSE)),'Preliminary SO66'!AP158,VLOOKUP($CZ159,'Audit Values'!$A$2:$BU$353,64,FALSE))</f>
        <v>332</v>
      </c>
      <c r="AE159" s="95">
        <f>IF(A159=207, AD159,MAX(AC159,AD159))*'Weighting Factors'!$Q$9</f>
        <v>160.69999999999999</v>
      </c>
      <c r="AF159" s="95">
        <f t="shared" si="86"/>
        <v>0</v>
      </c>
      <c r="AG159" s="95">
        <f>IF(ISNA(VLOOKUP($CZ159,'Audit Values'!$A$2:$BW$353,2,FALSE)),'Preliminary SO66'!AG158,VLOOKUP($CZ159,'Audit Values'!$A$2:$BW$353,70,FALSE))</f>
        <v>4</v>
      </c>
      <c r="AH159" s="95">
        <f t="shared" si="87"/>
        <v>4</v>
      </c>
      <c r="AI159" s="95">
        <f>IF(ISNA(VLOOKUP($CZ159,'Audit Values'!$A$2:$BU$353,2,FALSE)),'Preliminary SO66'!AQ158,VLOOKUP($CZ159,'Audit Values'!$A$2:$BU$353,65,FALSE))</f>
        <v>0</v>
      </c>
      <c r="AJ159" s="95">
        <f>AI159*'Weighting Factors'!$Q$10</f>
        <v>0</v>
      </c>
      <c r="AK159" s="95">
        <f>IF(ISNA(VLOOKUP($CZ159,'Audit Values'!$A$2:$BU$353,2,FALSE)),'Preliminary SO66'!AR158,VLOOKUP($CZ159,'Audit Values'!$A$2:$BU$353,66,FALSE))</f>
        <v>40</v>
      </c>
      <c r="AL159" s="95"/>
      <c r="AM159" s="99">
        <f t="shared" si="88"/>
        <v>52800</v>
      </c>
      <c r="AN159" s="99">
        <v>125575</v>
      </c>
      <c r="AO159" s="95">
        <f>MAX(AN159, AM159)/'Weighting Factors'!$Q$5</f>
        <v>30.2</v>
      </c>
      <c r="AP159" s="95">
        <f>CN159/'Weighting Factors'!$Q$5</f>
        <v>0</v>
      </c>
      <c r="AQ159" s="95">
        <v>0</v>
      </c>
      <c r="AR159" s="95">
        <f>CS159/'Weighting Factors'!$Q$5</f>
        <v>0</v>
      </c>
      <c r="AS159" s="99">
        <v>578910</v>
      </c>
      <c r="AT159" s="95">
        <f>AS159/'Weighting Factors'!$Q$5</f>
        <v>139</v>
      </c>
      <c r="AU159" s="95">
        <f>IF(ISNA(VLOOKUP($CZ159,'Audit Values'!$A$2:$BU$353,2,FALSE)),'Preliminary SO66'!X158,VLOOKUP($CZ159,'Audit Values'!$A$2:$BU$353,47,FALSE))</f>
        <v>0</v>
      </c>
      <c r="AV159" s="95">
        <f t="shared" si="89"/>
        <v>1614.4</v>
      </c>
      <c r="AW159" s="95">
        <f t="shared" si="90"/>
        <v>1475.4</v>
      </c>
      <c r="AX159" s="95">
        <f>IF(ISNA(VLOOKUP($CZ159,'Audit Values'!$A$2:$BU$353,2,FALSE)),'Preliminary SO66'!AA158,VLOOKUP($CZ159,'Audit Values'!$A$2:$BU$353,41,FALSE))</f>
        <v>0</v>
      </c>
      <c r="AY159" s="95">
        <f>IF(ISNA(VLOOKUP($CZ159,'Audit Values'!$A$2:$BU$353,2,FALSE)),'Preliminary SO66'!AB158,VLOOKUP($CZ159,'Audit Values'!$A$2:$BU$353,42,FALSE))</f>
        <v>0</v>
      </c>
      <c r="AZ159" s="114">
        <v>0</v>
      </c>
      <c r="BA159" s="99">
        <f>SUM(AX159*'Weighting Factors'!$T$10)+('2019 Legal Max'!AY159*'Weighting Factors'!$T$11)+('2019 Legal Max'!AZ159*'Weighting Factors'!$T$12)</f>
        <v>0</v>
      </c>
      <c r="BB159" s="158">
        <v>0</v>
      </c>
      <c r="BC159" s="88">
        <f>IF(ISNA(VLOOKUP($CZ159,'Audit Values'!$A$2:$BU$353,2,FALSE)),"",IF(AND('Weighting Factors'!H159&gt;0,VLOOKUP($CZ159,'Audit Values'!$A$2:$BU$353,51,FALSE)&lt;'Weighting Factors'!H159),'Weighting Factors'!H159,VLOOKUP($CZ159,'Audit Values'!$A$2:$BU$353,50,FALSE)))</f>
        <v>15</v>
      </c>
      <c r="BD159" s="88" t="str">
        <f>IF(ISNA(VLOOKUP($CZ159,'Audit Values'!$A$2:$BV$353,2,FALSE)),"",VLOOKUP($CZ159,'Audit Values'!$A$2:$BV$353,51,FALSE))</f>
        <v>A</v>
      </c>
      <c r="BE159" s="88" t="str">
        <f>IF('Weighting Factors'!H159="","",IF('Weighting Factors'!J159="Pending","PX","R"))</f>
        <v/>
      </c>
      <c r="BF159" s="97">
        <f>SUM((S159+T159+Y159+AA159+AE159+AH159+AJ159++AO159+AP159+AQ159+AU159+AR159)*'Weighting Factors'!$Q$5)+'2019 Legal Max'!BA159+'2019 Legal Max'!BB159</f>
        <v>6145041</v>
      </c>
      <c r="BG159" s="99">
        <f>SUM((AV159+AR159)*'Weighting Factors'!$Q$5)+BA159+'2019 Legal Max'!BB159</f>
        <v>6723976</v>
      </c>
      <c r="BH159" s="108">
        <f>IF('Weighting Factors'!H159&gt;0,'Weighting Factors'!H159,'Preliminary SO66'!AV158)</f>
        <v>7074253</v>
      </c>
      <c r="BI159" s="99">
        <f t="shared" si="114"/>
        <v>6723976</v>
      </c>
      <c r="BJ159" s="112"/>
      <c r="BK159" s="112">
        <f>'Weighting Factors'!F159</f>
        <v>0</v>
      </c>
      <c r="BL159" s="112">
        <f>'Weighting Factors'!E159</f>
        <v>0</v>
      </c>
      <c r="BM159" s="99">
        <f t="shared" si="91"/>
        <v>0</v>
      </c>
      <c r="BN159" s="99">
        <f t="shared" si="92"/>
        <v>6723976</v>
      </c>
      <c r="BO159" s="99">
        <f>SUM((S159+T159+Y159+AA159+AE159+AH159+AJ159++AO159+AP159+AQ159+AR159)*'Weighting Factors'!Q$12)+(MAX(AS159,'Weighting Factors'!B159))</f>
        <v>7203456</v>
      </c>
      <c r="BP159" s="122">
        <v>0.3</v>
      </c>
      <c r="BQ159" s="99">
        <f t="shared" si="93"/>
        <v>2161037</v>
      </c>
      <c r="BR159" s="108">
        <v>2200000</v>
      </c>
      <c r="BS159" s="99">
        <f t="shared" si="94"/>
        <v>2161037</v>
      </c>
      <c r="BT159" s="167">
        <f t="shared" si="95"/>
        <v>0.3</v>
      </c>
      <c r="BU159" s="95">
        <f t="shared" si="96"/>
        <v>0</v>
      </c>
      <c r="BV159" s="87" t="b">
        <f t="shared" si="97"/>
        <v>0</v>
      </c>
      <c r="BW159" s="117">
        <f t="shared" si="98"/>
        <v>0</v>
      </c>
      <c r="BX159" s="116">
        <f t="shared" si="99"/>
        <v>0</v>
      </c>
      <c r="BY159" s="95">
        <f t="shared" si="100"/>
        <v>0</v>
      </c>
      <c r="BZ159" s="87" t="b">
        <f t="shared" si="101"/>
        <v>1</v>
      </c>
      <c r="CA159" s="87">
        <f t="shared" si="102"/>
        <v>846.45</v>
      </c>
      <c r="CB159" s="116">
        <f t="shared" si="103"/>
        <v>0.25179800000000002</v>
      </c>
      <c r="CC159" s="95">
        <f t="shared" si="104"/>
        <v>247.8</v>
      </c>
      <c r="CD159" s="95">
        <f t="shared" si="105"/>
        <v>0</v>
      </c>
      <c r="CE159" s="98">
        <v>231</v>
      </c>
      <c r="CF159" s="250">
        <f t="shared" si="106"/>
        <v>0.17299999999999999</v>
      </c>
      <c r="CG159" s="274">
        <f>IF(CF159&lt;0.06,1,IF(CF159&gt;=18.29,52,MATCH(CF159-0.001,'Weighting Factors'!$Y$5:$Y$156)+1))</f>
        <v>13</v>
      </c>
      <c r="CH159" s="243">
        <f>VLOOKUP(CG159, 'Weighting Factors'!$W$5:$Z$56,4)</f>
        <v>1320</v>
      </c>
      <c r="CI159" s="118">
        <f>('Weighting Factors'!$Q$5/'Weighting Factors'!$Q$14)</f>
        <v>1</v>
      </c>
      <c r="CJ159" s="245">
        <f t="shared" si="107"/>
        <v>52800</v>
      </c>
      <c r="CK159" s="245">
        <f>CJ159*'Weighting Factors'!$S$7</f>
        <v>52800</v>
      </c>
      <c r="CL159" s="245">
        <f t="shared" si="108"/>
        <v>52800</v>
      </c>
      <c r="CM159" s="95">
        <f>AM159/'Weighting Factors'!$Q$5</f>
        <v>12.7</v>
      </c>
      <c r="CN159" s="148">
        <v>0</v>
      </c>
      <c r="CO159" s="148">
        <v>0</v>
      </c>
      <c r="CP159" s="149">
        <v>0</v>
      </c>
      <c r="CQ159" s="151">
        <v>0</v>
      </c>
      <c r="CR159" s="99">
        <f>SUM((AV159*'Weighting Factors'!$Q$5)+'2019 Legal Max'!BA159)*CQ159</f>
        <v>0</v>
      </c>
      <c r="CS159" s="99">
        <f t="shared" si="109"/>
        <v>0</v>
      </c>
      <c r="CT159" s="106">
        <f t="shared" si="110"/>
        <v>0.34870000000000001</v>
      </c>
      <c r="CU159" s="95">
        <f t="shared" si="111"/>
        <v>0</v>
      </c>
      <c r="CV159" s="95">
        <f t="shared" si="112"/>
        <v>0</v>
      </c>
      <c r="CW159" s="95">
        <f t="shared" si="113"/>
        <v>1614.4</v>
      </c>
      <c r="CX159" s="99">
        <f>'LOB Transfers'!G158</f>
        <v>216536</v>
      </c>
      <c r="CY159" s="99">
        <f>'LOB Transfers'!J158</f>
        <v>49056</v>
      </c>
      <c r="CZ159" s="87" t="s">
        <v>351</v>
      </c>
    </row>
    <row r="160" spans="1:104" ht="15" customHeight="1">
      <c r="A160" s="88">
        <v>364</v>
      </c>
      <c r="B160" s="87" t="s">
        <v>70</v>
      </c>
      <c r="C160" s="87" t="s">
        <v>673</v>
      </c>
      <c r="D160" s="95">
        <v>689.5</v>
      </c>
      <c r="E160" s="95">
        <v>0</v>
      </c>
      <c r="F160" s="95">
        <f t="shared" si="80"/>
        <v>689.5</v>
      </c>
      <c r="G160" s="95">
        <v>702.5</v>
      </c>
      <c r="H160" s="95">
        <v>0</v>
      </c>
      <c r="I160" s="95">
        <f t="shared" si="81"/>
        <v>702.5</v>
      </c>
      <c r="J160" s="95">
        <v>735.4</v>
      </c>
      <c r="K160" s="95">
        <v>0</v>
      </c>
      <c r="L160" s="95">
        <f t="shared" si="82"/>
        <v>735.4</v>
      </c>
      <c r="M160" s="95">
        <f>IF(ISNA(VLOOKUP($CZ160,'Audit Values'!$A$2:$BW$365,2,FALSE)),'Preliminary SO66'!C159,VLOOKUP($CZ160,'Audit Values'!$A$2:$BW$365,73,FALSE))</f>
        <v>740</v>
      </c>
      <c r="N160" s="95">
        <f>IF(ISNA(VLOOKUP($CZ160,'Audit Values'!$A$2:$BW$365,2,FALSE)),'Preliminary SO66'!F159,VLOOKUP($CZ160,'Audit Values'!$A$2:$BW$365,4,FALSE))</f>
        <v>0</v>
      </c>
      <c r="O160" s="95">
        <f t="shared" si="83"/>
        <v>740</v>
      </c>
      <c r="P160" s="95">
        <f>IF('Military Provision'!J161="YES", MAX('2019 Legal Max'!L160,'2019 Legal Max'!I160,AVERAGE('2019 Legal Max'!F160,'2019 Legal Max'!I160,'2019 Legal Max'!L160)), MAX(L160, I160))</f>
        <v>735.4</v>
      </c>
      <c r="Q160" s="95">
        <f>IF(ISNA(VLOOKUP($CZ160,'Audit Values'!$A$2:$BU$353,2,FALSE)),'Preliminary SO66'!AL159,VLOOKUP($CZ160,'Audit Values'!$A$2:$BU$3955,58,FALSE))</f>
        <v>5</v>
      </c>
      <c r="R160" s="95">
        <v>0</v>
      </c>
      <c r="S160" s="95">
        <f t="shared" si="115"/>
        <v>740.4</v>
      </c>
      <c r="T160" s="95">
        <f t="shared" si="84"/>
        <v>247.7</v>
      </c>
      <c r="U160" s="95">
        <f>IF(ISNA(VLOOKUP($CZ160,'Audit Values'!$A$2:$BW$317,2,FALSE)),'Preliminary SO66'!AM159,VLOOKUP($CZ160,'Audit Values'!$A$2:$BW$317,62,FALSE))</f>
        <v>0</v>
      </c>
      <c r="V160" s="95">
        <f>(U160/6)*'Weighting Factors'!$Q$7</f>
        <v>0</v>
      </c>
      <c r="W160" s="132">
        <f>IF(ISNA(VLOOKUP($CZ160,'Audit Values'!$A$2:$BW$353,2,FALSE)),'Preliminary SO66'!AN159,VLOOKUP($CZ160,'Audit Values'!$A$2:$BW$353,61,FALSE))</f>
        <v>6</v>
      </c>
      <c r="X160" s="95">
        <f>W160*'Weighting Factors'!$Q$8</f>
        <v>1.1000000000000001</v>
      </c>
      <c r="Y160" s="95">
        <f t="shared" si="85"/>
        <v>1.1000000000000001</v>
      </c>
      <c r="Z160" s="276">
        <f>IF(ISNA(VLOOKUP($CZ160,'Audit Values'!$A$2:$BW$317,2,FALSE)),'Preliminary SO66'!AO159,VLOOKUP($CZ160,'Audit Values'!$A$2:$BW$317,60,FALSE))</f>
        <v>348.4</v>
      </c>
      <c r="AA160" s="95">
        <f>Z160/6*'Weighting Factors'!$Q$6</f>
        <v>29</v>
      </c>
      <c r="AB160" s="99">
        <f>IF(ISNA(VLOOKUP($CZ160,'Audit Values'!$A$2:$BU$353,2,FALSE)),'Preliminary SO66'!AS159,VLOOKUP($CZ160,'Audit Values'!$A$2:$BU$353,63,FALSE))</f>
        <v>785</v>
      </c>
      <c r="AC160" s="99">
        <v>0</v>
      </c>
      <c r="AD160" s="99">
        <f>IF(ISNA(VLOOKUP($CZ160,'Audit Values'!$A$2:$BU$353,2,FALSE)),'Preliminary SO66'!AP159,VLOOKUP($CZ160,'Audit Values'!$A$2:$BU$353,64,FALSE))</f>
        <v>240</v>
      </c>
      <c r="AE160" s="95">
        <f>IF(A160=207, AD160,MAX(AC160,AD160))*'Weighting Factors'!$Q$9</f>
        <v>116.2</v>
      </c>
      <c r="AF160" s="95">
        <f t="shared" si="86"/>
        <v>0</v>
      </c>
      <c r="AG160" s="95">
        <f>IF(ISNA(VLOOKUP($CZ160,'Audit Values'!$A$2:$BW$353,2,FALSE)),'Preliminary SO66'!AG159,VLOOKUP($CZ160,'Audit Values'!$A$2:$BW$353,70,FALSE))</f>
        <v>3.3</v>
      </c>
      <c r="AH160" s="95">
        <f t="shared" si="87"/>
        <v>3.3</v>
      </c>
      <c r="AI160" s="95">
        <f>IF(ISNA(VLOOKUP($CZ160,'Audit Values'!$A$2:$BU$353,2,FALSE)),'Preliminary SO66'!AQ159,VLOOKUP($CZ160,'Audit Values'!$A$2:$BU$353,65,FALSE))</f>
        <v>0</v>
      </c>
      <c r="AJ160" s="95">
        <f>AI160*'Weighting Factors'!$Q$10</f>
        <v>0</v>
      </c>
      <c r="AK160" s="95">
        <f>IF(ISNA(VLOOKUP($CZ160,'Audit Values'!$A$2:$BU$353,2,FALSE)),'Preliminary SO66'!AR159,VLOOKUP($CZ160,'Audit Values'!$A$2:$BU$353,66,FALSE))</f>
        <v>197.5</v>
      </c>
      <c r="AL160" s="95"/>
      <c r="AM160" s="99">
        <f t="shared" si="88"/>
        <v>207375</v>
      </c>
      <c r="AN160" s="99">
        <v>221875</v>
      </c>
      <c r="AO160" s="95">
        <f>MAX(AN160, AM160)/'Weighting Factors'!$Q$5</f>
        <v>53.3</v>
      </c>
      <c r="AP160" s="95">
        <f>CN160/'Weighting Factors'!$Q$5</f>
        <v>0</v>
      </c>
      <c r="AQ160" s="95">
        <v>0</v>
      </c>
      <c r="AR160" s="95">
        <f>CS160/'Weighting Factors'!$Q$5</f>
        <v>0</v>
      </c>
      <c r="AS160" s="99">
        <v>700031</v>
      </c>
      <c r="AT160" s="95">
        <f>AS160/'Weighting Factors'!$Q$5</f>
        <v>168.1</v>
      </c>
      <c r="AU160" s="95">
        <f>IF(ISNA(VLOOKUP($CZ160,'Audit Values'!$A$2:$BU$353,2,FALSE)),'Preliminary SO66'!X159,VLOOKUP($CZ160,'Audit Values'!$A$2:$BU$353,47,FALSE))</f>
        <v>0</v>
      </c>
      <c r="AV160" s="95">
        <f t="shared" si="89"/>
        <v>1359.1</v>
      </c>
      <c r="AW160" s="95">
        <f t="shared" si="90"/>
        <v>1191</v>
      </c>
      <c r="AX160" s="95">
        <f>IF(ISNA(VLOOKUP($CZ160,'Audit Values'!$A$2:$BU$353,2,FALSE)),'Preliminary SO66'!AA159,VLOOKUP($CZ160,'Audit Values'!$A$2:$BU$353,41,FALSE))</f>
        <v>0</v>
      </c>
      <c r="AY160" s="95">
        <f>IF(ISNA(VLOOKUP($CZ160,'Audit Values'!$A$2:$BU$353,2,FALSE)),'Preliminary SO66'!AB159,VLOOKUP($CZ160,'Audit Values'!$A$2:$BU$353,42,FALSE))</f>
        <v>0</v>
      </c>
      <c r="AZ160" s="114">
        <v>0</v>
      </c>
      <c r="BA160" s="99">
        <f>SUM(AX160*'Weighting Factors'!$T$10)+('2019 Legal Max'!AY160*'Weighting Factors'!$T$11)+('2019 Legal Max'!AZ160*'Weighting Factors'!$T$12)</f>
        <v>0</v>
      </c>
      <c r="BB160" s="158">
        <v>0</v>
      </c>
      <c r="BC160" s="88">
        <f>IF(ISNA(VLOOKUP($CZ160,'Audit Values'!$A$2:$BU$353,2,FALSE)),"",IF(AND('Weighting Factors'!H160&gt;0,VLOOKUP($CZ160,'Audit Values'!$A$2:$BU$353,51,FALSE)&lt;'Weighting Factors'!H160),'Weighting Factors'!H160,VLOOKUP($CZ160,'Audit Values'!$A$2:$BU$353,50,FALSE)))</f>
        <v>4</v>
      </c>
      <c r="BD160" s="88" t="str">
        <f>IF(ISNA(VLOOKUP($CZ160,'Audit Values'!$A$2:$BV$353,2,FALSE)),"",VLOOKUP($CZ160,'Audit Values'!$A$2:$BV$353,51,FALSE))</f>
        <v>A</v>
      </c>
      <c r="BE160" s="88" t="str">
        <f>IF('Weighting Factors'!H160="","",IF('Weighting Factors'!J160="Pending","PX","R"))</f>
        <v/>
      </c>
      <c r="BF160" s="97">
        <f>SUM((S160+T160+Y160+AA160+AE160+AH160+AJ160++AO160+AP160+AQ160+AU160+AR160)*'Weighting Factors'!$Q$5)+'2019 Legal Max'!BA160+'2019 Legal Max'!BB160</f>
        <v>4960515</v>
      </c>
      <c r="BG160" s="99">
        <f>SUM((AV160+AR160)*'Weighting Factors'!$Q$5)+BA160+'2019 Legal Max'!BB160</f>
        <v>5660652</v>
      </c>
      <c r="BH160" s="108">
        <f>IF('Weighting Factors'!H160&gt;0,'Weighting Factors'!H160,'Preliminary SO66'!AV159)</f>
        <v>5687724</v>
      </c>
      <c r="BI160" s="99">
        <f t="shared" si="114"/>
        <v>5660652</v>
      </c>
      <c r="BJ160" s="112"/>
      <c r="BK160" s="112">
        <f>'Weighting Factors'!F160</f>
        <v>-29958</v>
      </c>
      <c r="BL160" s="112">
        <f>'Weighting Factors'!E160</f>
        <v>0</v>
      </c>
      <c r="BM160" s="99">
        <f t="shared" si="91"/>
        <v>-29958</v>
      </c>
      <c r="BN160" s="99">
        <f t="shared" si="92"/>
        <v>5630694</v>
      </c>
      <c r="BO160" s="99">
        <f>SUM((S160+T160+Y160+AA160+AE160+AH160+AJ160++AO160+AP160+AQ160+AR160)*'Weighting Factors'!Q$12)+(MAX(AS160,'Weighting Factors'!B160))</f>
        <v>6211141</v>
      </c>
      <c r="BP160" s="122">
        <v>0.3</v>
      </c>
      <c r="BQ160" s="99">
        <f t="shared" si="93"/>
        <v>1863342</v>
      </c>
      <c r="BR160" s="108">
        <v>1867383</v>
      </c>
      <c r="BS160" s="99">
        <f t="shared" si="94"/>
        <v>1863342</v>
      </c>
      <c r="BT160" s="167">
        <f t="shared" si="95"/>
        <v>0.3</v>
      </c>
      <c r="BU160" s="95">
        <f t="shared" si="96"/>
        <v>0</v>
      </c>
      <c r="BV160" s="87" t="b">
        <f t="shared" si="97"/>
        <v>0</v>
      </c>
      <c r="BW160" s="117">
        <f t="shared" si="98"/>
        <v>0</v>
      </c>
      <c r="BX160" s="116">
        <f t="shared" si="99"/>
        <v>0</v>
      </c>
      <c r="BY160" s="95">
        <f t="shared" si="100"/>
        <v>0</v>
      </c>
      <c r="BZ160" s="87" t="b">
        <f t="shared" si="101"/>
        <v>1</v>
      </c>
      <c r="CA160" s="87">
        <f t="shared" si="102"/>
        <v>544.995</v>
      </c>
      <c r="CB160" s="116">
        <f t="shared" si="103"/>
        <v>0.334561</v>
      </c>
      <c r="CC160" s="95">
        <f t="shared" si="104"/>
        <v>247.7</v>
      </c>
      <c r="CD160" s="95">
        <f t="shared" si="105"/>
        <v>0</v>
      </c>
      <c r="CE160" s="98">
        <v>325</v>
      </c>
      <c r="CF160" s="250">
        <f t="shared" si="106"/>
        <v>0.60799999999999998</v>
      </c>
      <c r="CG160" s="274">
        <f>IF(CF160&lt;0.06,1,IF(CF160&gt;=18.29,52,MATCH(CF160-0.001,'Weighting Factors'!$Y$5:$Y$156)+1))</f>
        <v>27</v>
      </c>
      <c r="CH160" s="243">
        <f>VLOOKUP(CG160, 'Weighting Factors'!$W$5:$Z$56,4)</f>
        <v>1050</v>
      </c>
      <c r="CI160" s="118">
        <f>('Weighting Factors'!$Q$5/'Weighting Factors'!$Q$14)</f>
        <v>1</v>
      </c>
      <c r="CJ160" s="245">
        <f t="shared" si="107"/>
        <v>207375</v>
      </c>
      <c r="CK160" s="245">
        <f>CJ160*'Weighting Factors'!$S$7</f>
        <v>207375</v>
      </c>
      <c r="CL160" s="245">
        <f t="shared" si="108"/>
        <v>207375</v>
      </c>
      <c r="CM160" s="95">
        <f>AM160/'Weighting Factors'!$Q$5</f>
        <v>49.8</v>
      </c>
      <c r="CN160" s="148">
        <v>0</v>
      </c>
      <c r="CO160" s="148">
        <v>0</v>
      </c>
      <c r="CP160" s="149">
        <v>0</v>
      </c>
      <c r="CQ160" s="151">
        <v>0</v>
      </c>
      <c r="CR160" s="99">
        <f>SUM((AV160*'Weighting Factors'!$Q$5)+'2019 Legal Max'!BA160)*CQ160</f>
        <v>0</v>
      </c>
      <c r="CS160" s="99">
        <f t="shared" si="109"/>
        <v>0</v>
      </c>
      <c r="CT160" s="106">
        <f t="shared" si="110"/>
        <v>0.30570000000000003</v>
      </c>
      <c r="CU160" s="95">
        <f t="shared" si="111"/>
        <v>0</v>
      </c>
      <c r="CV160" s="95">
        <f t="shared" si="112"/>
        <v>0</v>
      </c>
      <c r="CW160" s="95">
        <f t="shared" si="113"/>
        <v>1359.1</v>
      </c>
      <c r="CX160" s="99">
        <f>'LOB Transfers'!G159</f>
        <v>159875</v>
      </c>
      <c r="CY160" s="99">
        <f>'LOB Transfers'!J159</f>
        <v>1491</v>
      </c>
      <c r="CZ160" s="87" t="s">
        <v>352</v>
      </c>
    </row>
    <row r="161" spans="1:104" ht="15" customHeight="1">
      <c r="A161" s="88">
        <v>365</v>
      </c>
      <c r="B161" s="87" t="s">
        <v>71</v>
      </c>
      <c r="C161" s="87" t="s">
        <v>674</v>
      </c>
      <c r="D161" s="95">
        <v>988</v>
      </c>
      <c r="E161" s="95">
        <v>0</v>
      </c>
      <c r="F161" s="95">
        <f t="shared" si="80"/>
        <v>988</v>
      </c>
      <c r="G161" s="95">
        <v>977.6</v>
      </c>
      <c r="H161" s="95">
        <v>0</v>
      </c>
      <c r="I161" s="95">
        <f t="shared" si="81"/>
        <v>977.6</v>
      </c>
      <c r="J161" s="95">
        <v>997.5</v>
      </c>
      <c r="K161" s="95">
        <v>0</v>
      </c>
      <c r="L161" s="95">
        <f t="shared" si="82"/>
        <v>997.5</v>
      </c>
      <c r="M161" s="95">
        <f>IF(ISNA(VLOOKUP($CZ161,'Audit Values'!$A$2:$BW$365,2,FALSE)),'Preliminary SO66'!C160,VLOOKUP($CZ161,'Audit Values'!$A$2:$BW$365,73,FALSE))</f>
        <v>976.8</v>
      </c>
      <c r="N161" s="95">
        <f>IF(ISNA(VLOOKUP($CZ161,'Audit Values'!$A$2:$BW$365,2,FALSE)),'Preliminary SO66'!F160,VLOOKUP($CZ161,'Audit Values'!$A$2:$BW$365,4,FALSE))</f>
        <v>0</v>
      </c>
      <c r="O161" s="95">
        <f t="shared" si="83"/>
        <v>976.8</v>
      </c>
      <c r="P161" s="95">
        <f>IF('Military Provision'!J162="YES", MAX('2019 Legal Max'!L161,'2019 Legal Max'!I161,AVERAGE('2019 Legal Max'!F161,'2019 Legal Max'!I161,'2019 Legal Max'!L161)), MAX(L161, I161))</f>
        <v>997.5</v>
      </c>
      <c r="Q161" s="95">
        <f>IF(ISNA(VLOOKUP($CZ161,'Audit Values'!$A$2:$BU$353,2,FALSE)),'Preliminary SO66'!AL160,VLOOKUP($CZ161,'Audit Values'!$A$2:$BU$3955,58,FALSE))</f>
        <v>6</v>
      </c>
      <c r="R161" s="95">
        <v>0</v>
      </c>
      <c r="S161" s="95">
        <f t="shared" si="115"/>
        <v>1003.5</v>
      </c>
      <c r="T161" s="95">
        <f t="shared" si="84"/>
        <v>246</v>
      </c>
      <c r="U161" s="95">
        <f>IF(ISNA(VLOOKUP($CZ161,'Audit Values'!$A$2:$BW$317,2,FALSE)),'Preliminary SO66'!AM160,VLOOKUP($CZ161,'Audit Values'!$A$2:$BW$317,62,FALSE))</f>
        <v>0</v>
      </c>
      <c r="V161" s="95">
        <f>(U161/6)*'Weighting Factors'!$Q$7</f>
        <v>0</v>
      </c>
      <c r="W161" s="132">
        <f>IF(ISNA(VLOOKUP($CZ161,'Audit Values'!$A$2:$BW$353,2,FALSE)),'Preliminary SO66'!AN160,VLOOKUP($CZ161,'Audit Values'!$A$2:$BW$353,61,FALSE))</f>
        <v>0</v>
      </c>
      <c r="X161" s="95">
        <f>W161*'Weighting Factors'!$Q$8</f>
        <v>0</v>
      </c>
      <c r="Y161" s="95">
        <f t="shared" si="85"/>
        <v>0</v>
      </c>
      <c r="Z161" s="276">
        <f>IF(ISNA(VLOOKUP($CZ161,'Audit Values'!$A$2:$BW$317,2,FALSE)),'Preliminary SO66'!AO160,VLOOKUP($CZ161,'Audit Values'!$A$2:$BW$317,60,FALSE))</f>
        <v>218.9</v>
      </c>
      <c r="AA161" s="95">
        <f>Z161/6*'Weighting Factors'!$Q$6</f>
        <v>18.2</v>
      </c>
      <c r="AB161" s="99">
        <f>IF(ISNA(VLOOKUP($CZ161,'Audit Values'!$A$2:$BU$353,2,FALSE)),'Preliminary SO66'!AS160,VLOOKUP($CZ161,'Audit Values'!$A$2:$BU$353,63,FALSE))</f>
        <v>998</v>
      </c>
      <c r="AC161" s="99">
        <v>0</v>
      </c>
      <c r="AD161" s="99">
        <f>IF(ISNA(VLOOKUP($CZ161,'Audit Values'!$A$2:$BU$353,2,FALSE)),'Preliminary SO66'!AP160,VLOOKUP($CZ161,'Audit Values'!$A$2:$BU$353,64,FALSE))</f>
        <v>363</v>
      </c>
      <c r="AE161" s="95">
        <f>IF(A161=207, AD161,MAX(AC161,AD161))*'Weighting Factors'!$Q$9</f>
        <v>175.7</v>
      </c>
      <c r="AF161" s="95">
        <f t="shared" si="86"/>
        <v>3.5</v>
      </c>
      <c r="AG161" s="95">
        <f>IF(ISNA(VLOOKUP($CZ161,'Audit Values'!$A$2:$BW$353,2,FALSE)),'Preliminary SO66'!AG160,VLOOKUP($CZ161,'Audit Values'!$A$2:$BW$353,70,FALSE))</f>
        <v>11.3</v>
      </c>
      <c r="AH161" s="95">
        <f t="shared" si="87"/>
        <v>11.3</v>
      </c>
      <c r="AI161" s="95">
        <f>IF(ISNA(VLOOKUP($CZ161,'Audit Values'!$A$2:$BU$353,2,FALSE)),'Preliminary SO66'!AQ160,VLOOKUP($CZ161,'Audit Values'!$A$2:$BU$353,65,FALSE))</f>
        <v>0</v>
      </c>
      <c r="AJ161" s="95">
        <f>AI161*'Weighting Factors'!$Q$10</f>
        <v>0</v>
      </c>
      <c r="AK161" s="95">
        <f>IF(ISNA(VLOOKUP($CZ161,'Audit Values'!$A$2:$BU$353,2,FALSE)),'Preliminary SO66'!AR160,VLOOKUP($CZ161,'Audit Values'!$A$2:$BU$353,66,FALSE))</f>
        <v>342</v>
      </c>
      <c r="AL161" s="95"/>
      <c r="AM161" s="99">
        <f t="shared" si="88"/>
        <v>338580</v>
      </c>
      <c r="AN161" s="99">
        <v>390593</v>
      </c>
      <c r="AO161" s="95">
        <f>MAX(AN161, AM161)/'Weighting Factors'!$Q$5</f>
        <v>93.8</v>
      </c>
      <c r="AP161" s="95">
        <f>CN161/'Weighting Factors'!$Q$5</f>
        <v>0</v>
      </c>
      <c r="AQ161" s="95">
        <v>0</v>
      </c>
      <c r="AR161" s="95">
        <f>CS161/'Weighting Factors'!$Q$5</f>
        <v>0</v>
      </c>
      <c r="AS161" s="99">
        <v>1008302</v>
      </c>
      <c r="AT161" s="95">
        <f>AS161/'Weighting Factors'!$Q$5</f>
        <v>242.1</v>
      </c>
      <c r="AU161" s="95">
        <f>IF(ISNA(VLOOKUP($CZ161,'Audit Values'!$A$2:$BU$353,2,FALSE)),'Preliminary SO66'!X160,VLOOKUP($CZ161,'Audit Values'!$A$2:$BU$353,47,FALSE))</f>
        <v>0</v>
      </c>
      <c r="AV161" s="95">
        <f t="shared" si="89"/>
        <v>1790.6</v>
      </c>
      <c r="AW161" s="95">
        <f t="shared" si="90"/>
        <v>1548.5</v>
      </c>
      <c r="AX161" s="95">
        <f>IF(ISNA(VLOOKUP($CZ161,'Audit Values'!$A$2:$BU$353,2,FALSE)),'Preliminary SO66'!AA160,VLOOKUP($CZ161,'Audit Values'!$A$2:$BU$353,41,FALSE))</f>
        <v>1</v>
      </c>
      <c r="AY161" s="95">
        <f>IF(ISNA(VLOOKUP($CZ161,'Audit Values'!$A$2:$BU$353,2,FALSE)),'Preliminary SO66'!AB160,VLOOKUP($CZ161,'Audit Values'!$A$2:$BU$353,42,FALSE))</f>
        <v>1.2</v>
      </c>
      <c r="AZ161" s="114">
        <v>0</v>
      </c>
      <c r="BA161" s="99">
        <f>SUM(AX161*'Weighting Factors'!$T$10)+('2019 Legal Max'!AY161*'Weighting Factors'!$T$11)+('2019 Legal Max'!AZ161*'Weighting Factors'!$T$12)</f>
        <v>7040</v>
      </c>
      <c r="BB161" s="158">
        <v>0</v>
      </c>
      <c r="BC161" s="88">
        <f>IF(ISNA(VLOOKUP($CZ161,'Audit Values'!$A$2:$BU$353,2,FALSE)),"",IF(AND('Weighting Factors'!H161&gt;0,VLOOKUP($CZ161,'Audit Values'!$A$2:$BU$353,51,FALSE)&lt;'Weighting Factors'!H161),'Weighting Factors'!H161,VLOOKUP($CZ161,'Audit Values'!$A$2:$BU$353,50,FALSE)))</f>
        <v>11</v>
      </c>
      <c r="BD161" s="88" t="str">
        <f>IF(ISNA(VLOOKUP($CZ161,'Audit Values'!$A$2:$BV$353,2,FALSE)),"",VLOOKUP($CZ161,'Audit Values'!$A$2:$BV$353,51,FALSE))</f>
        <v>A</v>
      </c>
      <c r="BE161" s="88" t="str">
        <f>IF('Weighting Factors'!H161="","",IF('Weighting Factors'!J161="Pending","PX","R"))</f>
        <v>R</v>
      </c>
      <c r="BF161" s="97">
        <f>SUM((S161+T161+Y161+AA161+AE161+AH161+AJ161++AO161+AP161+AQ161+AU161+AR161)*'Weighting Factors'!$Q$5)+'2019 Legal Max'!BA161+'2019 Legal Max'!BB161</f>
        <v>6456543</v>
      </c>
      <c r="BG161" s="99">
        <f>SUM((AV161+AR161)*'Weighting Factors'!$Q$5)+BA161+'2019 Legal Max'!BB161</f>
        <v>7464889</v>
      </c>
      <c r="BH161" s="108">
        <f>IF('Weighting Factors'!H161&gt;0,'Weighting Factors'!H161,'Preliminary SO66'!AV160)</f>
        <v>7477801</v>
      </c>
      <c r="BI161" s="99">
        <f t="shared" si="114"/>
        <v>7464889</v>
      </c>
      <c r="BJ161" s="112"/>
      <c r="BK161" s="112">
        <f>'Weighting Factors'!F161</f>
        <v>0</v>
      </c>
      <c r="BL161" s="112">
        <f>'Weighting Factors'!E161</f>
        <v>0</v>
      </c>
      <c r="BM161" s="99">
        <f t="shared" si="91"/>
        <v>0</v>
      </c>
      <c r="BN161" s="99">
        <f t="shared" si="92"/>
        <v>7464889</v>
      </c>
      <c r="BO161" s="99">
        <f>SUM((S161+T161+Y161+AA161+AE161+AH161+AJ161++AO161+AP161+AQ161+AR161)*'Weighting Factors'!Q$12)+(MAX(AS161,'Weighting Factors'!B161))</f>
        <v>7961067</v>
      </c>
      <c r="BP161" s="122">
        <v>0.33</v>
      </c>
      <c r="BQ161" s="99">
        <f t="shared" si="93"/>
        <v>2627152</v>
      </c>
      <c r="BR161" s="108">
        <v>2580000</v>
      </c>
      <c r="BS161" s="99">
        <f t="shared" si="94"/>
        <v>2580000</v>
      </c>
      <c r="BT161" s="167">
        <f t="shared" si="95"/>
        <v>0.3241</v>
      </c>
      <c r="BU161" s="95">
        <f t="shared" si="96"/>
        <v>0</v>
      </c>
      <c r="BV161" s="87" t="b">
        <f t="shared" si="97"/>
        <v>0</v>
      </c>
      <c r="BW161" s="117">
        <f t="shared" si="98"/>
        <v>0</v>
      </c>
      <c r="BX161" s="116">
        <f t="shared" si="99"/>
        <v>0</v>
      </c>
      <c r="BY161" s="95">
        <f t="shared" si="100"/>
        <v>0</v>
      </c>
      <c r="BZ161" s="87" t="b">
        <f t="shared" si="101"/>
        <v>1</v>
      </c>
      <c r="CA161" s="87">
        <f t="shared" si="102"/>
        <v>870.58130000000006</v>
      </c>
      <c r="CB161" s="116">
        <f t="shared" si="103"/>
        <v>0.245173</v>
      </c>
      <c r="CC161" s="95">
        <f t="shared" si="104"/>
        <v>246</v>
      </c>
      <c r="CD161" s="95">
        <f t="shared" si="105"/>
        <v>0</v>
      </c>
      <c r="CE161" s="98">
        <v>430</v>
      </c>
      <c r="CF161" s="250">
        <f t="shared" si="106"/>
        <v>0.79500000000000004</v>
      </c>
      <c r="CG161" s="274">
        <f>IF(CF161&lt;0.06,1,IF(CF161&gt;=18.29,52,MATCH(CF161-0.001,'Weighting Factors'!$Y$5:$Y$156)+1))</f>
        <v>30</v>
      </c>
      <c r="CH161" s="243">
        <f>VLOOKUP(CG161, 'Weighting Factors'!$W$5:$Z$56,4)</f>
        <v>990</v>
      </c>
      <c r="CI161" s="118">
        <f>('Weighting Factors'!$Q$5/'Weighting Factors'!$Q$14)</f>
        <v>1</v>
      </c>
      <c r="CJ161" s="245">
        <f t="shared" si="107"/>
        <v>338580</v>
      </c>
      <c r="CK161" s="245">
        <f>CJ161*'Weighting Factors'!$S$7</f>
        <v>338580</v>
      </c>
      <c r="CL161" s="245">
        <f t="shared" si="108"/>
        <v>338580</v>
      </c>
      <c r="CM161" s="95">
        <f>AM161/'Weighting Factors'!$Q$5</f>
        <v>81.3</v>
      </c>
      <c r="CN161" s="148">
        <v>0</v>
      </c>
      <c r="CO161" s="148">
        <v>0</v>
      </c>
      <c r="CP161" s="149">
        <v>0</v>
      </c>
      <c r="CQ161" s="151">
        <v>0</v>
      </c>
      <c r="CR161" s="99">
        <f>SUM((AV161*'Weighting Factors'!$Q$5)+'2019 Legal Max'!BA161)*CQ161</f>
        <v>0</v>
      </c>
      <c r="CS161" s="99">
        <f t="shared" si="109"/>
        <v>0</v>
      </c>
      <c r="CT161" s="106">
        <f t="shared" si="110"/>
        <v>0.36370000000000002</v>
      </c>
      <c r="CU161" s="95">
        <f t="shared" si="111"/>
        <v>0</v>
      </c>
      <c r="CV161" s="95">
        <f t="shared" si="112"/>
        <v>3.5</v>
      </c>
      <c r="CW161" s="95">
        <f t="shared" si="113"/>
        <v>1790.6</v>
      </c>
      <c r="CX161" s="99">
        <f>'LOB Transfers'!G160</f>
        <v>254130</v>
      </c>
      <c r="CY161" s="99">
        <f>'LOB Transfers'!J160</f>
        <v>0</v>
      </c>
      <c r="CZ161" s="87" t="s">
        <v>353</v>
      </c>
    </row>
    <row r="162" spans="1:104" ht="15" customHeight="1">
      <c r="A162" s="88">
        <v>366</v>
      </c>
      <c r="B162" s="87" t="s">
        <v>72</v>
      </c>
      <c r="C162" s="87" t="s">
        <v>675</v>
      </c>
      <c r="D162" s="95">
        <v>421.5</v>
      </c>
      <c r="E162" s="95">
        <v>0</v>
      </c>
      <c r="F162" s="95">
        <f t="shared" si="80"/>
        <v>421.5</v>
      </c>
      <c r="G162" s="95">
        <v>442</v>
      </c>
      <c r="H162" s="95">
        <v>0</v>
      </c>
      <c r="I162" s="95">
        <f t="shared" si="81"/>
        <v>442</v>
      </c>
      <c r="J162" s="95">
        <v>454</v>
      </c>
      <c r="K162" s="95">
        <v>0</v>
      </c>
      <c r="L162" s="95">
        <f t="shared" si="82"/>
        <v>454</v>
      </c>
      <c r="M162" s="95">
        <f>IF(ISNA(VLOOKUP($CZ162,'Audit Values'!$A$2:$BW$365,2,FALSE)),'Preliminary SO66'!C161,VLOOKUP($CZ162,'Audit Values'!$A$2:$BW$365,73,FALSE))</f>
        <v>431.5</v>
      </c>
      <c r="N162" s="95">
        <f>IF(ISNA(VLOOKUP($CZ162,'Audit Values'!$A$2:$BW$365,2,FALSE)),'Preliminary SO66'!F161,VLOOKUP($CZ162,'Audit Values'!$A$2:$BW$365,4,FALSE))</f>
        <v>0</v>
      </c>
      <c r="O162" s="95">
        <f t="shared" si="83"/>
        <v>431.5</v>
      </c>
      <c r="P162" s="95">
        <f>IF('Military Provision'!J163="YES", MAX('2019 Legal Max'!L162,'2019 Legal Max'!I162,AVERAGE('2019 Legal Max'!F162,'2019 Legal Max'!I162,'2019 Legal Max'!L162)), MAX(L162, I162))</f>
        <v>454</v>
      </c>
      <c r="Q162" s="95">
        <f>IF(ISNA(VLOOKUP($CZ162,'Audit Values'!$A$2:$BU$353,2,FALSE)),'Preliminary SO66'!AL161,VLOOKUP($CZ162,'Audit Values'!$A$2:$BU$3955,58,FALSE))</f>
        <v>6.5</v>
      </c>
      <c r="R162" s="95">
        <v>0</v>
      </c>
      <c r="S162" s="95">
        <f t="shared" si="115"/>
        <v>460.5</v>
      </c>
      <c r="T162" s="95">
        <f t="shared" si="84"/>
        <v>197.9</v>
      </c>
      <c r="U162" s="95">
        <f>IF(ISNA(VLOOKUP($CZ162,'Audit Values'!$A$2:$BW$317,2,FALSE)),'Preliminary SO66'!AM161,VLOOKUP($CZ162,'Audit Values'!$A$2:$BW$317,62,FALSE))</f>
        <v>0</v>
      </c>
      <c r="V162" s="95">
        <f>(U162/6)*'Weighting Factors'!$Q$7</f>
        <v>0</v>
      </c>
      <c r="W162" s="132">
        <f>IF(ISNA(VLOOKUP($CZ162,'Audit Values'!$A$2:$BW$353,2,FALSE)),'Preliminary SO66'!AN161,VLOOKUP($CZ162,'Audit Values'!$A$2:$BW$353,61,FALSE))</f>
        <v>0</v>
      </c>
      <c r="X162" s="95">
        <f>W162*'Weighting Factors'!$Q$8</f>
        <v>0</v>
      </c>
      <c r="Y162" s="95">
        <f t="shared" si="85"/>
        <v>0</v>
      </c>
      <c r="Z162" s="276">
        <f>IF(ISNA(VLOOKUP($CZ162,'Audit Values'!$A$2:$BW$317,2,FALSE)),'Preliminary SO66'!AO161,VLOOKUP($CZ162,'Audit Values'!$A$2:$BW$317,60,FALSE))</f>
        <v>63.6</v>
      </c>
      <c r="AA162" s="95">
        <f>Z162/6*'Weighting Factors'!$Q$6</f>
        <v>5.3</v>
      </c>
      <c r="AB162" s="99">
        <f>IF(ISNA(VLOOKUP($CZ162,'Audit Values'!$A$2:$BU$353,2,FALSE)),'Preliminary SO66'!AS161,VLOOKUP($CZ162,'Audit Values'!$A$2:$BU$353,63,FALSE))</f>
        <v>450</v>
      </c>
      <c r="AC162" s="99">
        <v>0</v>
      </c>
      <c r="AD162" s="99">
        <f>IF(ISNA(VLOOKUP($CZ162,'Audit Values'!$A$2:$BU$353,2,FALSE)),'Preliminary SO66'!AP161,VLOOKUP($CZ162,'Audit Values'!$A$2:$BU$353,64,FALSE))</f>
        <v>198</v>
      </c>
      <c r="AE162" s="95">
        <f>IF(A162=207, AD162,MAX(AC162,AD162))*'Weighting Factors'!$Q$9</f>
        <v>95.8</v>
      </c>
      <c r="AF162" s="95">
        <f t="shared" si="86"/>
        <v>12.5</v>
      </c>
      <c r="AG162" s="95">
        <f>IF(ISNA(VLOOKUP($CZ162,'Audit Values'!$A$2:$BW$353,2,FALSE)),'Preliminary SO66'!AG161,VLOOKUP($CZ162,'Audit Values'!$A$2:$BW$353,70,FALSE))</f>
        <v>12.9</v>
      </c>
      <c r="AH162" s="95">
        <f t="shared" si="87"/>
        <v>12.9</v>
      </c>
      <c r="AI162" s="95">
        <f>IF(ISNA(VLOOKUP($CZ162,'Audit Values'!$A$2:$BU$353,2,FALSE)),'Preliminary SO66'!AQ161,VLOOKUP($CZ162,'Audit Values'!$A$2:$BU$353,65,FALSE))</f>
        <v>0</v>
      </c>
      <c r="AJ162" s="95">
        <f>AI162*'Weighting Factors'!$Q$10</f>
        <v>0</v>
      </c>
      <c r="AK162" s="95">
        <f>IF(ISNA(VLOOKUP($CZ162,'Audit Values'!$A$2:$BU$353,2,FALSE)),'Preliminary SO66'!AR161,VLOOKUP($CZ162,'Audit Values'!$A$2:$BU$353,66,FALSE))</f>
        <v>161</v>
      </c>
      <c r="AL162" s="95"/>
      <c r="AM162" s="99">
        <f t="shared" si="88"/>
        <v>185150</v>
      </c>
      <c r="AN162" s="99">
        <v>228038</v>
      </c>
      <c r="AO162" s="95">
        <f>MAX(AN162, AM162)/'Weighting Factors'!$Q$5</f>
        <v>54.8</v>
      </c>
      <c r="AP162" s="95">
        <f>CN162/'Weighting Factors'!$Q$5</f>
        <v>0</v>
      </c>
      <c r="AQ162" s="95">
        <v>0</v>
      </c>
      <c r="AR162" s="95">
        <f>CS162/'Weighting Factors'!$Q$5</f>
        <v>0</v>
      </c>
      <c r="AS162" s="99">
        <v>613352</v>
      </c>
      <c r="AT162" s="95">
        <f>AS162/'Weighting Factors'!$Q$5</f>
        <v>147.30000000000001</v>
      </c>
      <c r="AU162" s="95">
        <f>IF(ISNA(VLOOKUP($CZ162,'Audit Values'!$A$2:$BU$353,2,FALSE)),'Preliminary SO66'!X161,VLOOKUP($CZ162,'Audit Values'!$A$2:$BU$353,47,FALSE))</f>
        <v>0</v>
      </c>
      <c r="AV162" s="95">
        <f t="shared" si="89"/>
        <v>974.5</v>
      </c>
      <c r="AW162" s="95">
        <f t="shared" si="90"/>
        <v>827.2</v>
      </c>
      <c r="AX162" s="95">
        <f>IF(ISNA(VLOOKUP($CZ162,'Audit Values'!$A$2:$BU$353,2,FALSE)),'Preliminary SO66'!AA161,VLOOKUP($CZ162,'Audit Values'!$A$2:$BU$353,41,FALSE))</f>
        <v>2</v>
      </c>
      <c r="AY162" s="95">
        <f>IF(ISNA(VLOOKUP($CZ162,'Audit Values'!$A$2:$BU$353,2,FALSE)),'Preliminary SO66'!AB161,VLOOKUP($CZ162,'Audit Values'!$A$2:$BU$353,42,FALSE))</f>
        <v>0</v>
      </c>
      <c r="AZ162" s="114">
        <v>0</v>
      </c>
      <c r="BA162" s="99">
        <f>SUM(AX162*'Weighting Factors'!$T$10)+('2019 Legal Max'!AY162*'Weighting Factors'!$T$11)+('2019 Legal Max'!AZ162*'Weighting Factors'!$T$12)</f>
        <v>10000</v>
      </c>
      <c r="BB162" s="158">
        <v>0</v>
      </c>
      <c r="BC162" s="88">
        <f>IF(ISNA(VLOOKUP($CZ162,'Audit Values'!$A$2:$BU$353,2,FALSE)),"",IF(AND('Weighting Factors'!H162&gt;0,VLOOKUP($CZ162,'Audit Values'!$A$2:$BU$353,51,FALSE)&lt;'Weighting Factors'!H162),'Weighting Factors'!H162,VLOOKUP($CZ162,'Audit Values'!$A$2:$BU$353,50,FALSE)))</f>
        <v>17</v>
      </c>
      <c r="BD162" s="88" t="str">
        <f>IF(ISNA(VLOOKUP($CZ162,'Audit Values'!$A$2:$BV$353,2,FALSE)),"",VLOOKUP($CZ162,'Audit Values'!$A$2:$BV$353,51,FALSE))</f>
        <v>A</v>
      </c>
      <c r="BE162" s="88" t="str">
        <f>IF('Weighting Factors'!H162="","",IF('Weighting Factors'!J162="Pending","PX","R"))</f>
        <v/>
      </c>
      <c r="BF162" s="97">
        <f>SUM((S162+T162+Y162+AA162+AE162+AH162+AJ162++AO162+AP162+AQ162+AU162+AR162)*'Weighting Factors'!$Q$5)+'2019 Legal Max'!BA162+'2019 Legal Max'!BB162</f>
        <v>3455288</v>
      </c>
      <c r="BG162" s="99">
        <f>SUM((AV162+AR162)*'Weighting Factors'!$Q$5)+BA162+'2019 Legal Max'!BB162</f>
        <v>4068793</v>
      </c>
      <c r="BH162" s="108">
        <f>IF('Weighting Factors'!H162&gt;0,'Weighting Factors'!H162,'Preliminary SO66'!AV161)</f>
        <v>4329596</v>
      </c>
      <c r="BI162" s="99">
        <f t="shared" si="114"/>
        <v>4068793</v>
      </c>
      <c r="BJ162" s="112"/>
      <c r="BK162" s="112">
        <f>'Weighting Factors'!F162</f>
        <v>-7057</v>
      </c>
      <c r="BL162" s="112">
        <f>'Weighting Factors'!E162</f>
        <v>0</v>
      </c>
      <c r="BM162" s="99">
        <f t="shared" si="91"/>
        <v>-7057</v>
      </c>
      <c r="BN162" s="99">
        <f t="shared" si="92"/>
        <v>4061736</v>
      </c>
      <c r="BO162" s="99">
        <f>SUM((S162+T162+Y162+AA162+AE162+AH162+AJ162++AO162+AP162+AQ162+AR162)*'Weighting Factors'!Q$12)+(MAX(AS162,'Weighting Factors'!B162))</f>
        <v>4327480</v>
      </c>
      <c r="BP162" s="122">
        <v>0.3</v>
      </c>
      <c r="BQ162" s="99">
        <f t="shared" si="93"/>
        <v>1298244</v>
      </c>
      <c r="BR162" s="108">
        <v>1375820</v>
      </c>
      <c r="BS162" s="99">
        <f t="shared" si="94"/>
        <v>1298244</v>
      </c>
      <c r="BT162" s="167">
        <f t="shared" si="95"/>
        <v>0.3</v>
      </c>
      <c r="BU162" s="95">
        <f t="shared" si="96"/>
        <v>0</v>
      </c>
      <c r="BV162" s="87" t="b">
        <f t="shared" si="97"/>
        <v>0</v>
      </c>
      <c r="BW162" s="117">
        <f t="shared" si="98"/>
        <v>0</v>
      </c>
      <c r="BX162" s="116">
        <f t="shared" si="99"/>
        <v>0</v>
      </c>
      <c r="BY162" s="95">
        <f t="shared" si="100"/>
        <v>0</v>
      </c>
      <c r="BZ162" s="87" t="b">
        <f t="shared" si="101"/>
        <v>1</v>
      </c>
      <c r="CA162" s="87">
        <f t="shared" si="102"/>
        <v>198.61879999999999</v>
      </c>
      <c r="CB162" s="116">
        <f t="shared" si="103"/>
        <v>0.42965700000000001</v>
      </c>
      <c r="CC162" s="95">
        <f t="shared" si="104"/>
        <v>197.9</v>
      </c>
      <c r="CD162" s="95">
        <f t="shared" si="105"/>
        <v>0</v>
      </c>
      <c r="CE162" s="98">
        <v>422</v>
      </c>
      <c r="CF162" s="250">
        <f t="shared" si="106"/>
        <v>0.38200000000000001</v>
      </c>
      <c r="CG162" s="274">
        <f>IF(CF162&lt;0.06,1,IF(CF162&gt;=18.29,52,MATCH(CF162-0.001,'Weighting Factors'!$Y$5:$Y$156)+1))</f>
        <v>22</v>
      </c>
      <c r="CH162" s="243">
        <f>VLOOKUP(CG162, 'Weighting Factors'!$W$5:$Z$56,4)</f>
        <v>1150</v>
      </c>
      <c r="CI162" s="118">
        <f>('Weighting Factors'!$Q$5/'Weighting Factors'!$Q$14)</f>
        <v>1</v>
      </c>
      <c r="CJ162" s="245">
        <f t="shared" si="107"/>
        <v>185150</v>
      </c>
      <c r="CK162" s="245">
        <f>CJ162*'Weighting Factors'!$S$7</f>
        <v>185150</v>
      </c>
      <c r="CL162" s="245">
        <f t="shared" si="108"/>
        <v>185150</v>
      </c>
      <c r="CM162" s="95">
        <f>AM162/'Weighting Factors'!$Q$5</f>
        <v>44.5</v>
      </c>
      <c r="CN162" s="148">
        <v>0</v>
      </c>
      <c r="CO162" s="148">
        <v>0</v>
      </c>
      <c r="CP162" s="149">
        <v>0</v>
      </c>
      <c r="CQ162" s="151">
        <v>0</v>
      </c>
      <c r="CR162" s="99">
        <f>SUM((AV162*'Weighting Factors'!$Q$5)+'2019 Legal Max'!BA162)*CQ162</f>
        <v>0</v>
      </c>
      <c r="CS162" s="99">
        <f t="shared" si="109"/>
        <v>0</v>
      </c>
      <c r="CT162" s="106">
        <f t="shared" si="110"/>
        <v>0.44</v>
      </c>
      <c r="CU162" s="95">
        <f t="shared" si="111"/>
        <v>0</v>
      </c>
      <c r="CV162" s="95">
        <f t="shared" si="112"/>
        <v>12.5</v>
      </c>
      <c r="CW162" s="95">
        <f t="shared" si="113"/>
        <v>974.5</v>
      </c>
      <c r="CX162" s="99">
        <f>'LOB Transfers'!G161</f>
        <v>128526</v>
      </c>
      <c r="CY162" s="99">
        <f>'LOB Transfers'!J161</f>
        <v>0</v>
      </c>
      <c r="CZ162" s="87" t="s">
        <v>354</v>
      </c>
    </row>
    <row r="163" spans="1:104" ht="15" customHeight="1">
      <c r="A163" s="88">
        <v>367</v>
      </c>
      <c r="B163" s="87" t="s">
        <v>73</v>
      </c>
      <c r="C163" s="87" t="s">
        <v>676</v>
      </c>
      <c r="D163" s="95">
        <v>1119</v>
      </c>
      <c r="E163" s="95">
        <v>0</v>
      </c>
      <c r="F163" s="95">
        <f t="shared" si="80"/>
        <v>1119</v>
      </c>
      <c r="G163" s="95">
        <v>1119.5</v>
      </c>
      <c r="H163" s="95">
        <v>0</v>
      </c>
      <c r="I163" s="95">
        <f t="shared" si="81"/>
        <v>1119.5</v>
      </c>
      <c r="J163" s="95">
        <v>1106.3</v>
      </c>
      <c r="K163" s="95">
        <v>0</v>
      </c>
      <c r="L163" s="95">
        <f t="shared" si="82"/>
        <v>1106.3</v>
      </c>
      <c r="M163" s="95">
        <f>IF(ISNA(VLOOKUP($CZ163,'Audit Values'!$A$2:$BW$365,2,FALSE)),'Preliminary SO66'!C162,VLOOKUP($CZ163,'Audit Values'!$A$2:$BW$365,73,FALSE))</f>
        <v>1093.5</v>
      </c>
      <c r="N163" s="95">
        <f>IF(ISNA(VLOOKUP($CZ163,'Audit Values'!$A$2:$BW$365,2,FALSE)),'Preliminary SO66'!F162,VLOOKUP($CZ163,'Audit Values'!$A$2:$BW$365,4,FALSE))</f>
        <v>0</v>
      </c>
      <c r="O163" s="95">
        <f t="shared" si="83"/>
        <v>1093.5</v>
      </c>
      <c r="P163" s="95">
        <f>IF('Military Provision'!J164="YES", MAX('2019 Legal Max'!L163,'2019 Legal Max'!I163,AVERAGE('2019 Legal Max'!F163,'2019 Legal Max'!I163,'2019 Legal Max'!L163)), MAX(L163, I163))</f>
        <v>1119.5</v>
      </c>
      <c r="Q163" s="95">
        <f>IF(ISNA(VLOOKUP($CZ163,'Audit Values'!$A$2:$BU$353,2,FALSE)),'Preliminary SO66'!AL162,VLOOKUP($CZ163,'Audit Values'!$A$2:$BU$3955,58,FALSE))</f>
        <v>8</v>
      </c>
      <c r="R163" s="95">
        <v>0</v>
      </c>
      <c r="S163" s="95">
        <f t="shared" si="115"/>
        <v>1127.5</v>
      </c>
      <c r="T163" s="95">
        <f t="shared" si="84"/>
        <v>228.9</v>
      </c>
      <c r="U163" s="95">
        <f>IF(ISNA(VLOOKUP($CZ163,'Audit Values'!$A$2:$BW$317,2,FALSE)),'Preliminary SO66'!AM162,VLOOKUP($CZ163,'Audit Values'!$A$2:$BW$317,62,FALSE))</f>
        <v>0</v>
      </c>
      <c r="V163" s="95">
        <f>(U163/6)*'Weighting Factors'!$Q$7</f>
        <v>0</v>
      </c>
      <c r="W163" s="132">
        <f>IF(ISNA(VLOOKUP($CZ163,'Audit Values'!$A$2:$BW$353,2,FALSE)),'Preliminary SO66'!AN162,VLOOKUP($CZ163,'Audit Values'!$A$2:$BW$353,61,FALSE))</f>
        <v>0</v>
      </c>
      <c r="X163" s="95">
        <f>W163*'Weighting Factors'!$Q$8</f>
        <v>0</v>
      </c>
      <c r="Y163" s="95">
        <f t="shared" si="85"/>
        <v>0</v>
      </c>
      <c r="Z163" s="276">
        <f>IF(ISNA(VLOOKUP($CZ163,'Audit Values'!$A$2:$BW$317,2,FALSE)),'Preliminary SO66'!AO162,VLOOKUP($CZ163,'Audit Values'!$A$2:$BW$317,60,FALSE))</f>
        <v>304.8</v>
      </c>
      <c r="AA163" s="95">
        <f>Z163/6*'Weighting Factors'!$Q$6</f>
        <v>25.4</v>
      </c>
      <c r="AB163" s="99">
        <f>IF(ISNA(VLOOKUP($CZ163,'Audit Values'!$A$2:$BU$353,2,FALSE)),'Preliminary SO66'!AS162,VLOOKUP($CZ163,'Audit Values'!$A$2:$BU$353,63,FALSE))</f>
        <v>1132</v>
      </c>
      <c r="AC163" s="99">
        <v>0</v>
      </c>
      <c r="AD163" s="99">
        <f>IF(ISNA(VLOOKUP($CZ163,'Audit Values'!$A$2:$BU$353,2,FALSE)),'Preliminary SO66'!AP162,VLOOKUP($CZ163,'Audit Values'!$A$2:$BU$353,64,FALSE))</f>
        <v>595</v>
      </c>
      <c r="AE163" s="95">
        <f>IF(A163=207, AD163,MAX(AC163,AD163))*'Weighting Factors'!$Q$9</f>
        <v>288</v>
      </c>
      <c r="AF163" s="95">
        <f t="shared" si="86"/>
        <v>62.5</v>
      </c>
      <c r="AG163" s="95">
        <f>IF(ISNA(VLOOKUP($CZ163,'Audit Values'!$A$2:$BW$353,2,FALSE)),'Preliminary SO66'!AG162,VLOOKUP($CZ163,'Audit Values'!$A$2:$BW$353,70,FALSE))</f>
        <v>59.2</v>
      </c>
      <c r="AH163" s="95">
        <f t="shared" si="87"/>
        <v>62.5</v>
      </c>
      <c r="AI163" s="95">
        <f>IF(ISNA(VLOOKUP($CZ163,'Audit Values'!$A$2:$BU$353,2,FALSE)),'Preliminary SO66'!AQ162,VLOOKUP($CZ163,'Audit Values'!$A$2:$BU$353,65,FALSE))</f>
        <v>0</v>
      </c>
      <c r="AJ163" s="95">
        <f>AI163*'Weighting Factors'!$Q$10</f>
        <v>0</v>
      </c>
      <c r="AK163" s="95">
        <f>IF(ISNA(VLOOKUP($CZ163,'Audit Values'!$A$2:$BU$353,2,FALSE)),'Preliminary SO66'!AR162,VLOOKUP($CZ163,'Audit Values'!$A$2:$BU$353,66,FALSE))</f>
        <v>167</v>
      </c>
      <c r="AL163" s="95"/>
      <c r="AM163" s="99">
        <f t="shared" si="88"/>
        <v>145290</v>
      </c>
      <c r="AN163" s="99">
        <v>192600</v>
      </c>
      <c r="AO163" s="95">
        <f>MAX(AN163, AM163)/'Weighting Factors'!$Q$5</f>
        <v>46.2</v>
      </c>
      <c r="AP163" s="95">
        <f>CN163/'Weighting Factors'!$Q$5</f>
        <v>0</v>
      </c>
      <c r="AQ163" s="95">
        <v>0</v>
      </c>
      <c r="AR163" s="95">
        <f>CS163/'Weighting Factors'!$Q$5</f>
        <v>0</v>
      </c>
      <c r="AS163" s="99">
        <v>1881224</v>
      </c>
      <c r="AT163" s="95">
        <f>AS163/'Weighting Factors'!$Q$5</f>
        <v>451.7</v>
      </c>
      <c r="AU163" s="95">
        <f>IF(ISNA(VLOOKUP($CZ163,'Audit Values'!$A$2:$BU$353,2,FALSE)),'Preliminary SO66'!X162,VLOOKUP($CZ163,'Audit Values'!$A$2:$BU$353,47,FALSE))</f>
        <v>0</v>
      </c>
      <c r="AV163" s="95">
        <f t="shared" si="89"/>
        <v>2230.1999999999998</v>
      </c>
      <c r="AW163" s="95">
        <f t="shared" si="90"/>
        <v>1778.5</v>
      </c>
      <c r="AX163" s="95">
        <f>IF(ISNA(VLOOKUP($CZ163,'Audit Values'!$A$2:$BU$353,2,FALSE)),'Preliminary SO66'!AA162,VLOOKUP($CZ163,'Audit Values'!$A$2:$BU$353,41,FALSE))</f>
        <v>0</v>
      </c>
      <c r="AY163" s="95">
        <f>IF(ISNA(VLOOKUP($CZ163,'Audit Values'!$A$2:$BU$353,2,FALSE)),'Preliminary SO66'!AB162,VLOOKUP($CZ163,'Audit Values'!$A$2:$BU$353,42,FALSE))</f>
        <v>0</v>
      </c>
      <c r="AZ163" s="114">
        <v>0</v>
      </c>
      <c r="BA163" s="99">
        <f>SUM(AX163*'Weighting Factors'!$T$10)+('2019 Legal Max'!AY163*'Weighting Factors'!$T$11)+('2019 Legal Max'!AZ163*'Weighting Factors'!$T$12)</f>
        <v>0</v>
      </c>
      <c r="BB163" s="158">
        <v>0</v>
      </c>
      <c r="BC163" s="88">
        <f>IF(ISNA(VLOOKUP($CZ163,'Audit Values'!$A$2:$BU$353,2,FALSE)),"",IF(AND('Weighting Factors'!H163&gt;0,VLOOKUP($CZ163,'Audit Values'!$A$2:$BU$353,51,FALSE)&lt;'Weighting Factors'!H163),'Weighting Factors'!H163,VLOOKUP($CZ163,'Audit Values'!$A$2:$BU$353,50,FALSE)))</f>
        <v>14</v>
      </c>
      <c r="BD163" s="88" t="str">
        <f>IF(ISNA(VLOOKUP($CZ163,'Audit Values'!$A$2:$BV$353,2,FALSE)),"",VLOOKUP($CZ163,'Audit Values'!$A$2:$BV$353,51,FALSE))</f>
        <v>A</v>
      </c>
      <c r="BE163" s="88" t="str">
        <f>IF('Weighting Factors'!H163="","",IF('Weighting Factors'!J163="Pending","PX","R"))</f>
        <v/>
      </c>
      <c r="BF163" s="97">
        <f>SUM((S163+T163+Y163+AA163+AE163+AH163+AJ163++AO163+AP163+AQ163+AU163+AR163)*'Weighting Factors'!$Q$5)+'2019 Legal Max'!BA163+'2019 Legal Max'!BB163</f>
        <v>7407453</v>
      </c>
      <c r="BG163" s="99">
        <f>SUM((AV163+AR163)*'Weighting Factors'!$Q$5)+BA163+'2019 Legal Max'!BB163</f>
        <v>9288783</v>
      </c>
      <c r="BH163" s="108">
        <f>IF('Weighting Factors'!H163&gt;0,'Weighting Factors'!H163,'Preliminary SO66'!AV162)</f>
        <v>9328351</v>
      </c>
      <c r="BI163" s="99">
        <f t="shared" si="114"/>
        <v>9288783</v>
      </c>
      <c r="BJ163" s="112"/>
      <c r="BK163" s="112">
        <f>'Weighting Factors'!F163</f>
        <v>0</v>
      </c>
      <c r="BL163" s="112">
        <f>'Weighting Factors'!E163</f>
        <v>0</v>
      </c>
      <c r="BM163" s="99">
        <f t="shared" si="91"/>
        <v>0</v>
      </c>
      <c r="BN163" s="99">
        <f t="shared" si="92"/>
        <v>9288783</v>
      </c>
      <c r="BO163" s="99">
        <f>SUM((S163+T163+Y163+AA163+AE163+AH163+AJ163++AO163+AP163+AQ163+AR163)*'Weighting Factors'!Q$12)+(MAX(AS163,'Weighting Factors'!B163))</f>
        <v>9866689</v>
      </c>
      <c r="BP163" s="122">
        <v>0.33</v>
      </c>
      <c r="BQ163" s="99">
        <f t="shared" si="93"/>
        <v>3256007</v>
      </c>
      <c r="BR163" s="108">
        <v>3269930</v>
      </c>
      <c r="BS163" s="99">
        <f t="shared" si="94"/>
        <v>3256007</v>
      </c>
      <c r="BT163" s="167">
        <f t="shared" si="95"/>
        <v>0.33</v>
      </c>
      <c r="BU163" s="95">
        <f t="shared" si="96"/>
        <v>0</v>
      </c>
      <c r="BV163" s="87" t="b">
        <f t="shared" si="97"/>
        <v>0</v>
      </c>
      <c r="BW163" s="117">
        <f t="shared" si="98"/>
        <v>0</v>
      </c>
      <c r="BX163" s="116">
        <f t="shared" si="99"/>
        <v>0</v>
      </c>
      <c r="BY163" s="95">
        <f t="shared" si="100"/>
        <v>0</v>
      </c>
      <c r="BZ163" s="87" t="b">
        <f t="shared" si="101"/>
        <v>1</v>
      </c>
      <c r="CA163" s="87">
        <f t="shared" si="102"/>
        <v>1024.0313000000001</v>
      </c>
      <c r="CB163" s="116">
        <f t="shared" si="103"/>
        <v>0.203044</v>
      </c>
      <c r="CC163" s="95">
        <f t="shared" si="104"/>
        <v>228.9</v>
      </c>
      <c r="CD163" s="95">
        <f t="shared" si="105"/>
        <v>0</v>
      </c>
      <c r="CE163" s="98">
        <v>103</v>
      </c>
      <c r="CF163" s="250">
        <f t="shared" si="106"/>
        <v>1.621</v>
      </c>
      <c r="CG163" s="274">
        <f>IF(CF163&lt;0.06,1,IF(CF163&gt;=18.29,52,MATCH(CF163-0.001,'Weighting Factors'!$Y$5:$Y$156)+1))</f>
        <v>36</v>
      </c>
      <c r="CH163" s="243">
        <f>VLOOKUP(CG163, 'Weighting Factors'!$W$5:$Z$56,4)</f>
        <v>870</v>
      </c>
      <c r="CI163" s="118">
        <f>('Weighting Factors'!$Q$5/'Weighting Factors'!$Q$14)</f>
        <v>1</v>
      </c>
      <c r="CJ163" s="245">
        <f t="shared" si="107"/>
        <v>145290</v>
      </c>
      <c r="CK163" s="245">
        <f>CJ163*'Weighting Factors'!$S$7</f>
        <v>145290</v>
      </c>
      <c r="CL163" s="245">
        <f t="shared" si="108"/>
        <v>145290</v>
      </c>
      <c r="CM163" s="95">
        <f>AM163/'Weighting Factors'!$Q$5</f>
        <v>34.9</v>
      </c>
      <c r="CN163" s="148">
        <v>0</v>
      </c>
      <c r="CO163" s="148">
        <v>0</v>
      </c>
      <c r="CP163" s="149">
        <v>0</v>
      </c>
      <c r="CQ163" s="151">
        <v>0</v>
      </c>
      <c r="CR163" s="99">
        <f>SUM((AV163*'Weighting Factors'!$Q$5)+'2019 Legal Max'!BA163)*CQ163</f>
        <v>0</v>
      </c>
      <c r="CS163" s="99">
        <f t="shared" si="109"/>
        <v>0</v>
      </c>
      <c r="CT163" s="106">
        <f t="shared" si="110"/>
        <v>0.52559999999999996</v>
      </c>
      <c r="CU163" s="95">
        <f t="shared" si="111"/>
        <v>62.5</v>
      </c>
      <c r="CV163" s="95">
        <f t="shared" si="112"/>
        <v>0</v>
      </c>
      <c r="CW163" s="95">
        <f t="shared" si="113"/>
        <v>2230.1999999999998</v>
      </c>
      <c r="CX163" s="99">
        <f>'LOB Transfers'!G162</f>
        <v>421979</v>
      </c>
      <c r="CY163" s="99">
        <f>'LOB Transfers'!J162</f>
        <v>0</v>
      </c>
      <c r="CZ163" s="87" t="s">
        <v>355</v>
      </c>
    </row>
    <row r="164" spans="1:104" ht="15" customHeight="1">
      <c r="A164" s="88">
        <v>368</v>
      </c>
      <c r="B164" s="87" t="s">
        <v>73</v>
      </c>
      <c r="C164" s="87" t="s">
        <v>677</v>
      </c>
      <c r="D164" s="95">
        <v>1936.1</v>
      </c>
      <c r="E164" s="95">
        <v>0</v>
      </c>
      <c r="F164" s="95">
        <f t="shared" si="80"/>
        <v>1936.1</v>
      </c>
      <c r="G164" s="95">
        <v>2009.5</v>
      </c>
      <c r="H164" s="95">
        <v>0</v>
      </c>
      <c r="I164" s="95">
        <f t="shared" si="81"/>
        <v>2009.5</v>
      </c>
      <c r="J164" s="95">
        <v>2029</v>
      </c>
      <c r="K164" s="95">
        <v>0</v>
      </c>
      <c r="L164" s="95">
        <f t="shared" si="82"/>
        <v>2029</v>
      </c>
      <c r="M164" s="95">
        <f>IF(ISNA(VLOOKUP($CZ164,'Audit Values'!$A$2:$BW$365,2,FALSE)),'Preliminary SO66'!C163,VLOOKUP($CZ164,'Audit Values'!$A$2:$BW$365,73,FALSE))</f>
        <v>1933.4</v>
      </c>
      <c r="N164" s="95">
        <f>IF(ISNA(VLOOKUP($CZ164,'Audit Values'!$A$2:$BW$365,2,FALSE)),'Preliminary SO66'!F163,VLOOKUP($CZ164,'Audit Values'!$A$2:$BW$365,4,FALSE))</f>
        <v>0</v>
      </c>
      <c r="O164" s="95">
        <f t="shared" si="83"/>
        <v>1933.4</v>
      </c>
      <c r="P164" s="95">
        <f>IF('Military Provision'!J165="YES", MAX('2019 Legal Max'!L164,'2019 Legal Max'!I164,AVERAGE('2019 Legal Max'!F164,'2019 Legal Max'!I164,'2019 Legal Max'!L164)), MAX(L164, I164))</f>
        <v>2029</v>
      </c>
      <c r="Q164" s="95">
        <f>IF(ISNA(VLOOKUP($CZ164,'Audit Values'!$A$2:$BU$353,2,FALSE)),'Preliminary SO66'!AL163,VLOOKUP($CZ164,'Audit Values'!$A$2:$BU$3955,58,FALSE))</f>
        <v>0</v>
      </c>
      <c r="R164" s="95">
        <v>0</v>
      </c>
      <c r="S164" s="95">
        <f t="shared" si="115"/>
        <v>2029</v>
      </c>
      <c r="T164" s="95">
        <f t="shared" si="84"/>
        <v>71.099999999999994</v>
      </c>
      <c r="U164" s="95">
        <f>IF(ISNA(VLOOKUP($CZ164,'Audit Values'!$A$2:$BW$317,2,FALSE)),'Preliminary SO66'!AM163,VLOOKUP($CZ164,'Audit Values'!$A$2:$BW$317,62,FALSE))</f>
        <v>17.2</v>
      </c>
      <c r="V164" s="95">
        <f>(U164/6)*'Weighting Factors'!$Q$7</f>
        <v>1.1000000000000001</v>
      </c>
      <c r="W164" s="132">
        <f>IF(ISNA(VLOOKUP($CZ164,'Audit Values'!$A$2:$BW$353,2,FALSE)),'Preliminary SO66'!AN163,VLOOKUP($CZ164,'Audit Values'!$A$2:$BW$353,61,FALSE))</f>
        <v>17</v>
      </c>
      <c r="X164" s="95">
        <f>W164*'Weighting Factors'!$Q$8</f>
        <v>3.1</v>
      </c>
      <c r="Y164" s="95">
        <f t="shared" si="85"/>
        <v>3.1</v>
      </c>
      <c r="Z164" s="276">
        <f>IF(ISNA(VLOOKUP($CZ164,'Audit Values'!$A$2:$BW$317,2,FALSE)),'Preliminary SO66'!AO163,VLOOKUP($CZ164,'Audit Values'!$A$2:$BW$317,60,FALSE))</f>
        <v>545.6</v>
      </c>
      <c r="AA164" s="95">
        <f>Z164/6*'Weighting Factors'!$Q$6</f>
        <v>45.5</v>
      </c>
      <c r="AB164" s="99">
        <f>IF(ISNA(VLOOKUP($CZ164,'Audit Values'!$A$2:$BU$353,2,FALSE)),'Preliminary SO66'!AS163,VLOOKUP($CZ164,'Audit Values'!$A$2:$BU$353,63,FALSE))</f>
        <v>1952</v>
      </c>
      <c r="AC164" s="99">
        <v>0</v>
      </c>
      <c r="AD164" s="99">
        <f>IF(ISNA(VLOOKUP($CZ164,'Audit Values'!$A$2:$BU$353,2,FALSE)),'Preliminary SO66'!AP163,VLOOKUP($CZ164,'Audit Values'!$A$2:$BU$353,64,FALSE))</f>
        <v>570</v>
      </c>
      <c r="AE164" s="95">
        <f>IF(A164=207, AD164,MAX(AC164,AD164))*'Weighting Factors'!$Q$9</f>
        <v>275.89999999999998</v>
      </c>
      <c r="AF164" s="95">
        <f t="shared" si="86"/>
        <v>0</v>
      </c>
      <c r="AG164" s="95">
        <f>IF(ISNA(VLOOKUP($CZ164,'Audit Values'!$A$2:$BW$353,2,FALSE)),'Preliminary SO66'!AG163,VLOOKUP($CZ164,'Audit Values'!$A$2:$BW$353,70,FALSE))</f>
        <v>0</v>
      </c>
      <c r="AH164" s="95">
        <f t="shared" si="87"/>
        <v>0</v>
      </c>
      <c r="AI164" s="95">
        <f>IF(ISNA(VLOOKUP($CZ164,'Audit Values'!$A$2:$BU$353,2,FALSE)),'Preliminary SO66'!AQ163,VLOOKUP($CZ164,'Audit Values'!$A$2:$BU$353,65,FALSE))</f>
        <v>0</v>
      </c>
      <c r="AJ164" s="95">
        <f>AI164*'Weighting Factors'!$Q$10</f>
        <v>0</v>
      </c>
      <c r="AK164" s="95">
        <f>IF(ISNA(VLOOKUP($CZ164,'Audit Values'!$A$2:$BU$353,2,FALSE)),'Preliminary SO66'!AR163,VLOOKUP($CZ164,'Audit Values'!$A$2:$BU$353,66,FALSE))</f>
        <v>755.4</v>
      </c>
      <c r="AL164" s="95"/>
      <c r="AM164" s="99">
        <f t="shared" si="88"/>
        <v>566550</v>
      </c>
      <c r="AN164" s="99">
        <v>593593</v>
      </c>
      <c r="AO164" s="95">
        <f>MAX(AN164, AM164)/'Weighting Factors'!$Q$5</f>
        <v>142.5</v>
      </c>
      <c r="AP164" s="95">
        <f>CN164/'Weighting Factors'!$Q$5</f>
        <v>0</v>
      </c>
      <c r="AQ164" s="95">
        <v>0</v>
      </c>
      <c r="AR164" s="95">
        <f>CS164/'Weighting Factors'!$Q$5</f>
        <v>0</v>
      </c>
      <c r="AS164" s="99">
        <v>2207787</v>
      </c>
      <c r="AT164" s="95">
        <f>AS164/'Weighting Factors'!$Q$5</f>
        <v>530.1</v>
      </c>
      <c r="AU164" s="95">
        <f>IF(ISNA(VLOOKUP($CZ164,'Audit Values'!$A$2:$BU$353,2,FALSE)),'Preliminary SO66'!X163,VLOOKUP($CZ164,'Audit Values'!$A$2:$BU$353,47,FALSE))</f>
        <v>0</v>
      </c>
      <c r="AV164" s="95">
        <f t="shared" si="89"/>
        <v>3097.2</v>
      </c>
      <c r="AW164" s="95">
        <f t="shared" si="90"/>
        <v>2567.1</v>
      </c>
      <c r="AX164" s="95">
        <f>IF(ISNA(VLOOKUP($CZ164,'Audit Values'!$A$2:$BU$353,2,FALSE)),'Preliminary SO66'!AA163,VLOOKUP($CZ164,'Audit Values'!$A$2:$BU$353,41,FALSE))</f>
        <v>3</v>
      </c>
      <c r="AY164" s="95">
        <f>IF(ISNA(VLOOKUP($CZ164,'Audit Values'!$A$2:$BU$353,2,FALSE)),'Preliminary SO66'!AB163,VLOOKUP($CZ164,'Audit Values'!$A$2:$BU$353,42,FALSE))</f>
        <v>0</v>
      </c>
      <c r="AZ164" s="114">
        <v>0</v>
      </c>
      <c r="BA164" s="99">
        <f>SUM(AX164*'Weighting Factors'!$T$10)+('2019 Legal Max'!AY164*'Weighting Factors'!$T$11)+('2019 Legal Max'!AZ164*'Weighting Factors'!$T$12)</f>
        <v>15000</v>
      </c>
      <c r="BB164" s="158">
        <v>0</v>
      </c>
      <c r="BC164" s="88">
        <f>IF(ISNA(VLOOKUP($CZ164,'Audit Values'!$A$2:$BU$353,2,FALSE)),"",IF(AND('Weighting Factors'!H164&gt;0,VLOOKUP($CZ164,'Audit Values'!$A$2:$BU$353,51,FALSE)&lt;'Weighting Factors'!H164),'Weighting Factors'!H164,VLOOKUP($CZ164,'Audit Values'!$A$2:$BU$353,50,FALSE)))</f>
        <v>25</v>
      </c>
      <c r="BD164" s="88" t="str">
        <f>IF(ISNA(VLOOKUP($CZ164,'Audit Values'!$A$2:$BV$353,2,FALSE)),"",VLOOKUP($CZ164,'Audit Values'!$A$2:$BV$353,51,FALSE))</f>
        <v>A</v>
      </c>
      <c r="BE164" s="88" t="str">
        <f>IF('Weighting Factors'!H164="","",IF('Weighting Factors'!J164="Pending","PX","R"))</f>
        <v/>
      </c>
      <c r="BF164" s="97">
        <f>SUM((S164+T164+Y164+AA164+AE164+AH164+AJ164++AO164+AP164+AQ164+AU164+AR164)*'Weighting Factors'!$Q$5)+'2019 Legal Max'!BA164+'2019 Legal Max'!BB164</f>
        <v>10706972</v>
      </c>
      <c r="BG164" s="99">
        <f>SUM((AV164+AR164)*'Weighting Factors'!$Q$5)+BA164+'2019 Legal Max'!BB164</f>
        <v>12914838</v>
      </c>
      <c r="BH164" s="108">
        <f>IF('Weighting Factors'!H164&gt;0,'Weighting Factors'!H164,'Preliminary SO66'!AV163)</f>
        <v>13439236</v>
      </c>
      <c r="BI164" s="99">
        <f t="shared" si="114"/>
        <v>12914838</v>
      </c>
      <c r="BJ164" s="112"/>
      <c r="BK164" s="99">
        <f>'Weighting Factors'!F164</f>
        <v>0</v>
      </c>
      <c r="BL164" s="112">
        <f>'Weighting Factors'!E164</f>
        <v>0</v>
      </c>
      <c r="BM164" s="99">
        <f t="shared" si="91"/>
        <v>0</v>
      </c>
      <c r="BN164" s="99">
        <f t="shared" si="92"/>
        <v>12914838</v>
      </c>
      <c r="BO164" s="99">
        <f>SUM((S164+T164+Y164+AA164+AE164+AH164+AJ164++AO164+AP164+AQ164+AR164)*'Weighting Factors'!Q$12)+(MAX(AS164,'Weighting Factors'!B164))</f>
        <v>13734066</v>
      </c>
      <c r="BP164" s="122">
        <v>0.33</v>
      </c>
      <c r="BQ164" s="99">
        <f t="shared" si="93"/>
        <v>4532242</v>
      </c>
      <c r="BR164" s="108">
        <v>4687255</v>
      </c>
      <c r="BS164" s="99">
        <f t="shared" si="94"/>
        <v>4532242</v>
      </c>
      <c r="BT164" s="167">
        <f t="shared" si="95"/>
        <v>0.33</v>
      </c>
      <c r="BU164" s="95">
        <f t="shared" si="96"/>
        <v>0</v>
      </c>
      <c r="BV164" s="87" t="b">
        <f t="shared" si="97"/>
        <v>0</v>
      </c>
      <c r="BW164" s="117">
        <f t="shared" si="98"/>
        <v>0</v>
      </c>
      <c r="BX164" s="116">
        <f t="shared" si="99"/>
        <v>0</v>
      </c>
      <c r="BY164" s="95">
        <f t="shared" si="100"/>
        <v>0</v>
      </c>
      <c r="BZ164" s="87" t="b">
        <f t="shared" si="101"/>
        <v>0</v>
      </c>
      <c r="CA164" s="87">
        <f t="shared" si="102"/>
        <v>0</v>
      </c>
      <c r="CB164" s="116">
        <f t="shared" si="103"/>
        <v>0</v>
      </c>
      <c r="CC164" s="95">
        <f t="shared" si="104"/>
        <v>0</v>
      </c>
      <c r="CD164" s="95">
        <f t="shared" si="105"/>
        <v>71.099999999999994</v>
      </c>
      <c r="CE164" s="98">
        <v>200</v>
      </c>
      <c r="CF164" s="250">
        <f t="shared" si="106"/>
        <v>3.7770000000000001</v>
      </c>
      <c r="CG164" s="274">
        <f>IF(CF164&lt;0.06,1,IF(CF164&gt;=18.29,52,MATCH(CF164-0.001,'Weighting Factors'!$Y$5:$Y$156)+1))</f>
        <v>42</v>
      </c>
      <c r="CH164" s="243">
        <f>VLOOKUP(CG164, 'Weighting Factors'!$W$5:$Z$56,4)</f>
        <v>750</v>
      </c>
      <c r="CI164" s="118">
        <f>('Weighting Factors'!$Q$5/'Weighting Factors'!$Q$14)</f>
        <v>1</v>
      </c>
      <c r="CJ164" s="245">
        <f t="shared" si="107"/>
        <v>566550</v>
      </c>
      <c r="CK164" s="245">
        <f>CJ164*'Weighting Factors'!$S$7</f>
        <v>566550</v>
      </c>
      <c r="CL164" s="245">
        <f t="shared" si="108"/>
        <v>566550</v>
      </c>
      <c r="CM164" s="95">
        <f>AM164/'Weighting Factors'!$Q$5</f>
        <v>136</v>
      </c>
      <c r="CN164" s="148">
        <v>0</v>
      </c>
      <c r="CO164" s="148">
        <v>0</v>
      </c>
      <c r="CP164" s="149">
        <v>0</v>
      </c>
      <c r="CQ164" s="151">
        <v>4.0000000000000002E-4</v>
      </c>
      <c r="CR164" s="99">
        <f>SUM((AV164*'Weighting Factors'!$Q$5)+'2019 Legal Max'!BA164)*CQ164</f>
        <v>5166</v>
      </c>
      <c r="CS164" s="99">
        <f t="shared" si="109"/>
        <v>0</v>
      </c>
      <c r="CT164" s="106">
        <f t="shared" si="110"/>
        <v>0.29199999999999998</v>
      </c>
      <c r="CU164" s="95">
        <f t="shared" si="111"/>
        <v>0</v>
      </c>
      <c r="CV164" s="95">
        <f t="shared" si="112"/>
        <v>0</v>
      </c>
      <c r="CW164" s="95">
        <f t="shared" si="113"/>
        <v>3097.2</v>
      </c>
      <c r="CX164" s="99">
        <f>'LOB Transfers'!G163</f>
        <v>403823</v>
      </c>
      <c r="CY164" s="99">
        <f>'LOB Transfers'!J163</f>
        <v>4532</v>
      </c>
      <c r="CZ164" s="87" t="s">
        <v>356</v>
      </c>
    </row>
    <row r="165" spans="1:104" ht="15" customHeight="1">
      <c r="A165" s="88">
        <v>369</v>
      </c>
      <c r="B165" s="87" t="s">
        <v>74</v>
      </c>
      <c r="C165" s="87" t="s">
        <v>678</v>
      </c>
      <c r="D165" s="95">
        <v>237</v>
      </c>
      <c r="E165" s="95">
        <v>0</v>
      </c>
      <c r="F165" s="95">
        <f t="shared" si="80"/>
        <v>237</v>
      </c>
      <c r="G165" s="95">
        <v>231.5</v>
      </c>
      <c r="H165" s="95">
        <v>0</v>
      </c>
      <c r="I165" s="95">
        <f t="shared" si="81"/>
        <v>231.5</v>
      </c>
      <c r="J165" s="95">
        <v>222</v>
      </c>
      <c r="K165" s="95">
        <v>0</v>
      </c>
      <c r="L165" s="95">
        <f t="shared" si="82"/>
        <v>222</v>
      </c>
      <c r="M165" s="95">
        <f>IF(ISNA(VLOOKUP($CZ165,'Audit Values'!$A$2:$BW$365,2,FALSE)),'Preliminary SO66'!C164,VLOOKUP($CZ165,'Audit Values'!$A$2:$BW$365,73,FALSE))</f>
        <v>220</v>
      </c>
      <c r="N165" s="95">
        <f>IF(ISNA(VLOOKUP($CZ165,'Audit Values'!$A$2:$BW$365,2,FALSE)),'Preliminary SO66'!F164,VLOOKUP($CZ165,'Audit Values'!$A$2:$BW$365,4,FALSE))</f>
        <v>0</v>
      </c>
      <c r="O165" s="95">
        <f t="shared" si="83"/>
        <v>220</v>
      </c>
      <c r="P165" s="95">
        <f>IF('Military Provision'!J166="YES", MAX('2019 Legal Max'!L165,'2019 Legal Max'!I165,AVERAGE('2019 Legal Max'!F165,'2019 Legal Max'!I165,'2019 Legal Max'!L165)), MAX(L165, I165))</f>
        <v>231.5</v>
      </c>
      <c r="Q165" s="95">
        <f>IF(ISNA(VLOOKUP($CZ165,'Audit Values'!$A$2:$BU$353,2,FALSE)),'Preliminary SO66'!AL164,VLOOKUP($CZ165,'Audit Values'!$A$2:$BU$3955,58,FALSE))</f>
        <v>3.5</v>
      </c>
      <c r="R165" s="95">
        <v>0</v>
      </c>
      <c r="S165" s="95">
        <f t="shared" si="115"/>
        <v>235</v>
      </c>
      <c r="T165" s="95">
        <f t="shared" si="84"/>
        <v>154.30000000000001</v>
      </c>
      <c r="U165" s="95">
        <f>IF(ISNA(VLOOKUP($CZ165,'Audit Values'!$A$2:$BW$317,2,FALSE)),'Preliminary SO66'!AM164,VLOOKUP($CZ165,'Audit Values'!$A$2:$BW$317,62,FALSE))</f>
        <v>1.1000000000000001</v>
      </c>
      <c r="V165" s="95">
        <f>(U165/6)*'Weighting Factors'!$Q$7</f>
        <v>0.1</v>
      </c>
      <c r="W165" s="132">
        <f>IF(ISNA(VLOOKUP($CZ165,'Audit Values'!$A$2:$BW$353,2,FALSE)),'Preliminary SO66'!AN164,VLOOKUP($CZ165,'Audit Values'!$A$2:$BW$353,61,FALSE))</f>
        <v>8</v>
      </c>
      <c r="X165" s="95">
        <f>W165*'Weighting Factors'!$Q$8</f>
        <v>1.5</v>
      </c>
      <c r="Y165" s="95">
        <f t="shared" si="85"/>
        <v>1.5</v>
      </c>
      <c r="Z165" s="276">
        <f>IF(ISNA(VLOOKUP($CZ165,'Audit Values'!$A$2:$BW$317,2,FALSE)),'Preliminary SO66'!AO164,VLOOKUP($CZ165,'Audit Values'!$A$2:$BW$317,60,FALSE))</f>
        <v>69.400000000000006</v>
      </c>
      <c r="AA165" s="95">
        <f>Z165/6*'Weighting Factors'!$Q$6</f>
        <v>5.8</v>
      </c>
      <c r="AB165" s="99">
        <f>IF(ISNA(VLOOKUP($CZ165,'Audit Values'!$A$2:$BU$353,2,FALSE)),'Preliminary SO66'!AS164,VLOOKUP($CZ165,'Audit Values'!$A$2:$BU$353,63,FALSE))</f>
        <v>227</v>
      </c>
      <c r="AC165" s="99">
        <v>0</v>
      </c>
      <c r="AD165" s="99">
        <f>IF(ISNA(VLOOKUP($CZ165,'Audit Values'!$A$2:$BU$353,2,FALSE)),'Preliminary SO66'!AP164,VLOOKUP($CZ165,'Audit Values'!$A$2:$BU$353,64,FALSE))</f>
        <v>93</v>
      </c>
      <c r="AE165" s="95">
        <f>IF(A165=207, AD165,MAX(AC165,AD165))*'Weighting Factors'!$Q$9</f>
        <v>45</v>
      </c>
      <c r="AF165" s="95">
        <f t="shared" si="86"/>
        <v>3.9</v>
      </c>
      <c r="AG165" s="95">
        <f>IF(ISNA(VLOOKUP($CZ165,'Audit Values'!$A$2:$BW$353,2,FALSE)),'Preliminary SO66'!AG164,VLOOKUP($CZ165,'Audit Values'!$A$2:$BW$353,70,FALSE))</f>
        <v>4.0999999999999996</v>
      </c>
      <c r="AH165" s="95">
        <f t="shared" si="87"/>
        <v>4.0999999999999996</v>
      </c>
      <c r="AI165" s="95">
        <f>IF(ISNA(VLOOKUP($CZ165,'Audit Values'!$A$2:$BU$353,2,FALSE)),'Preliminary SO66'!AQ164,VLOOKUP($CZ165,'Audit Values'!$A$2:$BU$353,65,FALSE))</f>
        <v>0</v>
      </c>
      <c r="AJ165" s="95">
        <f>AI165*'Weighting Factors'!$Q$10</f>
        <v>0</v>
      </c>
      <c r="AK165" s="95">
        <f>IF(ISNA(VLOOKUP($CZ165,'Audit Values'!$A$2:$BU$353,2,FALSE)),'Preliminary SO66'!AR164,VLOOKUP($CZ165,'Audit Values'!$A$2:$BU$353,66,FALSE))</f>
        <v>32</v>
      </c>
      <c r="AL165" s="95"/>
      <c r="AM165" s="99">
        <f t="shared" si="88"/>
        <v>37440</v>
      </c>
      <c r="AN165" s="99">
        <v>54313</v>
      </c>
      <c r="AO165" s="95">
        <f>MAX(AN165, AM165)/'Weighting Factors'!$Q$5</f>
        <v>13</v>
      </c>
      <c r="AP165" s="95">
        <f>CN165/'Weighting Factors'!$Q$5</f>
        <v>0</v>
      </c>
      <c r="AQ165" s="95">
        <v>0</v>
      </c>
      <c r="AR165" s="95">
        <f>CS165/'Weighting Factors'!$Q$5</f>
        <v>0</v>
      </c>
      <c r="AS165" s="99">
        <v>243887</v>
      </c>
      <c r="AT165" s="95">
        <f>AS165/'Weighting Factors'!$Q$5</f>
        <v>58.6</v>
      </c>
      <c r="AU165" s="95">
        <f>IF(ISNA(VLOOKUP($CZ165,'Audit Values'!$A$2:$BU$353,2,FALSE)),'Preliminary SO66'!X164,VLOOKUP($CZ165,'Audit Values'!$A$2:$BU$353,47,FALSE))</f>
        <v>0</v>
      </c>
      <c r="AV165" s="95">
        <f t="shared" si="89"/>
        <v>517.29999999999995</v>
      </c>
      <c r="AW165" s="95">
        <f t="shared" si="90"/>
        <v>458.7</v>
      </c>
      <c r="AX165" s="95">
        <f>IF(ISNA(VLOOKUP($CZ165,'Audit Values'!$A$2:$BU$353,2,FALSE)),'Preliminary SO66'!AA164,VLOOKUP($CZ165,'Audit Values'!$A$2:$BU$353,41,FALSE))</f>
        <v>0</v>
      </c>
      <c r="AY165" s="95">
        <f>IF(ISNA(VLOOKUP($CZ165,'Audit Values'!$A$2:$BU$353,2,FALSE)),'Preliminary SO66'!AB164,VLOOKUP($CZ165,'Audit Values'!$A$2:$BU$353,42,FALSE))</f>
        <v>0</v>
      </c>
      <c r="AZ165" s="114">
        <v>0</v>
      </c>
      <c r="BA165" s="99">
        <f>SUM(AX165*'Weighting Factors'!$T$10)+('2019 Legal Max'!AY165*'Weighting Factors'!$T$11)+('2019 Legal Max'!AZ165*'Weighting Factors'!$T$12)</f>
        <v>0</v>
      </c>
      <c r="BB165" s="158">
        <v>0</v>
      </c>
      <c r="BC165" s="88">
        <f>IF(ISNA(VLOOKUP($CZ165,'Audit Values'!$A$2:$BU$353,2,FALSE)),"",IF(AND('Weighting Factors'!H165&gt;0,VLOOKUP($CZ165,'Audit Values'!$A$2:$BU$353,51,FALSE)&lt;'Weighting Factors'!H165),'Weighting Factors'!H165,VLOOKUP($CZ165,'Audit Values'!$A$2:$BU$353,50,FALSE)))</f>
        <v>19</v>
      </c>
      <c r="BD165" s="88" t="str">
        <f>IF(ISNA(VLOOKUP($CZ165,'Audit Values'!$A$2:$BV$353,2,FALSE)),"",VLOOKUP($CZ165,'Audit Values'!$A$2:$BV$353,51,FALSE))</f>
        <v>A</v>
      </c>
      <c r="BE165" s="88" t="str">
        <f>IF('Weighting Factors'!H165="","",IF('Weighting Factors'!J165="Pending","PX","R"))</f>
        <v/>
      </c>
      <c r="BF165" s="97">
        <f>SUM((S165+T165+Y165+AA165+AE165+AH165+AJ165++AO165+AP165+AQ165+AU165+AR165)*'Weighting Factors'!$Q$5)+'2019 Legal Max'!BA165+'2019 Legal Max'!BB165</f>
        <v>1910486</v>
      </c>
      <c r="BG165" s="99">
        <f>SUM((AV165+AR165)*'Weighting Factors'!$Q$5)+BA165+'2019 Legal Max'!BB165</f>
        <v>2154555</v>
      </c>
      <c r="BH165" s="108">
        <f>IF('Weighting Factors'!H165&gt;0,'Weighting Factors'!H165,'Preliminary SO66'!AV164)</f>
        <v>2254515</v>
      </c>
      <c r="BI165" s="99">
        <f t="shared" si="114"/>
        <v>2154555</v>
      </c>
      <c r="BJ165" s="112"/>
      <c r="BK165" s="112">
        <f>'Weighting Factors'!F165</f>
        <v>0</v>
      </c>
      <c r="BL165" s="112">
        <f>'Weighting Factors'!E165</f>
        <v>0</v>
      </c>
      <c r="BM165" s="99">
        <f t="shared" si="91"/>
        <v>0</v>
      </c>
      <c r="BN165" s="99">
        <f t="shared" si="92"/>
        <v>2154555</v>
      </c>
      <c r="BO165" s="99">
        <f>SUM((S165+T165+Y165+AA165+AE165+AH165+AJ165++AO165+AP165+AQ165+AR165)*'Weighting Factors'!Q$12)+(MAX(AS165,'Weighting Factors'!B165))</f>
        <v>2303450</v>
      </c>
      <c r="BP165" s="122">
        <v>0.3</v>
      </c>
      <c r="BQ165" s="99">
        <f t="shared" si="93"/>
        <v>691035</v>
      </c>
      <c r="BR165" s="108">
        <v>721486</v>
      </c>
      <c r="BS165" s="99">
        <f t="shared" si="94"/>
        <v>691035</v>
      </c>
      <c r="BT165" s="167">
        <f t="shared" si="95"/>
        <v>0.3</v>
      </c>
      <c r="BU165" s="95">
        <f t="shared" si="96"/>
        <v>0</v>
      </c>
      <c r="BV165" s="87" t="b">
        <f t="shared" si="97"/>
        <v>1</v>
      </c>
      <c r="BW165" s="117">
        <f t="shared" si="98"/>
        <v>1303.425</v>
      </c>
      <c r="BX165" s="116">
        <f t="shared" si="99"/>
        <v>0.65648300000000004</v>
      </c>
      <c r="BY165" s="95">
        <f t="shared" si="100"/>
        <v>154.30000000000001</v>
      </c>
      <c r="BZ165" s="87" t="b">
        <f t="shared" si="101"/>
        <v>0</v>
      </c>
      <c r="CA165" s="87">
        <f t="shared" si="102"/>
        <v>0</v>
      </c>
      <c r="CB165" s="116">
        <f t="shared" si="103"/>
        <v>0</v>
      </c>
      <c r="CC165" s="95">
        <f t="shared" si="104"/>
        <v>0</v>
      </c>
      <c r="CD165" s="95">
        <f t="shared" si="105"/>
        <v>0</v>
      </c>
      <c r="CE165" s="98">
        <v>95</v>
      </c>
      <c r="CF165" s="250">
        <f t="shared" si="106"/>
        <v>0.33700000000000002</v>
      </c>
      <c r="CG165" s="274">
        <f>IF(CF165&lt;0.06,1,IF(CF165&gt;=18.29,52,MATCH(CF165-0.001,'Weighting Factors'!$Y$5:$Y$156)+1))</f>
        <v>21</v>
      </c>
      <c r="CH165" s="243">
        <f>VLOOKUP(CG165, 'Weighting Factors'!$W$5:$Z$56,4)</f>
        <v>1170</v>
      </c>
      <c r="CI165" s="118">
        <f>('Weighting Factors'!$Q$5/'Weighting Factors'!$Q$14)</f>
        <v>1</v>
      </c>
      <c r="CJ165" s="245">
        <f t="shared" si="107"/>
        <v>37440</v>
      </c>
      <c r="CK165" s="245">
        <f>CJ165*'Weighting Factors'!$S$7</f>
        <v>37440</v>
      </c>
      <c r="CL165" s="245">
        <f t="shared" si="108"/>
        <v>37440</v>
      </c>
      <c r="CM165" s="95">
        <f>AM165/'Weighting Factors'!$Q$5</f>
        <v>9</v>
      </c>
      <c r="CN165" s="148">
        <v>0</v>
      </c>
      <c r="CO165" s="148">
        <v>0</v>
      </c>
      <c r="CP165" s="149">
        <v>0</v>
      </c>
      <c r="CQ165" s="151">
        <v>0</v>
      </c>
      <c r="CR165" s="99">
        <f>SUM((AV165*'Weighting Factors'!$Q$5)+'2019 Legal Max'!BA165)*CQ165</f>
        <v>0</v>
      </c>
      <c r="CS165" s="99">
        <f t="shared" si="109"/>
        <v>0</v>
      </c>
      <c r="CT165" s="106">
        <f t="shared" si="110"/>
        <v>0.40970000000000001</v>
      </c>
      <c r="CU165" s="95">
        <f t="shared" si="111"/>
        <v>0</v>
      </c>
      <c r="CV165" s="95">
        <f t="shared" si="112"/>
        <v>3.9</v>
      </c>
      <c r="CW165" s="95">
        <f t="shared" si="113"/>
        <v>517.29999999999995</v>
      </c>
      <c r="CX165" s="99">
        <f>'LOB Transfers'!G164</f>
        <v>60535</v>
      </c>
      <c r="CY165" s="99">
        <f>'LOB Transfers'!J164</f>
        <v>2004</v>
      </c>
      <c r="CZ165" s="87" t="s">
        <v>357</v>
      </c>
    </row>
    <row r="166" spans="1:104" ht="15" customHeight="1">
      <c r="A166" s="88">
        <v>371</v>
      </c>
      <c r="B166" s="87" t="s">
        <v>5</v>
      </c>
      <c r="C166" s="87" t="s">
        <v>679</v>
      </c>
      <c r="D166" s="95">
        <v>206.5</v>
      </c>
      <c r="E166" s="95">
        <v>0</v>
      </c>
      <c r="F166" s="95">
        <f t="shared" si="80"/>
        <v>206.5</v>
      </c>
      <c r="G166" s="95">
        <v>197.5</v>
      </c>
      <c r="H166" s="95">
        <v>0</v>
      </c>
      <c r="I166" s="95">
        <f t="shared" si="81"/>
        <v>197.5</v>
      </c>
      <c r="J166" s="95">
        <v>194</v>
      </c>
      <c r="K166" s="95">
        <v>0</v>
      </c>
      <c r="L166" s="95">
        <f t="shared" si="82"/>
        <v>194</v>
      </c>
      <c r="M166" s="95">
        <f>IF(ISNA(VLOOKUP($CZ166,'Audit Values'!$A$2:$BW$365,2,FALSE)),'Preliminary SO66'!C165,VLOOKUP($CZ166,'Audit Values'!$A$2:$BW$365,73,FALSE))</f>
        <v>184.5</v>
      </c>
      <c r="N166" s="95">
        <f>IF(ISNA(VLOOKUP($CZ166,'Audit Values'!$A$2:$BW$365,2,FALSE)),'Preliminary SO66'!F165,VLOOKUP($CZ166,'Audit Values'!$A$2:$BW$365,4,FALSE))</f>
        <v>0</v>
      </c>
      <c r="O166" s="95">
        <f t="shared" si="83"/>
        <v>184.5</v>
      </c>
      <c r="P166" s="95">
        <f>IF('Military Provision'!J167="YES", MAX('2019 Legal Max'!L166,'2019 Legal Max'!I166,AVERAGE('2019 Legal Max'!F166,'2019 Legal Max'!I166,'2019 Legal Max'!L166)), MAX(L166, I166))</f>
        <v>197.5</v>
      </c>
      <c r="Q166" s="95">
        <f>IF(ISNA(VLOOKUP($CZ166,'Audit Values'!$A$2:$BU$353,2,FALSE)),'Preliminary SO66'!AL165,VLOOKUP($CZ166,'Audit Values'!$A$2:$BU$3955,58,FALSE))</f>
        <v>2</v>
      </c>
      <c r="R166" s="95">
        <v>0</v>
      </c>
      <c r="S166" s="95">
        <f t="shared" si="115"/>
        <v>199.5</v>
      </c>
      <c r="T166" s="95">
        <f t="shared" si="84"/>
        <v>149.69999999999999</v>
      </c>
      <c r="U166" s="95">
        <f>IF(ISNA(VLOOKUP($CZ166,'Audit Values'!$A$2:$BW$317,2,FALSE)),'Preliminary SO66'!AM165,VLOOKUP($CZ166,'Audit Values'!$A$2:$BW$317,62,FALSE))</f>
        <v>151.1</v>
      </c>
      <c r="V166" s="95">
        <f>(U166/6)*'Weighting Factors'!$Q$7</f>
        <v>9.9</v>
      </c>
      <c r="W166" s="132">
        <f>IF(ISNA(VLOOKUP($CZ166,'Audit Values'!$A$2:$BW$353,2,FALSE)),'Preliminary SO66'!AN165,VLOOKUP($CZ166,'Audit Values'!$A$2:$BW$353,61,FALSE))</f>
        <v>35</v>
      </c>
      <c r="X166" s="95">
        <f>W166*'Weighting Factors'!$Q$8</f>
        <v>6.5</v>
      </c>
      <c r="Y166" s="95">
        <f t="shared" si="85"/>
        <v>9.9</v>
      </c>
      <c r="Z166" s="276">
        <f>IF(ISNA(VLOOKUP($CZ166,'Audit Values'!$A$2:$BW$317,2,FALSE)),'Preliminary SO66'!AO165,VLOOKUP($CZ166,'Audit Values'!$A$2:$BW$317,60,FALSE))</f>
        <v>71</v>
      </c>
      <c r="AA166" s="95">
        <f>Z166/6*'Weighting Factors'!$Q$6</f>
        <v>5.9</v>
      </c>
      <c r="AB166" s="99">
        <f>IF(ISNA(VLOOKUP($CZ166,'Audit Values'!$A$2:$BU$353,2,FALSE)),'Preliminary SO66'!AS165,VLOOKUP($CZ166,'Audit Values'!$A$2:$BU$353,63,FALSE))</f>
        <v>190</v>
      </c>
      <c r="AC166" s="99">
        <v>0</v>
      </c>
      <c r="AD166" s="99">
        <f>IF(ISNA(VLOOKUP($CZ166,'Audit Values'!$A$2:$BU$353,2,FALSE)),'Preliminary SO66'!AP165,VLOOKUP($CZ166,'Audit Values'!$A$2:$BU$353,64,FALSE))</f>
        <v>38</v>
      </c>
      <c r="AE166" s="95">
        <f>IF(A166=207, AD166,MAX(AC166,AD166))*'Weighting Factors'!$Q$9</f>
        <v>18.399999999999999</v>
      </c>
      <c r="AF166" s="95">
        <f t="shared" si="86"/>
        <v>0</v>
      </c>
      <c r="AG166" s="95">
        <f>IF(ISNA(VLOOKUP($CZ166,'Audit Values'!$A$2:$BW$353,2,FALSE)),'Preliminary SO66'!AG165,VLOOKUP($CZ166,'Audit Values'!$A$2:$BW$353,70,FALSE))</f>
        <v>0</v>
      </c>
      <c r="AH166" s="95">
        <f t="shared" si="87"/>
        <v>0</v>
      </c>
      <c r="AI166" s="95">
        <f>IF(ISNA(VLOOKUP($CZ166,'Audit Values'!$A$2:$BU$353,2,FALSE)),'Preliminary SO66'!AQ165,VLOOKUP($CZ166,'Audit Values'!$A$2:$BU$353,65,FALSE))</f>
        <v>0</v>
      </c>
      <c r="AJ166" s="95">
        <f>AI166*'Weighting Factors'!$Q$10</f>
        <v>0</v>
      </c>
      <c r="AK166" s="95">
        <f>IF(ISNA(VLOOKUP($CZ166,'Audit Values'!$A$2:$BU$353,2,FALSE)),'Preliminary SO66'!AR165,VLOOKUP($CZ166,'Audit Values'!$A$2:$BU$353,66,FALSE))</f>
        <v>69</v>
      </c>
      <c r="AL166" s="95"/>
      <c r="AM166" s="99">
        <f t="shared" si="88"/>
        <v>80730</v>
      </c>
      <c r="AN166" s="99">
        <v>108626</v>
      </c>
      <c r="AO166" s="95">
        <f>MAX(AN166, AM166)/'Weighting Factors'!$Q$5</f>
        <v>26.1</v>
      </c>
      <c r="AP166" s="95">
        <f>CN166/'Weighting Factors'!$Q$5</f>
        <v>0</v>
      </c>
      <c r="AQ166" s="95">
        <v>0</v>
      </c>
      <c r="AR166" s="95">
        <f>CS166/'Weighting Factors'!$Q$5</f>
        <v>0</v>
      </c>
      <c r="AS166" s="99">
        <v>135900</v>
      </c>
      <c r="AT166" s="95">
        <f>AS166/'Weighting Factors'!$Q$5</f>
        <v>32.6</v>
      </c>
      <c r="AU166" s="95">
        <f>IF(ISNA(VLOOKUP($CZ166,'Audit Values'!$A$2:$BU$353,2,FALSE)),'Preliminary SO66'!X165,VLOOKUP($CZ166,'Audit Values'!$A$2:$BU$353,47,FALSE))</f>
        <v>0</v>
      </c>
      <c r="AV166" s="95">
        <f t="shared" si="89"/>
        <v>442.1</v>
      </c>
      <c r="AW166" s="95">
        <f t="shared" si="90"/>
        <v>409.5</v>
      </c>
      <c r="AX166" s="95">
        <f>IF(ISNA(VLOOKUP($CZ166,'Audit Values'!$A$2:$BU$353,2,FALSE)),'Preliminary SO66'!AA165,VLOOKUP($CZ166,'Audit Values'!$A$2:$BU$353,41,FALSE))</f>
        <v>3</v>
      </c>
      <c r="AY166" s="95">
        <f>IF(ISNA(VLOOKUP($CZ166,'Audit Values'!$A$2:$BU$353,2,FALSE)),'Preliminary SO66'!AB165,VLOOKUP($CZ166,'Audit Values'!$A$2:$BU$353,42,FALSE))</f>
        <v>0</v>
      </c>
      <c r="AZ166" s="114">
        <v>20</v>
      </c>
      <c r="BA166" s="99">
        <f>SUM(AX166*'Weighting Factors'!$T$10)+('2019 Legal Max'!AY166*'Weighting Factors'!$T$11)+('2019 Legal Max'!AZ166*'Weighting Factors'!$T$12)</f>
        <v>29180</v>
      </c>
      <c r="BB166" s="158">
        <v>0</v>
      </c>
      <c r="BC166" s="88">
        <f>IF(ISNA(VLOOKUP($CZ166,'Audit Values'!$A$2:$BU$353,2,FALSE)),"",IF(AND('Weighting Factors'!H166&gt;0,VLOOKUP($CZ166,'Audit Values'!$A$2:$BU$353,51,FALSE)&lt;'Weighting Factors'!H166),'Weighting Factors'!H166,VLOOKUP($CZ166,'Audit Values'!$A$2:$BU$353,50,FALSE)))</f>
        <v>19</v>
      </c>
      <c r="BD166" s="88" t="str">
        <f>IF(ISNA(VLOOKUP($CZ166,'Audit Values'!$A$2:$BV$353,2,FALSE)),"",VLOOKUP($CZ166,'Audit Values'!$A$2:$BV$353,51,FALSE))</f>
        <v>A</v>
      </c>
      <c r="BE166" s="88" t="str">
        <f>IF('Weighting Factors'!H166="","",IF('Weighting Factors'!J166="Pending","PX","R"))</f>
        <v/>
      </c>
      <c r="BF166" s="97">
        <f>SUM((S166+T166+Y166+AA166+AE166+AH166+AJ166++AO166+AP166+AQ166+AU166+AR166)*'Weighting Factors'!$Q$5)+'2019 Legal Max'!BA166+'2019 Legal Max'!BB166</f>
        <v>1734748</v>
      </c>
      <c r="BG166" s="99">
        <f>SUM((AV166+AR166)*'Weighting Factors'!$Q$5)+BA166+'2019 Legal Max'!BB166</f>
        <v>1870527</v>
      </c>
      <c r="BH166" s="108">
        <f>IF('Weighting Factors'!H166&gt;0,'Weighting Factors'!H166,'Preliminary SO66'!AV165)</f>
        <v>2003187</v>
      </c>
      <c r="BI166" s="99">
        <f t="shared" si="114"/>
        <v>1870527</v>
      </c>
      <c r="BJ166" s="112"/>
      <c r="BK166" s="112">
        <f>'Weighting Factors'!F166</f>
        <v>0</v>
      </c>
      <c r="BL166" s="112">
        <f>'Weighting Factors'!E166</f>
        <v>0</v>
      </c>
      <c r="BM166" s="99">
        <f t="shared" si="91"/>
        <v>0</v>
      </c>
      <c r="BN166" s="99">
        <f t="shared" si="92"/>
        <v>1870527</v>
      </c>
      <c r="BO166" s="99">
        <f>SUM((S166+T166+Y166+AA166+AE166+AH166+AJ166++AO166+AP166+AQ166+AR166)*'Weighting Factors'!Q$12)+(MAX(AS166,'Weighting Factors'!B166))</f>
        <v>1995939</v>
      </c>
      <c r="BP166" s="122">
        <v>0.3</v>
      </c>
      <c r="BQ166" s="99">
        <f t="shared" si="93"/>
        <v>598782</v>
      </c>
      <c r="BR166" s="108">
        <v>627253</v>
      </c>
      <c r="BS166" s="99">
        <f t="shared" si="94"/>
        <v>598782</v>
      </c>
      <c r="BT166" s="167">
        <f t="shared" si="95"/>
        <v>0.3</v>
      </c>
      <c r="BU166" s="95">
        <f t="shared" si="96"/>
        <v>0</v>
      </c>
      <c r="BV166" s="87" t="b">
        <f t="shared" si="97"/>
        <v>1</v>
      </c>
      <c r="BW166" s="117">
        <f t="shared" si="98"/>
        <v>960.673</v>
      </c>
      <c r="BX166" s="116">
        <f t="shared" si="99"/>
        <v>0.75058400000000003</v>
      </c>
      <c r="BY166" s="95">
        <f t="shared" si="100"/>
        <v>149.69999999999999</v>
      </c>
      <c r="BZ166" s="87" t="b">
        <f t="shared" si="101"/>
        <v>0</v>
      </c>
      <c r="CA166" s="87">
        <f t="shared" si="102"/>
        <v>0</v>
      </c>
      <c r="CB166" s="116">
        <f t="shared" si="103"/>
        <v>0</v>
      </c>
      <c r="CC166" s="95">
        <f t="shared" si="104"/>
        <v>0</v>
      </c>
      <c r="CD166" s="95">
        <f t="shared" si="105"/>
        <v>0</v>
      </c>
      <c r="CE166" s="98">
        <v>200.8</v>
      </c>
      <c r="CF166" s="250">
        <f t="shared" si="106"/>
        <v>0.34399999999999997</v>
      </c>
      <c r="CG166" s="274">
        <f>IF(CF166&lt;0.06,1,IF(CF166&gt;=18.29,52,MATCH(CF166-0.001,'Weighting Factors'!$Y$5:$Y$156)+1))</f>
        <v>21</v>
      </c>
      <c r="CH166" s="243">
        <f>VLOOKUP(CG166, 'Weighting Factors'!$W$5:$Z$56,4)</f>
        <v>1170</v>
      </c>
      <c r="CI166" s="118">
        <f>('Weighting Factors'!$Q$5/'Weighting Factors'!$Q$14)</f>
        <v>1</v>
      </c>
      <c r="CJ166" s="245">
        <f t="shared" si="107"/>
        <v>80730</v>
      </c>
      <c r="CK166" s="245">
        <f>CJ166*'Weighting Factors'!$S$7</f>
        <v>80730</v>
      </c>
      <c r="CL166" s="245">
        <f t="shared" si="108"/>
        <v>80730</v>
      </c>
      <c r="CM166" s="95">
        <f>AM166/'Weighting Factors'!$Q$5</f>
        <v>19.399999999999999</v>
      </c>
      <c r="CN166" s="148">
        <v>0</v>
      </c>
      <c r="CO166" s="148">
        <v>0</v>
      </c>
      <c r="CP166" s="149">
        <v>0</v>
      </c>
      <c r="CQ166" s="151">
        <v>0</v>
      </c>
      <c r="CR166" s="99">
        <f>SUM((AV166*'Weighting Factors'!$Q$5)+'2019 Legal Max'!BA166)*CQ166</f>
        <v>0</v>
      </c>
      <c r="CS166" s="99">
        <f t="shared" si="109"/>
        <v>0</v>
      </c>
      <c r="CT166" s="106">
        <f t="shared" si="110"/>
        <v>0.2</v>
      </c>
      <c r="CU166" s="95">
        <f t="shared" si="111"/>
        <v>0</v>
      </c>
      <c r="CV166" s="95">
        <f t="shared" si="112"/>
        <v>0</v>
      </c>
      <c r="CW166" s="95">
        <f t="shared" si="113"/>
        <v>442.1</v>
      </c>
      <c r="CX166" s="99">
        <f>'LOB Transfers'!G165</f>
        <v>25029</v>
      </c>
      <c r="CY166" s="99">
        <f>'LOB Transfers'!J165</f>
        <v>13473</v>
      </c>
      <c r="CZ166" s="87" t="s">
        <v>358</v>
      </c>
    </row>
    <row r="167" spans="1:104" ht="15" customHeight="1">
      <c r="A167" s="88">
        <v>372</v>
      </c>
      <c r="B167" s="87" t="s">
        <v>61</v>
      </c>
      <c r="C167" s="87" t="s">
        <v>680</v>
      </c>
      <c r="D167" s="95">
        <v>656</v>
      </c>
      <c r="E167" s="95">
        <v>0</v>
      </c>
      <c r="F167" s="95">
        <f t="shared" si="80"/>
        <v>656</v>
      </c>
      <c r="G167" s="95">
        <v>686</v>
      </c>
      <c r="H167" s="95">
        <v>0</v>
      </c>
      <c r="I167" s="95">
        <f t="shared" si="81"/>
        <v>686</v>
      </c>
      <c r="J167" s="95">
        <v>704.6</v>
      </c>
      <c r="K167" s="95">
        <v>0</v>
      </c>
      <c r="L167" s="95">
        <f t="shared" si="82"/>
        <v>704.6</v>
      </c>
      <c r="M167" s="95">
        <f>IF(ISNA(VLOOKUP($CZ167,'Audit Values'!$A$2:$BW$365,2,FALSE)),'Preliminary SO66'!C166,VLOOKUP($CZ167,'Audit Values'!$A$2:$BW$365,73,FALSE))</f>
        <v>694.5</v>
      </c>
      <c r="N167" s="95">
        <f>IF(ISNA(VLOOKUP($CZ167,'Audit Values'!$A$2:$BW$365,2,FALSE)),'Preliminary SO66'!F166,VLOOKUP($CZ167,'Audit Values'!$A$2:$BW$365,4,FALSE))</f>
        <v>0</v>
      </c>
      <c r="O167" s="95">
        <f t="shared" si="83"/>
        <v>694.5</v>
      </c>
      <c r="P167" s="95">
        <f>IF('Military Provision'!J168="YES", MAX('2019 Legal Max'!L167,'2019 Legal Max'!I167,AVERAGE('2019 Legal Max'!F167,'2019 Legal Max'!I167,'2019 Legal Max'!L167)), MAX(L167, I167))</f>
        <v>704.6</v>
      </c>
      <c r="Q167" s="95">
        <f>IF(ISNA(VLOOKUP($CZ167,'Audit Values'!$A$2:$BU$353,2,FALSE)),'Preliminary SO66'!AL166,VLOOKUP($CZ167,'Audit Values'!$A$2:$BU$3955,58,FALSE))</f>
        <v>8</v>
      </c>
      <c r="R167" s="95">
        <v>0</v>
      </c>
      <c r="S167" s="95">
        <f t="shared" si="115"/>
        <v>712.6</v>
      </c>
      <c r="T167" s="95">
        <f t="shared" si="84"/>
        <v>245.1</v>
      </c>
      <c r="U167" s="95">
        <f>IF(ISNA(VLOOKUP($CZ167,'Audit Values'!$A$2:$BW$317,2,FALSE)),'Preliminary SO66'!AM166,VLOOKUP($CZ167,'Audit Values'!$A$2:$BW$317,62,FALSE))</f>
        <v>0</v>
      </c>
      <c r="V167" s="95">
        <f>(U167/6)*'Weighting Factors'!$Q$7</f>
        <v>0</v>
      </c>
      <c r="W167" s="132">
        <f>IF(ISNA(VLOOKUP($CZ167,'Audit Values'!$A$2:$BW$353,2,FALSE)),'Preliminary SO66'!AN166,VLOOKUP($CZ167,'Audit Values'!$A$2:$BW$353,61,FALSE))</f>
        <v>0</v>
      </c>
      <c r="X167" s="95">
        <f>W167*'Weighting Factors'!$Q$8</f>
        <v>0</v>
      </c>
      <c r="Y167" s="95">
        <f t="shared" si="85"/>
        <v>0</v>
      </c>
      <c r="Z167" s="276">
        <f>IF(ISNA(VLOOKUP($CZ167,'Audit Values'!$A$2:$BW$317,2,FALSE)),'Preliminary SO66'!AO166,VLOOKUP($CZ167,'Audit Values'!$A$2:$BW$317,60,FALSE))</f>
        <v>69.599999999999994</v>
      </c>
      <c r="AA167" s="95">
        <f>Z167/6*'Weighting Factors'!$Q$6</f>
        <v>5.8</v>
      </c>
      <c r="AB167" s="99">
        <f>IF(ISNA(VLOOKUP($CZ167,'Audit Values'!$A$2:$BU$353,2,FALSE)),'Preliminary SO66'!AS166,VLOOKUP($CZ167,'Audit Values'!$A$2:$BU$353,63,FALSE))</f>
        <v>717</v>
      </c>
      <c r="AC167" s="99">
        <v>0</v>
      </c>
      <c r="AD167" s="99">
        <f>IF(ISNA(VLOOKUP($CZ167,'Audit Values'!$A$2:$BU$353,2,FALSE)),'Preliminary SO66'!AP166,VLOOKUP($CZ167,'Audit Values'!$A$2:$BU$353,64,FALSE))</f>
        <v>78</v>
      </c>
      <c r="AE167" s="95">
        <f>IF(A167=207, AD167,MAX(AC167,AD167))*'Weighting Factors'!$Q$9</f>
        <v>37.799999999999997</v>
      </c>
      <c r="AF167" s="95">
        <f t="shared" si="86"/>
        <v>0</v>
      </c>
      <c r="AG167" s="95">
        <f>IF(ISNA(VLOOKUP($CZ167,'Audit Values'!$A$2:$BW$353,2,FALSE)),'Preliminary SO66'!AG166,VLOOKUP($CZ167,'Audit Values'!$A$2:$BW$353,70,FALSE))</f>
        <v>0</v>
      </c>
      <c r="AH167" s="95">
        <f t="shared" si="87"/>
        <v>0</v>
      </c>
      <c r="AI167" s="95">
        <f>IF(ISNA(VLOOKUP($CZ167,'Audit Values'!$A$2:$BU$353,2,FALSE)),'Preliminary SO66'!AQ166,VLOOKUP($CZ167,'Audit Values'!$A$2:$BU$353,65,FALSE))</f>
        <v>0</v>
      </c>
      <c r="AJ167" s="95">
        <f>AI167*'Weighting Factors'!$Q$10</f>
        <v>0</v>
      </c>
      <c r="AK167" s="95">
        <f>IF(ISNA(VLOOKUP($CZ167,'Audit Values'!$A$2:$BU$353,2,FALSE)),'Preliminary SO66'!AR166,VLOOKUP($CZ167,'Audit Values'!$A$2:$BU$353,66,FALSE))</f>
        <v>282</v>
      </c>
      <c r="AL167" s="95"/>
      <c r="AM167" s="99">
        <f t="shared" si="88"/>
        <v>222780</v>
      </c>
      <c r="AN167" s="99">
        <v>242676</v>
      </c>
      <c r="AO167" s="95">
        <f>MAX(AN167, AM167)/'Weighting Factors'!$Q$5</f>
        <v>58.3</v>
      </c>
      <c r="AP167" s="95">
        <f>CN167/'Weighting Factors'!$Q$5</f>
        <v>0</v>
      </c>
      <c r="AQ167" s="95">
        <v>0</v>
      </c>
      <c r="AR167" s="95">
        <f>CS167/'Weighting Factors'!$Q$5</f>
        <v>0</v>
      </c>
      <c r="AS167" s="99">
        <v>567788</v>
      </c>
      <c r="AT167" s="95">
        <f>AS167/'Weighting Factors'!$Q$5</f>
        <v>136.30000000000001</v>
      </c>
      <c r="AU167" s="95">
        <f>IF(ISNA(VLOOKUP($CZ167,'Audit Values'!$A$2:$BU$353,2,FALSE)),'Preliminary SO66'!X166,VLOOKUP($CZ167,'Audit Values'!$A$2:$BU$353,47,FALSE))</f>
        <v>0</v>
      </c>
      <c r="AV167" s="95">
        <f t="shared" si="89"/>
        <v>1195.9000000000001</v>
      </c>
      <c r="AW167" s="95">
        <f t="shared" si="90"/>
        <v>1059.5999999999999</v>
      </c>
      <c r="AX167" s="95">
        <f>IF(ISNA(VLOOKUP($CZ167,'Audit Values'!$A$2:$BU$353,2,FALSE)),'Preliminary SO66'!AA166,VLOOKUP($CZ167,'Audit Values'!$A$2:$BU$353,41,FALSE))</f>
        <v>0</v>
      </c>
      <c r="AY167" s="95">
        <f>IF(ISNA(VLOOKUP($CZ167,'Audit Values'!$A$2:$BU$353,2,FALSE)),'Preliminary SO66'!AB166,VLOOKUP($CZ167,'Audit Values'!$A$2:$BU$353,42,FALSE))</f>
        <v>0</v>
      </c>
      <c r="AZ167" s="114">
        <v>5</v>
      </c>
      <c r="BA167" s="99">
        <f>SUM(AX167*'Weighting Factors'!$T$10)+('2019 Legal Max'!AY167*'Weighting Factors'!$T$11)+('2019 Legal Max'!AZ167*'Weighting Factors'!$T$12)</f>
        <v>3545</v>
      </c>
      <c r="BB167" s="158">
        <v>0</v>
      </c>
      <c r="BC167" s="88">
        <f>IF(ISNA(VLOOKUP($CZ167,'Audit Values'!$A$2:$BU$353,2,FALSE)),"",IF(AND('Weighting Factors'!H167&gt;0,VLOOKUP($CZ167,'Audit Values'!$A$2:$BU$353,51,FALSE)&lt;'Weighting Factors'!H167),'Weighting Factors'!H167,VLOOKUP($CZ167,'Audit Values'!$A$2:$BU$353,50,FALSE)))</f>
        <v>25</v>
      </c>
      <c r="BD167" s="88" t="str">
        <f>IF(ISNA(VLOOKUP($CZ167,'Audit Values'!$A$2:$BV$353,2,FALSE)),"",VLOOKUP($CZ167,'Audit Values'!$A$2:$BV$353,51,FALSE))</f>
        <v>A</v>
      </c>
      <c r="BE167" s="88" t="str">
        <f>IF('Weighting Factors'!H167="","",IF('Weighting Factors'!J167="Pending","PX","R"))</f>
        <v/>
      </c>
      <c r="BF167" s="97">
        <f>SUM((S167+T167+Y167+AA167+AE167+AH167+AJ167++AO167+AP167+AQ167+AU167+AR167)*'Weighting Factors'!$Q$5)+'2019 Legal Max'!BA167+'2019 Legal Max'!BB167</f>
        <v>4416779</v>
      </c>
      <c r="BG167" s="99">
        <f>SUM((AV167+AR167)*'Weighting Factors'!$Q$5)+BA167+'2019 Legal Max'!BB167</f>
        <v>4984469</v>
      </c>
      <c r="BH167" s="108">
        <f>IF('Weighting Factors'!H167&gt;0,'Weighting Factors'!H167,'Preliminary SO66'!AV166)</f>
        <v>5064022</v>
      </c>
      <c r="BI167" s="99">
        <f t="shared" si="114"/>
        <v>4984469</v>
      </c>
      <c r="BJ167" s="112"/>
      <c r="BK167" s="112">
        <f>'Weighting Factors'!F167</f>
        <v>-55948</v>
      </c>
      <c r="BL167" s="112">
        <f>'Weighting Factors'!E167</f>
        <v>0</v>
      </c>
      <c r="BM167" s="99">
        <f t="shared" si="91"/>
        <v>-55948</v>
      </c>
      <c r="BN167" s="99">
        <f t="shared" si="92"/>
        <v>4928521</v>
      </c>
      <c r="BO167" s="99">
        <f>SUM((S167+T167+Y167+AA167+AE167+AH167+AJ167++AO167+AP167+AQ167+AR167)*'Weighting Factors'!Q$12)+(MAX(AS167,'Weighting Factors'!B167))</f>
        <v>5377825</v>
      </c>
      <c r="BP167" s="122">
        <v>0.3</v>
      </c>
      <c r="BQ167" s="99">
        <f t="shared" si="93"/>
        <v>1613348</v>
      </c>
      <c r="BR167" s="108">
        <v>1624393</v>
      </c>
      <c r="BS167" s="99">
        <f t="shared" si="94"/>
        <v>1613348</v>
      </c>
      <c r="BT167" s="167">
        <f t="shared" si="95"/>
        <v>0.3</v>
      </c>
      <c r="BU167" s="95">
        <f t="shared" si="96"/>
        <v>0</v>
      </c>
      <c r="BV167" s="87" t="b">
        <f t="shared" si="97"/>
        <v>0</v>
      </c>
      <c r="BW167" s="117">
        <f t="shared" si="98"/>
        <v>0</v>
      </c>
      <c r="BX167" s="116">
        <f t="shared" si="99"/>
        <v>0</v>
      </c>
      <c r="BY167" s="95">
        <f t="shared" si="100"/>
        <v>0</v>
      </c>
      <c r="BZ167" s="87" t="b">
        <f t="shared" si="101"/>
        <v>1</v>
      </c>
      <c r="CA167" s="87">
        <f t="shared" si="102"/>
        <v>510.59249999999997</v>
      </c>
      <c r="CB167" s="116">
        <f t="shared" si="103"/>
        <v>0.34400599999999998</v>
      </c>
      <c r="CC167" s="95">
        <f t="shared" si="104"/>
        <v>245.1</v>
      </c>
      <c r="CD167" s="95">
        <f t="shared" si="105"/>
        <v>0</v>
      </c>
      <c r="CE167" s="98">
        <v>94</v>
      </c>
      <c r="CF167" s="250">
        <f t="shared" si="106"/>
        <v>3</v>
      </c>
      <c r="CG167" s="274">
        <f>IF(CF167&lt;0.06,1,IF(CF167&gt;=18.29,52,MATCH(CF167-0.001,'Weighting Factors'!$Y$5:$Y$156)+1))</f>
        <v>40</v>
      </c>
      <c r="CH167" s="243">
        <f>VLOOKUP(CG167, 'Weighting Factors'!$W$5:$Z$56,4)</f>
        <v>790</v>
      </c>
      <c r="CI167" s="118">
        <f>('Weighting Factors'!$Q$5/'Weighting Factors'!$Q$14)</f>
        <v>1</v>
      </c>
      <c r="CJ167" s="245">
        <f t="shared" si="107"/>
        <v>222780</v>
      </c>
      <c r="CK167" s="245">
        <f>CJ167*'Weighting Factors'!$S$7</f>
        <v>222780</v>
      </c>
      <c r="CL167" s="245">
        <f t="shared" si="108"/>
        <v>222780</v>
      </c>
      <c r="CM167" s="95">
        <f>AM167/'Weighting Factors'!$Q$5</f>
        <v>53.5</v>
      </c>
      <c r="CN167" s="148">
        <v>0</v>
      </c>
      <c r="CO167" s="148">
        <v>0</v>
      </c>
      <c r="CP167" s="149">
        <v>0</v>
      </c>
      <c r="CQ167" s="151">
        <v>0</v>
      </c>
      <c r="CR167" s="99">
        <f>SUM((AV167*'Weighting Factors'!$Q$5)+'2019 Legal Max'!BA167)*CQ167</f>
        <v>0</v>
      </c>
      <c r="CS167" s="99">
        <f t="shared" si="109"/>
        <v>0</v>
      </c>
      <c r="CT167" s="106">
        <f t="shared" si="110"/>
        <v>0.10879999999999999</v>
      </c>
      <c r="CU167" s="95">
        <f t="shared" si="111"/>
        <v>0</v>
      </c>
      <c r="CV167" s="95">
        <f t="shared" si="112"/>
        <v>0</v>
      </c>
      <c r="CW167" s="95">
        <f t="shared" si="113"/>
        <v>1195.9000000000001</v>
      </c>
      <c r="CX167" s="99">
        <f>'LOB Transfers'!G166</f>
        <v>51304</v>
      </c>
      <c r="CY167" s="99">
        <f>'LOB Transfers'!J166</f>
        <v>0</v>
      </c>
      <c r="CZ167" s="87" t="s">
        <v>359</v>
      </c>
    </row>
    <row r="168" spans="1:104" ht="15" customHeight="1">
      <c r="A168" s="88">
        <v>373</v>
      </c>
      <c r="B168" s="87" t="s">
        <v>74</v>
      </c>
      <c r="C168" s="87" t="s">
        <v>681</v>
      </c>
      <c r="D168" s="95">
        <v>3289.3</v>
      </c>
      <c r="E168" s="95">
        <v>0</v>
      </c>
      <c r="F168" s="95">
        <f t="shared" si="80"/>
        <v>3289.3</v>
      </c>
      <c r="G168" s="95">
        <v>3330.2</v>
      </c>
      <c r="H168" s="95">
        <v>0</v>
      </c>
      <c r="I168" s="95">
        <f t="shared" si="81"/>
        <v>3330.2</v>
      </c>
      <c r="J168" s="95">
        <v>3313.8</v>
      </c>
      <c r="K168" s="95">
        <v>0</v>
      </c>
      <c r="L168" s="95">
        <f t="shared" si="82"/>
        <v>3313.8</v>
      </c>
      <c r="M168" s="95">
        <f>IF(ISNA(VLOOKUP($CZ168,'Audit Values'!$A$2:$BW$365,2,FALSE)),'Preliminary SO66'!C167,VLOOKUP($CZ168,'Audit Values'!$A$2:$BW$365,73,FALSE))</f>
        <v>3325.3</v>
      </c>
      <c r="N168" s="95">
        <f>IF(ISNA(VLOOKUP($CZ168,'Audit Values'!$A$2:$BW$365,2,FALSE)),'Preliminary SO66'!F167,VLOOKUP($CZ168,'Audit Values'!$A$2:$BW$365,4,FALSE))</f>
        <v>0</v>
      </c>
      <c r="O168" s="95">
        <f t="shared" si="83"/>
        <v>3325.3</v>
      </c>
      <c r="P168" s="95">
        <f>IF('Military Provision'!J169="YES", MAX('2019 Legal Max'!L168,'2019 Legal Max'!I168,AVERAGE('2019 Legal Max'!F168,'2019 Legal Max'!I168,'2019 Legal Max'!L168)), MAX(L168, I168))</f>
        <v>3330.2</v>
      </c>
      <c r="Q168" s="95">
        <f>IF(ISNA(VLOOKUP($CZ168,'Audit Values'!$A$2:$BU$353,2,FALSE)),'Preliminary SO66'!AL167,VLOOKUP($CZ168,'Audit Values'!$A$2:$BU$3955,58,FALSE))</f>
        <v>28</v>
      </c>
      <c r="R168" s="95">
        <v>0</v>
      </c>
      <c r="S168" s="95">
        <f t="shared" si="115"/>
        <v>3358.2</v>
      </c>
      <c r="T168" s="95">
        <f t="shared" si="84"/>
        <v>117.7</v>
      </c>
      <c r="U168" s="95">
        <f>IF(ISNA(VLOOKUP($CZ168,'Audit Values'!$A$2:$BW$317,2,FALSE)),'Preliminary SO66'!AM167,VLOOKUP($CZ168,'Audit Values'!$A$2:$BW$317,62,FALSE))</f>
        <v>464.8</v>
      </c>
      <c r="V168" s="95">
        <f>(U168/6)*'Weighting Factors'!$Q$7</f>
        <v>30.6</v>
      </c>
      <c r="W168" s="132">
        <f>IF(ISNA(VLOOKUP($CZ168,'Audit Values'!$A$2:$BW$353,2,FALSE)),'Preliminary SO66'!AN167,VLOOKUP($CZ168,'Audit Values'!$A$2:$BW$353,61,FALSE))</f>
        <v>202</v>
      </c>
      <c r="X168" s="95">
        <f>W168*'Weighting Factors'!$Q$8</f>
        <v>37.4</v>
      </c>
      <c r="Y168" s="95">
        <f t="shared" si="85"/>
        <v>37.4</v>
      </c>
      <c r="Z168" s="276">
        <f>IF(ISNA(VLOOKUP($CZ168,'Audit Values'!$A$2:$BW$317,2,FALSE)),'Preliminary SO66'!AO167,VLOOKUP($CZ168,'Audit Values'!$A$2:$BW$317,60,FALSE))</f>
        <v>667.6</v>
      </c>
      <c r="AA168" s="95">
        <f>Z168/6*'Weighting Factors'!$Q$6</f>
        <v>55.6</v>
      </c>
      <c r="AB168" s="99">
        <f>IF(ISNA(VLOOKUP($CZ168,'Audit Values'!$A$2:$BU$353,2,FALSE)),'Preliminary SO66'!AS167,VLOOKUP($CZ168,'Audit Values'!$A$2:$BU$353,63,FALSE))</f>
        <v>3533</v>
      </c>
      <c r="AC168" s="99">
        <v>0</v>
      </c>
      <c r="AD168" s="99">
        <f>IF(ISNA(VLOOKUP($CZ168,'Audit Values'!$A$2:$BU$353,2,FALSE)),'Preliminary SO66'!AP167,VLOOKUP($CZ168,'Audit Values'!$A$2:$BU$353,64,FALSE))</f>
        <v>1430</v>
      </c>
      <c r="AE168" s="95">
        <f>IF(A168=207, AD168,MAX(AC168,AD168))*'Weighting Factors'!$Q$9</f>
        <v>692.1</v>
      </c>
      <c r="AF168" s="95">
        <f t="shared" si="86"/>
        <v>54.9</v>
      </c>
      <c r="AG168" s="95">
        <f>IF(ISNA(VLOOKUP($CZ168,'Audit Values'!$A$2:$BW$353,2,FALSE)),'Preliminary SO66'!AG167,VLOOKUP($CZ168,'Audit Values'!$A$2:$BW$353,70,FALSE))</f>
        <v>66.2</v>
      </c>
      <c r="AH168" s="95">
        <f t="shared" si="87"/>
        <v>66.2</v>
      </c>
      <c r="AI168" s="95">
        <f>IF(ISNA(VLOOKUP($CZ168,'Audit Values'!$A$2:$BU$353,2,FALSE)),'Preliminary SO66'!AQ167,VLOOKUP($CZ168,'Audit Values'!$A$2:$BU$353,65,FALSE))</f>
        <v>0</v>
      </c>
      <c r="AJ168" s="95">
        <f>AI168*'Weighting Factors'!$Q$10</f>
        <v>0</v>
      </c>
      <c r="AK168" s="95">
        <f>IF(ISNA(VLOOKUP($CZ168,'Audit Values'!$A$2:$BU$353,2,FALSE)),'Preliminary SO66'!AR167,VLOOKUP($CZ168,'Audit Values'!$A$2:$BU$353,66,FALSE))</f>
        <v>1116</v>
      </c>
      <c r="AL168" s="95"/>
      <c r="AM168" s="99">
        <f t="shared" si="88"/>
        <v>725400</v>
      </c>
      <c r="AN168" s="99">
        <v>317020</v>
      </c>
      <c r="AO168" s="95">
        <f>MAX(AN168, AM168)/'Weighting Factors'!$Q$5</f>
        <v>174.2</v>
      </c>
      <c r="AP168" s="95">
        <f>CN168/'Weighting Factors'!$Q$5</f>
        <v>0</v>
      </c>
      <c r="AQ168" s="95">
        <v>0</v>
      </c>
      <c r="AR168" s="95">
        <f>CS168/'Weighting Factors'!$Q$5</f>
        <v>0</v>
      </c>
      <c r="AS168" s="99">
        <v>3052379</v>
      </c>
      <c r="AT168" s="95">
        <f>AS168/'Weighting Factors'!$Q$5</f>
        <v>732.9</v>
      </c>
      <c r="AU168" s="95">
        <f>IF(ISNA(VLOOKUP($CZ168,'Audit Values'!$A$2:$BU$353,2,FALSE)),'Preliminary SO66'!X167,VLOOKUP($CZ168,'Audit Values'!$A$2:$BU$353,47,FALSE))</f>
        <v>0</v>
      </c>
      <c r="AV168" s="95">
        <f t="shared" si="89"/>
        <v>5234.3</v>
      </c>
      <c r="AW168" s="95">
        <f t="shared" si="90"/>
        <v>4501.3999999999996</v>
      </c>
      <c r="AX168" s="95">
        <f>IF(ISNA(VLOOKUP($CZ168,'Audit Values'!$A$2:$BU$353,2,FALSE)),'Preliminary SO66'!AA167,VLOOKUP($CZ168,'Audit Values'!$A$2:$BU$353,41,FALSE))</f>
        <v>9</v>
      </c>
      <c r="AY168" s="95">
        <f>IF(ISNA(VLOOKUP($CZ168,'Audit Values'!$A$2:$BU$353,2,FALSE)),'Preliminary SO66'!AB167,VLOOKUP($CZ168,'Audit Values'!$A$2:$BU$353,42,FALSE))</f>
        <v>3.1</v>
      </c>
      <c r="AZ168" s="114">
        <v>0</v>
      </c>
      <c r="BA168" s="99">
        <f>SUM(AX168*'Weighting Factors'!$T$10)+('2019 Legal Max'!AY168*'Weighting Factors'!$T$11)+('2019 Legal Max'!AZ168*'Weighting Factors'!$T$12)</f>
        <v>50270</v>
      </c>
      <c r="BB168" s="158">
        <v>0</v>
      </c>
      <c r="BC168" s="88">
        <f>IF(ISNA(VLOOKUP($CZ168,'Audit Values'!$A$2:$BU$353,2,FALSE)),"",IF(AND('Weighting Factors'!H168&gt;0,VLOOKUP($CZ168,'Audit Values'!$A$2:$BU$353,51,FALSE)&lt;'Weighting Factors'!H168),'Weighting Factors'!H168,VLOOKUP($CZ168,'Audit Values'!$A$2:$BU$353,50,FALSE)))</f>
        <v>15</v>
      </c>
      <c r="BD168" s="88" t="str">
        <f>IF(ISNA(VLOOKUP($CZ168,'Audit Values'!$A$2:$BV$353,2,FALSE)),"",VLOOKUP($CZ168,'Audit Values'!$A$2:$BV$353,51,FALSE))</f>
        <v>A</v>
      </c>
      <c r="BE168" s="88" t="str">
        <f>IF('Weighting Factors'!H168="","",IF('Weighting Factors'!J168="Pending","PX","R"))</f>
        <v>R</v>
      </c>
      <c r="BF168" s="97">
        <f>SUM((S168+T168+Y168+AA168+AE168+AH168+AJ168++AO168+AP168+AQ168+AU168+AR168)*'Weighting Factors'!$Q$5)+'2019 Legal Max'!BA168+'2019 Legal Max'!BB168</f>
        <v>18798601</v>
      </c>
      <c r="BG168" s="99">
        <f>SUM((AV168+AR168)*'Weighting Factors'!$Q$5)+BA168+'2019 Legal Max'!BB168</f>
        <v>21851130</v>
      </c>
      <c r="BH168" s="108">
        <f>IF('Weighting Factors'!H168&gt;0,'Weighting Factors'!H168,'Preliminary SO66'!AV167)</f>
        <v>22134204</v>
      </c>
      <c r="BI168" s="99">
        <f t="shared" si="114"/>
        <v>21851130</v>
      </c>
      <c r="BJ168" s="112"/>
      <c r="BK168" s="112">
        <f>'Weighting Factors'!F168</f>
        <v>-108927</v>
      </c>
      <c r="BL168" s="112">
        <f>'Weighting Factors'!E168</f>
        <v>0</v>
      </c>
      <c r="BM168" s="99">
        <f t="shared" si="91"/>
        <v>-108927</v>
      </c>
      <c r="BN168" s="99">
        <f t="shared" si="92"/>
        <v>21742203</v>
      </c>
      <c r="BO168" s="99">
        <f>SUM((S168+T168+Y168+AA168+AE168+AH168+AJ168++AO168+AP168+AQ168+AR168)*'Weighting Factors'!Q$12)+(MAX(AS168,'Weighting Factors'!B168))</f>
        <v>23263665</v>
      </c>
      <c r="BP168" s="122">
        <v>0.3</v>
      </c>
      <c r="BQ168" s="99">
        <f t="shared" si="93"/>
        <v>6979100</v>
      </c>
      <c r="BR168" s="108">
        <v>6924245</v>
      </c>
      <c r="BS168" s="99">
        <f t="shared" si="94"/>
        <v>6924245</v>
      </c>
      <c r="BT168" s="167">
        <f t="shared" si="95"/>
        <v>0.29759999999999998</v>
      </c>
      <c r="BU168" s="95">
        <f t="shared" si="96"/>
        <v>0</v>
      </c>
      <c r="BV168" s="87" t="b">
        <f t="shared" si="97"/>
        <v>0</v>
      </c>
      <c r="BW168" s="117">
        <f t="shared" si="98"/>
        <v>0</v>
      </c>
      <c r="BX168" s="116">
        <f t="shared" si="99"/>
        <v>0</v>
      </c>
      <c r="BY168" s="95">
        <f t="shared" si="100"/>
        <v>0</v>
      </c>
      <c r="BZ168" s="87" t="b">
        <f t="shared" si="101"/>
        <v>0</v>
      </c>
      <c r="CA168" s="87">
        <f t="shared" si="102"/>
        <v>0</v>
      </c>
      <c r="CB168" s="116">
        <f t="shared" si="103"/>
        <v>0</v>
      </c>
      <c r="CC168" s="95">
        <f t="shared" si="104"/>
        <v>0</v>
      </c>
      <c r="CD168" s="95">
        <f t="shared" si="105"/>
        <v>117.7</v>
      </c>
      <c r="CE168" s="98">
        <v>133.5</v>
      </c>
      <c r="CF168" s="250">
        <f t="shared" si="106"/>
        <v>8.36</v>
      </c>
      <c r="CG168" s="274">
        <f>IF(CF168&lt;0.06,1,IF(CF168&gt;=18.29,52,MATCH(CF168-0.001,'Weighting Factors'!$Y$5:$Y$156)+1))</f>
        <v>47</v>
      </c>
      <c r="CH168" s="243">
        <f>VLOOKUP(CG168, 'Weighting Factors'!$W$5:$Z$56,4)</f>
        <v>650</v>
      </c>
      <c r="CI168" s="118">
        <f>('Weighting Factors'!$Q$5/'Weighting Factors'!$Q$14)</f>
        <v>1</v>
      </c>
      <c r="CJ168" s="245">
        <f t="shared" si="107"/>
        <v>725400</v>
      </c>
      <c r="CK168" s="245">
        <f>CJ168*'Weighting Factors'!$S$7</f>
        <v>725400</v>
      </c>
      <c r="CL168" s="245">
        <f t="shared" si="108"/>
        <v>725400</v>
      </c>
      <c r="CM168" s="95">
        <f>AM168/'Weighting Factors'!$Q$5</f>
        <v>174.2</v>
      </c>
      <c r="CN168" s="148">
        <v>0</v>
      </c>
      <c r="CO168" s="148">
        <v>0</v>
      </c>
      <c r="CP168" s="149">
        <v>0</v>
      </c>
      <c r="CQ168" s="151">
        <v>0</v>
      </c>
      <c r="CR168" s="99">
        <f>SUM((AV168*'Weighting Factors'!$Q$5)+'2019 Legal Max'!BA168)*CQ168</f>
        <v>0</v>
      </c>
      <c r="CS168" s="99">
        <f t="shared" si="109"/>
        <v>0</v>
      </c>
      <c r="CT168" s="106">
        <f t="shared" si="110"/>
        <v>0.40479999999999999</v>
      </c>
      <c r="CU168" s="95">
        <f t="shared" si="111"/>
        <v>0</v>
      </c>
      <c r="CV168" s="95">
        <f t="shared" si="112"/>
        <v>54.9</v>
      </c>
      <c r="CW168" s="95">
        <f t="shared" si="113"/>
        <v>5234.3</v>
      </c>
      <c r="CX168" s="99">
        <f>'LOB Transfers'!G167</f>
        <v>920232</v>
      </c>
      <c r="CY168" s="99">
        <f>'LOB Transfers'!J167</f>
        <v>49855</v>
      </c>
      <c r="CZ168" s="87" t="s">
        <v>360</v>
      </c>
    </row>
    <row r="169" spans="1:104" ht="15" customHeight="1">
      <c r="A169" s="88">
        <v>374</v>
      </c>
      <c r="B169" s="87" t="s">
        <v>75</v>
      </c>
      <c r="C169" s="87" t="s">
        <v>682</v>
      </c>
      <c r="D169" s="95">
        <v>432.7</v>
      </c>
      <c r="E169" s="95">
        <v>0</v>
      </c>
      <c r="F169" s="95">
        <f t="shared" si="80"/>
        <v>432.7</v>
      </c>
      <c r="G169" s="95">
        <v>438.7</v>
      </c>
      <c r="H169" s="95">
        <v>0</v>
      </c>
      <c r="I169" s="95">
        <f t="shared" si="81"/>
        <v>438.7</v>
      </c>
      <c r="J169" s="95">
        <v>430.2</v>
      </c>
      <c r="K169" s="95">
        <v>0</v>
      </c>
      <c r="L169" s="95">
        <f t="shared" si="82"/>
        <v>430.2</v>
      </c>
      <c r="M169" s="95">
        <f>IF(ISNA(VLOOKUP($CZ169,'Audit Values'!$A$2:$BW$365,2,FALSE)),'Preliminary SO66'!C168,VLOOKUP($CZ169,'Audit Values'!$A$2:$BW$365,73,FALSE))</f>
        <v>392.7</v>
      </c>
      <c r="N169" s="95">
        <f>IF(ISNA(VLOOKUP($CZ169,'Audit Values'!$A$2:$BW$365,2,FALSE)),'Preliminary SO66'!F168,VLOOKUP($CZ169,'Audit Values'!$A$2:$BW$365,4,FALSE))</f>
        <v>0</v>
      </c>
      <c r="O169" s="95">
        <f t="shared" si="83"/>
        <v>392.7</v>
      </c>
      <c r="P169" s="95">
        <f>IF('Military Provision'!J170="YES", MAX('2019 Legal Max'!L169,'2019 Legal Max'!I169,AVERAGE('2019 Legal Max'!F169,'2019 Legal Max'!I169,'2019 Legal Max'!L169)), MAX(L169, I169))</f>
        <v>438.7</v>
      </c>
      <c r="Q169" s="95">
        <f>IF(ISNA(VLOOKUP($CZ169,'Audit Values'!$A$2:$BU$353,2,FALSE)),'Preliminary SO66'!AL168,VLOOKUP($CZ169,'Audit Values'!$A$2:$BU$3955,58,FALSE))</f>
        <v>8.5</v>
      </c>
      <c r="R169" s="95">
        <v>0</v>
      </c>
      <c r="S169" s="95">
        <f t="shared" si="115"/>
        <v>447.2</v>
      </c>
      <c r="T169" s="95">
        <f t="shared" si="84"/>
        <v>194.2</v>
      </c>
      <c r="U169" s="95">
        <f>IF(ISNA(VLOOKUP($CZ169,'Audit Values'!$A$2:$BW$317,2,FALSE)),'Preliminary SO66'!AM168,VLOOKUP($CZ169,'Audit Values'!$A$2:$BW$317,62,FALSE))</f>
        <v>683.1</v>
      </c>
      <c r="V169" s="95">
        <f>(U169/6)*'Weighting Factors'!$Q$7</f>
        <v>45</v>
      </c>
      <c r="W169" s="132">
        <f>IF(ISNA(VLOOKUP($CZ169,'Audit Values'!$A$2:$BW$353,2,FALSE)),'Preliminary SO66'!AN168,VLOOKUP($CZ169,'Audit Values'!$A$2:$BW$353,61,FALSE))</f>
        <v>122</v>
      </c>
      <c r="X169" s="95">
        <f>W169*'Weighting Factors'!$Q$8</f>
        <v>22.6</v>
      </c>
      <c r="Y169" s="95">
        <f t="shared" si="85"/>
        <v>45</v>
      </c>
      <c r="Z169" s="276">
        <f>IF(ISNA(VLOOKUP($CZ169,'Audit Values'!$A$2:$BW$317,2,FALSE)),'Preliminary SO66'!AO168,VLOOKUP($CZ169,'Audit Values'!$A$2:$BW$317,60,FALSE))</f>
        <v>74.3</v>
      </c>
      <c r="AA169" s="95">
        <f>Z169/6*'Weighting Factors'!$Q$6</f>
        <v>6.2</v>
      </c>
      <c r="AB169" s="99">
        <f>IF(ISNA(VLOOKUP($CZ169,'Audit Values'!$A$2:$BU$353,2,FALSE)),'Preliminary SO66'!AS168,VLOOKUP($CZ169,'Audit Values'!$A$2:$BU$353,63,FALSE))</f>
        <v>414</v>
      </c>
      <c r="AC169" s="99">
        <v>0</v>
      </c>
      <c r="AD169" s="99">
        <f>IF(ISNA(VLOOKUP($CZ169,'Audit Values'!$A$2:$BU$353,2,FALSE)),'Preliminary SO66'!AP168,VLOOKUP($CZ169,'Audit Values'!$A$2:$BU$353,64,FALSE))</f>
        <v>203</v>
      </c>
      <c r="AE169" s="95">
        <f>IF(A169=207, AD169,MAX(AC169,AD169))*'Weighting Factors'!$Q$9</f>
        <v>98.3</v>
      </c>
      <c r="AF169" s="95">
        <f t="shared" si="86"/>
        <v>19.899999999999999</v>
      </c>
      <c r="AG169" s="95">
        <f>IF(ISNA(VLOOKUP($CZ169,'Audit Values'!$A$2:$BW$353,2,FALSE)),'Preliminary SO66'!AG168,VLOOKUP($CZ169,'Audit Values'!$A$2:$BW$353,70,FALSE))</f>
        <v>17.5</v>
      </c>
      <c r="AH169" s="95">
        <f t="shared" si="87"/>
        <v>19.899999999999999</v>
      </c>
      <c r="AI169" s="95">
        <f>IF(ISNA(VLOOKUP($CZ169,'Audit Values'!$A$2:$BU$353,2,FALSE)),'Preliminary SO66'!AQ168,VLOOKUP($CZ169,'Audit Values'!$A$2:$BU$353,65,FALSE))</f>
        <v>0</v>
      </c>
      <c r="AJ169" s="95">
        <f>AI169*'Weighting Factors'!$Q$10</f>
        <v>0</v>
      </c>
      <c r="AK169" s="95">
        <f>IF(ISNA(VLOOKUP($CZ169,'Audit Values'!$A$2:$BU$353,2,FALSE)),'Preliminary SO66'!AR168,VLOOKUP($CZ169,'Audit Values'!$A$2:$BU$353,66,FALSE))</f>
        <v>75</v>
      </c>
      <c r="AL169" s="95"/>
      <c r="AM169" s="99">
        <f t="shared" si="88"/>
        <v>95250</v>
      </c>
      <c r="AN169" s="99">
        <v>129427</v>
      </c>
      <c r="AO169" s="95">
        <f>MAX(AN169, AM169)/'Weighting Factors'!$Q$5</f>
        <v>31.1</v>
      </c>
      <c r="AP169" s="95">
        <f>CN169/'Weighting Factors'!$Q$5</f>
        <v>0</v>
      </c>
      <c r="AQ169" s="95">
        <v>0</v>
      </c>
      <c r="AR169" s="95">
        <f>CS169/'Weighting Factors'!$Q$5</f>
        <v>0</v>
      </c>
      <c r="AS169" s="99">
        <v>272873</v>
      </c>
      <c r="AT169" s="95">
        <f>AS169/'Weighting Factors'!$Q$5</f>
        <v>65.5</v>
      </c>
      <c r="AU169" s="95">
        <f>IF(ISNA(VLOOKUP($CZ169,'Audit Values'!$A$2:$BU$353,2,FALSE)),'Preliminary SO66'!X168,VLOOKUP($CZ169,'Audit Values'!$A$2:$BU$353,47,FALSE))</f>
        <v>0</v>
      </c>
      <c r="AV169" s="95">
        <f t="shared" si="89"/>
        <v>907.4</v>
      </c>
      <c r="AW169" s="95">
        <f t="shared" si="90"/>
        <v>841.9</v>
      </c>
      <c r="AX169" s="95">
        <f>IF(ISNA(VLOOKUP($CZ169,'Audit Values'!$A$2:$BU$353,2,FALSE)),'Preliminary SO66'!AA168,VLOOKUP($CZ169,'Audit Values'!$A$2:$BU$353,41,FALSE))</f>
        <v>0</v>
      </c>
      <c r="AY169" s="95">
        <f>IF(ISNA(VLOOKUP($CZ169,'Audit Values'!$A$2:$BU$353,2,FALSE)),'Preliminary SO66'!AB168,VLOOKUP($CZ169,'Audit Values'!$A$2:$BU$353,42,FALSE))</f>
        <v>0</v>
      </c>
      <c r="AZ169" s="114">
        <v>0</v>
      </c>
      <c r="BA169" s="99">
        <f>SUM(AX169*'Weighting Factors'!$T$10)+('2019 Legal Max'!AY169*'Weighting Factors'!$T$11)+('2019 Legal Max'!AZ169*'Weighting Factors'!$T$12)</f>
        <v>0</v>
      </c>
      <c r="BB169" s="158">
        <v>0</v>
      </c>
      <c r="BC169" s="88">
        <f>IF(ISNA(VLOOKUP($CZ169,'Audit Values'!$A$2:$BU$353,2,FALSE)),"",IF(AND('Weighting Factors'!H169&gt;0,VLOOKUP($CZ169,'Audit Values'!$A$2:$BU$353,51,FALSE)&lt;'Weighting Factors'!H169),'Weighting Factors'!H169,VLOOKUP($CZ169,'Audit Values'!$A$2:$BU$353,50,FALSE)))</f>
        <v>19</v>
      </c>
      <c r="BD169" s="88" t="str">
        <f>IF(ISNA(VLOOKUP($CZ169,'Audit Values'!$A$2:$BV$353,2,FALSE)),"",VLOOKUP($CZ169,'Audit Values'!$A$2:$BV$353,51,FALSE))</f>
        <v>A</v>
      </c>
      <c r="BE169" s="88" t="str">
        <f>IF('Weighting Factors'!H169="","",IF('Weighting Factors'!J169="Pending","PX","R"))</f>
        <v/>
      </c>
      <c r="BF169" s="97">
        <f>SUM((S169+T169+Y169+AA169+AE169+AH169+AJ169++AO169+AP169+AQ169+AU169+AR169)*'Weighting Factors'!$Q$5)+'2019 Legal Max'!BA169+'2019 Legal Max'!BB169</f>
        <v>3506514</v>
      </c>
      <c r="BG169" s="99">
        <f>SUM((AV169+AR169)*'Weighting Factors'!$Q$5)+BA169+'2019 Legal Max'!BB169</f>
        <v>3779321</v>
      </c>
      <c r="BH169" s="108">
        <f>IF('Weighting Factors'!H169&gt;0,'Weighting Factors'!H169,'Preliminary SO66'!AV168)</f>
        <v>3857623</v>
      </c>
      <c r="BI169" s="99">
        <f t="shared" si="114"/>
        <v>3779321</v>
      </c>
      <c r="BJ169" s="112"/>
      <c r="BK169" s="112">
        <f>'Weighting Factors'!F169</f>
        <v>0</v>
      </c>
      <c r="BL169" s="112">
        <f>'Weighting Factors'!E169</f>
        <v>-355</v>
      </c>
      <c r="BM169" s="99">
        <f t="shared" si="91"/>
        <v>-355</v>
      </c>
      <c r="BN169" s="99">
        <f t="shared" si="92"/>
        <v>3778966</v>
      </c>
      <c r="BO169" s="99">
        <f>SUM((S169+T169+Y169+AA169+AE169+AH169+AJ169++AO169+AP169+AQ169+AR169)*'Weighting Factors'!Q$12)+(MAX(AS169,'Weighting Factors'!B169))</f>
        <v>4091173</v>
      </c>
      <c r="BP169" s="122">
        <v>0.3</v>
      </c>
      <c r="BQ169" s="99">
        <f t="shared" si="93"/>
        <v>1227352</v>
      </c>
      <c r="BR169" s="108">
        <v>1241361</v>
      </c>
      <c r="BS169" s="99">
        <f t="shared" si="94"/>
        <v>1227352</v>
      </c>
      <c r="BT169" s="167">
        <f t="shared" si="95"/>
        <v>0.3</v>
      </c>
      <c r="BU169" s="95">
        <f t="shared" si="96"/>
        <v>0</v>
      </c>
      <c r="BV169" s="87" t="b">
        <f t="shared" si="97"/>
        <v>0</v>
      </c>
      <c r="BW169" s="117">
        <f t="shared" si="98"/>
        <v>0</v>
      </c>
      <c r="BX169" s="116">
        <f t="shared" si="99"/>
        <v>0</v>
      </c>
      <c r="BY169" s="95">
        <f t="shared" si="100"/>
        <v>0</v>
      </c>
      <c r="BZ169" s="87" t="b">
        <f t="shared" si="101"/>
        <v>1</v>
      </c>
      <c r="CA169" s="87">
        <f t="shared" si="102"/>
        <v>182.16</v>
      </c>
      <c r="CB169" s="116">
        <f t="shared" si="103"/>
        <v>0.43417499999999998</v>
      </c>
      <c r="CC169" s="95">
        <f t="shared" si="104"/>
        <v>194.2</v>
      </c>
      <c r="CD169" s="95">
        <f t="shared" si="105"/>
        <v>0</v>
      </c>
      <c r="CE169" s="98">
        <v>355.5</v>
      </c>
      <c r="CF169" s="250">
        <f t="shared" si="106"/>
        <v>0.21099999999999999</v>
      </c>
      <c r="CG169" s="274">
        <f>IF(CF169&lt;0.06,1,IF(CF169&gt;=18.29,52,MATCH(CF169-0.001,'Weighting Factors'!$Y$5:$Y$156)+1))</f>
        <v>16</v>
      </c>
      <c r="CH169" s="243">
        <f>VLOOKUP(CG169, 'Weighting Factors'!$W$5:$Z$56,4)</f>
        <v>1270</v>
      </c>
      <c r="CI169" s="118">
        <f>('Weighting Factors'!$Q$5/'Weighting Factors'!$Q$14)</f>
        <v>1</v>
      </c>
      <c r="CJ169" s="245">
        <f t="shared" si="107"/>
        <v>95250</v>
      </c>
      <c r="CK169" s="245">
        <f>CJ169*'Weighting Factors'!$S$7</f>
        <v>95250</v>
      </c>
      <c r="CL169" s="245">
        <f t="shared" si="108"/>
        <v>95250</v>
      </c>
      <c r="CM169" s="95">
        <f>AM169/'Weighting Factors'!$Q$5</f>
        <v>22.9</v>
      </c>
      <c r="CN169" s="148">
        <v>0</v>
      </c>
      <c r="CO169" s="148">
        <v>0</v>
      </c>
      <c r="CP169" s="149">
        <v>0</v>
      </c>
      <c r="CQ169" s="151">
        <v>0</v>
      </c>
      <c r="CR169" s="99">
        <f>SUM((AV169*'Weighting Factors'!$Q$5)+'2019 Legal Max'!BA169)*CQ169</f>
        <v>0</v>
      </c>
      <c r="CS169" s="99">
        <f t="shared" si="109"/>
        <v>0</v>
      </c>
      <c r="CT169" s="106">
        <f t="shared" si="110"/>
        <v>0.49030000000000001</v>
      </c>
      <c r="CU169" s="95">
        <f t="shared" si="111"/>
        <v>0</v>
      </c>
      <c r="CV169" s="95">
        <f t="shared" si="112"/>
        <v>19.899999999999999</v>
      </c>
      <c r="CW169" s="95">
        <f t="shared" si="113"/>
        <v>907.4</v>
      </c>
      <c r="CX169" s="99">
        <f>'LOB Transfers'!G168</f>
        <v>134272</v>
      </c>
      <c r="CY169" s="99">
        <f>'LOB Transfers'!J168</f>
        <v>61490</v>
      </c>
      <c r="CZ169" s="87" t="s">
        <v>361</v>
      </c>
    </row>
    <row r="170" spans="1:104" ht="15" customHeight="1">
      <c r="A170" s="88">
        <v>375</v>
      </c>
      <c r="B170" s="87" t="s">
        <v>10</v>
      </c>
      <c r="C170" s="87" t="s">
        <v>683</v>
      </c>
      <c r="D170" s="95">
        <v>1860.8</v>
      </c>
      <c r="E170" s="95">
        <v>0</v>
      </c>
      <c r="F170" s="95">
        <f t="shared" si="80"/>
        <v>1860.8</v>
      </c>
      <c r="G170" s="95">
        <v>1860.9</v>
      </c>
      <c r="H170" s="95">
        <v>0</v>
      </c>
      <c r="I170" s="95">
        <f t="shared" si="81"/>
        <v>1860.9</v>
      </c>
      <c r="J170" s="95">
        <v>1914.7</v>
      </c>
      <c r="K170" s="95">
        <v>0</v>
      </c>
      <c r="L170" s="95">
        <f t="shared" si="82"/>
        <v>1914.7</v>
      </c>
      <c r="M170" s="95">
        <f>IF(ISNA(VLOOKUP($CZ170,'Audit Values'!$A$2:$BW$365,2,FALSE)),'Preliminary SO66'!C169,VLOOKUP($CZ170,'Audit Values'!$A$2:$BW$365,73,FALSE))</f>
        <v>1936.8</v>
      </c>
      <c r="N170" s="95">
        <f>IF(ISNA(VLOOKUP($CZ170,'Audit Values'!$A$2:$BW$365,2,FALSE)),'Preliminary SO66'!F169,VLOOKUP($CZ170,'Audit Values'!$A$2:$BW$365,4,FALSE))</f>
        <v>0</v>
      </c>
      <c r="O170" s="95">
        <f t="shared" si="83"/>
        <v>1936.8</v>
      </c>
      <c r="P170" s="95">
        <f>IF('Military Provision'!J171="YES", MAX('2019 Legal Max'!L170,'2019 Legal Max'!I170,AVERAGE('2019 Legal Max'!F170,'2019 Legal Max'!I170,'2019 Legal Max'!L170)), MAX(L170, I170))</f>
        <v>1914.7</v>
      </c>
      <c r="Q170" s="95">
        <f>IF(ISNA(VLOOKUP($CZ170,'Audit Values'!$A$2:$BU$353,2,FALSE)),'Preliminary SO66'!AL169,VLOOKUP($CZ170,'Audit Values'!$A$2:$BU$3955,58,FALSE))</f>
        <v>9.5</v>
      </c>
      <c r="R170" s="95">
        <v>0</v>
      </c>
      <c r="S170" s="95">
        <f t="shared" si="115"/>
        <v>1924.2</v>
      </c>
      <c r="T170" s="95">
        <f t="shared" si="84"/>
        <v>67.400000000000006</v>
      </c>
      <c r="U170" s="95">
        <f>IF(ISNA(VLOOKUP($CZ170,'Audit Values'!$A$2:$BW$317,2,FALSE)),'Preliminary SO66'!AM169,VLOOKUP($CZ170,'Audit Values'!$A$2:$BW$317,62,FALSE))</f>
        <v>6.8</v>
      </c>
      <c r="V170" s="95">
        <f>(U170/6)*'Weighting Factors'!$Q$7</f>
        <v>0.4</v>
      </c>
      <c r="W170" s="132">
        <f>IF(ISNA(VLOOKUP($CZ170,'Audit Values'!$A$2:$BW$353,2,FALSE)),'Preliminary SO66'!AN169,VLOOKUP($CZ170,'Audit Values'!$A$2:$BW$353,61,FALSE))</f>
        <v>19</v>
      </c>
      <c r="X170" s="95">
        <f>W170*'Weighting Factors'!$Q$8</f>
        <v>3.5</v>
      </c>
      <c r="Y170" s="95">
        <f t="shared" si="85"/>
        <v>3.5</v>
      </c>
      <c r="Z170" s="276">
        <f>IF(ISNA(VLOOKUP($CZ170,'Audit Values'!$A$2:$BW$317,2,FALSE)),'Preliminary SO66'!AO169,VLOOKUP($CZ170,'Audit Values'!$A$2:$BW$317,60,FALSE))</f>
        <v>640.5</v>
      </c>
      <c r="AA170" s="95">
        <f>Z170/6*'Weighting Factors'!$Q$6</f>
        <v>53.4</v>
      </c>
      <c r="AB170" s="99">
        <f>IF(ISNA(VLOOKUP($CZ170,'Audit Values'!$A$2:$BU$353,2,FALSE)),'Preliminary SO66'!AS169,VLOOKUP($CZ170,'Audit Values'!$A$2:$BU$353,63,FALSE))</f>
        <v>1972</v>
      </c>
      <c r="AC170" s="99">
        <v>0</v>
      </c>
      <c r="AD170" s="99">
        <f>IF(ISNA(VLOOKUP($CZ170,'Audit Values'!$A$2:$BU$353,2,FALSE)),'Preliminary SO66'!AP169,VLOOKUP($CZ170,'Audit Values'!$A$2:$BU$353,64,FALSE))</f>
        <v>437</v>
      </c>
      <c r="AE170" s="95">
        <f>IF(A170=207, AD170,MAX(AC170,AD170))*'Weighting Factors'!$Q$9</f>
        <v>211.5</v>
      </c>
      <c r="AF170" s="95">
        <f t="shared" si="86"/>
        <v>0</v>
      </c>
      <c r="AG170" s="95">
        <f>IF(ISNA(VLOOKUP($CZ170,'Audit Values'!$A$2:$BW$353,2,FALSE)),'Preliminary SO66'!AG169,VLOOKUP($CZ170,'Audit Values'!$A$2:$BW$353,70,FALSE))</f>
        <v>0.4</v>
      </c>
      <c r="AH170" s="95">
        <f t="shared" si="87"/>
        <v>0.4</v>
      </c>
      <c r="AI170" s="95">
        <f>IF(ISNA(VLOOKUP($CZ170,'Audit Values'!$A$2:$BU$353,2,FALSE)),'Preliminary SO66'!AQ169,VLOOKUP($CZ170,'Audit Values'!$A$2:$BU$353,65,FALSE))</f>
        <v>0</v>
      </c>
      <c r="AJ170" s="95">
        <f>AI170*'Weighting Factors'!$Q$10</f>
        <v>0</v>
      </c>
      <c r="AK170" s="95">
        <f>IF(ISNA(VLOOKUP($CZ170,'Audit Values'!$A$2:$BU$353,2,FALSE)),'Preliminary SO66'!AR169,VLOOKUP($CZ170,'Audit Values'!$A$2:$BU$353,66,FALSE))</f>
        <v>675.4</v>
      </c>
      <c r="AL170" s="95"/>
      <c r="AM170" s="99">
        <f t="shared" si="88"/>
        <v>506550</v>
      </c>
      <c r="AN170" s="99">
        <v>551221</v>
      </c>
      <c r="AO170" s="95">
        <f>MAX(AN170, AM170)/'Weighting Factors'!$Q$5</f>
        <v>132.30000000000001</v>
      </c>
      <c r="AP170" s="95">
        <f>CN170/'Weighting Factors'!$Q$5</f>
        <v>0</v>
      </c>
      <c r="AQ170" s="95">
        <v>0</v>
      </c>
      <c r="AR170" s="95">
        <f>CS170/'Weighting Factors'!$Q$5</f>
        <v>0</v>
      </c>
      <c r="AS170" s="99">
        <v>1641566</v>
      </c>
      <c r="AT170" s="95">
        <f>AS170/'Weighting Factors'!$Q$5</f>
        <v>394.1</v>
      </c>
      <c r="AU170" s="95">
        <f>IF(ISNA(VLOOKUP($CZ170,'Audit Values'!$A$2:$BU$353,2,FALSE)),'Preliminary SO66'!X169,VLOOKUP($CZ170,'Audit Values'!$A$2:$BU$353,47,FALSE))</f>
        <v>0</v>
      </c>
      <c r="AV170" s="95">
        <f t="shared" si="89"/>
        <v>2786.8</v>
      </c>
      <c r="AW170" s="95">
        <f t="shared" si="90"/>
        <v>2392.6999999999998</v>
      </c>
      <c r="AX170" s="95">
        <f>IF(ISNA(VLOOKUP($CZ170,'Audit Values'!$A$2:$BU$353,2,FALSE)),'Preliminary SO66'!AA169,VLOOKUP($CZ170,'Audit Values'!$A$2:$BU$353,41,FALSE))</f>
        <v>6</v>
      </c>
      <c r="AY170" s="95">
        <f>IF(ISNA(VLOOKUP($CZ170,'Audit Values'!$A$2:$BU$353,2,FALSE)),'Preliminary SO66'!AB169,VLOOKUP($CZ170,'Audit Values'!$A$2:$BU$353,42,FALSE))</f>
        <v>0.4</v>
      </c>
      <c r="AZ170" s="114">
        <v>22</v>
      </c>
      <c r="BA170" s="99">
        <f>SUM(AX170*'Weighting Factors'!$T$10)+('2019 Legal Max'!AY170*'Weighting Factors'!$T$11)+('2019 Legal Max'!AZ170*'Weighting Factors'!$T$12)</f>
        <v>46278</v>
      </c>
      <c r="BB170" s="158">
        <v>0</v>
      </c>
      <c r="BC170" s="88">
        <f>IF(ISNA(VLOOKUP($CZ170,'Audit Values'!$A$2:$BU$353,2,FALSE)),"",IF(AND('Weighting Factors'!H170&gt;0,VLOOKUP($CZ170,'Audit Values'!$A$2:$BU$353,51,FALSE)&lt;'Weighting Factors'!H170),'Weighting Factors'!H170,VLOOKUP($CZ170,'Audit Values'!$A$2:$BU$353,50,FALSE)))</f>
        <v>6</v>
      </c>
      <c r="BD170" s="88" t="str">
        <f>IF(ISNA(VLOOKUP($CZ170,'Audit Values'!$A$2:$BV$353,2,FALSE)),"",VLOOKUP($CZ170,'Audit Values'!$A$2:$BV$353,51,FALSE))</f>
        <v>A</v>
      </c>
      <c r="BE170" s="88" t="str">
        <f>IF('Weighting Factors'!H170="","",IF('Weighting Factors'!J170="Pending","PX","R"))</f>
        <v/>
      </c>
      <c r="BF170" s="97">
        <f>SUM((S170+T170+Y170+AA170+AE170+AH170+AJ170++AO170+AP170+AQ170+AU170+AR170)*'Weighting Factors'!$Q$5)+'2019 Legal Max'!BA170+'2019 Legal Max'!BB170</f>
        <v>10011874</v>
      </c>
      <c r="BG170" s="99">
        <f>SUM((AV170+AR170)*'Weighting Factors'!$Q$5)+BA170+'2019 Legal Max'!BB170</f>
        <v>11653300</v>
      </c>
      <c r="BH170" s="108">
        <f>IF('Weighting Factors'!H170&gt;0,'Weighting Factors'!H170,'Preliminary SO66'!AV169)</f>
        <v>11786699</v>
      </c>
      <c r="BI170" s="99">
        <f t="shared" si="114"/>
        <v>11653300</v>
      </c>
      <c r="BJ170" s="112"/>
      <c r="BK170" s="112">
        <f>'Weighting Factors'!F170</f>
        <v>-134482</v>
      </c>
      <c r="BL170" s="112">
        <f>'Weighting Factors'!E170</f>
        <v>-1418</v>
      </c>
      <c r="BM170" s="99">
        <f t="shared" si="91"/>
        <v>-135900</v>
      </c>
      <c r="BN170" s="99">
        <f t="shared" si="92"/>
        <v>11517400</v>
      </c>
      <c r="BO170" s="99">
        <f>SUM((S170+T170+Y170+AA170+AE170+AH170+AJ170++AO170+AP170+AQ170+AR170)*'Weighting Factors'!Q$12)+(MAX(AS170,'Weighting Factors'!B170))</f>
        <v>12384789</v>
      </c>
      <c r="BP170" s="122">
        <v>0.3</v>
      </c>
      <c r="BQ170" s="99">
        <f t="shared" si="93"/>
        <v>3715437</v>
      </c>
      <c r="BR170" s="108">
        <v>3723825</v>
      </c>
      <c r="BS170" s="99">
        <f t="shared" si="94"/>
        <v>3715437</v>
      </c>
      <c r="BT170" s="167">
        <f t="shared" si="95"/>
        <v>0.3</v>
      </c>
      <c r="BU170" s="95">
        <f t="shared" si="96"/>
        <v>0</v>
      </c>
      <c r="BV170" s="87" t="b">
        <f t="shared" si="97"/>
        <v>0</v>
      </c>
      <c r="BW170" s="117">
        <f t="shared" si="98"/>
        <v>0</v>
      </c>
      <c r="BX170" s="116">
        <f t="shared" si="99"/>
        <v>0</v>
      </c>
      <c r="BY170" s="95">
        <f t="shared" si="100"/>
        <v>0</v>
      </c>
      <c r="BZ170" s="87" t="b">
        <f t="shared" si="101"/>
        <v>0</v>
      </c>
      <c r="CA170" s="87">
        <f t="shared" si="102"/>
        <v>0</v>
      </c>
      <c r="CB170" s="116">
        <f t="shared" si="103"/>
        <v>0</v>
      </c>
      <c r="CC170" s="95">
        <f t="shared" si="104"/>
        <v>0</v>
      </c>
      <c r="CD170" s="95">
        <f t="shared" si="105"/>
        <v>67.400000000000006</v>
      </c>
      <c r="CE170" s="98">
        <v>175</v>
      </c>
      <c r="CF170" s="250">
        <f t="shared" si="106"/>
        <v>3.859</v>
      </c>
      <c r="CG170" s="274">
        <f>IF(CF170&lt;0.06,1,IF(CF170&gt;=18.29,52,MATCH(CF170-0.001,'Weighting Factors'!$Y$5:$Y$156)+1))</f>
        <v>42</v>
      </c>
      <c r="CH170" s="243">
        <f>VLOOKUP(CG170, 'Weighting Factors'!$W$5:$Z$56,4)</f>
        <v>750</v>
      </c>
      <c r="CI170" s="118">
        <f>('Weighting Factors'!$Q$5/'Weighting Factors'!$Q$14)</f>
        <v>1</v>
      </c>
      <c r="CJ170" s="245">
        <f t="shared" si="107"/>
        <v>506550</v>
      </c>
      <c r="CK170" s="245">
        <f>CJ170*'Weighting Factors'!$S$7</f>
        <v>506550</v>
      </c>
      <c r="CL170" s="245">
        <f t="shared" si="108"/>
        <v>506550</v>
      </c>
      <c r="CM170" s="95">
        <f>AM170/'Weighting Factors'!$Q$5</f>
        <v>121.6</v>
      </c>
      <c r="CN170" s="148">
        <v>0</v>
      </c>
      <c r="CO170" s="148">
        <v>0</v>
      </c>
      <c r="CP170" s="149">
        <v>0</v>
      </c>
      <c r="CQ170" s="151">
        <v>0</v>
      </c>
      <c r="CR170" s="99">
        <f>SUM((AV170*'Weighting Factors'!$Q$5)+'2019 Legal Max'!BA170)*CQ170</f>
        <v>0</v>
      </c>
      <c r="CS170" s="99">
        <f t="shared" si="109"/>
        <v>0</v>
      </c>
      <c r="CT170" s="106">
        <f t="shared" si="110"/>
        <v>0.22159999999999999</v>
      </c>
      <c r="CU170" s="95">
        <f t="shared" si="111"/>
        <v>0</v>
      </c>
      <c r="CV170" s="95">
        <f t="shared" si="112"/>
        <v>0</v>
      </c>
      <c r="CW170" s="95">
        <f t="shared" si="113"/>
        <v>2786.8</v>
      </c>
      <c r="CX170" s="99">
        <f>'LOB Transfers'!G169</f>
        <v>283116</v>
      </c>
      <c r="CY170" s="99">
        <f>'LOB Transfers'!J169</f>
        <v>4830</v>
      </c>
      <c r="CZ170" s="87" t="s">
        <v>362</v>
      </c>
    </row>
    <row r="171" spans="1:104" ht="15" customHeight="1">
      <c r="A171" s="88">
        <v>376</v>
      </c>
      <c r="B171" s="87" t="s">
        <v>76</v>
      </c>
      <c r="C171" s="87" t="s">
        <v>684</v>
      </c>
      <c r="D171" s="95">
        <v>505.2</v>
      </c>
      <c r="E171" s="95">
        <v>0</v>
      </c>
      <c r="F171" s="95">
        <f t="shared" si="80"/>
        <v>505.2</v>
      </c>
      <c r="G171" s="95">
        <v>501.6</v>
      </c>
      <c r="H171" s="95">
        <v>0</v>
      </c>
      <c r="I171" s="95">
        <f t="shared" si="81"/>
        <v>501.6</v>
      </c>
      <c r="J171" s="95">
        <v>489.5</v>
      </c>
      <c r="K171" s="95">
        <v>0</v>
      </c>
      <c r="L171" s="95">
        <f t="shared" si="82"/>
        <v>489.5</v>
      </c>
      <c r="M171" s="95">
        <f>IF(ISNA(VLOOKUP($CZ171,'Audit Values'!$A$2:$BW$365,2,FALSE)),'Preliminary SO66'!C170,VLOOKUP($CZ171,'Audit Values'!$A$2:$BW$365,73,FALSE))</f>
        <v>483.5</v>
      </c>
      <c r="N171" s="95">
        <f>IF(ISNA(VLOOKUP($CZ171,'Audit Values'!$A$2:$BW$365,2,FALSE)),'Preliminary SO66'!F170,VLOOKUP($CZ171,'Audit Values'!$A$2:$BW$365,4,FALSE))</f>
        <v>0</v>
      </c>
      <c r="O171" s="95">
        <f t="shared" si="83"/>
        <v>483.5</v>
      </c>
      <c r="P171" s="95">
        <f>IF('Military Provision'!J172="YES", MAX('2019 Legal Max'!L171,'2019 Legal Max'!I171,AVERAGE('2019 Legal Max'!F171,'2019 Legal Max'!I171,'2019 Legal Max'!L171)), MAX(L171, I171))</f>
        <v>501.6</v>
      </c>
      <c r="Q171" s="95">
        <f>IF(ISNA(VLOOKUP($CZ171,'Audit Values'!$A$2:$BU$353,2,FALSE)),'Preliminary SO66'!AL170,VLOOKUP($CZ171,'Audit Values'!$A$2:$BU$3955,58,FALSE))</f>
        <v>4</v>
      </c>
      <c r="R171" s="95">
        <v>0</v>
      </c>
      <c r="S171" s="95">
        <f t="shared" si="115"/>
        <v>505.6</v>
      </c>
      <c r="T171" s="95">
        <f t="shared" si="84"/>
        <v>209.5</v>
      </c>
      <c r="U171" s="95">
        <f>IF(ISNA(VLOOKUP($CZ171,'Audit Values'!$A$2:$BW$317,2,FALSE)),'Preliminary SO66'!AM170,VLOOKUP($CZ171,'Audit Values'!$A$2:$BW$317,62,FALSE))</f>
        <v>0</v>
      </c>
      <c r="V171" s="95">
        <f>(U171/6)*'Weighting Factors'!$Q$7</f>
        <v>0</v>
      </c>
      <c r="W171" s="132">
        <f>IF(ISNA(VLOOKUP($CZ171,'Audit Values'!$A$2:$BW$353,2,FALSE)),'Preliminary SO66'!AN170,VLOOKUP($CZ171,'Audit Values'!$A$2:$BW$353,61,FALSE))</f>
        <v>2</v>
      </c>
      <c r="X171" s="95">
        <f>W171*'Weighting Factors'!$Q$8</f>
        <v>0.4</v>
      </c>
      <c r="Y171" s="95">
        <f t="shared" si="85"/>
        <v>0.4</v>
      </c>
      <c r="Z171" s="276">
        <f>IF(ISNA(VLOOKUP($CZ171,'Audit Values'!$A$2:$BW$317,2,FALSE)),'Preliminary SO66'!AO170,VLOOKUP($CZ171,'Audit Values'!$A$2:$BW$317,60,FALSE))</f>
        <v>143.30000000000001</v>
      </c>
      <c r="AA171" s="95">
        <f>Z171/6*'Weighting Factors'!$Q$6</f>
        <v>11.9</v>
      </c>
      <c r="AB171" s="99">
        <f>IF(ISNA(VLOOKUP($CZ171,'Audit Values'!$A$2:$BU$353,2,FALSE)),'Preliminary SO66'!AS170,VLOOKUP($CZ171,'Audit Values'!$A$2:$BU$353,63,FALSE))</f>
        <v>495</v>
      </c>
      <c r="AC171" s="99">
        <v>0</v>
      </c>
      <c r="AD171" s="99">
        <f>IF(ISNA(VLOOKUP($CZ171,'Audit Values'!$A$2:$BU$353,2,FALSE)),'Preliminary SO66'!AP170,VLOOKUP($CZ171,'Audit Values'!$A$2:$BU$353,64,FALSE))</f>
        <v>139</v>
      </c>
      <c r="AE171" s="95">
        <f>IF(A171=207, AD171,MAX(AC171,AD171))*'Weighting Factors'!$Q$9</f>
        <v>67.3</v>
      </c>
      <c r="AF171" s="95">
        <f t="shared" si="86"/>
        <v>0</v>
      </c>
      <c r="AG171" s="95">
        <f>IF(ISNA(VLOOKUP($CZ171,'Audit Values'!$A$2:$BW$353,2,FALSE)),'Preliminary SO66'!AG170,VLOOKUP($CZ171,'Audit Values'!$A$2:$BW$353,70,FALSE))</f>
        <v>0</v>
      </c>
      <c r="AH171" s="95">
        <f t="shared" si="87"/>
        <v>0</v>
      </c>
      <c r="AI171" s="95">
        <f>IF(ISNA(VLOOKUP($CZ171,'Audit Values'!$A$2:$BU$353,2,FALSE)),'Preliminary SO66'!AQ170,VLOOKUP($CZ171,'Audit Values'!$A$2:$BU$353,65,FALSE))</f>
        <v>0</v>
      </c>
      <c r="AJ171" s="95">
        <f>AI171*'Weighting Factors'!$Q$10</f>
        <v>0</v>
      </c>
      <c r="AK171" s="95">
        <f>IF(ISNA(VLOOKUP($CZ171,'Audit Values'!$A$2:$BU$353,2,FALSE)),'Preliminary SO66'!AR170,VLOOKUP($CZ171,'Audit Values'!$A$2:$BU$353,66,FALSE))</f>
        <v>95</v>
      </c>
      <c r="AL171" s="95"/>
      <c r="AM171" s="99">
        <f t="shared" si="88"/>
        <v>99750</v>
      </c>
      <c r="AN171" s="99">
        <v>137131</v>
      </c>
      <c r="AO171" s="95">
        <f>MAX(AN171, AM171)/'Weighting Factors'!$Q$5</f>
        <v>32.9</v>
      </c>
      <c r="AP171" s="95">
        <f>CN171/'Weighting Factors'!$Q$5</f>
        <v>0</v>
      </c>
      <c r="AQ171" s="95">
        <v>0</v>
      </c>
      <c r="AR171" s="95">
        <f>CS171/'Weighting Factors'!$Q$5</f>
        <v>0</v>
      </c>
      <c r="AS171" s="99">
        <v>525231</v>
      </c>
      <c r="AT171" s="95">
        <f>AS171/'Weighting Factors'!$Q$5</f>
        <v>126.1</v>
      </c>
      <c r="AU171" s="95">
        <f>IF(ISNA(VLOOKUP($CZ171,'Audit Values'!$A$2:$BU$353,2,FALSE)),'Preliminary SO66'!X170,VLOOKUP($CZ171,'Audit Values'!$A$2:$BU$353,47,FALSE))</f>
        <v>0</v>
      </c>
      <c r="AV171" s="95">
        <f t="shared" si="89"/>
        <v>953.7</v>
      </c>
      <c r="AW171" s="95">
        <f t="shared" si="90"/>
        <v>827.6</v>
      </c>
      <c r="AX171" s="95">
        <f>IF(ISNA(VLOOKUP($CZ171,'Audit Values'!$A$2:$BU$353,2,FALSE)),'Preliminary SO66'!AA170,VLOOKUP($CZ171,'Audit Values'!$A$2:$BU$353,41,FALSE))</f>
        <v>0</v>
      </c>
      <c r="AY171" s="95">
        <f>IF(ISNA(VLOOKUP($CZ171,'Audit Values'!$A$2:$BU$353,2,FALSE)),'Preliminary SO66'!AB170,VLOOKUP($CZ171,'Audit Values'!$A$2:$BU$353,42,FALSE))</f>
        <v>0</v>
      </c>
      <c r="AZ171" s="114">
        <v>0</v>
      </c>
      <c r="BA171" s="99">
        <f>SUM(AX171*'Weighting Factors'!$T$10)+('2019 Legal Max'!AY171*'Weighting Factors'!$T$11)+('2019 Legal Max'!AZ171*'Weighting Factors'!$T$12)</f>
        <v>0</v>
      </c>
      <c r="BB171" s="158">
        <v>0</v>
      </c>
      <c r="BC171" s="88">
        <f>IF(ISNA(VLOOKUP($CZ171,'Audit Values'!$A$2:$BU$353,2,FALSE)),"",IF(AND('Weighting Factors'!H171&gt;0,VLOOKUP($CZ171,'Audit Values'!$A$2:$BU$353,51,FALSE)&lt;'Weighting Factors'!H171),'Weighting Factors'!H171,VLOOKUP($CZ171,'Audit Values'!$A$2:$BU$353,50,FALSE)))</f>
        <v>22</v>
      </c>
      <c r="BD171" s="88" t="str">
        <f>IF(ISNA(VLOOKUP($CZ171,'Audit Values'!$A$2:$BV$353,2,FALSE)),"",VLOOKUP($CZ171,'Audit Values'!$A$2:$BV$353,51,FALSE))</f>
        <v>A</v>
      </c>
      <c r="BE171" s="88" t="str">
        <f>IF('Weighting Factors'!H171="","",IF('Weighting Factors'!J171="Pending","PX","R"))</f>
        <v/>
      </c>
      <c r="BF171" s="97">
        <f>SUM((S171+T171+Y171+AA171+AE171+AH171+AJ171++AO171+AP171+AQ171+AU171+AR171)*'Weighting Factors'!$Q$5)+'2019 Legal Max'!BA171+'2019 Legal Max'!BB171</f>
        <v>3446954</v>
      </c>
      <c r="BG171" s="99">
        <f>SUM((AV171+AR171)*'Weighting Factors'!$Q$5)+BA171+'2019 Legal Max'!BB171</f>
        <v>3972161</v>
      </c>
      <c r="BH171" s="108">
        <f>IF('Weighting Factors'!H171&gt;0,'Weighting Factors'!H171,'Preliminary SO66'!AV170)</f>
        <v>4124600</v>
      </c>
      <c r="BI171" s="99">
        <f t="shared" si="114"/>
        <v>3972161</v>
      </c>
      <c r="BJ171" s="112"/>
      <c r="BK171" s="112">
        <f>'Weighting Factors'!F171</f>
        <v>-32066</v>
      </c>
      <c r="BL171" s="112">
        <f>'Weighting Factors'!E171</f>
        <v>0</v>
      </c>
      <c r="BM171" s="99">
        <f t="shared" si="91"/>
        <v>-32066</v>
      </c>
      <c r="BN171" s="99">
        <f t="shared" si="92"/>
        <v>3940095</v>
      </c>
      <c r="BO171" s="99">
        <f>SUM((S171+T171+Y171+AA171+AE171+AH171+AJ171++AO171+AP171+AQ171+AR171)*'Weighting Factors'!Q$12)+(MAX(AS171,'Weighting Factors'!B171))</f>
        <v>4326494</v>
      </c>
      <c r="BP171" s="122">
        <v>0.3</v>
      </c>
      <c r="BQ171" s="99">
        <f t="shared" si="93"/>
        <v>1297948</v>
      </c>
      <c r="BR171" s="108">
        <v>1319584</v>
      </c>
      <c r="BS171" s="99">
        <f t="shared" si="94"/>
        <v>1297948</v>
      </c>
      <c r="BT171" s="167">
        <f t="shared" si="95"/>
        <v>0.3</v>
      </c>
      <c r="BU171" s="95">
        <f t="shared" si="96"/>
        <v>0</v>
      </c>
      <c r="BV171" s="87" t="b">
        <f t="shared" si="97"/>
        <v>0</v>
      </c>
      <c r="BW171" s="117">
        <f t="shared" si="98"/>
        <v>0</v>
      </c>
      <c r="BX171" s="116">
        <f t="shared" si="99"/>
        <v>0</v>
      </c>
      <c r="BY171" s="95">
        <f t="shared" si="100"/>
        <v>0</v>
      </c>
      <c r="BZ171" s="87" t="b">
        <f t="shared" si="101"/>
        <v>1</v>
      </c>
      <c r="CA171" s="87">
        <f t="shared" si="102"/>
        <v>254.43</v>
      </c>
      <c r="CB171" s="116">
        <f t="shared" si="103"/>
        <v>0.41433399999999998</v>
      </c>
      <c r="CC171" s="95">
        <f t="shared" si="104"/>
        <v>209.5</v>
      </c>
      <c r="CD171" s="95">
        <f t="shared" si="105"/>
        <v>0</v>
      </c>
      <c r="CE171" s="98">
        <v>158</v>
      </c>
      <c r="CF171" s="250">
        <f t="shared" si="106"/>
        <v>0.60099999999999998</v>
      </c>
      <c r="CG171" s="274">
        <f>IF(CF171&lt;0.06,1,IF(CF171&gt;=18.29,52,MATCH(CF171-0.001,'Weighting Factors'!$Y$5:$Y$156)+1))</f>
        <v>27</v>
      </c>
      <c r="CH171" s="243">
        <f>VLOOKUP(CG171, 'Weighting Factors'!$W$5:$Z$56,4)</f>
        <v>1050</v>
      </c>
      <c r="CI171" s="118">
        <f>('Weighting Factors'!$Q$5/'Weighting Factors'!$Q$14)</f>
        <v>1</v>
      </c>
      <c r="CJ171" s="245">
        <f t="shared" si="107"/>
        <v>99750</v>
      </c>
      <c r="CK171" s="245">
        <f>CJ171*'Weighting Factors'!$S$7</f>
        <v>99750</v>
      </c>
      <c r="CL171" s="245">
        <f t="shared" si="108"/>
        <v>99750</v>
      </c>
      <c r="CM171" s="95">
        <f>AM171/'Weighting Factors'!$Q$5</f>
        <v>23.9</v>
      </c>
      <c r="CN171" s="148">
        <v>0</v>
      </c>
      <c r="CO171" s="148">
        <v>0</v>
      </c>
      <c r="CP171" s="149">
        <v>0</v>
      </c>
      <c r="CQ171" s="151">
        <v>0</v>
      </c>
      <c r="CR171" s="99">
        <f>SUM((AV171*'Weighting Factors'!$Q$5)+'2019 Legal Max'!BA171)*CQ171</f>
        <v>0</v>
      </c>
      <c r="CS171" s="99">
        <f t="shared" si="109"/>
        <v>0</v>
      </c>
      <c r="CT171" s="106">
        <f t="shared" si="110"/>
        <v>0.28079999999999999</v>
      </c>
      <c r="CU171" s="95">
        <f t="shared" si="111"/>
        <v>0</v>
      </c>
      <c r="CV171" s="95">
        <f t="shared" si="112"/>
        <v>0</v>
      </c>
      <c r="CW171" s="95">
        <f t="shared" si="113"/>
        <v>953.7</v>
      </c>
      <c r="CX171" s="99">
        <f>'LOB Transfers'!G170</f>
        <v>92025</v>
      </c>
      <c r="CY171" s="99">
        <f>'LOB Transfers'!J170</f>
        <v>519</v>
      </c>
      <c r="CZ171" s="87" t="s">
        <v>363</v>
      </c>
    </row>
    <row r="172" spans="1:104" ht="15" customHeight="1">
      <c r="A172" s="88">
        <v>377</v>
      </c>
      <c r="B172" s="87" t="s">
        <v>77</v>
      </c>
      <c r="C172" s="87" t="s">
        <v>685</v>
      </c>
      <c r="D172" s="95">
        <v>550</v>
      </c>
      <c r="E172" s="95">
        <v>0</v>
      </c>
      <c r="F172" s="95">
        <f t="shared" si="80"/>
        <v>550</v>
      </c>
      <c r="G172" s="95">
        <v>511</v>
      </c>
      <c r="H172" s="95">
        <v>0</v>
      </c>
      <c r="I172" s="95">
        <f t="shared" si="81"/>
        <v>511</v>
      </c>
      <c r="J172" s="95">
        <v>483</v>
      </c>
      <c r="K172" s="95">
        <v>0</v>
      </c>
      <c r="L172" s="95">
        <f t="shared" si="82"/>
        <v>483</v>
      </c>
      <c r="M172" s="95">
        <f>IF(ISNA(VLOOKUP($CZ172,'Audit Values'!$A$2:$BW$365,2,FALSE)),'Preliminary SO66'!C171,VLOOKUP($CZ172,'Audit Values'!$A$2:$BW$365,73,FALSE))</f>
        <v>479</v>
      </c>
      <c r="N172" s="95">
        <f>IF(ISNA(VLOOKUP($CZ172,'Audit Values'!$A$2:$BW$365,2,FALSE)),'Preliminary SO66'!F171,VLOOKUP($CZ172,'Audit Values'!$A$2:$BW$365,4,FALSE))</f>
        <v>0</v>
      </c>
      <c r="O172" s="95">
        <f t="shared" si="83"/>
        <v>479</v>
      </c>
      <c r="P172" s="95">
        <f>IF('Military Provision'!J173="YES", MAX('2019 Legal Max'!L172,'2019 Legal Max'!I172,AVERAGE('2019 Legal Max'!F172,'2019 Legal Max'!I172,'2019 Legal Max'!L172)), MAX(L172, I172))</f>
        <v>511</v>
      </c>
      <c r="Q172" s="95">
        <f>IF(ISNA(VLOOKUP($CZ172,'Audit Values'!$A$2:$BU$353,2,FALSE)),'Preliminary SO66'!AL171,VLOOKUP($CZ172,'Audit Values'!$A$2:$BU$3955,58,FALSE))</f>
        <v>4</v>
      </c>
      <c r="R172" s="95">
        <v>0</v>
      </c>
      <c r="S172" s="95">
        <f t="shared" si="115"/>
        <v>515</v>
      </c>
      <c r="T172" s="95">
        <f t="shared" si="84"/>
        <v>211.7</v>
      </c>
      <c r="U172" s="95">
        <f>IF(ISNA(VLOOKUP($CZ172,'Audit Values'!$A$2:$BW$317,2,FALSE)),'Preliminary SO66'!AM171,VLOOKUP($CZ172,'Audit Values'!$A$2:$BW$317,62,FALSE))</f>
        <v>0</v>
      </c>
      <c r="V172" s="95">
        <f>(U172/6)*'Weighting Factors'!$Q$7</f>
        <v>0</v>
      </c>
      <c r="W172" s="132">
        <f>IF(ISNA(VLOOKUP($CZ172,'Audit Values'!$A$2:$BW$353,2,FALSE)),'Preliminary SO66'!AN171,VLOOKUP($CZ172,'Audit Values'!$A$2:$BW$353,61,FALSE))</f>
        <v>2</v>
      </c>
      <c r="X172" s="95">
        <f>W172*'Weighting Factors'!$Q$8</f>
        <v>0.4</v>
      </c>
      <c r="Y172" s="95">
        <f t="shared" si="85"/>
        <v>0.4</v>
      </c>
      <c r="Z172" s="276">
        <f>IF(ISNA(VLOOKUP($CZ172,'Audit Values'!$A$2:$BW$317,2,FALSE)),'Preliminary SO66'!AO171,VLOOKUP($CZ172,'Audit Values'!$A$2:$BW$317,60,FALSE))</f>
        <v>100.8</v>
      </c>
      <c r="AA172" s="95">
        <f>Z172/6*'Weighting Factors'!$Q$6</f>
        <v>8.4</v>
      </c>
      <c r="AB172" s="99">
        <f>IF(ISNA(VLOOKUP($CZ172,'Audit Values'!$A$2:$BU$353,2,FALSE)),'Preliminary SO66'!AS171,VLOOKUP($CZ172,'Audit Values'!$A$2:$BU$353,63,FALSE))</f>
        <v>490</v>
      </c>
      <c r="AC172" s="99">
        <v>0</v>
      </c>
      <c r="AD172" s="99">
        <f>IF(ISNA(VLOOKUP($CZ172,'Audit Values'!$A$2:$BU$353,2,FALSE)),'Preliminary SO66'!AP171,VLOOKUP($CZ172,'Audit Values'!$A$2:$BU$353,64,FALSE))</f>
        <v>157</v>
      </c>
      <c r="AE172" s="95">
        <f>IF(A172=207, AD172,MAX(AC172,AD172))*'Weighting Factors'!$Q$9</f>
        <v>76</v>
      </c>
      <c r="AF172" s="95">
        <f t="shared" si="86"/>
        <v>0</v>
      </c>
      <c r="AG172" s="95">
        <f>IF(ISNA(VLOOKUP($CZ172,'Audit Values'!$A$2:$BW$353,2,FALSE)),'Preliminary SO66'!AG171,VLOOKUP($CZ172,'Audit Values'!$A$2:$BW$353,70,FALSE))</f>
        <v>0</v>
      </c>
      <c r="AH172" s="95">
        <f t="shared" si="87"/>
        <v>0</v>
      </c>
      <c r="AI172" s="95">
        <f>IF(ISNA(VLOOKUP($CZ172,'Audit Values'!$A$2:$BU$353,2,FALSE)),'Preliminary SO66'!AQ171,VLOOKUP($CZ172,'Audit Values'!$A$2:$BU$353,65,FALSE))</f>
        <v>0</v>
      </c>
      <c r="AJ172" s="95">
        <f>AI172*'Weighting Factors'!$Q$10</f>
        <v>0</v>
      </c>
      <c r="AK172" s="95">
        <f>IF(ISNA(VLOOKUP($CZ172,'Audit Values'!$A$2:$BU$353,2,FALSE)),'Preliminary SO66'!AR171,VLOOKUP($CZ172,'Audit Values'!$A$2:$BU$353,66,FALSE))</f>
        <v>296.5</v>
      </c>
      <c r="AL172" s="95"/>
      <c r="AM172" s="99">
        <f t="shared" si="88"/>
        <v>293535</v>
      </c>
      <c r="AN172" s="99">
        <v>389437</v>
      </c>
      <c r="AO172" s="95">
        <f>MAX(AN172, AM172)/'Weighting Factors'!$Q$5</f>
        <v>93.5</v>
      </c>
      <c r="AP172" s="95">
        <f>CN172/'Weighting Factors'!$Q$5</f>
        <v>0</v>
      </c>
      <c r="AQ172" s="95">
        <v>0</v>
      </c>
      <c r="AR172" s="95">
        <f>CS172/'Weighting Factors'!$Q$5</f>
        <v>0</v>
      </c>
      <c r="AS172" s="99">
        <v>790730</v>
      </c>
      <c r="AT172" s="95">
        <f>AS172/'Weighting Factors'!$Q$5</f>
        <v>189.9</v>
      </c>
      <c r="AU172" s="95">
        <f>IF(ISNA(VLOOKUP($CZ172,'Audit Values'!$A$2:$BU$353,2,FALSE)),'Preliminary SO66'!X171,VLOOKUP($CZ172,'Audit Values'!$A$2:$BU$353,47,FALSE))</f>
        <v>0</v>
      </c>
      <c r="AV172" s="95">
        <f t="shared" si="89"/>
        <v>1094.9000000000001</v>
      </c>
      <c r="AW172" s="95">
        <f t="shared" si="90"/>
        <v>905</v>
      </c>
      <c r="AX172" s="95">
        <f>IF(ISNA(VLOOKUP($CZ172,'Audit Values'!$A$2:$BU$353,2,FALSE)),'Preliminary SO66'!AA171,VLOOKUP($CZ172,'Audit Values'!$A$2:$BU$353,41,FALSE))</f>
        <v>0</v>
      </c>
      <c r="AY172" s="95">
        <f>IF(ISNA(VLOOKUP($CZ172,'Audit Values'!$A$2:$BU$353,2,FALSE)),'Preliminary SO66'!AB171,VLOOKUP($CZ172,'Audit Values'!$A$2:$BU$353,42,FALSE))</f>
        <v>0</v>
      </c>
      <c r="AZ172" s="114">
        <v>0</v>
      </c>
      <c r="BA172" s="99">
        <f>SUM(AX172*'Weighting Factors'!$T$10)+('2019 Legal Max'!AY172*'Weighting Factors'!$T$11)+('2019 Legal Max'!AZ172*'Weighting Factors'!$T$12)</f>
        <v>0</v>
      </c>
      <c r="BB172" s="158">
        <v>0</v>
      </c>
      <c r="BC172" s="88">
        <f>IF(ISNA(VLOOKUP($CZ172,'Audit Values'!$A$2:$BU$353,2,FALSE)),"",IF(AND('Weighting Factors'!H172&gt;0,VLOOKUP($CZ172,'Audit Values'!$A$2:$BU$353,51,FALSE)&lt;'Weighting Factors'!H172),'Weighting Factors'!H172,VLOOKUP($CZ172,'Audit Values'!$A$2:$BU$353,50,FALSE)))</f>
        <v>17</v>
      </c>
      <c r="BD172" s="88" t="str">
        <f>IF(ISNA(VLOOKUP($CZ172,'Audit Values'!$A$2:$BV$353,2,FALSE)),"",VLOOKUP($CZ172,'Audit Values'!$A$2:$BV$353,51,FALSE))</f>
        <v>A</v>
      </c>
      <c r="BE172" s="88" t="str">
        <f>IF('Weighting Factors'!H172="","",IF('Weighting Factors'!J172="Pending","PX","R"))</f>
        <v/>
      </c>
      <c r="BF172" s="97">
        <f>SUM((S172+T172+Y172+AA172+AE172+AH172+AJ172++AO172+AP172+AQ172+AU172+AR172)*'Weighting Factors'!$Q$5)+'2019 Legal Max'!BA172+'2019 Legal Max'!BB172</f>
        <v>3769325</v>
      </c>
      <c r="BG172" s="99">
        <f>SUM((AV172+AR172)*'Weighting Factors'!$Q$5)+BA172+'2019 Legal Max'!BB172</f>
        <v>4560259</v>
      </c>
      <c r="BH172" s="108">
        <f>IF('Weighting Factors'!H172&gt;0,'Weighting Factors'!H172,'Preliminary SO66'!AV171)</f>
        <v>4737277</v>
      </c>
      <c r="BI172" s="99">
        <f t="shared" si="114"/>
        <v>4560259</v>
      </c>
      <c r="BJ172" s="112"/>
      <c r="BK172" s="112">
        <f>'Weighting Factors'!F172</f>
        <v>0</v>
      </c>
      <c r="BL172" s="112">
        <f>'Weighting Factors'!E172</f>
        <v>0</v>
      </c>
      <c r="BM172" s="99">
        <f t="shared" si="91"/>
        <v>0</v>
      </c>
      <c r="BN172" s="99">
        <f t="shared" si="92"/>
        <v>4560259</v>
      </c>
      <c r="BO172" s="99">
        <f>SUM((S172+T172+Y172+AA172+AE172+AH172+AJ172++AO172+AP172+AQ172+AR172)*'Weighting Factors'!Q$12)+(MAX(AS172,'Weighting Factors'!B172))</f>
        <v>4934102</v>
      </c>
      <c r="BP172" s="122">
        <v>0.33</v>
      </c>
      <c r="BQ172" s="99">
        <f t="shared" si="93"/>
        <v>1628254</v>
      </c>
      <c r="BR172" s="108">
        <v>1656553</v>
      </c>
      <c r="BS172" s="99">
        <f t="shared" si="94"/>
        <v>1628254</v>
      </c>
      <c r="BT172" s="167">
        <f t="shared" si="95"/>
        <v>0.33</v>
      </c>
      <c r="BU172" s="95">
        <f t="shared" si="96"/>
        <v>0</v>
      </c>
      <c r="BV172" s="87" t="b">
        <f t="shared" si="97"/>
        <v>0</v>
      </c>
      <c r="BW172" s="117">
        <f t="shared" si="98"/>
        <v>0</v>
      </c>
      <c r="BX172" s="116">
        <f t="shared" si="99"/>
        <v>0</v>
      </c>
      <c r="BY172" s="95">
        <f t="shared" si="100"/>
        <v>0</v>
      </c>
      <c r="BZ172" s="87" t="b">
        <f t="shared" si="101"/>
        <v>1</v>
      </c>
      <c r="CA172" s="87">
        <f t="shared" si="102"/>
        <v>266.0625</v>
      </c>
      <c r="CB172" s="116">
        <f t="shared" si="103"/>
        <v>0.41114000000000001</v>
      </c>
      <c r="CC172" s="95">
        <f t="shared" si="104"/>
        <v>211.7</v>
      </c>
      <c r="CD172" s="95">
        <f t="shared" si="105"/>
        <v>0</v>
      </c>
      <c r="CE172" s="98">
        <v>350</v>
      </c>
      <c r="CF172" s="250">
        <f t="shared" si="106"/>
        <v>0.84699999999999998</v>
      </c>
      <c r="CG172" s="274">
        <f>IF(CF172&lt;0.06,1,IF(CF172&gt;=18.29,52,MATCH(CF172-0.001,'Weighting Factors'!$Y$5:$Y$156)+1))</f>
        <v>30</v>
      </c>
      <c r="CH172" s="243">
        <f>VLOOKUP(CG172, 'Weighting Factors'!$W$5:$Z$56,4)</f>
        <v>990</v>
      </c>
      <c r="CI172" s="118">
        <f>('Weighting Factors'!$Q$5/'Weighting Factors'!$Q$14)</f>
        <v>1</v>
      </c>
      <c r="CJ172" s="245">
        <f t="shared" si="107"/>
        <v>293535</v>
      </c>
      <c r="CK172" s="245">
        <f>CJ172*'Weighting Factors'!$S$7</f>
        <v>293535</v>
      </c>
      <c r="CL172" s="245">
        <f t="shared" si="108"/>
        <v>293535</v>
      </c>
      <c r="CM172" s="95">
        <f>AM172/'Weighting Factors'!$Q$5</f>
        <v>70.5</v>
      </c>
      <c r="CN172" s="148">
        <v>0</v>
      </c>
      <c r="CO172" s="148">
        <v>0</v>
      </c>
      <c r="CP172" s="149">
        <v>0</v>
      </c>
      <c r="CQ172" s="151">
        <v>0</v>
      </c>
      <c r="CR172" s="99">
        <f>SUM((AV172*'Weighting Factors'!$Q$5)+'2019 Legal Max'!BA172)*CQ172</f>
        <v>0</v>
      </c>
      <c r="CS172" s="99">
        <f t="shared" si="109"/>
        <v>0</v>
      </c>
      <c r="CT172" s="106">
        <f t="shared" si="110"/>
        <v>0.32040000000000002</v>
      </c>
      <c r="CU172" s="95">
        <f t="shared" si="111"/>
        <v>0</v>
      </c>
      <c r="CV172" s="95">
        <f t="shared" si="112"/>
        <v>0</v>
      </c>
      <c r="CW172" s="95">
        <f t="shared" si="113"/>
        <v>1094.9000000000001</v>
      </c>
      <c r="CX172" s="99">
        <f>'LOB Transfers'!G171</f>
        <v>113489</v>
      </c>
      <c r="CY172" s="99">
        <f>'LOB Transfers'!J171</f>
        <v>651</v>
      </c>
      <c r="CZ172" s="87" t="s">
        <v>364</v>
      </c>
    </row>
    <row r="173" spans="1:104" ht="15" customHeight="1">
      <c r="A173" s="88">
        <v>378</v>
      </c>
      <c r="B173" s="87" t="s">
        <v>78</v>
      </c>
      <c r="C173" s="87" t="s">
        <v>686</v>
      </c>
      <c r="D173" s="95">
        <v>669.4</v>
      </c>
      <c r="E173" s="95">
        <v>0</v>
      </c>
      <c r="F173" s="95">
        <f t="shared" si="80"/>
        <v>669.4</v>
      </c>
      <c r="G173" s="95">
        <v>677.9</v>
      </c>
      <c r="H173" s="95">
        <v>0</v>
      </c>
      <c r="I173" s="95">
        <f t="shared" si="81"/>
        <v>677.9</v>
      </c>
      <c r="J173" s="95">
        <v>663.5</v>
      </c>
      <c r="K173" s="95">
        <v>0</v>
      </c>
      <c r="L173" s="95">
        <f t="shared" si="82"/>
        <v>663.5</v>
      </c>
      <c r="M173" s="95">
        <f>IF(ISNA(VLOOKUP($CZ173,'Audit Values'!$A$2:$BW$365,2,FALSE)),'Preliminary SO66'!C172,VLOOKUP($CZ173,'Audit Values'!$A$2:$BW$365,73,FALSE))</f>
        <v>664.5</v>
      </c>
      <c r="N173" s="95">
        <f>IF(ISNA(VLOOKUP($CZ173,'Audit Values'!$A$2:$BW$365,2,FALSE)),'Preliminary SO66'!F172,VLOOKUP($CZ173,'Audit Values'!$A$2:$BW$365,4,FALSE))</f>
        <v>0</v>
      </c>
      <c r="O173" s="95">
        <f t="shared" si="83"/>
        <v>664.5</v>
      </c>
      <c r="P173" s="95">
        <f>IF('Military Provision'!J174="YES", MAX('2019 Legal Max'!L173,'2019 Legal Max'!I173,AVERAGE('2019 Legal Max'!F173,'2019 Legal Max'!I173,'2019 Legal Max'!L173)), MAX(L173, I173))</f>
        <v>677.9</v>
      </c>
      <c r="Q173" s="95">
        <f>IF(ISNA(VLOOKUP($CZ173,'Audit Values'!$A$2:$BU$353,2,FALSE)),'Preliminary SO66'!AL172,VLOOKUP($CZ173,'Audit Values'!$A$2:$BU$3955,58,FALSE))</f>
        <v>0</v>
      </c>
      <c r="R173" s="95">
        <v>0</v>
      </c>
      <c r="S173" s="95">
        <f t="shared" si="115"/>
        <v>677.9</v>
      </c>
      <c r="T173" s="95">
        <f t="shared" si="84"/>
        <v>241.2</v>
      </c>
      <c r="U173" s="95">
        <f>IF(ISNA(VLOOKUP($CZ173,'Audit Values'!$A$2:$BW$317,2,FALSE)),'Preliminary SO66'!AM172,VLOOKUP($CZ173,'Audit Values'!$A$2:$BW$317,62,FALSE))</f>
        <v>0</v>
      </c>
      <c r="V173" s="95">
        <f>(U173/6)*'Weighting Factors'!$Q$7</f>
        <v>0</v>
      </c>
      <c r="W173" s="132">
        <f>IF(ISNA(VLOOKUP($CZ173,'Audit Values'!$A$2:$BW$353,2,FALSE)),'Preliminary SO66'!AN172,VLOOKUP($CZ173,'Audit Values'!$A$2:$BW$353,61,FALSE))</f>
        <v>5</v>
      </c>
      <c r="X173" s="95">
        <f>W173*'Weighting Factors'!$Q$8</f>
        <v>0.9</v>
      </c>
      <c r="Y173" s="95">
        <f t="shared" si="85"/>
        <v>0.9</v>
      </c>
      <c r="Z173" s="276">
        <f>IF(ISNA(VLOOKUP($CZ173,'Audit Values'!$A$2:$BW$317,2,FALSE)),'Preliminary SO66'!AO172,VLOOKUP($CZ173,'Audit Values'!$A$2:$BW$317,60,FALSE))</f>
        <v>194.6</v>
      </c>
      <c r="AA173" s="95">
        <f>Z173/6*'Weighting Factors'!$Q$6</f>
        <v>16.2</v>
      </c>
      <c r="AB173" s="99">
        <f>IF(ISNA(VLOOKUP($CZ173,'Audit Values'!$A$2:$BU$353,2,FALSE)),'Preliminary SO66'!AS172,VLOOKUP($CZ173,'Audit Values'!$A$2:$BU$353,63,FALSE))</f>
        <v>669</v>
      </c>
      <c r="AC173" s="99">
        <v>0</v>
      </c>
      <c r="AD173" s="99">
        <f>IF(ISNA(VLOOKUP($CZ173,'Audit Values'!$A$2:$BU$353,2,FALSE)),'Preliminary SO66'!AP172,VLOOKUP($CZ173,'Audit Values'!$A$2:$BU$353,64,FALSE))</f>
        <v>142</v>
      </c>
      <c r="AE173" s="95">
        <f>IF(A173=207, AD173,MAX(AC173,AD173))*'Weighting Factors'!$Q$9</f>
        <v>68.7</v>
      </c>
      <c r="AF173" s="95">
        <f t="shared" si="86"/>
        <v>0</v>
      </c>
      <c r="AG173" s="95">
        <f>IF(ISNA(VLOOKUP($CZ173,'Audit Values'!$A$2:$BW$353,2,FALSE)),'Preliminary SO66'!AG172,VLOOKUP($CZ173,'Audit Values'!$A$2:$BW$353,70,FALSE))</f>
        <v>0</v>
      </c>
      <c r="AH173" s="95">
        <f t="shared" si="87"/>
        <v>0</v>
      </c>
      <c r="AI173" s="95">
        <f>IF(ISNA(VLOOKUP($CZ173,'Audit Values'!$A$2:$BU$353,2,FALSE)),'Preliminary SO66'!AQ172,VLOOKUP($CZ173,'Audit Values'!$A$2:$BU$353,65,FALSE))</f>
        <v>0</v>
      </c>
      <c r="AJ173" s="95">
        <f>AI173*'Weighting Factors'!$Q$10</f>
        <v>0</v>
      </c>
      <c r="AK173" s="95">
        <f>IF(ISNA(VLOOKUP($CZ173,'Audit Values'!$A$2:$BU$353,2,FALSE)),'Preliminary SO66'!AR172,VLOOKUP($CZ173,'Audit Values'!$A$2:$BU$353,66,FALSE))</f>
        <v>392</v>
      </c>
      <c r="AL173" s="95"/>
      <c r="AM173" s="99">
        <f t="shared" si="88"/>
        <v>317520</v>
      </c>
      <c r="AN173" s="99">
        <v>346295</v>
      </c>
      <c r="AO173" s="95">
        <f>MAX(AN173, AM173)/'Weighting Factors'!$Q$5</f>
        <v>83.1</v>
      </c>
      <c r="AP173" s="95">
        <f>CN173/'Weighting Factors'!$Q$5</f>
        <v>0</v>
      </c>
      <c r="AQ173" s="95">
        <v>0</v>
      </c>
      <c r="AR173" s="95">
        <f>CS173/'Weighting Factors'!$Q$5</f>
        <v>0</v>
      </c>
      <c r="AS173" s="99">
        <v>742467</v>
      </c>
      <c r="AT173" s="95">
        <f>AS173/'Weighting Factors'!$Q$5</f>
        <v>178.3</v>
      </c>
      <c r="AU173" s="95">
        <f>IF(ISNA(VLOOKUP($CZ173,'Audit Values'!$A$2:$BU$353,2,FALSE)),'Preliminary SO66'!X172,VLOOKUP($CZ173,'Audit Values'!$A$2:$BU$353,47,FALSE))</f>
        <v>0</v>
      </c>
      <c r="AV173" s="95">
        <f t="shared" si="89"/>
        <v>1266.3</v>
      </c>
      <c r="AW173" s="95">
        <f t="shared" si="90"/>
        <v>1088</v>
      </c>
      <c r="AX173" s="95">
        <f>IF(ISNA(VLOOKUP($CZ173,'Audit Values'!$A$2:$BU$353,2,FALSE)),'Preliminary SO66'!AA172,VLOOKUP($CZ173,'Audit Values'!$A$2:$BU$353,41,FALSE))</f>
        <v>0</v>
      </c>
      <c r="AY173" s="95">
        <f>IF(ISNA(VLOOKUP($CZ173,'Audit Values'!$A$2:$BU$353,2,FALSE)),'Preliminary SO66'!AB172,VLOOKUP($CZ173,'Audit Values'!$A$2:$BU$353,42,FALSE))</f>
        <v>0</v>
      </c>
      <c r="AZ173" s="114">
        <v>0</v>
      </c>
      <c r="BA173" s="99">
        <f>SUM(AX173*'Weighting Factors'!$T$10)+('2019 Legal Max'!AY173*'Weighting Factors'!$T$11)+('2019 Legal Max'!AZ173*'Weighting Factors'!$T$12)</f>
        <v>0</v>
      </c>
      <c r="BB173" s="158">
        <v>0</v>
      </c>
      <c r="BC173" s="88">
        <f>IF(ISNA(VLOOKUP($CZ173,'Audit Values'!$A$2:$BU$353,2,FALSE)),"",IF(AND('Weighting Factors'!H173&gt;0,VLOOKUP($CZ173,'Audit Values'!$A$2:$BU$353,51,FALSE)&lt;'Weighting Factors'!H173),'Weighting Factors'!H173,VLOOKUP($CZ173,'Audit Values'!$A$2:$BU$353,50,FALSE)))</f>
        <v>9</v>
      </c>
      <c r="BD173" s="88" t="str">
        <f>IF(ISNA(VLOOKUP($CZ173,'Audit Values'!$A$2:$BV$353,2,FALSE)),"",VLOOKUP($CZ173,'Audit Values'!$A$2:$BV$353,51,FALSE))</f>
        <v>A</v>
      </c>
      <c r="BE173" s="88" t="str">
        <f>IF('Weighting Factors'!H173="","",IF('Weighting Factors'!J173="Pending","PX","R"))</f>
        <v/>
      </c>
      <c r="BF173" s="97">
        <f>SUM((S173+T173+Y173+AA173+AE173+AH173+AJ173++AO173+AP173+AQ173+AU173+AR173)*'Weighting Factors'!$Q$5)+'2019 Legal Max'!BA173+'2019 Legal Max'!BB173</f>
        <v>4531520</v>
      </c>
      <c r="BG173" s="99">
        <f>SUM((AV173+AR173)*'Weighting Factors'!$Q$5)+BA173+'2019 Legal Max'!BB173</f>
        <v>5274140</v>
      </c>
      <c r="BH173" s="108">
        <f>IF('Weighting Factors'!H173&gt;0,'Weighting Factors'!H173,'Preliminary SO66'!AV172)</f>
        <v>5420748</v>
      </c>
      <c r="BI173" s="99">
        <f t="shared" si="114"/>
        <v>5274140</v>
      </c>
      <c r="BJ173" s="112"/>
      <c r="BK173" s="112">
        <f>'Weighting Factors'!F173</f>
        <v>0</v>
      </c>
      <c r="BL173" s="112">
        <f>'Weighting Factors'!E173</f>
        <v>0</v>
      </c>
      <c r="BM173" s="99">
        <f t="shared" si="91"/>
        <v>0</v>
      </c>
      <c r="BN173" s="99">
        <f t="shared" si="92"/>
        <v>5274140</v>
      </c>
      <c r="BO173" s="99">
        <f>SUM((S173+T173+Y173+AA173+AE173+AH173+AJ173++AO173+AP173+AQ173+AR173)*'Weighting Factors'!Q$12)+(MAX(AS173,'Weighting Factors'!B173))</f>
        <v>5627587</v>
      </c>
      <c r="BP173" s="122">
        <v>0.3</v>
      </c>
      <c r="BQ173" s="99">
        <f t="shared" si="93"/>
        <v>1688276</v>
      </c>
      <c r="BR173" s="108">
        <v>1731875</v>
      </c>
      <c r="BS173" s="99">
        <f t="shared" si="94"/>
        <v>1688276</v>
      </c>
      <c r="BT173" s="167">
        <f t="shared" si="95"/>
        <v>0.3</v>
      </c>
      <c r="BU173" s="95">
        <f t="shared" si="96"/>
        <v>0</v>
      </c>
      <c r="BV173" s="87" t="b">
        <f t="shared" si="97"/>
        <v>0</v>
      </c>
      <c r="BW173" s="117">
        <f t="shared" si="98"/>
        <v>0</v>
      </c>
      <c r="BX173" s="116">
        <f t="shared" si="99"/>
        <v>0</v>
      </c>
      <c r="BY173" s="95">
        <f t="shared" si="100"/>
        <v>0</v>
      </c>
      <c r="BZ173" s="87" t="b">
        <f t="shared" si="101"/>
        <v>1</v>
      </c>
      <c r="CA173" s="87">
        <f t="shared" si="102"/>
        <v>467.65129999999999</v>
      </c>
      <c r="CB173" s="116">
        <f t="shared" si="103"/>
        <v>0.35579499999999997</v>
      </c>
      <c r="CC173" s="95">
        <f t="shared" si="104"/>
        <v>241.2</v>
      </c>
      <c r="CD173" s="95">
        <f t="shared" si="105"/>
        <v>0</v>
      </c>
      <c r="CE173" s="98">
        <v>160</v>
      </c>
      <c r="CF173" s="250">
        <f t="shared" si="106"/>
        <v>2.4500000000000002</v>
      </c>
      <c r="CG173" s="274">
        <f>IF(CF173&lt;0.06,1,IF(CF173&gt;=18.29,52,MATCH(CF173-0.001,'Weighting Factors'!$Y$5:$Y$156)+1))</f>
        <v>39</v>
      </c>
      <c r="CH173" s="243">
        <f>VLOOKUP(CG173, 'Weighting Factors'!$W$5:$Z$56,4)</f>
        <v>810</v>
      </c>
      <c r="CI173" s="118">
        <f>('Weighting Factors'!$Q$5/'Weighting Factors'!$Q$14)</f>
        <v>1</v>
      </c>
      <c r="CJ173" s="245">
        <f t="shared" si="107"/>
        <v>317520</v>
      </c>
      <c r="CK173" s="245">
        <f>CJ173*'Weighting Factors'!$S$7</f>
        <v>317520</v>
      </c>
      <c r="CL173" s="245">
        <f t="shared" si="108"/>
        <v>317520</v>
      </c>
      <c r="CM173" s="95">
        <f>AM173/'Weighting Factors'!$Q$5</f>
        <v>76.2</v>
      </c>
      <c r="CN173" s="148">
        <v>0</v>
      </c>
      <c r="CO173" s="148">
        <v>0</v>
      </c>
      <c r="CP173" s="149">
        <v>0</v>
      </c>
      <c r="CQ173" s="151">
        <v>0</v>
      </c>
      <c r="CR173" s="99">
        <f>SUM((AV173*'Weighting Factors'!$Q$5)+'2019 Legal Max'!BA173)*CQ173</f>
        <v>0</v>
      </c>
      <c r="CS173" s="99">
        <f t="shared" si="109"/>
        <v>0</v>
      </c>
      <c r="CT173" s="106">
        <f t="shared" si="110"/>
        <v>0.21229999999999999</v>
      </c>
      <c r="CU173" s="95">
        <f t="shared" si="111"/>
        <v>0</v>
      </c>
      <c r="CV173" s="95">
        <f t="shared" si="112"/>
        <v>0</v>
      </c>
      <c r="CW173" s="95">
        <f t="shared" si="113"/>
        <v>1266.3</v>
      </c>
      <c r="CX173" s="99">
        <f>'LOB Transfers'!G172</f>
        <v>91673</v>
      </c>
      <c r="CY173" s="99">
        <f>'LOB Transfers'!J172</f>
        <v>1182</v>
      </c>
      <c r="CZ173" s="87" t="s">
        <v>365</v>
      </c>
    </row>
    <row r="174" spans="1:104" ht="15" customHeight="1">
      <c r="A174" s="88">
        <v>379</v>
      </c>
      <c r="B174" s="87" t="s">
        <v>79</v>
      </c>
      <c r="C174" s="87" t="s">
        <v>687</v>
      </c>
      <c r="D174" s="95">
        <v>1312.1</v>
      </c>
      <c r="E174" s="95">
        <v>0</v>
      </c>
      <c r="F174" s="95">
        <f t="shared" si="80"/>
        <v>1312.1</v>
      </c>
      <c r="G174" s="95">
        <v>1329.2</v>
      </c>
      <c r="H174" s="95">
        <v>0</v>
      </c>
      <c r="I174" s="95">
        <f t="shared" si="81"/>
        <v>1329.2</v>
      </c>
      <c r="J174" s="95">
        <v>1290.0999999999999</v>
      </c>
      <c r="K174" s="95">
        <v>0</v>
      </c>
      <c r="L174" s="95">
        <f t="shared" si="82"/>
        <v>1290.0999999999999</v>
      </c>
      <c r="M174" s="95">
        <f>IF(ISNA(VLOOKUP($CZ174,'Audit Values'!$A$2:$BW$365,2,FALSE)),'Preliminary SO66'!C173,VLOOKUP($CZ174,'Audit Values'!$A$2:$BW$365,73,FALSE))</f>
        <v>1292.5999999999999</v>
      </c>
      <c r="N174" s="95">
        <f>IF(ISNA(VLOOKUP($CZ174,'Audit Values'!$A$2:$BW$365,2,FALSE)),'Preliminary SO66'!F173,VLOOKUP($CZ174,'Audit Values'!$A$2:$BW$365,4,FALSE))</f>
        <v>0</v>
      </c>
      <c r="O174" s="95">
        <f t="shared" si="83"/>
        <v>1292.5999999999999</v>
      </c>
      <c r="P174" s="95">
        <f>IF('Military Provision'!J175="YES", MAX('2019 Legal Max'!L174,'2019 Legal Max'!I174,AVERAGE('2019 Legal Max'!F174,'2019 Legal Max'!I174,'2019 Legal Max'!L174)), MAX(L174, I174))</f>
        <v>1329.2</v>
      </c>
      <c r="Q174" s="95">
        <f>IF(ISNA(VLOOKUP($CZ174,'Audit Values'!$A$2:$BU$353,2,FALSE)),'Preliminary SO66'!AL173,VLOOKUP($CZ174,'Audit Values'!$A$2:$BU$3955,58,FALSE))</f>
        <v>2</v>
      </c>
      <c r="R174" s="95">
        <v>0</v>
      </c>
      <c r="S174" s="95">
        <f t="shared" si="115"/>
        <v>1331.2</v>
      </c>
      <c r="T174" s="95">
        <f t="shared" si="84"/>
        <v>178.2</v>
      </c>
      <c r="U174" s="95">
        <f>IF(ISNA(VLOOKUP($CZ174,'Audit Values'!$A$2:$BW$317,2,FALSE)),'Preliminary SO66'!AM173,VLOOKUP($CZ174,'Audit Values'!$A$2:$BW$317,62,FALSE))</f>
        <v>7.1</v>
      </c>
      <c r="V174" s="95">
        <f>(U174/6)*'Weighting Factors'!$Q$7</f>
        <v>0.5</v>
      </c>
      <c r="W174" s="132">
        <f>IF(ISNA(VLOOKUP($CZ174,'Audit Values'!$A$2:$BW$353,2,FALSE)),'Preliminary SO66'!AN173,VLOOKUP($CZ174,'Audit Values'!$A$2:$BW$353,61,FALSE))</f>
        <v>4</v>
      </c>
      <c r="X174" s="95">
        <f>W174*'Weighting Factors'!$Q$8</f>
        <v>0.7</v>
      </c>
      <c r="Y174" s="95">
        <f t="shared" si="85"/>
        <v>0.7</v>
      </c>
      <c r="Z174" s="276">
        <f>IF(ISNA(VLOOKUP($CZ174,'Audit Values'!$A$2:$BW$317,2,FALSE)),'Preliminary SO66'!AO173,VLOOKUP($CZ174,'Audit Values'!$A$2:$BW$317,60,FALSE))</f>
        <v>387.9</v>
      </c>
      <c r="AA174" s="95">
        <f>Z174/6*'Weighting Factors'!$Q$6</f>
        <v>32.299999999999997</v>
      </c>
      <c r="AB174" s="99">
        <f>IF(ISNA(VLOOKUP($CZ174,'Audit Values'!$A$2:$BU$353,2,FALSE)),'Preliminary SO66'!AS173,VLOOKUP($CZ174,'Audit Values'!$A$2:$BU$353,63,FALSE))</f>
        <v>1313</v>
      </c>
      <c r="AC174" s="99">
        <v>0</v>
      </c>
      <c r="AD174" s="99">
        <f>IF(ISNA(VLOOKUP($CZ174,'Audit Values'!$A$2:$BU$353,2,FALSE)),'Preliminary SO66'!AP173,VLOOKUP($CZ174,'Audit Values'!$A$2:$BU$353,64,FALSE))</f>
        <v>395</v>
      </c>
      <c r="AE174" s="95">
        <f>IF(A174=207, AD174,MAX(AC174,AD174))*'Weighting Factors'!$Q$9</f>
        <v>191.2</v>
      </c>
      <c r="AF174" s="95">
        <f t="shared" si="86"/>
        <v>0</v>
      </c>
      <c r="AG174" s="95">
        <f>IF(ISNA(VLOOKUP($CZ174,'Audit Values'!$A$2:$BW$353,2,FALSE)),'Preliminary SO66'!AG173,VLOOKUP($CZ174,'Audit Values'!$A$2:$BW$353,70,FALSE))</f>
        <v>0</v>
      </c>
      <c r="AH174" s="95">
        <f t="shared" si="87"/>
        <v>0</v>
      </c>
      <c r="AI174" s="95">
        <f>IF(ISNA(VLOOKUP($CZ174,'Audit Values'!$A$2:$BU$353,2,FALSE)),'Preliminary SO66'!AQ173,VLOOKUP($CZ174,'Audit Values'!$A$2:$BU$353,65,FALSE))</f>
        <v>0</v>
      </c>
      <c r="AJ174" s="95">
        <f>AI174*'Weighting Factors'!$Q$10</f>
        <v>0</v>
      </c>
      <c r="AK174" s="95">
        <f>IF(ISNA(VLOOKUP($CZ174,'Audit Values'!$A$2:$BU$353,2,FALSE)),'Preliminary SO66'!AR173,VLOOKUP($CZ174,'Audit Values'!$A$2:$BU$353,66,FALSE))</f>
        <v>382</v>
      </c>
      <c r="AL174" s="95"/>
      <c r="AM174" s="99">
        <f t="shared" si="88"/>
        <v>401100</v>
      </c>
      <c r="AN174" s="99">
        <v>491515</v>
      </c>
      <c r="AO174" s="95">
        <f>MAX(AN174, AM174)/'Weighting Factors'!$Q$5</f>
        <v>118</v>
      </c>
      <c r="AP174" s="95">
        <f>CN174/'Weighting Factors'!$Q$5</f>
        <v>0</v>
      </c>
      <c r="AQ174" s="95">
        <v>0</v>
      </c>
      <c r="AR174" s="95">
        <f>CS174/'Weighting Factors'!$Q$5</f>
        <v>0</v>
      </c>
      <c r="AS174" s="99">
        <v>1242008</v>
      </c>
      <c r="AT174" s="95">
        <f>AS174/'Weighting Factors'!$Q$5</f>
        <v>298.2</v>
      </c>
      <c r="AU174" s="95">
        <f>IF(ISNA(VLOOKUP($CZ174,'Audit Values'!$A$2:$BU$353,2,FALSE)),'Preliminary SO66'!X173,VLOOKUP($CZ174,'Audit Values'!$A$2:$BU$353,47,FALSE))</f>
        <v>0</v>
      </c>
      <c r="AV174" s="95">
        <f t="shared" si="89"/>
        <v>2149.8000000000002</v>
      </c>
      <c r="AW174" s="95">
        <f t="shared" si="90"/>
        <v>1851.6</v>
      </c>
      <c r="AX174" s="95">
        <f>IF(ISNA(VLOOKUP($CZ174,'Audit Values'!$A$2:$BU$353,2,FALSE)),'Preliminary SO66'!AA173,VLOOKUP($CZ174,'Audit Values'!$A$2:$BU$353,41,FALSE))</f>
        <v>6</v>
      </c>
      <c r="AY174" s="95">
        <f>IF(ISNA(VLOOKUP($CZ174,'Audit Values'!$A$2:$BU$353,2,FALSE)),'Preliminary SO66'!AB173,VLOOKUP($CZ174,'Audit Values'!$A$2:$BU$353,42,FALSE))</f>
        <v>0.8</v>
      </c>
      <c r="AZ174" s="114">
        <v>2.5</v>
      </c>
      <c r="BA174" s="99">
        <f>SUM(AX174*'Weighting Factors'!$T$10)+('2019 Legal Max'!AY174*'Weighting Factors'!$T$11)+('2019 Legal Max'!AZ174*'Weighting Factors'!$T$12)</f>
        <v>33133</v>
      </c>
      <c r="BB174" s="158">
        <v>0</v>
      </c>
      <c r="BC174" s="88">
        <f>IF(ISNA(VLOOKUP($CZ174,'Audit Values'!$A$2:$BU$353,2,FALSE)),"",IF(AND('Weighting Factors'!H174&gt;0,VLOOKUP($CZ174,'Audit Values'!$A$2:$BU$353,51,FALSE)&lt;'Weighting Factors'!H174),'Weighting Factors'!H174,VLOOKUP($CZ174,'Audit Values'!$A$2:$BU$353,50,FALSE)))</f>
        <v>10</v>
      </c>
      <c r="BD174" s="88" t="str">
        <f>IF(ISNA(VLOOKUP($CZ174,'Audit Values'!$A$2:$BV$353,2,FALSE)),"",VLOOKUP($CZ174,'Audit Values'!$A$2:$BV$353,51,FALSE))</f>
        <v>A</v>
      </c>
      <c r="BE174" s="88" t="str">
        <f>IF('Weighting Factors'!H174="","",IF('Weighting Factors'!J174="Pending","PX","R"))</f>
        <v/>
      </c>
      <c r="BF174" s="97">
        <f>SUM((S174+T174+Y174+AA174+AE174+AH174+AJ174++AO174+AP174+AQ174+AU174+AR174)*'Weighting Factors'!$Q$5)+'2019 Legal Max'!BA174+'2019 Legal Max'!BB174</f>
        <v>7745047</v>
      </c>
      <c r="BG174" s="99">
        <f>SUM((AV174+AR174)*'Weighting Factors'!$Q$5)+BA174+'2019 Legal Max'!BB174</f>
        <v>8987050</v>
      </c>
      <c r="BH174" s="108">
        <f>IF('Weighting Factors'!H174&gt;0,'Weighting Factors'!H174,'Preliminary SO66'!AV173)</f>
        <v>9469653</v>
      </c>
      <c r="BI174" s="99">
        <f t="shared" si="114"/>
        <v>8987050</v>
      </c>
      <c r="BJ174" s="112"/>
      <c r="BK174" s="112">
        <f>'Weighting Factors'!F174</f>
        <v>0</v>
      </c>
      <c r="BL174" s="112">
        <f>'Weighting Factors'!E174</f>
        <v>-355</v>
      </c>
      <c r="BM174" s="99">
        <f t="shared" si="91"/>
        <v>-355</v>
      </c>
      <c r="BN174" s="99">
        <f t="shared" si="92"/>
        <v>8986695</v>
      </c>
      <c r="BO174" s="99">
        <f>SUM((S174+T174+Y174+AA174+AE174+AH174+AJ174++AO174+AP174+AQ174+AR174)*'Weighting Factors'!Q$12)+(MAX(AS174,'Weighting Factors'!B174))</f>
        <v>9555692</v>
      </c>
      <c r="BP174" s="122">
        <v>0.3</v>
      </c>
      <c r="BQ174" s="99">
        <f t="shared" si="93"/>
        <v>2866708</v>
      </c>
      <c r="BR174" s="108">
        <v>3006787</v>
      </c>
      <c r="BS174" s="99">
        <f t="shared" si="94"/>
        <v>2866708</v>
      </c>
      <c r="BT174" s="167">
        <f t="shared" si="95"/>
        <v>0.3</v>
      </c>
      <c r="BU174" s="95">
        <f t="shared" si="96"/>
        <v>0</v>
      </c>
      <c r="BV174" s="87" t="b">
        <f t="shared" si="97"/>
        <v>0</v>
      </c>
      <c r="BW174" s="117">
        <f t="shared" si="98"/>
        <v>0</v>
      </c>
      <c r="BX174" s="116">
        <f t="shared" si="99"/>
        <v>0</v>
      </c>
      <c r="BY174" s="95">
        <f t="shared" si="100"/>
        <v>0</v>
      </c>
      <c r="BZ174" s="87" t="b">
        <f t="shared" si="101"/>
        <v>1</v>
      </c>
      <c r="CA174" s="87">
        <f t="shared" si="102"/>
        <v>1276.1099999999999</v>
      </c>
      <c r="CB174" s="116">
        <f t="shared" si="103"/>
        <v>0.13383800000000001</v>
      </c>
      <c r="CC174" s="95">
        <f t="shared" si="104"/>
        <v>178.2</v>
      </c>
      <c r="CD174" s="95">
        <f t="shared" si="105"/>
        <v>0</v>
      </c>
      <c r="CE174" s="98">
        <v>632.5</v>
      </c>
      <c r="CF174" s="250">
        <f t="shared" si="106"/>
        <v>0.60399999999999998</v>
      </c>
      <c r="CG174" s="274">
        <f>IF(CF174&lt;0.06,1,IF(CF174&gt;=18.29,52,MATCH(CF174-0.001,'Weighting Factors'!$Y$5:$Y$156)+1))</f>
        <v>27</v>
      </c>
      <c r="CH174" s="243">
        <f>VLOOKUP(CG174, 'Weighting Factors'!$W$5:$Z$56,4)</f>
        <v>1050</v>
      </c>
      <c r="CI174" s="118">
        <f>('Weighting Factors'!$Q$5/'Weighting Factors'!$Q$14)</f>
        <v>1</v>
      </c>
      <c r="CJ174" s="245">
        <f t="shared" si="107"/>
        <v>401100</v>
      </c>
      <c r="CK174" s="245">
        <f>CJ174*'Weighting Factors'!$S$7</f>
        <v>401100</v>
      </c>
      <c r="CL174" s="245">
        <f t="shared" si="108"/>
        <v>401100</v>
      </c>
      <c r="CM174" s="95">
        <f>AM174/'Weighting Factors'!$Q$5</f>
        <v>96.3</v>
      </c>
      <c r="CN174" s="148">
        <v>0</v>
      </c>
      <c r="CO174" s="148">
        <v>0</v>
      </c>
      <c r="CP174" s="149">
        <v>0</v>
      </c>
      <c r="CQ174" s="151">
        <v>0</v>
      </c>
      <c r="CR174" s="99">
        <f>SUM((AV174*'Weighting Factors'!$Q$5)+'2019 Legal Max'!BA174)*CQ174</f>
        <v>0</v>
      </c>
      <c r="CS174" s="99">
        <f t="shared" si="109"/>
        <v>0</v>
      </c>
      <c r="CT174" s="106">
        <f t="shared" si="110"/>
        <v>0.30080000000000001</v>
      </c>
      <c r="CU174" s="95">
        <f t="shared" si="111"/>
        <v>0</v>
      </c>
      <c r="CV174" s="95">
        <f t="shared" si="112"/>
        <v>0</v>
      </c>
      <c r="CW174" s="95">
        <f t="shared" si="113"/>
        <v>2149.8000000000002</v>
      </c>
      <c r="CX174" s="99">
        <f>'LOB Transfers'!G173</f>
        <v>255137</v>
      </c>
      <c r="CY174" s="99">
        <f>'LOB Transfers'!J173</f>
        <v>860</v>
      </c>
      <c r="CZ174" s="87" t="s">
        <v>366</v>
      </c>
    </row>
    <row r="175" spans="1:104" ht="15" customHeight="1">
      <c r="A175" s="88">
        <v>380</v>
      </c>
      <c r="B175" s="87" t="s">
        <v>70</v>
      </c>
      <c r="C175" s="87" t="s">
        <v>688</v>
      </c>
      <c r="D175" s="95">
        <v>521</v>
      </c>
      <c r="E175" s="95">
        <v>0</v>
      </c>
      <c r="F175" s="95">
        <f t="shared" si="80"/>
        <v>521</v>
      </c>
      <c r="G175" s="95">
        <v>556.5</v>
      </c>
      <c r="H175" s="95">
        <v>0</v>
      </c>
      <c r="I175" s="95">
        <f t="shared" si="81"/>
        <v>556.5</v>
      </c>
      <c r="J175" s="95">
        <v>527.5</v>
      </c>
      <c r="K175" s="95">
        <v>0</v>
      </c>
      <c r="L175" s="95">
        <f t="shared" si="82"/>
        <v>527.5</v>
      </c>
      <c r="M175" s="95">
        <f>IF(ISNA(VLOOKUP($CZ175,'Audit Values'!$A$2:$BW$365,2,FALSE)),'Preliminary SO66'!C174,VLOOKUP($CZ175,'Audit Values'!$A$2:$BW$365,73,FALSE))</f>
        <v>528.70000000000005</v>
      </c>
      <c r="N175" s="95">
        <f>IF(ISNA(VLOOKUP($CZ175,'Audit Values'!$A$2:$BW$365,2,FALSE)),'Preliminary SO66'!F174,VLOOKUP($CZ175,'Audit Values'!$A$2:$BW$365,4,FALSE))</f>
        <v>0</v>
      </c>
      <c r="O175" s="95">
        <f t="shared" si="83"/>
        <v>528.70000000000005</v>
      </c>
      <c r="P175" s="95">
        <f>IF('Military Provision'!J176="YES", MAX('2019 Legal Max'!L175,'2019 Legal Max'!I175,AVERAGE('2019 Legal Max'!F175,'2019 Legal Max'!I175,'2019 Legal Max'!L175)), MAX(L175, I175))</f>
        <v>556.5</v>
      </c>
      <c r="Q175" s="95">
        <f>IF(ISNA(VLOOKUP($CZ175,'Audit Values'!$A$2:$BU$353,2,FALSE)),'Preliminary SO66'!AL174,VLOOKUP($CZ175,'Audit Values'!$A$2:$BU$3955,58,FALSE))</f>
        <v>10</v>
      </c>
      <c r="R175" s="95">
        <v>0</v>
      </c>
      <c r="S175" s="95">
        <f t="shared" si="115"/>
        <v>566.5</v>
      </c>
      <c r="T175" s="95">
        <f t="shared" si="84"/>
        <v>223</v>
      </c>
      <c r="U175" s="95">
        <f>IF(ISNA(VLOOKUP($CZ175,'Audit Values'!$A$2:$BW$317,2,FALSE)),'Preliminary SO66'!AM174,VLOOKUP($CZ175,'Audit Values'!$A$2:$BW$317,62,FALSE))</f>
        <v>0</v>
      </c>
      <c r="V175" s="95">
        <f>(U175/6)*'Weighting Factors'!$Q$7</f>
        <v>0</v>
      </c>
      <c r="W175" s="132">
        <f>IF(ISNA(VLOOKUP($CZ175,'Audit Values'!$A$2:$BW$353,2,FALSE)),'Preliminary SO66'!AN174,VLOOKUP($CZ175,'Audit Values'!$A$2:$BW$353,61,FALSE))</f>
        <v>1</v>
      </c>
      <c r="X175" s="95">
        <f>W175*'Weighting Factors'!$Q$8</f>
        <v>0.2</v>
      </c>
      <c r="Y175" s="95">
        <f t="shared" si="85"/>
        <v>0.2</v>
      </c>
      <c r="Z175" s="276">
        <f>IF(ISNA(VLOOKUP($CZ175,'Audit Values'!$A$2:$BW$317,2,FALSE)),'Preliminary SO66'!AO174,VLOOKUP($CZ175,'Audit Values'!$A$2:$BW$317,60,FALSE))</f>
        <v>132</v>
      </c>
      <c r="AA175" s="95">
        <f>Z175/6*'Weighting Factors'!$Q$6</f>
        <v>11</v>
      </c>
      <c r="AB175" s="99">
        <f>IF(ISNA(VLOOKUP($CZ175,'Audit Values'!$A$2:$BU$353,2,FALSE)),'Preliminary SO66'!AS174,VLOOKUP($CZ175,'Audit Values'!$A$2:$BU$353,63,FALSE))</f>
        <v>554</v>
      </c>
      <c r="AC175" s="99">
        <v>0</v>
      </c>
      <c r="AD175" s="99">
        <f>IF(ISNA(VLOOKUP($CZ175,'Audit Values'!$A$2:$BU$353,2,FALSE)),'Preliminary SO66'!AP174,VLOOKUP($CZ175,'Audit Values'!$A$2:$BU$353,64,FALSE))</f>
        <v>101</v>
      </c>
      <c r="AE175" s="95">
        <f>IF(A175=207, AD175,MAX(AC175,AD175))*'Weighting Factors'!$Q$9</f>
        <v>48.9</v>
      </c>
      <c r="AF175" s="95">
        <f t="shared" si="86"/>
        <v>0</v>
      </c>
      <c r="AG175" s="95">
        <f>IF(ISNA(VLOOKUP($CZ175,'Audit Values'!$A$2:$BW$353,2,FALSE)),'Preliminary SO66'!AG174,VLOOKUP($CZ175,'Audit Values'!$A$2:$BW$353,70,FALSE))</f>
        <v>0</v>
      </c>
      <c r="AH175" s="95">
        <f t="shared" si="87"/>
        <v>0</v>
      </c>
      <c r="AI175" s="95">
        <f>IF(ISNA(VLOOKUP($CZ175,'Audit Values'!$A$2:$BU$353,2,FALSE)),'Preliminary SO66'!AQ174,VLOOKUP($CZ175,'Audit Values'!$A$2:$BU$353,65,FALSE))</f>
        <v>0</v>
      </c>
      <c r="AJ175" s="95">
        <f>AI175*'Weighting Factors'!$Q$10</f>
        <v>0</v>
      </c>
      <c r="AK175" s="95">
        <f>IF(ISNA(VLOOKUP($CZ175,'Audit Values'!$A$2:$BU$353,2,FALSE)),'Preliminary SO66'!AR174,VLOOKUP($CZ175,'Audit Values'!$A$2:$BU$353,66,FALSE))</f>
        <v>281</v>
      </c>
      <c r="AL175" s="95"/>
      <c r="AM175" s="99">
        <f t="shared" si="88"/>
        <v>289430</v>
      </c>
      <c r="AN175" s="99">
        <v>331272</v>
      </c>
      <c r="AO175" s="95">
        <f>MAX(AN175, AM175)/'Weighting Factors'!$Q$5</f>
        <v>79.5</v>
      </c>
      <c r="AP175" s="95">
        <f>CN175/'Weighting Factors'!$Q$5</f>
        <v>0</v>
      </c>
      <c r="AQ175" s="95">
        <v>0</v>
      </c>
      <c r="AR175" s="95">
        <f>CS175/'Weighting Factors'!$Q$5</f>
        <v>0</v>
      </c>
      <c r="AS175" s="99">
        <v>300318</v>
      </c>
      <c r="AT175" s="95">
        <f>AS175/'Weighting Factors'!$Q$5</f>
        <v>72.099999999999994</v>
      </c>
      <c r="AU175" s="95">
        <f>IF(ISNA(VLOOKUP($CZ175,'Audit Values'!$A$2:$BU$353,2,FALSE)),'Preliminary SO66'!X174,VLOOKUP($CZ175,'Audit Values'!$A$2:$BU$353,47,FALSE))</f>
        <v>0</v>
      </c>
      <c r="AV175" s="95">
        <f t="shared" si="89"/>
        <v>1001.2</v>
      </c>
      <c r="AW175" s="95">
        <f t="shared" si="90"/>
        <v>929.1</v>
      </c>
      <c r="AX175" s="95">
        <f>IF(ISNA(VLOOKUP($CZ175,'Audit Values'!$A$2:$BU$353,2,FALSE)),'Preliminary SO66'!AA174,VLOOKUP($CZ175,'Audit Values'!$A$2:$BU$353,41,FALSE))</f>
        <v>0</v>
      </c>
      <c r="AY175" s="95">
        <f>IF(ISNA(VLOOKUP($CZ175,'Audit Values'!$A$2:$BU$353,2,FALSE)),'Preliminary SO66'!AB174,VLOOKUP($CZ175,'Audit Values'!$A$2:$BU$353,42,FALSE))</f>
        <v>0</v>
      </c>
      <c r="AZ175" s="114">
        <v>0</v>
      </c>
      <c r="BA175" s="99">
        <f>SUM(AX175*'Weighting Factors'!$T$10)+('2019 Legal Max'!AY175*'Weighting Factors'!$T$11)+('2019 Legal Max'!AZ175*'Weighting Factors'!$T$12)</f>
        <v>0</v>
      </c>
      <c r="BB175" s="158">
        <v>0</v>
      </c>
      <c r="BC175" s="88">
        <f>IF(ISNA(VLOOKUP($CZ175,'Audit Values'!$A$2:$BU$353,2,FALSE)),"",IF(AND('Weighting Factors'!H175&gt;0,VLOOKUP($CZ175,'Audit Values'!$A$2:$BU$353,51,FALSE)&lt;'Weighting Factors'!H175),'Weighting Factors'!H175,VLOOKUP($CZ175,'Audit Values'!$A$2:$BU$353,50,FALSE)))</f>
        <v>4</v>
      </c>
      <c r="BD175" s="88" t="str">
        <f>IF(ISNA(VLOOKUP($CZ175,'Audit Values'!$A$2:$BV$353,2,FALSE)),"",VLOOKUP($CZ175,'Audit Values'!$A$2:$BV$353,51,FALSE))</f>
        <v>A</v>
      </c>
      <c r="BE175" s="88" t="str">
        <f>IF('Weighting Factors'!H175="","",IF('Weighting Factors'!J175="Pending","PX","R"))</f>
        <v/>
      </c>
      <c r="BF175" s="97">
        <f>SUM((S175+T175+Y175+AA175+AE175+AH175+AJ175++AO175+AP175+AQ175+AU175+AR175)*'Weighting Factors'!$Q$5)+'2019 Legal Max'!BA175+'2019 Legal Max'!BB175</f>
        <v>3869702</v>
      </c>
      <c r="BG175" s="99">
        <f>SUM((AV175+AR175)*'Weighting Factors'!$Q$5)+BA175+'2019 Legal Max'!BB175</f>
        <v>4169998</v>
      </c>
      <c r="BH175" s="108">
        <f>IF('Weighting Factors'!H175&gt;0,'Weighting Factors'!H175,'Preliminary SO66'!AV174)</f>
        <v>4274956</v>
      </c>
      <c r="BI175" s="99">
        <f t="shared" si="114"/>
        <v>4169998</v>
      </c>
      <c r="BJ175" s="112"/>
      <c r="BK175" s="112">
        <f>'Weighting Factors'!F175</f>
        <v>0</v>
      </c>
      <c r="BL175" s="112">
        <f>'Weighting Factors'!E175</f>
        <v>0</v>
      </c>
      <c r="BM175" s="99">
        <f t="shared" si="91"/>
        <v>0</v>
      </c>
      <c r="BN175" s="99">
        <f t="shared" si="92"/>
        <v>4169998</v>
      </c>
      <c r="BO175" s="99">
        <f>SUM((S175+T175+Y175+AA175+AE175+AH175+AJ175++AO175+AP175+AQ175+AR175)*'Weighting Factors'!Q$12)+(MAX(AS175,'Weighting Factors'!B175))</f>
        <v>4553026</v>
      </c>
      <c r="BP175" s="122">
        <v>0.3</v>
      </c>
      <c r="BQ175" s="99">
        <f t="shared" si="93"/>
        <v>1365908</v>
      </c>
      <c r="BR175" s="108">
        <v>1378435</v>
      </c>
      <c r="BS175" s="99">
        <f t="shared" si="94"/>
        <v>1365908</v>
      </c>
      <c r="BT175" s="167">
        <f t="shared" si="95"/>
        <v>0.3</v>
      </c>
      <c r="BU175" s="95">
        <f t="shared" si="96"/>
        <v>0</v>
      </c>
      <c r="BV175" s="87" t="b">
        <f t="shared" si="97"/>
        <v>0</v>
      </c>
      <c r="BW175" s="117">
        <f t="shared" si="98"/>
        <v>0</v>
      </c>
      <c r="BX175" s="116">
        <f t="shared" si="99"/>
        <v>0</v>
      </c>
      <c r="BY175" s="95">
        <f t="shared" si="100"/>
        <v>0</v>
      </c>
      <c r="BZ175" s="87" t="b">
        <f t="shared" si="101"/>
        <v>1</v>
      </c>
      <c r="CA175" s="87">
        <f t="shared" si="102"/>
        <v>329.79379999999998</v>
      </c>
      <c r="CB175" s="116">
        <f t="shared" si="103"/>
        <v>0.39364300000000002</v>
      </c>
      <c r="CC175" s="95">
        <f t="shared" si="104"/>
        <v>223</v>
      </c>
      <c r="CD175" s="95">
        <f t="shared" si="105"/>
        <v>0</v>
      </c>
      <c r="CE175" s="98">
        <v>402</v>
      </c>
      <c r="CF175" s="250">
        <f t="shared" si="106"/>
        <v>0.69899999999999995</v>
      </c>
      <c r="CG175" s="274">
        <f>IF(CF175&lt;0.06,1,IF(CF175&gt;=18.29,52,MATCH(CF175-0.001,'Weighting Factors'!$Y$5:$Y$156)+1))</f>
        <v>28</v>
      </c>
      <c r="CH175" s="243">
        <f>VLOOKUP(CG175, 'Weighting Factors'!$W$5:$Z$56,4)</f>
        <v>1030</v>
      </c>
      <c r="CI175" s="118">
        <f>('Weighting Factors'!$Q$5/'Weighting Factors'!$Q$14)</f>
        <v>1</v>
      </c>
      <c r="CJ175" s="245">
        <f t="shared" si="107"/>
        <v>289430</v>
      </c>
      <c r="CK175" s="245">
        <f>CJ175*'Weighting Factors'!$S$7</f>
        <v>289430</v>
      </c>
      <c r="CL175" s="245">
        <f t="shared" si="108"/>
        <v>289430</v>
      </c>
      <c r="CM175" s="95">
        <f>AM175/'Weighting Factors'!$Q$5</f>
        <v>69.5</v>
      </c>
      <c r="CN175" s="148">
        <v>0</v>
      </c>
      <c r="CO175" s="148">
        <v>0</v>
      </c>
      <c r="CP175" s="149">
        <v>0</v>
      </c>
      <c r="CQ175" s="151">
        <v>0</v>
      </c>
      <c r="CR175" s="99">
        <f>SUM((AV175*'Weighting Factors'!$Q$5)+'2019 Legal Max'!BA175)*CQ175</f>
        <v>0</v>
      </c>
      <c r="CS175" s="99">
        <f t="shared" si="109"/>
        <v>0</v>
      </c>
      <c r="CT175" s="106">
        <f t="shared" si="110"/>
        <v>0.18229999999999999</v>
      </c>
      <c r="CU175" s="95">
        <f t="shared" si="111"/>
        <v>0</v>
      </c>
      <c r="CV175" s="95">
        <f t="shared" si="112"/>
        <v>0</v>
      </c>
      <c r="CW175" s="95">
        <f t="shared" si="113"/>
        <v>1001.2</v>
      </c>
      <c r="CX175" s="99">
        <f>'LOB Transfers'!G174</f>
        <v>67339</v>
      </c>
      <c r="CY175" s="99">
        <f>'LOB Transfers'!J174</f>
        <v>273</v>
      </c>
      <c r="CZ175" s="87" t="s">
        <v>367</v>
      </c>
    </row>
    <row r="176" spans="1:104" ht="15" customHeight="1">
      <c r="A176" s="88">
        <v>381</v>
      </c>
      <c r="B176" s="87" t="s">
        <v>80</v>
      </c>
      <c r="C176" s="87" t="s">
        <v>689</v>
      </c>
      <c r="D176" s="95">
        <v>341.5</v>
      </c>
      <c r="E176" s="95">
        <v>0</v>
      </c>
      <c r="F176" s="95">
        <f t="shared" si="80"/>
        <v>341.5</v>
      </c>
      <c r="G176" s="95">
        <v>354</v>
      </c>
      <c r="H176" s="95">
        <v>0</v>
      </c>
      <c r="I176" s="95">
        <f t="shared" si="81"/>
        <v>354</v>
      </c>
      <c r="J176" s="95">
        <v>329.5</v>
      </c>
      <c r="K176" s="95">
        <v>0</v>
      </c>
      <c r="L176" s="95">
        <f t="shared" si="82"/>
        <v>329.5</v>
      </c>
      <c r="M176" s="95">
        <f>IF(ISNA(VLOOKUP($CZ176,'Audit Values'!$A$2:$BW$365,2,FALSE)),'Preliminary SO66'!C175,VLOOKUP($CZ176,'Audit Values'!$A$2:$BW$365,73,FALSE))</f>
        <v>318.5</v>
      </c>
      <c r="N176" s="95">
        <f>IF(ISNA(VLOOKUP($CZ176,'Audit Values'!$A$2:$BW$365,2,FALSE)),'Preliminary SO66'!F175,VLOOKUP($CZ176,'Audit Values'!$A$2:$BW$365,4,FALSE))</f>
        <v>0</v>
      </c>
      <c r="O176" s="95">
        <f t="shared" si="83"/>
        <v>318.5</v>
      </c>
      <c r="P176" s="95">
        <f>IF('Military Provision'!J177="YES", MAX('2019 Legal Max'!L176,'2019 Legal Max'!I176,AVERAGE('2019 Legal Max'!F176,'2019 Legal Max'!I176,'2019 Legal Max'!L176)), MAX(L176, I176))</f>
        <v>354</v>
      </c>
      <c r="Q176" s="95">
        <f>IF(ISNA(VLOOKUP($CZ176,'Audit Values'!$A$2:$BU$353,2,FALSE)),'Preliminary SO66'!AL175,VLOOKUP($CZ176,'Audit Values'!$A$2:$BU$3955,58,FALSE))</f>
        <v>4.5</v>
      </c>
      <c r="R176" s="95">
        <v>0</v>
      </c>
      <c r="S176" s="95">
        <f t="shared" si="115"/>
        <v>358.5</v>
      </c>
      <c r="T176" s="95">
        <f t="shared" si="84"/>
        <v>166.5</v>
      </c>
      <c r="U176" s="95">
        <f>IF(ISNA(VLOOKUP($CZ176,'Audit Values'!$A$2:$BW$317,2,FALSE)),'Preliminary SO66'!AM175,VLOOKUP($CZ176,'Audit Values'!$A$2:$BW$317,62,FALSE))</f>
        <v>25</v>
      </c>
      <c r="V176" s="95">
        <f>(U176/6)*'Weighting Factors'!$Q$7</f>
        <v>1.6</v>
      </c>
      <c r="W176" s="132">
        <f>IF(ISNA(VLOOKUP($CZ176,'Audit Values'!$A$2:$BW$353,2,FALSE)),'Preliminary SO66'!AN175,VLOOKUP($CZ176,'Audit Values'!$A$2:$BW$353,61,FALSE))</f>
        <v>15</v>
      </c>
      <c r="X176" s="95">
        <f>W176*'Weighting Factors'!$Q$8</f>
        <v>2.8</v>
      </c>
      <c r="Y176" s="95">
        <f t="shared" si="85"/>
        <v>2.8</v>
      </c>
      <c r="Z176" s="276">
        <f>IF(ISNA(VLOOKUP($CZ176,'Audit Values'!$A$2:$BW$317,2,FALSE)),'Preliminary SO66'!AO175,VLOOKUP($CZ176,'Audit Values'!$A$2:$BW$317,60,FALSE))</f>
        <v>96.9</v>
      </c>
      <c r="AA176" s="95">
        <f>Z176/6*'Weighting Factors'!$Q$6</f>
        <v>8.1</v>
      </c>
      <c r="AB176" s="99">
        <f>IF(ISNA(VLOOKUP($CZ176,'Audit Values'!$A$2:$BU$353,2,FALSE)),'Preliminary SO66'!AS175,VLOOKUP($CZ176,'Audit Values'!$A$2:$BU$353,63,FALSE))</f>
        <v>328</v>
      </c>
      <c r="AC176" s="99">
        <v>0</v>
      </c>
      <c r="AD176" s="99">
        <f>IF(ISNA(VLOOKUP($CZ176,'Audit Values'!$A$2:$BU$353,2,FALSE)),'Preliminary SO66'!AP175,VLOOKUP($CZ176,'Audit Values'!$A$2:$BU$353,64,FALSE))</f>
        <v>67</v>
      </c>
      <c r="AE176" s="95">
        <f>IF(A176=207, AD176,MAX(AC176,AD176))*'Weighting Factors'!$Q$9</f>
        <v>32.4</v>
      </c>
      <c r="AF176" s="95">
        <f t="shared" si="86"/>
        <v>0</v>
      </c>
      <c r="AG176" s="95">
        <f>IF(ISNA(VLOOKUP($CZ176,'Audit Values'!$A$2:$BW$353,2,FALSE)),'Preliminary SO66'!AG175,VLOOKUP($CZ176,'Audit Values'!$A$2:$BW$353,70,FALSE))</f>
        <v>0</v>
      </c>
      <c r="AH176" s="95">
        <f t="shared" si="87"/>
        <v>0</v>
      </c>
      <c r="AI176" s="95">
        <f>IF(ISNA(VLOOKUP($CZ176,'Audit Values'!$A$2:$BU$353,2,FALSE)),'Preliminary SO66'!AQ175,VLOOKUP($CZ176,'Audit Values'!$A$2:$BU$353,65,FALSE))</f>
        <v>0</v>
      </c>
      <c r="AJ176" s="95">
        <f>AI176*'Weighting Factors'!$Q$10</f>
        <v>0</v>
      </c>
      <c r="AK176" s="95">
        <f>IF(ISNA(VLOOKUP($CZ176,'Audit Values'!$A$2:$BU$353,2,FALSE)),'Preliminary SO66'!AR175,VLOOKUP($CZ176,'Audit Values'!$A$2:$BU$353,66,FALSE))</f>
        <v>61</v>
      </c>
      <c r="AL176" s="95"/>
      <c r="AM176" s="99">
        <f t="shared" si="88"/>
        <v>71370</v>
      </c>
      <c r="AN176" s="99">
        <v>79736</v>
      </c>
      <c r="AO176" s="95">
        <f>MAX(AN176, AM176)/'Weighting Factors'!$Q$5</f>
        <v>19.100000000000001</v>
      </c>
      <c r="AP176" s="95">
        <f>CN176/'Weighting Factors'!$Q$5</f>
        <v>0</v>
      </c>
      <c r="AQ176" s="95">
        <v>0</v>
      </c>
      <c r="AR176" s="95">
        <f>CS176/'Weighting Factors'!$Q$5</f>
        <v>0</v>
      </c>
      <c r="AS176" s="99">
        <v>226324</v>
      </c>
      <c r="AT176" s="95">
        <f>AS176/'Weighting Factors'!$Q$5</f>
        <v>54.3</v>
      </c>
      <c r="AU176" s="95">
        <f>IF(ISNA(VLOOKUP($CZ176,'Audit Values'!$A$2:$BU$353,2,FALSE)),'Preliminary SO66'!X175,VLOOKUP($CZ176,'Audit Values'!$A$2:$BU$353,47,FALSE))</f>
        <v>0</v>
      </c>
      <c r="AV176" s="95">
        <f t="shared" si="89"/>
        <v>641.70000000000005</v>
      </c>
      <c r="AW176" s="95">
        <f t="shared" si="90"/>
        <v>587.4</v>
      </c>
      <c r="AX176" s="95">
        <f>IF(ISNA(VLOOKUP($CZ176,'Audit Values'!$A$2:$BU$353,2,FALSE)),'Preliminary SO66'!AA175,VLOOKUP($CZ176,'Audit Values'!$A$2:$BU$353,41,FALSE))</f>
        <v>0</v>
      </c>
      <c r="AY176" s="95">
        <f>IF(ISNA(VLOOKUP($CZ176,'Audit Values'!$A$2:$BU$353,2,FALSE)),'Preliminary SO66'!AB175,VLOOKUP($CZ176,'Audit Values'!$A$2:$BU$353,42,FALSE))</f>
        <v>0</v>
      </c>
      <c r="AZ176" s="114">
        <v>0</v>
      </c>
      <c r="BA176" s="99">
        <f>SUM(AX176*'Weighting Factors'!$T$10)+('2019 Legal Max'!AY176*'Weighting Factors'!$T$11)+('2019 Legal Max'!AZ176*'Weighting Factors'!$T$12)</f>
        <v>0</v>
      </c>
      <c r="BB176" s="158">
        <v>0</v>
      </c>
      <c r="BC176" s="88">
        <f>IF(ISNA(VLOOKUP($CZ176,'Audit Values'!$A$2:$BU$353,2,FALSE)),"",IF(AND('Weighting Factors'!H176&gt;0,VLOOKUP($CZ176,'Audit Values'!$A$2:$BU$353,51,FALSE)&lt;'Weighting Factors'!H176),'Weighting Factors'!H176,VLOOKUP($CZ176,'Audit Values'!$A$2:$BU$353,50,FALSE)))</f>
        <v>17</v>
      </c>
      <c r="BD176" s="88" t="str">
        <f>IF(ISNA(VLOOKUP($CZ176,'Audit Values'!$A$2:$BV$353,2,FALSE)),"",VLOOKUP($CZ176,'Audit Values'!$A$2:$BV$353,51,FALSE))</f>
        <v>A</v>
      </c>
      <c r="BE176" s="88" t="str">
        <f>IF('Weighting Factors'!H176="","",IF('Weighting Factors'!J176="Pending","PX","R"))</f>
        <v/>
      </c>
      <c r="BF176" s="97">
        <f>SUM((S176+T176+Y176+AA176+AE176+AH176+AJ176++AO176+AP176+AQ176+AU176+AR176)*'Weighting Factors'!$Q$5)+'2019 Legal Max'!BA176+'2019 Legal Max'!BB176</f>
        <v>2446521</v>
      </c>
      <c r="BG176" s="99">
        <f>SUM((AV176+AR176)*'Weighting Factors'!$Q$5)+BA176+'2019 Legal Max'!BB176</f>
        <v>2672681</v>
      </c>
      <c r="BH176" s="108">
        <f>IF('Weighting Factors'!H176&gt;0,'Weighting Factors'!H176,'Preliminary SO66'!AV175)</f>
        <v>2792216</v>
      </c>
      <c r="BI176" s="99">
        <f t="shared" si="114"/>
        <v>2672681</v>
      </c>
      <c r="BJ176" s="112"/>
      <c r="BK176" s="112">
        <f>'Weighting Factors'!F176</f>
        <v>0</v>
      </c>
      <c r="BL176" s="112">
        <f>'Weighting Factors'!E176</f>
        <v>0</v>
      </c>
      <c r="BM176" s="99">
        <f t="shared" si="91"/>
        <v>0</v>
      </c>
      <c r="BN176" s="99">
        <f t="shared" si="92"/>
        <v>2672681</v>
      </c>
      <c r="BO176" s="99">
        <f>SUM((S176+T176+Y176+AA176+AE176+AH176+AJ176++AO176+AP176+AQ176+AR176)*'Weighting Factors'!Q$12)+(MAX(AS176,'Weighting Factors'!B176))</f>
        <v>2931552</v>
      </c>
      <c r="BP176" s="122">
        <v>0.3</v>
      </c>
      <c r="BQ176" s="99">
        <f t="shared" si="93"/>
        <v>879466</v>
      </c>
      <c r="BR176" s="108">
        <v>896097</v>
      </c>
      <c r="BS176" s="99">
        <f t="shared" si="94"/>
        <v>879466</v>
      </c>
      <c r="BT176" s="167">
        <f t="shared" si="95"/>
        <v>0.3</v>
      </c>
      <c r="BU176" s="95">
        <f t="shared" si="96"/>
        <v>0</v>
      </c>
      <c r="BV176" s="87" t="b">
        <f t="shared" si="97"/>
        <v>0</v>
      </c>
      <c r="BW176" s="117">
        <f t="shared" si="98"/>
        <v>0</v>
      </c>
      <c r="BX176" s="116">
        <f t="shared" si="99"/>
        <v>0</v>
      </c>
      <c r="BY176" s="95">
        <f t="shared" si="100"/>
        <v>0</v>
      </c>
      <c r="BZ176" s="87" t="b">
        <f t="shared" si="101"/>
        <v>1</v>
      </c>
      <c r="CA176" s="87">
        <f t="shared" si="102"/>
        <v>72.393799999999999</v>
      </c>
      <c r="CB176" s="116">
        <f t="shared" si="103"/>
        <v>0.46431099999999997</v>
      </c>
      <c r="CC176" s="95">
        <f t="shared" si="104"/>
        <v>166.5</v>
      </c>
      <c r="CD176" s="95">
        <f t="shared" si="105"/>
        <v>0</v>
      </c>
      <c r="CE176" s="98">
        <v>182</v>
      </c>
      <c r="CF176" s="250">
        <f t="shared" si="106"/>
        <v>0.33500000000000002</v>
      </c>
      <c r="CG176" s="274">
        <f>IF(CF176&lt;0.06,1,IF(CF176&gt;=18.29,52,MATCH(CF176-0.001,'Weighting Factors'!$Y$5:$Y$156)+1))</f>
        <v>21</v>
      </c>
      <c r="CH176" s="243">
        <f>VLOOKUP(CG176, 'Weighting Factors'!$W$5:$Z$56,4)</f>
        <v>1170</v>
      </c>
      <c r="CI176" s="118">
        <f>('Weighting Factors'!$Q$5/'Weighting Factors'!$Q$14)</f>
        <v>1</v>
      </c>
      <c r="CJ176" s="245">
        <f t="shared" si="107"/>
        <v>71370</v>
      </c>
      <c r="CK176" s="245">
        <f>CJ176*'Weighting Factors'!$S$7</f>
        <v>71370</v>
      </c>
      <c r="CL176" s="245">
        <f t="shared" si="108"/>
        <v>71370</v>
      </c>
      <c r="CM176" s="95">
        <f>AM176/'Weighting Factors'!$Q$5</f>
        <v>17.100000000000001</v>
      </c>
      <c r="CN176" s="148">
        <v>0</v>
      </c>
      <c r="CO176" s="148">
        <v>0</v>
      </c>
      <c r="CP176" s="149">
        <v>0</v>
      </c>
      <c r="CQ176" s="151">
        <v>0</v>
      </c>
      <c r="CR176" s="99">
        <f>SUM((AV176*'Weighting Factors'!$Q$5)+'2019 Legal Max'!BA176)*CQ176</f>
        <v>0</v>
      </c>
      <c r="CS176" s="99">
        <f t="shared" si="109"/>
        <v>0</v>
      </c>
      <c r="CT176" s="106">
        <f t="shared" si="110"/>
        <v>0.20430000000000001</v>
      </c>
      <c r="CU176" s="95">
        <f t="shared" si="111"/>
        <v>0</v>
      </c>
      <c r="CV176" s="95">
        <f t="shared" si="112"/>
        <v>0</v>
      </c>
      <c r="CW176" s="95">
        <f t="shared" si="113"/>
        <v>641.70000000000005</v>
      </c>
      <c r="CX176" s="99">
        <f>'LOB Transfers'!G175</f>
        <v>44677</v>
      </c>
      <c r="CY176" s="99">
        <f>'LOB Transfers'!J175</f>
        <v>3870</v>
      </c>
      <c r="CZ176" s="87" t="s">
        <v>368</v>
      </c>
    </row>
    <row r="177" spans="1:104" ht="15" customHeight="1">
      <c r="A177" s="88">
        <v>382</v>
      </c>
      <c r="B177" s="87" t="s">
        <v>81</v>
      </c>
      <c r="C177" s="87" t="s">
        <v>690</v>
      </c>
      <c r="D177" s="95">
        <v>1033.9000000000001</v>
      </c>
      <c r="E177" s="95">
        <v>0</v>
      </c>
      <c r="F177" s="95">
        <f t="shared" si="80"/>
        <v>1033.9000000000001</v>
      </c>
      <c r="G177" s="95">
        <v>1118</v>
      </c>
      <c r="H177" s="95">
        <v>0</v>
      </c>
      <c r="I177" s="95">
        <f t="shared" si="81"/>
        <v>1118</v>
      </c>
      <c r="J177" s="95">
        <v>1115</v>
      </c>
      <c r="K177" s="95">
        <v>0</v>
      </c>
      <c r="L177" s="95">
        <f t="shared" si="82"/>
        <v>1115</v>
      </c>
      <c r="M177" s="95">
        <f>IF(ISNA(VLOOKUP($CZ177,'Audit Values'!$A$2:$BW$365,2,FALSE)),'Preliminary SO66'!C176,VLOOKUP($CZ177,'Audit Values'!$A$2:$BW$365,73,FALSE))</f>
        <v>1126</v>
      </c>
      <c r="N177" s="95">
        <f>IF(ISNA(VLOOKUP($CZ177,'Audit Values'!$A$2:$BW$365,2,FALSE)),'Preliminary SO66'!F176,VLOOKUP($CZ177,'Audit Values'!$A$2:$BW$365,4,FALSE))</f>
        <v>0</v>
      </c>
      <c r="O177" s="95">
        <f t="shared" si="83"/>
        <v>1126</v>
      </c>
      <c r="P177" s="95">
        <f>IF('Military Provision'!J178="YES", MAX('2019 Legal Max'!L177,'2019 Legal Max'!I177,AVERAGE('2019 Legal Max'!F177,'2019 Legal Max'!I177,'2019 Legal Max'!L177)), MAX(L177, I177))</f>
        <v>1118</v>
      </c>
      <c r="Q177" s="95">
        <f>IF(ISNA(VLOOKUP($CZ177,'Audit Values'!$A$2:$BU$353,2,FALSE)),'Preliminary SO66'!AL176,VLOOKUP($CZ177,'Audit Values'!$A$2:$BU$3955,58,FALSE))</f>
        <v>10.5</v>
      </c>
      <c r="R177" s="95">
        <v>0</v>
      </c>
      <c r="S177" s="95">
        <f t="shared" si="115"/>
        <v>1128.5</v>
      </c>
      <c r="T177" s="95">
        <f t="shared" si="84"/>
        <v>228.8</v>
      </c>
      <c r="U177" s="95">
        <f>IF(ISNA(VLOOKUP($CZ177,'Audit Values'!$A$2:$BW$317,2,FALSE)),'Preliminary SO66'!AM176,VLOOKUP($CZ177,'Audit Values'!$A$2:$BW$317,62,FALSE))</f>
        <v>367.2</v>
      </c>
      <c r="V177" s="95">
        <f>(U177/6)*'Weighting Factors'!$Q$7</f>
        <v>24.2</v>
      </c>
      <c r="W177" s="132">
        <f>IF(ISNA(VLOOKUP($CZ177,'Audit Values'!$A$2:$BW$353,2,FALSE)),'Preliminary SO66'!AN176,VLOOKUP($CZ177,'Audit Values'!$A$2:$BW$353,61,FALSE))</f>
        <v>86</v>
      </c>
      <c r="X177" s="95">
        <f>W177*'Weighting Factors'!$Q$8</f>
        <v>15.9</v>
      </c>
      <c r="Y177" s="95">
        <f t="shared" si="85"/>
        <v>24.2</v>
      </c>
      <c r="Z177" s="276">
        <f>IF(ISNA(VLOOKUP($CZ177,'Audit Values'!$A$2:$BW$317,2,FALSE)),'Preliminary SO66'!AO176,VLOOKUP($CZ177,'Audit Values'!$A$2:$BW$317,60,FALSE))</f>
        <v>222.2</v>
      </c>
      <c r="AA177" s="95">
        <f>Z177/6*'Weighting Factors'!$Q$6</f>
        <v>18.5</v>
      </c>
      <c r="AB177" s="99">
        <f>IF(ISNA(VLOOKUP($CZ177,'Audit Values'!$A$2:$BU$353,2,FALSE)),'Preliminary SO66'!AS176,VLOOKUP($CZ177,'Audit Values'!$A$2:$BU$353,63,FALSE))</f>
        <v>1161</v>
      </c>
      <c r="AC177" s="99">
        <v>0</v>
      </c>
      <c r="AD177" s="99">
        <f>IF(ISNA(VLOOKUP($CZ177,'Audit Values'!$A$2:$BU$353,2,FALSE)),'Preliminary SO66'!AP176,VLOOKUP($CZ177,'Audit Values'!$A$2:$BU$353,64,FALSE))</f>
        <v>417</v>
      </c>
      <c r="AE177" s="95">
        <f>IF(A177=207, AD177,MAX(AC177,AD177))*'Weighting Factors'!$Q$9</f>
        <v>201.8</v>
      </c>
      <c r="AF177" s="95">
        <f t="shared" si="86"/>
        <v>2.7</v>
      </c>
      <c r="AG177" s="95">
        <f>IF(ISNA(VLOOKUP($CZ177,'Audit Values'!$A$2:$BW$353,2,FALSE)),'Preliminary SO66'!AG176,VLOOKUP($CZ177,'Audit Values'!$A$2:$BW$353,70,FALSE))</f>
        <v>5.9</v>
      </c>
      <c r="AH177" s="95">
        <f t="shared" si="87"/>
        <v>5.9</v>
      </c>
      <c r="AI177" s="95">
        <f>IF(ISNA(VLOOKUP($CZ177,'Audit Values'!$A$2:$BU$353,2,FALSE)),'Preliminary SO66'!AQ176,VLOOKUP($CZ177,'Audit Values'!$A$2:$BU$353,65,FALSE))</f>
        <v>0</v>
      </c>
      <c r="AJ177" s="95">
        <f>AI177*'Weighting Factors'!$Q$10</f>
        <v>0</v>
      </c>
      <c r="AK177" s="95">
        <f>IF(ISNA(VLOOKUP($CZ177,'Audit Values'!$A$2:$BU$353,2,FALSE)),'Preliminary SO66'!AR176,VLOOKUP($CZ177,'Audit Values'!$A$2:$BU$353,66,FALSE))</f>
        <v>152</v>
      </c>
      <c r="AL177" s="95"/>
      <c r="AM177" s="99">
        <f t="shared" si="88"/>
        <v>162640</v>
      </c>
      <c r="AN177" s="99">
        <v>173340</v>
      </c>
      <c r="AO177" s="95">
        <f>MAX(AN177, AM177)/'Weighting Factors'!$Q$5</f>
        <v>41.6</v>
      </c>
      <c r="AP177" s="95">
        <f>CN177/'Weighting Factors'!$Q$5</f>
        <v>0</v>
      </c>
      <c r="AQ177" s="95">
        <v>0</v>
      </c>
      <c r="AR177" s="95">
        <f>CS177/'Weighting Factors'!$Q$5</f>
        <v>0</v>
      </c>
      <c r="AS177" s="99">
        <v>1297115</v>
      </c>
      <c r="AT177" s="95">
        <f>AS177/'Weighting Factors'!$Q$5</f>
        <v>311.39999999999998</v>
      </c>
      <c r="AU177" s="95">
        <f>IF(ISNA(VLOOKUP($CZ177,'Audit Values'!$A$2:$BU$353,2,FALSE)),'Preliminary SO66'!X176,VLOOKUP($CZ177,'Audit Values'!$A$2:$BU$353,47,FALSE))</f>
        <v>1</v>
      </c>
      <c r="AV177" s="95">
        <f t="shared" si="89"/>
        <v>1961.7</v>
      </c>
      <c r="AW177" s="95">
        <f t="shared" si="90"/>
        <v>1650.3</v>
      </c>
      <c r="AX177" s="95">
        <f>IF(ISNA(VLOOKUP($CZ177,'Audit Values'!$A$2:$BU$353,2,FALSE)),'Preliminary SO66'!AA176,VLOOKUP($CZ177,'Audit Values'!$A$2:$BU$353,41,FALSE))</f>
        <v>5</v>
      </c>
      <c r="AY177" s="95">
        <f>IF(ISNA(VLOOKUP($CZ177,'Audit Values'!$A$2:$BU$353,2,FALSE)),'Preliminary SO66'!AB176,VLOOKUP($CZ177,'Audit Values'!$A$2:$BU$353,42,FALSE))</f>
        <v>0</v>
      </c>
      <c r="AZ177" s="114">
        <v>61.5</v>
      </c>
      <c r="BA177" s="99">
        <f>SUM(AX177*'Weighting Factors'!$T$10)+('2019 Legal Max'!AY177*'Weighting Factors'!$T$11)+('2019 Legal Max'!AZ177*'Weighting Factors'!$T$12)</f>
        <v>68604</v>
      </c>
      <c r="BB177" s="158">
        <v>0</v>
      </c>
      <c r="BC177" s="88">
        <f>IF(ISNA(VLOOKUP($CZ177,'Audit Values'!$A$2:$BU$353,2,FALSE)),"",IF(AND('Weighting Factors'!H177&gt;0,VLOOKUP($CZ177,'Audit Values'!$A$2:$BU$353,51,FALSE)&lt;'Weighting Factors'!H177),'Weighting Factors'!H177,VLOOKUP($CZ177,'Audit Values'!$A$2:$BU$353,50,FALSE)))</f>
        <v>5</v>
      </c>
      <c r="BD177" s="88" t="str">
        <f>IF(ISNA(VLOOKUP($CZ177,'Audit Values'!$A$2:$BV$353,2,FALSE)),"",VLOOKUP($CZ177,'Audit Values'!$A$2:$BV$353,51,FALSE))</f>
        <v>A</v>
      </c>
      <c r="BE177" s="88" t="str">
        <f>IF('Weighting Factors'!H177="","",IF('Weighting Factors'!J177="Pending","PX","R"))</f>
        <v/>
      </c>
      <c r="BF177" s="97">
        <f>SUM((S177+T177+Y177+AA177+AE177+AH177+AJ177++AO177+AP177+AQ177+AU177+AR177)*'Weighting Factors'!$Q$5)+'2019 Legal Max'!BA177+'2019 Legal Max'!BB177</f>
        <v>6942104</v>
      </c>
      <c r="BG177" s="99">
        <f>SUM((AV177+AR177)*'Weighting Factors'!$Q$5)+BA177+'2019 Legal Max'!BB177</f>
        <v>8239085</v>
      </c>
      <c r="BH177" s="108">
        <f>IF('Weighting Factors'!H177&gt;0,'Weighting Factors'!H177,'Preliminary SO66'!AV176)</f>
        <v>8572751</v>
      </c>
      <c r="BI177" s="99">
        <f t="shared" si="114"/>
        <v>8239085</v>
      </c>
      <c r="BJ177" s="112"/>
      <c r="BK177" s="112">
        <f>'Weighting Factors'!F177</f>
        <v>0</v>
      </c>
      <c r="BL177" s="112">
        <f>'Weighting Factors'!E177</f>
        <v>0</v>
      </c>
      <c r="BM177" s="99">
        <f t="shared" si="91"/>
        <v>0</v>
      </c>
      <c r="BN177" s="99">
        <f t="shared" si="92"/>
        <v>8239085</v>
      </c>
      <c r="BO177" s="99">
        <f>SUM((S177+T177+Y177+AA177+AE177+AH177+AJ177++AO177+AP177+AQ177+AR177)*'Weighting Factors'!Q$12)+(MAX(AS177,'Weighting Factors'!B177))</f>
        <v>8702472</v>
      </c>
      <c r="BP177" s="122">
        <v>0.3</v>
      </c>
      <c r="BQ177" s="99">
        <f t="shared" si="93"/>
        <v>2610742</v>
      </c>
      <c r="BR177" s="108">
        <v>2693692</v>
      </c>
      <c r="BS177" s="99">
        <f t="shared" si="94"/>
        <v>2610742</v>
      </c>
      <c r="BT177" s="167">
        <f t="shared" si="95"/>
        <v>0.3</v>
      </c>
      <c r="BU177" s="95">
        <f t="shared" si="96"/>
        <v>0</v>
      </c>
      <c r="BV177" s="87" t="b">
        <f t="shared" si="97"/>
        <v>0</v>
      </c>
      <c r="BW177" s="117">
        <f t="shared" si="98"/>
        <v>0</v>
      </c>
      <c r="BX177" s="116">
        <f t="shared" si="99"/>
        <v>0</v>
      </c>
      <c r="BY177" s="95">
        <f t="shared" si="100"/>
        <v>0</v>
      </c>
      <c r="BZ177" s="87" t="b">
        <f t="shared" si="101"/>
        <v>1</v>
      </c>
      <c r="CA177" s="87">
        <f t="shared" si="102"/>
        <v>1025.2688000000001</v>
      </c>
      <c r="CB177" s="116">
        <f t="shared" si="103"/>
        <v>0.202705</v>
      </c>
      <c r="CC177" s="95">
        <f t="shared" si="104"/>
        <v>228.8</v>
      </c>
      <c r="CD177" s="95">
        <f t="shared" si="105"/>
        <v>0</v>
      </c>
      <c r="CE177" s="98">
        <v>266.5</v>
      </c>
      <c r="CF177" s="250">
        <f t="shared" si="106"/>
        <v>0.56999999999999995</v>
      </c>
      <c r="CG177" s="274">
        <f>IF(CF177&lt;0.06,1,IF(CF177&gt;=18.29,52,MATCH(CF177-0.001,'Weighting Factors'!$Y$5:$Y$156)+1))</f>
        <v>26</v>
      </c>
      <c r="CH177" s="243">
        <f>VLOOKUP(CG177, 'Weighting Factors'!$W$5:$Z$56,4)</f>
        <v>1070</v>
      </c>
      <c r="CI177" s="118">
        <f>('Weighting Factors'!$Q$5/'Weighting Factors'!$Q$14)</f>
        <v>1</v>
      </c>
      <c r="CJ177" s="245">
        <f t="shared" si="107"/>
        <v>162640</v>
      </c>
      <c r="CK177" s="245">
        <f>CJ177*'Weighting Factors'!$S$7</f>
        <v>162640</v>
      </c>
      <c r="CL177" s="245">
        <f t="shared" si="108"/>
        <v>162640</v>
      </c>
      <c r="CM177" s="95">
        <f>AM177/'Weighting Factors'!$Q$5</f>
        <v>39</v>
      </c>
      <c r="CN177" s="148">
        <v>0</v>
      </c>
      <c r="CO177" s="148">
        <v>0</v>
      </c>
      <c r="CP177" s="149">
        <v>0</v>
      </c>
      <c r="CQ177" s="151">
        <v>0</v>
      </c>
      <c r="CR177" s="99">
        <f>SUM((AV177*'Weighting Factors'!$Q$5)+'2019 Legal Max'!BA177)*CQ177</f>
        <v>0</v>
      </c>
      <c r="CS177" s="99">
        <f t="shared" si="109"/>
        <v>0</v>
      </c>
      <c r="CT177" s="106">
        <f t="shared" si="110"/>
        <v>0.35920000000000002</v>
      </c>
      <c r="CU177" s="95">
        <f t="shared" si="111"/>
        <v>0</v>
      </c>
      <c r="CV177" s="95">
        <f t="shared" si="112"/>
        <v>2.7</v>
      </c>
      <c r="CW177" s="95">
        <f t="shared" si="113"/>
        <v>1961.7</v>
      </c>
      <c r="CX177" s="99">
        <f>'LOB Transfers'!G176</f>
        <v>270212</v>
      </c>
      <c r="CY177" s="99">
        <f>'LOB Transfers'!J176</f>
        <v>32373</v>
      </c>
      <c r="CZ177" s="87" t="s">
        <v>369</v>
      </c>
    </row>
    <row r="178" spans="1:104" ht="15" customHeight="1">
      <c r="A178" s="88">
        <v>383</v>
      </c>
      <c r="B178" s="87" t="s">
        <v>78</v>
      </c>
      <c r="C178" s="87" t="s">
        <v>691</v>
      </c>
      <c r="D178" s="95">
        <v>5808.3</v>
      </c>
      <c r="E178" s="95">
        <v>55.5</v>
      </c>
      <c r="F178" s="95">
        <f t="shared" si="80"/>
        <v>5863.8</v>
      </c>
      <c r="G178" s="95">
        <v>6120.4</v>
      </c>
      <c r="H178" s="248">
        <v>37</v>
      </c>
      <c r="I178" s="95">
        <f t="shared" si="81"/>
        <v>6157.4</v>
      </c>
      <c r="J178" s="95">
        <v>6327.1</v>
      </c>
      <c r="K178" s="95">
        <v>52.5</v>
      </c>
      <c r="L178" s="95">
        <f t="shared" si="82"/>
        <v>6379.6</v>
      </c>
      <c r="M178" s="95">
        <f>IF(ISNA(VLOOKUP($CZ178,'Audit Values'!$A$2:$BW$365,2,FALSE)),'Preliminary SO66'!C177,VLOOKUP($CZ178,'Audit Values'!$A$2:$BW$365,73,FALSE))</f>
        <v>6436.4</v>
      </c>
      <c r="N178" s="95">
        <f>IF(ISNA(VLOOKUP($CZ178,'Audit Values'!$A$2:$BW$365,2,FALSE)),'Preliminary SO66'!F177,VLOOKUP($CZ178,'Audit Values'!$A$2:$BW$365,4,FALSE))</f>
        <v>46</v>
      </c>
      <c r="O178" s="95">
        <f t="shared" si="83"/>
        <v>6482.4</v>
      </c>
      <c r="P178" s="95">
        <f>IF('Military Provision'!J179="YES", MAX('2019 Legal Max'!L178,'2019 Legal Max'!I178,AVERAGE('2019 Legal Max'!F178,'2019 Legal Max'!I178,'2019 Legal Max'!L178)), MAX(L178, I178))</f>
        <v>6379.6</v>
      </c>
      <c r="Q178" s="95">
        <f>IF(ISNA(VLOOKUP($CZ178,'Audit Values'!$A$2:$BU$353,2,FALSE)),'Preliminary SO66'!AL177,VLOOKUP($CZ178,'Audit Values'!$A$2:$BU$3955,58,FALSE))</f>
        <v>20.5</v>
      </c>
      <c r="R178" s="95">
        <v>0</v>
      </c>
      <c r="S178" s="95">
        <f t="shared" si="115"/>
        <v>6400.1</v>
      </c>
      <c r="T178" s="95">
        <f t="shared" si="84"/>
        <v>224.3</v>
      </c>
      <c r="U178" s="95">
        <f>IF(ISNA(VLOOKUP($CZ178,'Audit Values'!$A$2:$BW$317,2,FALSE)),'Preliminary SO66'!AM177,VLOOKUP($CZ178,'Audit Values'!$A$2:$BW$317,62,FALSE))</f>
        <v>1365.8</v>
      </c>
      <c r="V178" s="95">
        <f>(U178/6)*'Weighting Factors'!$Q$7</f>
        <v>89.9</v>
      </c>
      <c r="W178" s="132">
        <f>IF(ISNA(VLOOKUP($CZ178,'Audit Values'!$A$2:$BW$353,2,FALSE)),'Preliminary SO66'!AN177,VLOOKUP($CZ178,'Audit Values'!$A$2:$BW$353,61,FALSE))</f>
        <v>412</v>
      </c>
      <c r="X178" s="95">
        <f>W178*'Weighting Factors'!$Q$8</f>
        <v>76.2</v>
      </c>
      <c r="Y178" s="95">
        <f t="shared" si="85"/>
        <v>89.9</v>
      </c>
      <c r="Z178" s="276">
        <f>IF(ISNA(VLOOKUP($CZ178,'Audit Values'!$A$2:$BW$317,2,FALSE)),'Preliminary SO66'!AO177,VLOOKUP($CZ178,'Audit Values'!$A$2:$BW$317,60,FALSE))</f>
        <v>797.2</v>
      </c>
      <c r="AA178" s="95">
        <f>Z178/6*'Weighting Factors'!$Q$6</f>
        <v>66.400000000000006</v>
      </c>
      <c r="AB178" s="99">
        <f>IF(ISNA(VLOOKUP($CZ178,'Audit Values'!$A$2:$BU$353,2,FALSE)),'Preliminary SO66'!AS177,VLOOKUP($CZ178,'Audit Values'!$A$2:$BU$353,63,FALSE))</f>
        <v>6594</v>
      </c>
      <c r="AC178" s="99">
        <v>0</v>
      </c>
      <c r="AD178" s="99">
        <f>IF(ISNA(VLOOKUP($CZ178,'Audit Values'!$A$2:$BU$353,2,FALSE)),'Preliminary SO66'!AP177,VLOOKUP($CZ178,'Audit Values'!$A$2:$BU$353,64,FALSE))</f>
        <v>2052</v>
      </c>
      <c r="AE178" s="95">
        <f>IF(A178=207, AD178,MAX(AC178,AD178))*'Weighting Factors'!$Q$9</f>
        <v>993.2</v>
      </c>
      <c r="AF178" s="95">
        <f t="shared" si="86"/>
        <v>0</v>
      </c>
      <c r="AG178" s="95">
        <f>IF(ISNA(VLOOKUP($CZ178,'Audit Values'!$A$2:$BW$353,2,FALSE)),'Preliminary SO66'!AG177,VLOOKUP($CZ178,'Audit Values'!$A$2:$BW$353,70,FALSE))</f>
        <v>63.9</v>
      </c>
      <c r="AH178" s="95">
        <f t="shared" si="87"/>
        <v>63.9</v>
      </c>
      <c r="AI178" s="95">
        <f>IF(ISNA(VLOOKUP($CZ178,'Audit Values'!$A$2:$BU$353,2,FALSE)),'Preliminary SO66'!AQ177,VLOOKUP($CZ178,'Audit Values'!$A$2:$BU$353,65,FALSE))</f>
        <v>0</v>
      </c>
      <c r="AJ178" s="95">
        <f>AI178*'Weighting Factors'!$Q$10</f>
        <v>0</v>
      </c>
      <c r="AK178" s="95">
        <f>IF(ISNA(VLOOKUP($CZ178,'Audit Values'!$A$2:$BU$353,2,FALSE)),'Preliminary SO66'!AR177,VLOOKUP($CZ178,'Audit Values'!$A$2:$BU$353,66,FALSE))</f>
        <v>2659</v>
      </c>
      <c r="AL178" s="95"/>
      <c r="AM178" s="99">
        <f t="shared" si="88"/>
        <v>1515630</v>
      </c>
      <c r="AN178" s="99">
        <v>1495732</v>
      </c>
      <c r="AO178" s="95">
        <f>MAX(AN178, AM178)/'Weighting Factors'!$Q$5</f>
        <v>363.9</v>
      </c>
      <c r="AP178" s="95">
        <f>CN178/'Weighting Factors'!$Q$5</f>
        <v>0</v>
      </c>
      <c r="AQ178" s="95">
        <v>0</v>
      </c>
      <c r="AR178" s="95">
        <f>CS178/'Weighting Factors'!$Q$5</f>
        <v>0</v>
      </c>
      <c r="AS178" s="99">
        <v>7868810</v>
      </c>
      <c r="AT178" s="95">
        <f>AS178/'Weighting Factors'!$Q$5</f>
        <v>1889.3</v>
      </c>
      <c r="AU178" s="95">
        <f>IF(ISNA(VLOOKUP($CZ178,'Audit Values'!$A$2:$BU$353,2,FALSE)),'Preliminary SO66'!X177,VLOOKUP($CZ178,'Audit Values'!$A$2:$BU$353,47,FALSE))</f>
        <v>0</v>
      </c>
      <c r="AV178" s="95">
        <f t="shared" si="89"/>
        <v>10091</v>
      </c>
      <c r="AW178" s="95">
        <f t="shared" si="90"/>
        <v>8201.7000000000007</v>
      </c>
      <c r="AX178" s="95">
        <f>IF(ISNA(VLOOKUP($CZ178,'Audit Values'!$A$2:$BU$353,2,FALSE)),'Preliminary SO66'!AA177,VLOOKUP($CZ178,'Audit Values'!$A$2:$BU$353,41,FALSE))</f>
        <v>162</v>
      </c>
      <c r="AY178" s="95">
        <f>IF(ISNA(VLOOKUP($CZ178,'Audit Values'!$A$2:$BU$353,2,FALSE)),'Preliminary SO66'!AB177,VLOOKUP($CZ178,'Audit Values'!$A$2:$BU$353,42,FALSE))</f>
        <v>0</v>
      </c>
      <c r="AZ178" s="114">
        <v>5.5</v>
      </c>
      <c r="BA178" s="99">
        <f>SUM(AX178*'Weighting Factors'!$T$10)+('2019 Legal Max'!AY178*'Weighting Factors'!$T$11)+('2019 Legal Max'!AZ178*'Weighting Factors'!$T$12)</f>
        <v>813900</v>
      </c>
      <c r="BB178" s="158">
        <v>0</v>
      </c>
      <c r="BC178" s="88">
        <f>IF(ISNA(VLOOKUP($CZ178,'Audit Values'!$A$2:$BU$353,2,FALSE)),"",IF(AND('Weighting Factors'!H178&gt;0,VLOOKUP($CZ178,'Audit Values'!$A$2:$BU$353,51,FALSE)&lt;'Weighting Factors'!H178),'Weighting Factors'!H178,VLOOKUP($CZ178,'Audit Values'!$A$2:$BU$353,50,FALSE)))</f>
        <v>25</v>
      </c>
      <c r="BD178" s="88" t="str">
        <f>IF(ISNA(VLOOKUP($CZ178,'Audit Values'!$A$2:$BV$353,2,FALSE)),"",VLOOKUP($CZ178,'Audit Values'!$A$2:$BV$353,51,FALSE))</f>
        <v>A</v>
      </c>
      <c r="BE178" s="88" t="str">
        <f>IF('Weighting Factors'!H178="","",IF('Weighting Factors'!J178="Pending","PX","R"))</f>
        <v/>
      </c>
      <c r="BF178" s="97">
        <f>SUM((S178+T178+Y178+AA178+AE178+AH178+AJ178++AO178+AP178+AQ178+AU178+AR178)*'Weighting Factors'!$Q$5)+'2019 Legal Max'!BA178+'2019 Legal Max'!BB178</f>
        <v>34973981</v>
      </c>
      <c r="BG178" s="99">
        <f>SUM((AV178+AR178)*'Weighting Factors'!$Q$5)+BA178+'2019 Legal Max'!BB178</f>
        <v>42842915</v>
      </c>
      <c r="BH178" s="108">
        <f>IF('Weighting Factors'!H178&gt;0,'Weighting Factors'!H178,'Preliminary SO66'!AV177)</f>
        <v>43141980</v>
      </c>
      <c r="BI178" s="99">
        <f t="shared" si="114"/>
        <v>42842915</v>
      </c>
      <c r="BJ178" s="112"/>
      <c r="BK178" s="112">
        <f>'Weighting Factors'!F178</f>
        <v>0</v>
      </c>
      <c r="BL178" s="112">
        <f>'Weighting Factors'!E178</f>
        <v>0</v>
      </c>
      <c r="BM178" s="99">
        <f t="shared" si="91"/>
        <v>0</v>
      </c>
      <c r="BN178" s="99">
        <f t="shared" si="92"/>
        <v>42842915</v>
      </c>
      <c r="BO178" s="99">
        <f>SUM((S178+T178+Y178+AA178+AE178+AH178+AJ178++AO178+AP178+AQ178+AR178)*'Weighting Factors'!Q$12)+(MAX(AS178,'Weighting Factors'!B178))</f>
        <v>44694443</v>
      </c>
      <c r="BP178" s="122">
        <v>0.33</v>
      </c>
      <c r="BQ178" s="99">
        <f t="shared" si="93"/>
        <v>14749166</v>
      </c>
      <c r="BR178" s="108">
        <v>14891656</v>
      </c>
      <c r="BS178" s="99">
        <f t="shared" si="94"/>
        <v>14749166</v>
      </c>
      <c r="BT178" s="167">
        <f t="shared" si="95"/>
        <v>0.33</v>
      </c>
      <c r="BU178" s="95">
        <f t="shared" si="96"/>
        <v>0</v>
      </c>
      <c r="BV178" s="87" t="b">
        <f t="shared" si="97"/>
        <v>0</v>
      </c>
      <c r="BW178" s="117">
        <f t="shared" si="98"/>
        <v>0</v>
      </c>
      <c r="BX178" s="116">
        <f t="shared" si="99"/>
        <v>0</v>
      </c>
      <c r="BY178" s="95">
        <f t="shared" si="100"/>
        <v>0</v>
      </c>
      <c r="BZ178" s="87" t="b">
        <f t="shared" si="101"/>
        <v>0</v>
      </c>
      <c r="CA178" s="87">
        <f t="shared" si="102"/>
        <v>0</v>
      </c>
      <c r="CB178" s="116">
        <f t="shared" si="103"/>
        <v>0</v>
      </c>
      <c r="CC178" s="95">
        <f t="shared" si="104"/>
        <v>0</v>
      </c>
      <c r="CD178" s="95">
        <f t="shared" si="105"/>
        <v>224.3</v>
      </c>
      <c r="CE178" s="98">
        <v>163</v>
      </c>
      <c r="CF178" s="250">
        <f t="shared" si="106"/>
        <v>16.312999999999999</v>
      </c>
      <c r="CG178" s="274">
        <f>IF(CF178&lt;0.06,1,IF(CF178&gt;=18.29,52,MATCH(CF178-0.001,'Weighting Factors'!$Y$5:$Y$156)+1))</f>
        <v>51</v>
      </c>
      <c r="CH178" s="243">
        <f>VLOOKUP(CG178, 'Weighting Factors'!$W$5:$Z$56,4)</f>
        <v>570</v>
      </c>
      <c r="CI178" s="118">
        <f>('Weighting Factors'!$Q$5/'Weighting Factors'!$Q$14)</f>
        <v>1</v>
      </c>
      <c r="CJ178" s="245">
        <f t="shared" si="107"/>
        <v>1515630</v>
      </c>
      <c r="CK178" s="245">
        <f>CJ178*'Weighting Factors'!$S$7</f>
        <v>1515630</v>
      </c>
      <c r="CL178" s="245">
        <f t="shared" si="108"/>
        <v>1515630</v>
      </c>
      <c r="CM178" s="95">
        <f>AM178/'Weighting Factors'!$Q$5</f>
        <v>363.9</v>
      </c>
      <c r="CN178" s="148">
        <v>0</v>
      </c>
      <c r="CO178" s="148">
        <v>0</v>
      </c>
      <c r="CP178" s="149">
        <v>0</v>
      </c>
      <c r="CQ178" s="151">
        <v>1.7600000000000001E-2</v>
      </c>
      <c r="CR178" s="99">
        <f>SUM((AV178*'Weighting Factors'!$Q$5)+'2019 Legal Max'!BA178)*CQ178</f>
        <v>754035</v>
      </c>
      <c r="CS178" s="99">
        <f t="shared" si="109"/>
        <v>0</v>
      </c>
      <c r="CT178" s="106">
        <f t="shared" si="110"/>
        <v>0.31119999999999998</v>
      </c>
      <c r="CU178" s="95">
        <f t="shared" si="111"/>
        <v>0</v>
      </c>
      <c r="CV178" s="95">
        <f t="shared" si="112"/>
        <v>0</v>
      </c>
      <c r="CW178" s="95">
        <f t="shared" si="113"/>
        <v>10091</v>
      </c>
      <c r="CX178" s="99">
        <f>'LOB Transfers'!G177</f>
        <v>1454268</v>
      </c>
      <c r="CY178" s="99">
        <f>'LOB Transfers'!J177</f>
        <v>131268</v>
      </c>
      <c r="CZ178" s="87" t="s">
        <v>370</v>
      </c>
    </row>
    <row r="179" spans="1:104" ht="15" customHeight="1">
      <c r="A179" s="88">
        <v>384</v>
      </c>
      <c r="B179" s="87" t="s">
        <v>78</v>
      </c>
      <c r="C179" s="87" t="s">
        <v>556</v>
      </c>
      <c r="D179" s="95">
        <v>184</v>
      </c>
      <c r="E179" s="95">
        <v>0</v>
      </c>
      <c r="F179" s="95">
        <f t="shared" si="80"/>
        <v>184</v>
      </c>
      <c r="G179" s="95">
        <v>213</v>
      </c>
      <c r="H179" s="95">
        <v>0</v>
      </c>
      <c r="I179" s="95">
        <f t="shared" si="81"/>
        <v>213</v>
      </c>
      <c r="J179" s="95">
        <v>208</v>
      </c>
      <c r="K179" s="95">
        <v>0</v>
      </c>
      <c r="L179" s="95">
        <f t="shared" si="82"/>
        <v>208</v>
      </c>
      <c r="M179" s="95">
        <f>IF(ISNA(VLOOKUP($CZ179,'Audit Values'!$A$2:$BW$365,2,FALSE)),'Preliminary SO66'!C178,VLOOKUP($CZ179,'Audit Values'!$A$2:$BW$365,73,FALSE))</f>
        <v>205.5</v>
      </c>
      <c r="N179" s="95">
        <f>IF(ISNA(VLOOKUP($CZ179,'Audit Values'!$A$2:$BW$365,2,FALSE)),'Preliminary SO66'!F178,VLOOKUP($CZ179,'Audit Values'!$A$2:$BW$365,4,FALSE))</f>
        <v>0</v>
      </c>
      <c r="O179" s="95">
        <f t="shared" si="83"/>
        <v>205.5</v>
      </c>
      <c r="P179" s="95">
        <f>IF('Military Provision'!J180="YES", MAX('2019 Legal Max'!L179,'2019 Legal Max'!I179,AVERAGE('2019 Legal Max'!F179,'2019 Legal Max'!I179,'2019 Legal Max'!L179)), MAX(L179, I179))</f>
        <v>213</v>
      </c>
      <c r="Q179" s="95">
        <f>IF(ISNA(VLOOKUP($CZ179,'Audit Values'!$A$2:$BU$353,2,FALSE)),'Preliminary SO66'!AL178,VLOOKUP($CZ179,'Audit Values'!$A$2:$BU$3955,58,FALSE))</f>
        <v>2.5</v>
      </c>
      <c r="R179" s="95">
        <v>0</v>
      </c>
      <c r="S179" s="95">
        <f t="shared" si="115"/>
        <v>215.5</v>
      </c>
      <c r="T179" s="95">
        <f t="shared" si="84"/>
        <v>152.6</v>
      </c>
      <c r="U179" s="95">
        <f>IF(ISNA(VLOOKUP($CZ179,'Audit Values'!$A$2:$BW$317,2,FALSE)),'Preliminary SO66'!AM178,VLOOKUP($CZ179,'Audit Values'!$A$2:$BW$317,62,FALSE))</f>
        <v>0</v>
      </c>
      <c r="V179" s="95">
        <f>(U179/6)*'Weighting Factors'!$Q$7</f>
        <v>0</v>
      </c>
      <c r="W179" s="132">
        <f>IF(ISNA(VLOOKUP($CZ179,'Audit Values'!$A$2:$BW$353,2,FALSE)),'Preliminary SO66'!AN178,VLOOKUP($CZ179,'Audit Values'!$A$2:$BW$353,61,FALSE))</f>
        <v>0</v>
      </c>
      <c r="X179" s="95">
        <f>W179*'Weighting Factors'!$Q$8</f>
        <v>0</v>
      </c>
      <c r="Y179" s="95">
        <f t="shared" si="85"/>
        <v>0</v>
      </c>
      <c r="Z179" s="276">
        <f>IF(ISNA(VLOOKUP($CZ179,'Audit Values'!$A$2:$BW$317,2,FALSE)),'Preliminary SO66'!AO178,VLOOKUP($CZ179,'Audit Values'!$A$2:$BW$317,60,FALSE))</f>
        <v>96.8</v>
      </c>
      <c r="AA179" s="95">
        <f>Z179/6*'Weighting Factors'!$Q$6</f>
        <v>8.1</v>
      </c>
      <c r="AB179" s="99">
        <f>IF(ISNA(VLOOKUP($CZ179,'Audit Values'!$A$2:$BU$353,2,FALSE)),'Preliminary SO66'!AS178,VLOOKUP($CZ179,'Audit Values'!$A$2:$BU$353,63,FALSE))</f>
        <v>212</v>
      </c>
      <c r="AC179" s="99">
        <v>0</v>
      </c>
      <c r="AD179" s="99">
        <f>IF(ISNA(VLOOKUP($CZ179,'Audit Values'!$A$2:$BU$353,2,FALSE)),'Preliminary SO66'!AP178,VLOOKUP($CZ179,'Audit Values'!$A$2:$BU$353,64,FALSE))</f>
        <v>38</v>
      </c>
      <c r="AE179" s="95">
        <f>IF(A179=207, AD179,MAX(AC179,AD179))*'Weighting Factors'!$Q$9</f>
        <v>18.399999999999999</v>
      </c>
      <c r="AF179" s="95">
        <f t="shared" si="86"/>
        <v>0</v>
      </c>
      <c r="AG179" s="95">
        <f>IF(ISNA(VLOOKUP($CZ179,'Audit Values'!$A$2:$BW$353,2,FALSE)),'Preliminary SO66'!AG178,VLOOKUP($CZ179,'Audit Values'!$A$2:$BW$353,70,FALSE))</f>
        <v>0</v>
      </c>
      <c r="AH179" s="95">
        <f t="shared" si="87"/>
        <v>0</v>
      </c>
      <c r="AI179" s="95">
        <f>IF(ISNA(VLOOKUP($CZ179,'Audit Values'!$A$2:$BU$353,2,FALSE)),'Preliminary SO66'!AQ178,VLOOKUP($CZ179,'Audit Values'!$A$2:$BU$353,65,FALSE))</f>
        <v>0</v>
      </c>
      <c r="AJ179" s="95">
        <f>AI179*'Weighting Factors'!$Q$10</f>
        <v>0</v>
      </c>
      <c r="AK179" s="95">
        <f>IF(ISNA(VLOOKUP($CZ179,'Audit Values'!$A$2:$BU$353,2,FALSE)),'Preliminary SO66'!AR178,VLOOKUP($CZ179,'Audit Values'!$A$2:$BU$353,66,FALSE))</f>
        <v>142.5</v>
      </c>
      <c r="AL179" s="95"/>
      <c r="AM179" s="99">
        <f t="shared" si="88"/>
        <v>158175</v>
      </c>
      <c r="AN179" s="99">
        <v>172184</v>
      </c>
      <c r="AO179" s="95">
        <f>MAX(AN179, AM179)/'Weighting Factors'!$Q$5</f>
        <v>41.3</v>
      </c>
      <c r="AP179" s="95">
        <f>CN179/'Weighting Factors'!$Q$5</f>
        <v>0</v>
      </c>
      <c r="AQ179" s="95">
        <v>0</v>
      </c>
      <c r="AR179" s="95">
        <f>CS179/'Weighting Factors'!$Q$5</f>
        <v>0</v>
      </c>
      <c r="AS179" s="99">
        <v>306274</v>
      </c>
      <c r="AT179" s="95">
        <f>AS179/'Weighting Factors'!$Q$5</f>
        <v>73.5</v>
      </c>
      <c r="AU179" s="95">
        <f>IF(ISNA(VLOOKUP($CZ179,'Audit Values'!$A$2:$BU$353,2,FALSE)),'Preliminary SO66'!X178,VLOOKUP($CZ179,'Audit Values'!$A$2:$BU$353,47,FALSE))</f>
        <v>0</v>
      </c>
      <c r="AV179" s="95">
        <f t="shared" si="89"/>
        <v>509.4</v>
      </c>
      <c r="AW179" s="95">
        <f t="shared" si="90"/>
        <v>435.9</v>
      </c>
      <c r="AX179" s="95">
        <f>IF(ISNA(VLOOKUP($CZ179,'Audit Values'!$A$2:$BU$353,2,FALSE)),'Preliminary SO66'!AA178,VLOOKUP($CZ179,'Audit Values'!$A$2:$BU$353,41,FALSE))</f>
        <v>0</v>
      </c>
      <c r="AY179" s="95">
        <f>IF(ISNA(VLOOKUP($CZ179,'Audit Values'!$A$2:$BU$353,2,FALSE)),'Preliminary SO66'!AB178,VLOOKUP($CZ179,'Audit Values'!$A$2:$BU$353,42,FALSE))</f>
        <v>0</v>
      </c>
      <c r="AZ179" s="114">
        <v>0</v>
      </c>
      <c r="BA179" s="99">
        <f>SUM(AX179*'Weighting Factors'!$T$10)+('2019 Legal Max'!AY179*'Weighting Factors'!$T$11)+('2019 Legal Max'!AZ179*'Weighting Factors'!$T$12)</f>
        <v>0</v>
      </c>
      <c r="BB179" s="158">
        <v>0</v>
      </c>
      <c r="BC179" s="88">
        <f>IF(ISNA(VLOOKUP($CZ179,'Audit Values'!$A$2:$BU$353,2,FALSE)),"",IF(AND('Weighting Factors'!H179&gt;0,VLOOKUP($CZ179,'Audit Values'!$A$2:$BU$353,51,FALSE)&lt;'Weighting Factors'!H179),'Weighting Factors'!H179,VLOOKUP($CZ179,'Audit Values'!$A$2:$BU$353,50,FALSE)))</f>
        <v>16</v>
      </c>
      <c r="BD179" s="88" t="str">
        <f>IF(ISNA(VLOOKUP($CZ179,'Audit Values'!$A$2:$BV$353,2,FALSE)),"",VLOOKUP($CZ179,'Audit Values'!$A$2:$BV$353,51,FALSE))</f>
        <v>A</v>
      </c>
      <c r="BE179" s="88" t="str">
        <f>IF('Weighting Factors'!H179="","",IF('Weighting Factors'!J179="Pending","PX","R"))</f>
        <v/>
      </c>
      <c r="BF179" s="97">
        <f>SUM((S179+T179+Y179+AA179+AE179+AH179+AJ179++AO179+AP179+AQ179+AU179+AR179)*'Weighting Factors'!$Q$5)+'2019 Legal Max'!BA179+'2019 Legal Max'!BB179</f>
        <v>1815524</v>
      </c>
      <c r="BG179" s="99">
        <f>SUM((AV179+AR179)*'Weighting Factors'!$Q$5)+BA179+'2019 Legal Max'!BB179</f>
        <v>2121651</v>
      </c>
      <c r="BH179" s="108">
        <f>IF('Weighting Factors'!H179&gt;0,'Weighting Factors'!H179,'Preliminary SO66'!AV178)</f>
        <v>2184543</v>
      </c>
      <c r="BI179" s="99">
        <f t="shared" si="114"/>
        <v>2121651</v>
      </c>
      <c r="BJ179" s="112"/>
      <c r="BK179" s="112">
        <f>'Weighting Factors'!F179</f>
        <v>0</v>
      </c>
      <c r="BL179" s="112">
        <f>'Weighting Factors'!E179</f>
        <v>0</v>
      </c>
      <c r="BM179" s="99">
        <f t="shared" si="91"/>
        <v>0</v>
      </c>
      <c r="BN179" s="99">
        <f t="shared" si="92"/>
        <v>2121651</v>
      </c>
      <c r="BO179" s="99">
        <f>SUM((S179+T179+Y179+AA179+AE179+AH179+AJ179++AO179+AP179+AQ179+AR179)*'Weighting Factors'!Q$12)+(MAX(AS179,'Weighting Factors'!B179))</f>
        <v>2263465</v>
      </c>
      <c r="BP179" s="122">
        <v>0.33</v>
      </c>
      <c r="BQ179" s="99">
        <f t="shared" si="93"/>
        <v>746943</v>
      </c>
      <c r="BR179" s="108">
        <v>767026</v>
      </c>
      <c r="BS179" s="99">
        <f t="shared" si="94"/>
        <v>746943</v>
      </c>
      <c r="BT179" s="167">
        <f t="shared" si="95"/>
        <v>0.33</v>
      </c>
      <c r="BU179" s="95">
        <f t="shared" si="96"/>
        <v>0</v>
      </c>
      <c r="BV179" s="87" t="b">
        <f t="shared" si="97"/>
        <v>1</v>
      </c>
      <c r="BW179" s="117">
        <f t="shared" si="98"/>
        <v>1115.153</v>
      </c>
      <c r="BX179" s="116">
        <f t="shared" si="99"/>
        <v>0.70817200000000002</v>
      </c>
      <c r="BY179" s="95">
        <f t="shared" si="100"/>
        <v>152.6</v>
      </c>
      <c r="BZ179" s="87" t="b">
        <f t="shared" si="101"/>
        <v>0</v>
      </c>
      <c r="CA179" s="87">
        <f t="shared" si="102"/>
        <v>0</v>
      </c>
      <c r="CB179" s="116">
        <f t="shared" si="103"/>
        <v>0</v>
      </c>
      <c r="CC179" s="95">
        <f t="shared" si="104"/>
        <v>0</v>
      </c>
      <c r="CD179" s="95">
        <f t="shared" si="105"/>
        <v>0</v>
      </c>
      <c r="CE179" s="98">
        <v>319</v>
      </c>
      <c r="CF179" s="250">
        <f t="shared" si="106"/>
        <v>0.44700000000000001</v>
      </c>
      <c r="CG179" s="274">
        <f>IF(CF179&lt;0.06,1,IF(CF179&gt;=18.29,52,MATCH(CF179-0.001,'Weighting Factors'!$Y$5:$Y$156)+1))</f>
        <v>24</v>
      </c>
      <c r="CH179" s="243">
        <f>VLOOKUP(CG179, 'Weighting Factors'!$W$5:$Z$56,4)</f>
        <v>1110</v>
      </c>
      <c r="CI179" s="118">
        <f>('Weighting Factors'!$Q$5/'Weighting Factors'!$Q$14)</f>
        <v>1</v>
      </c>
      <c r="CJ179" s="245">
        <f t="shared" si="107"/>
        <v>158175</v>
      </c>
      <c r="CK179" s="245">
        <f>CJ179*'Weighting Factors'!$S$7</f>
        <v>158175</v>
      </c>
      <c r="CL179" s="245">
        <f t="shared" si="108"/>
        <v>158175</v>
      </c>
      <c r="CM179" s="95">
        <f>AM179/'Weighting Factors'!$Q$5</f>
        <v>38</v>
      </c>
      <c r="CN179" s="148">
        <v>0</v>
      </c>
      <c r="CO179" s="148">
        <v>0</v>
      </c>
      <c r="CP179" s="149">
        <v>0</v>
      </c>
      <c r="CQ179" s="151">
        <v>0</v>
      </c>
      <c r="CR179" s="99">
        <f>SUM((AV179*'Weighting Factors'!$Q$5)+'2019 Legal Max'!BA179)*CQ179</f>
        <v>0</v>
      </c>
      <c r="CS179" s="99">
        <f t="shared" si="109"/>
        <v>0</v>
      </c>
      <c r="CT179" s="106">
        <f t="shared" si="110"/>
        <v>0.1792</v>
      </c>
      <c r="CU179" s="95">
        <f t="shared" si="111"/>
        <v>0</v>
      </c>
      <c r="CV179" s="95">
        <f t="shared" si="112"/>
        <v>0</v>
      </c>
      <c r="CW179" s="95">
        <f t="shared" si="113"/>
        <v>509.4</v>
      </c>
      <c r="CX179" s="99">
        <f>'LOB Transfers'!G178</f>
        <v>27114</v>
      </c>
      <c r="CY179" s="99">
        <f>'LOB Transfers'!J178</f>
        <v>0</v>
      </c>
      <c r="CZ179" s="87" t="s">
        <v>371</v>
      </c>
    </row>
    <row r="180" spans="1:104" ht="15" customHeight="1">
      <c r="A180" s="88">
        <v>385</v>
      </c>
      <c r="B180" s="87" t="s">
        <v>10</v>
      </c>
      <c r="C180" s="87" t="s">
        <v>692</v>
      </c>
      <c r="D180" s="95">
        <v>4940.2</v>
      </c>
      <c r="E180" s="95">
        <v>0</v>
      </c>
      <c r="F180" s="95">
        <f t="shared" si="80"/>
        <v>4940.2</v>
      </c>
      <c r="G180" s="95">
        <v>5147</v>
      </c>
      <c r="H180" s="95">
        <v>0</v>
      </c>
      <c r="I180" s="95">
        <f t="shared" si="81"/>
        <v>5147</v>
      </c>
      <c r="J180" s="95">
        <v>5237.8999999999996</v>
      </c>
      <c r="K180" s="95">
        <v>0</v>
      </c>
      <c r="L180" s="95">
        <f t="shared" si="82"/>
        <v>5237.8999999999996</v>
      </c>
      <c r="M180" s="95">
        <f>IF(ISNA(VLOOKUP($CZ180,'Audit Values'!$A$2:$BW$365,2,FALSE)),'Preliminary SO66'!C179,VLOOKUP($CZ180,'Audit Values'!$A$2:$BW$365,73,FALSE))</f>
        <v>5364</v>
      </c>
      <c r="N180" s="95">
        <f>IF(ISNA(VLOOKUP($CZ180,'Audit Values'!$A$2:$BW$365,2,FALSE)),'Preliminary SO66'!F179,VLOOKUP($CZ180,'Audit Values'!$A$2:$BW$365,4,FALSE))</f>
        <v>0</v>
      </c>
      <c r="O180" s="95">
        <f t="shared" si="83"/>
        <v>5364</v>
      </c>
      <c r="P180" s="95">
        <f>IF('Military Provision'!J181="YES", MAX('2019 Legal Max'!L180,'2019 Legal Max'!I180,AVERAGE('2019 Legal Max'!F180,'2019 Legal Max'!I180,'2019 Legal Max'!L180)), MAX(L180, I180))</f>
        <v>5237.8999999999996</v>
      </c>
      <c r="Q180" s="95">
        <f>IF(ISNA(VLOOKUP($CZ180,'Audit Values'!$A$2:$BU$353,2,FALSE)),'Preliminary SO66'!AL179,VLOOKUP($CZ180,'Audit Values'!$A$2:$BU$3955,58,FALSE))</f>
        <v>24</v>
      </c>
      <c r="R180" s="95">
        <v>0</v>
      </c>
      <c r="S180" s="95">
        <f t="shared" si="115"/>
        <v>5261.9</v>
      </c>
      <c r="T180" s="95">
        <f t="shared" si="84"/>
        <v>184.4</v>
      </c>
      <c r="U180" s="95">
        <f>IF(ISNA(VLOOKUP($CZ180,'Audit Values'!$A$2:$BW$317,2,FALSE)),'Preliminary SO66'!AM179,VLOOKUP($CZ180,'Audit Values'!$A$2:$BW$317,62,FALSE))</f>
        <v>370.8</v>
      </c>
      <c r="V180" s="95">
        <f>(U180/6)*'Weighting Factors'!$Q$7</f>
        <v>24.4</v>
      </c>
      <c r="W180" s="132">
        <f>IF(ISNA(VLOOKUP($CZ180,'Audit Values'!$A$2:$BW$353,2,FALSE)),'Preliminary SO66'!AN179,VLOOKUP($CZ180,'Audit Values'!$A$2:$BW$353,61,FALSE))</f>
        <v>159</v>
      </c>
      <c r="X180" s="95">
        <f>W180*'Weighting Factors'!$Q$8</f>
        <v>29.4</v>
      </c>
      <c r="Y180" s="95">
        <f t="shared" si="85"/>
        <v>29.4</v>
      </c>
      <c r="Z180" s="276">
        <f>IF(ISNA(VLOOKUP($CZ180,'Audit Values'!$A$2:$BW$317,2,FALSE)),'Preliminary SO66'!AO179,VLOOKUP($CZ180,'Audit Values'!$A$2:$BW$317,60,FALSE))</f>
        <v>755.7</v>
      </c>
      <c r="AA180" s="95">
        <f>Z180/6*'Weighting Factors'!$Q$6</f>
        <v>63</v>
      </c>
      <c r="AB180" s="99">
        <f>IF(ISNA(VLOOKUP($CZ180,'Audit Values'!$A$2:$BU$353,2,FALSE)),'Preliminary SO66'!AS179,VLOOKUP($CZ180,'Audit Values'!$A$2:$BU$353,63,FALSE))</f>
        <v>5466</v>
      </c>
      <c r="AC180" s="99">
        <v>0</v>
      </c>
      <c r="AD180" s="99">
        <f>IF(ISNA(VLOOKUP($CZ180,'Audit Values'!$A$2:$BU$353,2,FALSE)),'Preliminary SO66'!AP179,VLOOKUP($CZ180,'Audit Values'!$A$2:$BU$353,64,FALSE))</f>
        <v>644</v>
      </c>
      <c r="AE180" s="95">
        <f>IF(A180=207, AD180,MAX(AC180,AD180))*'Weighting Factors'!$Q$9</f>
        <v>311.7</v>
      </c>
      <c r="AF180" s="95">
        <f t="shared" si="86"/>
        <v>0</v>
      </c>
      <c r="AG180" s="95">
        <f>IF(ISNA(VLOOKUP($CZ180,'Audit Values'!$A$2:$BW$353,2,FALSE)),'Preliminary SO66'!AG179,VLOOKUP($CZ180,'Audit Values'!$A$2:$BW$353,70,FALSE))</f>
        <v>0</v>
      </c>
      <c r="AH180" s="95">
        <f t="shared" si="87"/>
        <v>0</v>
      </c>
      <c r="AI180" s="95">
        <f>IF(ISNA(VLOOKUP($CZ180,'Audit Values'!$A$2:$BU$353,2,FALSE)),'Preliminary SO66'!AQ179,VLOOKUP($CZ180,'Audit Values'!$A$2:$BU$353,65,FALSE))</f>
        <v>0</v>
      </c>
      <c r="AJ180" s="95">
        <f>AI180*'Weighting Factors'!$Q$10</f>
        <v>0</v>
      </c>
      <c r="AK180" s="95">
        <f>IF(ISNA(VLOOKUP($CZ180,'Audit Values'!$A$2:$BU$353,2,FALSE)),'Preliminary SO66'!AR179,VLOOKUP($CZ180,'Audit Values'!$A$2:$BU$353,66,FALSE))</f>
        <v>1698</v>
      </c>
      <c r="AL180" s="95"/>
      <c r="AM180" s="99">
        <f t="shared" si="88"/>
        <v>933900</v>
      </c>
      <c r="AN180" s="99">
        <v>903294</v>
      </c>
      <c r="AO180" s="95">
        <f>MAX(AN180, AM180)/'Weighting Factors'!$Q$5</f>
        <v>224.2</v>
      </c>
      <c r="AP180" s="95">
        <f>CN180/'Weighting Factors'!$Q$5</f>
        <v>0</v>
      </c>
      <c r="AQ180" s="95">
        <v>0</v>
      </c>
      <c r="AR180" s="95">
        <f>CS180/'Weighting Factors'!$Q$5</f>
        <v>0</v>
      </c>
      <c r="AS180" s="99">
        <v>5189797</v>
      </c>
      <c r="AT180" s="95">
        <f>AS180/'Weighting Factors'!$Q$5</f>
        <v>1246</v>
      </c>
      <c r="AU180" s="95">
        <f>IF(ISNA(VLOOKUP($CZ180,'Audit Values'!$A$2:$BU$353,2,FALSE)),'Preliminary SO66'!X179,VLOOKUP($CZ180,'Audit Values'!$A$2:$BU$353,47,FALSE))</f>
        <v>0</v>
      </c>
      <c r="AV180" s="95">
        <f t="shared" si="89"/>
        <v>7320.6</v>
      </c>
      <c r="AW180" s="95">
        <f t="shared" si="90"/>
        <v>6074.6</v>
      </c>
      <c r="AX180" s="95">
        <f>IF(ISNA(VLOOKUP($CZ180,'Audit Values'!$A$2:$BU$353,2,FALSE)),'Preliminary SO66'!AA179,VLOOKUP($CZ180,'Audit Values'!$A$2:$BU$353,41,FALSE))</f>
        <v>402</v>
      </c>
      <c r="AY180" s="95">
        <f>IF(ISNA(VLOOKUP($CZ180,'Audit Values'!$A$2:$BU$353,2,FALSE)),'Preliminary SO66'!AB179,VLOOKUP($CZ180,'Audit Values'!$A$2:$BU$353,42,FALSE))</f>
        <v>494.2</v>
      </c>
      <c r="AZ180" s="114">
        <v>40</v>
      </c>
      <c r="BA180" s="99">
        <f>SUM(AX180*'Weighting Factors'!$T$10)+('2019 Legal Max'!AY180*'Weighting Factors'!$T$11)+('2019 Legal Max'!AZ180*'Weighting Factors'!$T$12)</f>
        <v>2878500</v>
      </c>
      <c r="BB180" s="158">
        <v>0</v>
      </c>
      <c r="BC180" s="88">
        <f>IF(ISNA(VLOOKUP($CZ180,'Audit Values'!$A$2:$BU$353,2,FALSE)),"",IF(AND('Weighting Factors'!H180&gt;0,VLOOKUP($CZ180,'Audit Values'!$A$2:$BU$353,51,FALSE)&lt;'Weighting Factors'!H180),'Weighting Factors'!H180,VLOOKUP($CZ180,'Audit Values'!$A$2:$BU$353,50,FALSE)))</f>
        <v>25</v>
      </c>
      <c r="BD180" s="88" t="str">
        <f>IF(ISNA(VLOOKUP($CZ180,'Audit Values'!$A$2:$BV$353,2,FALSE)),"",VLOOKUP($CZ180,'Audit Values'!$A$2:$BV$353,51,FALSE))</f>
        <v>A</v>
      </c>
      <c r="BE180" s="88" t="str">
        <f>IF('Weighting Factors'!H180="","",IF('Weighting Factors'!J180="Pending","PX","R"))</f>
        <v/>
      </c>
      <c r="BF180" s="97">
        <f>SUM((S180+T180+Y180+AA180+AE180+AH180+AJ180++AO180+AP180+AQ180+AU180+AR180)*'Weighting Factors'!$Q$5)+'2019 Legal Max'!BA180+'2019 Legal Max'!BB180</f>
        <v>28179209</v>
      </c>
      <c r="BG180" s="99">
        <f>SUM((AV180+AR180)*'Weighting Factors'!$Q$5)+BA180+'2019 Legal Max'!BB180</f>
        <v>33368799</v>
      </c>
      <c r="BH180" s="108">
        <f>IF('Weighting Factors'!H180&gt;0,'Weighting Factors'!H180,'Preliminary SO66'!AV179)</f>
        <v>33613839</v>
      </c>
      <c r="BI180" s="99">
        <f t="shared" si="114"/>
        <v>33368799</v>
      </c>
      <c r="BJ180" s="112"/>
      <c r="BK180" s="112">
        <f>'Weighting Factors'!F180</f>
        <v>0</v>
      </c>
      <c r="BL180" s="112">
        <f>'Weighting Factors'!E180</f>
        <v>-1773</v>
      </c>
      <c r="BM180" s="99">
        <f t="shared" si="91"/>
        <v>-1773</v>
      </c>
      <c r="BN180" s="99">
        <f t="shared" si="92"/>
        <v>33367026</v>
      </c>
      <c r="BO180" s="99">
        <f>SUM((S180+T180+Y180+AA180+AE180+AH180+AJ180++AO180+AP180+AQ180+AR180)*'Weighting Factors'!Q$12)+(MAX(AS180,'Weighting Factors'!B180))</f>
        <v>32464751</v>
      </c>
      <c r="BP180" s="122">
        <v>0.31</v>
      </c>
      <c r="BQ180" s="99">
        <f t="shared" si="93"/>
        <v>10064073</v>
      </c>
      <c r="BR180" s="108">
        <v>10135063</v>
      </c>
      <c r="BS180" s="99">
        <f t="shared" si="94"/>
        <v>10064073</v>
      </c>
      <c r="BT180" s="167">
        <f t="shared" si="95"/>
        <v>0.31</v>
      </c>
      <c r="BU180" s="95">
        <f t="shared" si="96"/>
        <v>0</v>
      </c>
      <c r="BV180" s="87" t="b">
        <f t="shared" si="97"/>
        <v>0</v>
      </c>
      <c r="BW180" s="117">
        <f t="shared" si="98"/>
        <v>0</v>
      </c>
      <c r="BX180" s="116">
        <f t="shared" si="99"/>
        <v>0</v>
      </c>
      <c r="BY180" s="95">
        <f t="shared" si="100"/>
        <v>0</v>
      </c>
      <c r="BZ180" s="87" t="b">
        <f t="shared" si="101"/>
        <v>0</v>
      </c>
      <c r="CA180" s="87">
        <f t="shared" si="102"/>
        <v>0</v>
      </c>
      <c r="CB180" s="116">
        <f t="shared" si="103"/>
        <v>0</v>
      </c>
      <c r="CC180" s="95">
        <f t="shared" si="104"/>
        <v>0</v>
      </c>
      <c r="CD180" s="95">
        <f t="shared" si="105"/>
        <v>184.4</v>
      </c>
      <c r="CE180" s="98">
        <v>46.8</v>
      </c>
      <c r="CF180" s="250">
        <f t="shared" si="106"/>
        <v>36.281999999999996</v>
      </c>
      <c r="CG180" s="274">
        <f>IF(CF180&lt;0.06,1,IF(CF180&gt;=18.29,52,MATCH(CF180-0.001,'Weighting Factors'!$Y$5:$Y$156)+1))</f>
        <v>52</v>
      </c>
      <c r="CH180" s="243">
        <f>VLOOKUP(CG180, 'Weighting Factors'!$W$5:$Z$56,4)</f>
        <v>550</v>
      </c>
      <c r="CI180" s="118">
        <f>('Weighting Factors'!$Q$5/'Weighting Factors'!$Q$14)</f>
        <v>1</v>
      </c>
      <c r="CJ180" s="245">
        <f t="shared" si="107"/>
        <v>933900</v>
      </c>
      <c r="CK180" s="245">
        <f>CJ180*'Weighting Factors'!$S$7</f>
        <v>933900</v>
      </c>
      <c r="CL180" s="245">
        <f t="shared" si="108"/>
        <v>933900</v>
      </c>
      <c r="CM180" s="95">
        <f>AM180/'Weighting Factors'!$Q$5</f>
        <v>224.2</v>
      </c>
      <c r="CN180" s="148">
        <v>0</v>
      </c>
      <c r="CO180" s="148">
        <v>0</v>
      </c>
      <c r="CP180" s="149">
        <v>0</v>
      </c>
      <c r="CQ180" s="151">
        <v>0.05</v>
      </c>
      <c r="CR180" s="99">
        <f>SUM((AV180*'Weighting Factors'!$Q$5)+'2019 Legal Max'!BA180)*CQ180</f>
        <v>1668440</v>
      </c>
      <c r="CS180" s="99">
        <f t="shared" si="109"/>
        <v>0</v>
      </c>
      <c r="CT180" s="106">
        <f t="shared" si="110"/>
        <v>0.1178</v>
      </c>
      <c r="CU180" s="95">
        <f t="shared" si="111"/>
        <v>0</v>
      </c>
      <c r="CV180" s="95">
        <f t="shared" si="112"/>
        <v>0</v>
      </c>
      <c r="CW180" s="95">
        <f t="shared" si="113"/>
        <v>7320.6</v>
      </c>
      <c r="CX180" s="99">
        <f>'LOB Transfers'!G179</f>
        <v>429736</v>
      </c>
      <c r="CY180" s="99">
        <f>'LOB Transfers'!J179</f>
        <v>40256</v>
      </c>
      <c r="CZ180" s="87" t="s">
        <v>372</v>
      </c>
    </row>
    <row r="181" spans="1:104" ht="15" customHeight="1">
      <c r="A181" s="88">
        <v>386</v>
      </c>
      <c r="B181" s="87" t="s">
        <v>82</v>
      </c>
      <c r="C181" s="87" t="s">
        <v>693</v>
      </c>
      <c r="D181" s="95">
        <v>220.5</v>
      </c>
      <c r="E181" s="95">
        <v>0</v>
      </c>
      <c r="F181" s="95">
        <f t="shared" si="80"/>
        <v>220.5</v>
      </c>
      <c r="G181" s="95">
        <v>211</v>
      </c>
      <c r="H181" s="95">
        <v>0</v>
      </c>
      <c r="I181" s="95">
        <f t="shared" si="81"/>
        <v>211</v>
      </c>
      <c r="J181" s="95">
        <v>218</v>
      </c>
      <c r="K181" s="95">
        <v>0</v>
      </c>
      <c r="L181" s="95">
        <f t="shared" si="82"/>
        <v>218</v>
      </c>
      <c r="M181" s="95">
        <f>IF(ISNA(VLOOKUP($CZ181,'Audit Values'!$A$2:$BW$365,2,FALSE)),'Preliminary SO66'!C180,VLOOKUP($CZ181,'Audit Values'!$A$2:$BW$365,73,FALSE))</f>
        <v>217</v>
      </c>
      <c r="N181" s="95">
        <f>IF(ISNA(VLOOKUP($CZ181,'Audit Values'!$A$2:$BW$365,2,FALSE)),'Preliminary SO66'!F180,VLOOKUP($CZ181,'Audit Values'!$A$2:$BW$365,4,FALSE))</f>
        <v>0</v>
      </c>
      <c r="O181" s="95">
        <f t="shared" si="83"/>
        <v>217</v>
      </c>
      <c r="P181" s="95">
        <f>IF('Military Provision'!J182="YES", MAX('2019 Legal Max'!L181,'2019 Legal Max'!I181,AVERAGE('2019 Legal Max'!F181,'2019 Legal Max'!I181,'2019 Legal Max'!L181)), MAX(L181, I181))</f>
        <v>218</v>
      </c>
      <c r="Q181" s="95">
        <f>IF(ISNA(VLOOKUP($CZ181,'Audit Values'!$A$2:$BU$353,2,FALSE)),'Preliminary SO66'!AL180,VLOOKUP($CZ181,'Audit Values'!$A$2:$BU$3955,58,FALSE))</f>
        <v>2.5</v>
      </c>
      <c r="R181" s="95">
        <v>0</v>
      </c>
      <c r="S181" s="95">
        <f t="shared" ref="S181:S212" si="116">P181+Q181</f>
        <v>220.5</v>
      </c>
      <c r="T181" s="95">
        <f t="shared" si="84"/>
        <v>153.19999999999999</v>
      </c>
      <c r="U181" s="95">
        <f>IF(ISNA(VLOOKUP($CZ181,'Audit Values'!$A$2:$BW$317,2,FALSE)),'Preliminary SO66'!AM180,VLOOKUP($CZ181,'Audit Values'!$A$2:$BW$317,62,FALSE))</f>
        <v>0</v>
      </c>
      <c r="V181" s="95">
        <f>(U181/6)*'Weighting Factors'!$Q$7</f>
        <v>0</v>
      </c>
      <c r="W181" s="132">
        <f>IF(ISNA(VLOOKUP($CZ181,'Audit Values'!$A$2:$BW$353,2,FALSE)),'Preliminary SO66'!AN180,VLOOKUP($CZ181,'Audit Values'!$A$2:$BW$353,61,FALSE))</f>
        <v>0</v>
      </c>
      <c r="X181" s="95">
        <f>W181*'Weighting Factors'!$Q$8</f>
        <v>0</v>
      </c>
      <c r="Y181" s="95">
        <f t="shared" si="85"/>
        <v>0</v>
      </c>
      <c r="Z181" s="276">
        <f>IF(ISNA(VLOOKUP($CZ181,'Audit Values'!$A$2:$BW$317,2,FALSE)),'Preliminary SO66'!AO180,VLOOKUP($CZ181,'Audit Values'!$A$2:$BW$317,60,FALSE))</f>
        <v>12.5</v>
      </c>
      <c r="AA181" s="95">
        <f>Z181/6*'Weighting Factors'!$Q$6</f>
        <v>1</v>
      </c>
      <c r="AB181" s="99">
        <f>IF(ISNA(VLOOKUP($CZ181,'Audit Values'!$A$2:$BU$353,2,FALSE)),'Preliminary SO66'!AS180,VLOOKUP($CZ181,'Audit Values'!$A$2:$BU$353,63,FALSE))</f>
        <v>224</v>
      </c>
      <c r="AC181" s="99">
        <v>0</v>
      </c>
      <c r="AD181" s="99">
        <f>IF(ISNA(VLOOKUP($CZ181,'Audit Values'!$A$2:$BU$353,2,FALSE)),'Preliminary SO66'!AP180,VLOOKUP($CZ181,'Audit Values'!$A$2:$BU$353,64,FALSE))</f>
        <v>76</v>
      </c>
      <c r="AE181" s="95">
        <f>IF(A181=207, AD181,MAX(AC181,AD181))*'Weighting Factors'!$Q$9</f>
        <v>36.799999999999997</v>
      </c>
      <c r="AF181" s="95">
        <f t="shared" si="86"/>
        <v>0</v>
      </c>
      <c r="AG181" s="95">
        <f>IF(ISNA(VLOOKUP($CZ181,'Audit Values'!$A$2:$BW$353,2,FALSE)),'Preliminary SO66'!AG180,VLOOKUP($CZ181,'Audit Values'!$A$2:$BW$353,70,FALSE))</f>
        <v>0.6</v>
      </c>
      <c r="AH181" s="95">
        <f t="shared" si="87"/>
        <v>0.6</v>
      </c>
      <c r="AI181" s="95">
        <f>IF(ISNA(VLOOKUP($CZ181,'Audit Values'!$A$2:$BU$353,2,FALSE)),'Preliminary SO66'!AQ180,VLOOKUP($CZ181,'Audit Values'!$A$2:$BU$353,65,FALSE))</f>
        <v>0</v>
      </c>
      <c r="AJ181" s="95">
        <f>AI181*'Weighting Factors'!$Q$10</f>
        <v>0</v>
      </c>
      <c r="AK181" s="95">
        <f>IF(ISNA(VLOOKUP($CZ181,'Audit Values'!$A$2:$BU$353,2,FALSE)),'Preliminary SO66'!AR180,VLOOKUP($CZ181,'Audit Values'!$A$2:$BU$353,66,FALSE))</f>
        <v>51</v>
      </c>
      <c r="AL181" s="95"/>
      <c r="AM181" s="99">
        <f t="shared" si="88"/>
        <v>65790</v>
      </c>
      <c r="AN181" s="99">
        <v>101308</v>
      </c>
      <c r="AO181" s="95">
        <f>MAX(AN181, AM181)/'Weighting Factors'!$Q$5</f>
        <v>24.3</v>
      </c>
      <c r="AP181" s="95">
        <f>CN181/'Weighting Factors'!$Q$5</f>
        <v>0</v>
      </c>
      <c r="AQ181" s="95">
        <v>0</v>
      </c>
      <c r="AR181" s="95">
        <f>CS181/'Weighting Factors'!$Q$5</f>
        <v>0</v>
      </c>
      <c r="AS181" s="99">
        <v>385651</v>
      </c>
      <c r="AT181" s="95">
        <f>AS181/'Weighting Factors'!$Q$5</f>
        <v>92.6</v>
      </c>
      <c r="AU181" s="95">
        <f>IF(ISNA(VLOOKUP($CZ181,'Audit Values'!$A$2:$BU$353,2,FALSE)),'Preliminary SO66'!X180,VLOOKUP($CZ181,'Audit Values'!$A$2:$BU$353,47,FALSE))</f>
        <v>0</v>
      </c>
      <c r="AV181" s="95">
        <f t="shared" si="89"/>
        <v>529</v>
      </c>
      <c r="AW181" s="95">
        <f t="shared" si="90"/>
        <v>436.4</v>
      </c>
      <c r="AX181" s="95">
        <f>IF(ISNA(VLOOKUP($CZ181,'Audit Values'!$A$2:$BU$353,2,FALSE)),'Preliminary SO66'!AA180,VLOOKUP($CZ181,'Audit Values'!$A$2:$BU$353,41,FALSE))</f>
        <v>0</v>
      </c>
      <c r="AY181" s="95">
        <f>IF(ISNA(VLOOKUP($CZ181,'Audit Values'!$A$2:$BU$353,2,FALSE)),'Preliminary SO66'!AB180,VLOOKUP($CZ181,'Audit Values'!$A$2:$BU$353,42,FALSE))</f>
        <v>0</v>
      </c>
      <c r="AZ181" s="114">
        <v>0</v>
      </c>
      <c r="BA181" s="99">
        <f>SUM(AX181*'Weighting Factors'!$T$10)+('2019 Legal Max'!AY181*'Weighting Factors'!$T$11)+('2019 Legal Max'!AZ181*'Weighting Factors'!$T$12)</f>
        <v>0</v>
      </c>
      <c r="BB181" s="158">
        <v>0</v>
      </c>
      <c r="BC181" s="88">
        <f>IF(ISNA(VLOOKUP($CZ181,'Audit Values'!$A$2:$BU$353,2,FALSE)),"",IF(AND('Weighting Factors'!H181&gt;0,VLOOKUP($CZ181,'Audit Values'!$A$2:$BU$353,51,FALSE)&lt;'Weighting Factors'!H181),'Weighting Factors'!H181,VLOOKUP($CZ181,'Audit Values'!$A$2:$BU$353,50,FALSE)))</f>
        <v>15</v>
      </c>
      <c r="BD181" s="88" t="str">
        <f>IF(ISNA(VLOOKUP($CZ181,'Audit Values'!$A$2:$BV$353,2,FALSE)),"",VLOOKUP($CZ181,'Audit Values'!$A$2:$BV$353,51,FALSE))</f>
        <v>A</v>
      </c>
      <c r="BE181" s="88" t="str">
        <f>IF('Weighting Factors'!H181="","",IF('Weighting Factors'!J181="Pending","PX","R"))</f>
        <v/>
      </c>
      <c r="BF181" s="97">
        <f>SUM((S181+T181+Y181+AA181+AE181+AH181+AJ181++AO181+AP181+AQ181+AU181+AR181)*'Weighting Factors'!$Q$5)+'2019 Legal Max'!BA181+'2019 Legal Max'!BB181</f>
        <v>1817606</v>
      </c>
      <c r="BG181" s="99">
        <f>SUM((AV181+AR181)*'Weighting Factors'!$Q$5)+BA181+'2019 Legal Max'!BB181</f>
        <v>2203285</v>
      </c>
      <c r="BH181" s="108">
        <f>IF('Weighting Factors'!H181&gt;0,'Weighting Factors'!H181,'Preliminary SO66'!AV180)</f>
        <v>2219529</v>
      </c>
      <c r="BI181" s="99">
        <f t="shared" si="114"/>
        <v>2203285</v>
      </c>
      <c r="BJ181" s="112"/>
      <c r="BK181" s="112">
        <f>'Weighting Factors'!F181</f>
        <v>0</v>
      </c>
      <c r="BL181" s="112">
        <f>'Weighting Factors'!E181</f>
        <v>0</v>
      </c>
      <c r="BM181" s="99">
        <f t="shared" si="91"/>
        <v>0</v>
      </c>
      <c r="BN181" s="99">
        <f t="shared" si="92"/>
        <v>2203285</v>
      </c>
      <c r="BO181" s="99">
        <f>SUM((S181+T181+Y181+AA181+AE181+AH181+AJ181++AO181+AP181+AQ181+AR181)*'Weighting Factors'!Q$12)+(MAX(AS181,'Weighting Factors'!B181))</f>
        <v>2345087</v>
      </c>
      <c r="BP181" s="122">
        <v>0.3</v>
      </c>
      <c r="BQ181" s="99">
        <f t="shared" si="93"/>
        <v>703526</v>
      </c>
      <c r="BR181" s="108">
        <v>709276</v>
      </c>
      <c r="BS181" s="99">
        <f t="shared" si="94"/>
        <v>703526</v>
      </c>
      <c r="BT181" s="167">
        <f t="shared" si="95"/>
        <v>0.3</v>
      </c>
      <c r="BU181" s="95">
        <f t="shared" si="96"/>
        <v>0</v>
      </c>
      <c r="BV181" s="87" t="b">
        <f t="shared" si="97"/>
        <v>1</v>
      </c>
      <c r="BW181" s="117">
        <f t="shared" si="98"/>
        <v>1163.4280000000001</v>
      </c>
      <c r="BX181" s="116">
        <f t="shared" si="99"/>
        <v>0.69491899999999995</v>
      </c>
      <c r="BY181" s="95">
        <f t="shared" si="100"/>
        <v>153.19999999999999</v>
      </c>
      <c r="BZ181" s="87" t="b">
        <f t="shared" si="101"/>
        <v>0</v>
      </c>
      <c r="CA181" s="87">
        <f t="shared" si="102"/>
        <v>0</v>
      </c>
      <c r="CB181" s="116">
        <f t="shared" si="103"/>
        <v>0</v>
      </c>
      <c r="CC181" s="95">
        <f t="shared" si="104"/>
        <v>0</v>
      </c>
      <c r="CD181" s="95">
        <f t="shared" si="105"/>
        <v>0</v>
      </c>
      <c r="CE181" s="98">
        <v>253</v>
      </c>
      <c r="CF181" s="250">
        <f t="shared" si="106"/>
        <v>0.20200000000000001</v>
      </c>
      <c r="CG181" s="274">
        <f>IF(CF181&lt;0.06,1,IF(CF181&gt;=18.29,52,MATCH(CF181-0.001,'Weighting Factors'!$Y$5:$Y$156)+1))</f>
        <v>15</v>
      </c>
      <c r="CH181" s="243">
        <f>VLOOKUP(CG181, 'Weighting Factors'!$W$5:$Z$56,4)</f>
        <v>1290</v>
      </c>
      <c r="CI181" s="118">
        <f>('Weighting Factors'!$Q$5/'Weighting Factors'!$Q$14)</f>
        <v>1</v>
      </c>
      <c r="CJ181" s="245">
        <f t="shared" si="107"/>
        <v>65790</v>
      </c>
      <c r="CK181" s="245">
        <f>CJ181*'Weighting Factors'!$S$7</f>
        <v>65790</v>
      </c>
      <c r="CL181" s="245">
        <f t="shared" si="108"/>
        <v>65790</v>
      </c>
      <c r="CM181" s="95">
        <f>AM181/'Weighting Factors'!$Q$5</f>
        <v>15.8</v>
      </c>
      <c r="CN181" s="148">
        <v>0</v>
      </c>
      <c r="CO181" s="148">
        <v>0</v>
      </c>
      <c r="CP181" s="149">
        <v>0</v>
      </c>
      <c r="CQ181" s="151">
        <v>0</v>
      </c>
      <c r="CR181" s="99">
        <f>SUM((AV181*'Weighting Factors'!$Q$5)+'2019 Legal Max'!BA181)*CQ181</f>
        <v>0</v>
      </c>
      <c r="CS181" s="99">
        <f t="shared" si="109"/>
        <v>0</v>
      </c>
      <c r="CT181" s="106">
        <f t="shared" si="110"/>
        <v>0.33929999999999999</v>
      </c>
      <c r="CU181" s="95">
        <f t="shared" si="111"/>
        <v>0</v>
      </c>
      <c r="CV181" s="95">
        <f t="shared" si="112"/>
        <v>0</v>
      </c>
      <c r="CW181" s="95">
        <f t="shared" si="113"/>
        <v>529</v>
      </c>
      <c r="CX181" s="99">
        <f>'LOB Transfers'!G180</f>
        <v>49176</v>
      </c>
      <c r="CY181" s="99">
        <f>'LOB Transfers'!J180</f>
        <v>0</v>
      </c>
      <c r="CZ181" s="87" t="s">
        <v>373</v>
      </c>
    </row>
    <row r="182" spans="1:104" ht="15" customHeight="1">
      <c r="A182" s="88">
        <v>387</v>
      </c>
      <c r="B182" s="87" t="s">
        <v>83</v>
      </c>
      <c r="C182" s="87" t="s">
        <v>694</v>
      </c>
      <c r="D182" s="95">
        <v>177.5</v>
      </c>
      <c r="E182" s="95">
        <v>0</v>
      </c>
      <c r="F182" s="95">
        <f t="shared" si="80"/>
        <v>177.5</v>
      </c>
      <c r="G182" s="95">
        <v>169</v>
      </c>
      <c r="H182" s="95">
        <v>0</v>
      </c>
      <c r="I182" s="95">
        <f t="shared" si="81"/>
        <v>169</v>
      </c>
      <c r="J182" s="95">
        <v>169.5</v>
      </c>
      <c r="K182" s="95">
        <v>0</v>
      </c>
      <c r="L182" s="95">
        <f t="shared" si="82"/>
        <v>169.5</v>
      </c>
      <c r="M182" s="95">
        <f>IF(ISNA(VLOOKUP($CZ182,'Audit Values'!$A$2:$BW$365,2,FALSE)),'Preliminary SO66'!C181,VLOOKUP($CZ182,'Audit Values'!$A$2:$BW$365,73,FALSE))</f>
        <v>170.5</v>
      </c>
      <c r="N182" s="95">
        <f>IF(ISNA(VLOOKUP($CZ182,'Audit Values'!$A$2:$BW$365,2,FALSE)),'Preliminary SO66'!F181,VLOOKUP($CZ182,'Audit Values'!$A$2:$BW$365,4,FALSE))</f>
        <v>0</v>
      </c>
      <c r="O182" s="95">
        <f t="shared" si="83"/>
        <v>170.5</v>
      </c>
      <c r="P182" s="95">
        <f>IF('Military Provision'!J183="YES", MAX('2019 Legal Max'!L182,'2019 Legal Max'!I182,AVERAGE('2019 Legal Max'!F182,'2019 Legal Max'!I182,'2019 Legal Max'!L182)), MAX(L182, I182))</f>
        <v>169.5</v>
      </c>
      <c r="Q182" s="95">
        <f>IF(ISNA(VLOOKUP($CZ182,'Audit Values'!$A$2:$BU$353,2,FALSE)),'Preliminary SO66'!AL181,VLOOKUP($CZ182,'Audit Values'!$A$2:$BU$3955,58,FALSE))</f>
        <v>1.5</v>
      </c>
      <c r="R182" s="95">
        <v>0</v>
      </c>
      <c r="S182" s="95">
        <f t="shared" si="116"/>
        <v>171</v>
      </c>
      <c r="T182" s="95">
        <f t="shared" si="84"/>
        <v>141.30000000000001</v>
      </c>
      <c r="U182" s="95">
        <f>IF(ISNA(VLOOKUP($CZ182,'Audit Values'!$A$2:$BW$317,2,FALSE)),'Preliminary SO66'!AM181,VLOOKUP($CZ182,'Audit Values'!$A$2:$BW$317,62,FALSE))</f>
        <v>0</v>
      </c>
      <c r="V182" s="95">
        <f>(U182/6)*'Weighting Factors'!$Q$7</f>
        <v>0</v>
      </c>
      <c r="W182" s="132">
        <f>IF(ISNA(VLOOKUP($CZ182,'Audit Values'!$A$2:$BW$353,2,FALSE)),'Preliminary SO66'!AN181,VLOOKUP($CZ182,'Audit Values'!$A$2:$BW$353,61,FALSE))</f>
        <v>0</v>
      </c>
      <c r="X182" s="95">
        <f>W182*'Weighting Factors'!$Q$8</f>
        <v>0</v>
      </c>
      <c r="Y182" s="95">
        <f t="shared" si="85"/>
        <v>0</v>
      </c>
      <c r="Z182" s="276">
        <f>IF(ISNA(VLOOKUP($CZ182,'Audit Values'!$A$2:$BW$317,2,FALSE)),'Preliminary SO66'!AO181,VLOOKUP($CZ182,'Audit Values'!$A$2:$BW$317,60,FALSE))</f>
        <v>24.9</v>
      </c>
      <c r="AA182" s="95">
        <f>Z182/6*'Weighting Factors'!$Q$6</f>
        <v>2.1</v>
      </c>
      <c r="AB182" s="99">
        <f>IF(ISNA(VLOOKUP($CZ182,'Audit Values'!$A$2:$BU$353,2,FALSE)),'Preliminary SO66'!AS181,VLOOKUP($CZ182,'Audit Values'!$A$2:$BU$353,63,FALSE))</f>
        <v>176</v>
      </c>
      <c r="AC182" s="99">
        <v>0</v>
      </c>
      <c r="AD182" s="99">
        <f>IF(ISNA(VLOOKUP($CZ182,'Audit Values'!$A$2:$BU$353,2,FALSE)),'Preliminary SO66'!AP181,VLOOKUP($CZ182,'Audit Values'!$A$2:$BU$353,64,FALSE))</f>
        <v>88</v>
      </c>
      <c r="AE182" s="95">
        <f>IF(A182=207, AD182,MAX(AC182,AD182))*'Weighting Factors'!$Q$9</f>
        <v>42.6</v>
      </c>
      <c r="AF182" s="95">
        <f t="shared" si="86"/>
        <v>9.1999999999999993</v>
      </c>
      <c r="AG182" s="95">
        <f>IF(ISNA(VLOOKUP($CZ182,'Audit Values'!$A$2:$BW$353,2,FALSE)),'Preliminary SO66'!AG181,VLOOKUP($CZ182,'Audit Values'!$A$2:$BW$353,70,FALSE))</f>
        <v>7.7</v>
      </c>
      <c r="AH182" s="95">
        <f t="shared" si="87"/>
        <v>9.1999999999999993</v>
      </c>
      <c r="AI182" s="95">
        <f>IF(ISNA(VLOOKUP($CZ182,'Audit Values'!$A$2:$BU$353,2,FALSE)),'Preliminary SO66'!AQ181,VLOOKUP($CZ182,'Audit Values'!$A$2:$BU$353,65,FALSE))</f>
        <v>0</v>
      </c>
      <c r="AJ182" s="95">
        <f>AI182*'Weighting Factors'!$Q$10</f>
        <v>0</v>
      </c>
      <c r="AK182" s="95">
        <f>IF(ISNA(VLOOKUP($CZ182,'Audit Values'!$A$2:$BU$353,2,FALSE)),'Preliminary SO66'!AR181,VLOOKUP($CZ182,'Audit Values'!$A$2:$BU$353,66,FALSE))</f>
        <v>113</v>
      </c>
      <c r="AL182" s="95"/>
      <c r="AM182" s="99">
        <f t="shared" si="88"/>
        <v>118650</v>
      </c>
      <c r="AN182" s="99">
        <v>144835</v>
      </c>
      <c r="AO182" s="95">
        <f>MAX(AN182, AM182)/'Weighting Factors'!$Q$5</f>
        <v>34.799999999999997</v>
      </c>
      <c r="AP182" s="95">
        <f>CN182/'Weighting Factors'!$Q$5</f>
        <v>0</v>
      </c>
      <c r="AQ182" s="95">
        <v>0</v>
      </c>
      <c r="AR182" s="95">
        <f>CS182/'Weighting Factors'!$Q$5</f>
        <v>0</v>
      </c>
      <c r="AS182" s="99">
        <v>253569</v>
      </c>
      <c r="AT182" s="95">
        <f>AS182/'Weighting Factors'!$Q$5</f>
        <v>60.9</v>
      </c>
      <c r="AU182" s="95">
        <f>IF(ISNA(VLOOKUP($CZ182,'Audit Values'!$A$2:$BU$353,2,FALSE)),'Preliminary SO66'!X181,VLOOKUP($CZ182,'Audit Values'!$A$2:$BU$353,47,FALSE))</f>
        <v>0</v>
      </c>
      <c r="AV182" s="95">
        <f t="shared" si="89"/>
        <v>461.9</v>
      </c>
      <c r="AW182" s="95">
        <f t="shared" si="90"/>
        <v>401</v>
      </c>
      <c r="AX182" s="95">
        <f>IF(ISNA(VLOOKUP($CZ182,'Audit Values'!$A$2:$BU$353,2,FALSE)),'Preliminary SO66'!AA181,VLOOKUP($CZ182,'Audit Values'!$A$2:$BU$353,41,FALSE))</f>
        <v>0</v>
      </c>
      <c r="AY182" s="95">
        <f>IF(ISNA(VLOOKUP($CZ182,'Audit Values'!$A$2:$BU$353,2,FALSE)),'Preliminary SO66'!AB181,VLOOKUP($CZ182,'Audit Values'!$A$2:$BU$353,42,FALSE))</f>
        <v>0</v>
      </c>
      <c r="AZ182" s="114">
        <v>0</v>
      </c>
      <c r="BA182" s="99">
        <f>SUM(AX182*'Weighting Factors'!$T$10)+('2019 Legal Max'!AY182*'Weighting Factors'!$T$11)+('2019 Legal Max'!AZ182*'Weighting Factors'!$T$12)</f>
        <v>0</v>
      </c>
      <c r="BB182" s="158">
        <v>0</v>
      </c>
      <c r="BC182" s="88">
        <f>IF(ISNA(VLOOKUP($CZ182,'Audit Values'!$A$2:$BU$353,2,FALSE)),"",IF(AND('Weighting Factors'!H182&gt;0,VLOOKUP($CZ182,'Audit Values'!$A$2:$BU$353,51,FALSE)&lt;'Weighting Factors'!H182),'Weighting Factors'!H182,VLOOKUP($CZ182,'Audit Values'!$A$2:$BU$353,50,FALSE)))</f>
        <v>11</v>
      </c>
      <c r="BD182" s="88" t="str">
        <f>IF(ISNA(VLOOKUP($CZ182,'Audit Values'!$A$2:$BV$353,2,FALSE)),"",VLOOKUP($CZ182,'Audit Values'!$A$2:$BV$353,51,FALSE))</f>
        <v>A</v>
      </c>
      <c r="BE182" s="88" t="str">
        <f>IF('Weighting Factors'!H182="","",IF('Weighting Factors'!J182="Pending","PX","R"))</f>
        <v>R</v>
      </c>
      <c r="BF182" s="97">
        <f>SUM((S182+T182+Y182+AA182+AE182+AH182+AJ182++AO182+AP182+AQ182+AU182+AR182)*'Weighting Factors'!$Q$5)+'2019 Legal Max'!BA182+'2019 Legal Max'!BB182</f>
        <v>1670165</v>
      </c>
      <c r="BG182" s="99">
        <f>SUM((AV182+AR182)*'Weighting Factors'!$Q$5)+BA182+'2019 Legal Max'!BB182</f>
        <v>1923814</v>
      </c>
      <c r="BH182" s="108">
        <f>IF('Weighting Factors'!H182&gt;0,'Weighting Factors'!H182,'Preliminary SO66'!AV181)</f>
        <v>1923814</v>
      </c>
      <c r="BI182" s="99">
        <f t="shared" si="114"/>
        <v>1923814</v>
      </c>
      <c r="BJ182" s="112"/>
      <c r="BK182" s="112">
        <f>'Weighting Factors'!F182</f>
        <v>-9605</v>
      </c>
      <c r="BL182" s="112">
        <f>'Weighting Factors'!E182</f>
        <v>0</v>
      </c>
      <c r="BM182" s="99">
        <f t="shared" si="91"/>
        <v>-9605</v>
      </c>
      <c r="BN182" s="99">
        <f t="shared" si="92"/>
        <v>1914209</v>
      </c>
      <c r="BO182" s="99">
        <f>SUM((S182+T182+Y182+AA182+AE182+AH182+AJ182++AO182+AP182+AQ182+AR182)*'Weighting Factors'!Q$12)+(MAX(AS182,'Weighting Factors'!B182))</f>
        <v>2066656</v>
      </c>
      <c r="BP182" s="122">
        <v>0.33</v>
      </c>
      <c r="BQ182" s="99">
        <f t="shared" si="93"/>
        <v>681996</v>
      </c>
      <c r="BR182" s="108">
        <v>615000</v>
      </c>
      <c r="BS182" s="99">
        <f t="shared" si="94"/>
        <v>615000</v>
      </c>
      <c r="BT182" s="167">
        <f t="shared" si="95"/>
        <v>0.29759999999999998</v>
      </c>
      <c r="BU182" s="95">
        <f t="shared" si="96"/>
        <v>0</v>
      </c>
      <c r="BV182" s="87" t="b">
        <f t="shared" si="97"/>
        <v>1</v>
      </c>
      <c r="BW182" s="117">
        <f t="shared" si="98"/>
        <v>685.505</v>
      </c>
      <c r="BX182" s="116">
        <f t="shared" si="99"/>
        <v>0.82613000000000003</v>
      </c>
      <c r="BY182" s="95">
        <f t="shared" si="100"/>
        <v>141.30000000000001</v>
      </c>
      <c r="BZ182" s="87" t="b">
        <f t="shared" si="101"/>
        <v>0</v>
      </c>
      <c r="CA182" s="87">
        <f t="shared" si="102"/>
        <v>0</v>
      </c>
      <c r="CB182" s="116">
        <f t="shared" si="103"/>
        <v>0</v>
      </c>
      <c r="CC182" s="95">
        <f t="shared" si="104"/>
        <v>0</v>
      </c>
      <c r="CD182" s="95">
        <f t="shared" si="105"/>
        <v>0</v>
      </c>
      <c r="CE182" s="98">
        <v>192</v>
      </c>
      <c r="CF182" s="250">
        <f t="shared" si="106"/>
        <v>0.58899999999999997</v>
      </c>
      <c r="CG182" s="274">
        <f>IF(CF182&lt;0.06,1,IF(CF182&gt;=18.29,52,MATCH(CF182-0.001,'Weighting Factors'!$Y$5:$Y$156)+1))</f>
        <v>27</v>
      </c>
      <c r="CH182" s="243">
        <f>VLOOKUP(CG182, 'Weighting Factors'!$W$5:$Z$56,4)</f>
        <v>1050</v>
      </c>
      <c r="CI182" s="118">
        <f>('Weighting Factors'!$Q$5/'Weighting Factors'!$Q$14)</f>
        <v>1</v>
      </c>
      <c r="CJ182" s="245">
        <f t="shared" si="107"/>
        <v>118650</v>
      </c>
      <c r="CK182" s="245">
        <f>CJ182*'Weighting Factors'!$S$7</f>
        <v>118650</v>
      </c>
      <c r="CL182" s="245">
        <f t="shared" si="108"/>
        <v>118650</v>
      </c>
      <c r="CM182" s="95">
        <f>AM182/'Weighting Factors'!$Q$5</f>
        <v>28.5</v>
      </c>
      <c r="CN182" s="148">
        <v>0</v>
      </c>
      <c r="CO182" s="148">
        <v>0</v>
      </c>
      <c r="CP182" s="149">
        <v>0</v>
      </c>
      <c r="CQ182" s="151">
        <v>0</v>
      </c>
      <c r="CR182" s="99">
        <f>SUM((AV182*'Weighting Factors'!$Q$5)+'2019 Legal Max'!BA182)*CQ182</f>
        <v>0</v>
      </c>
      <c r="CS182" s="99">
        <f t="shared" si="109"/>
        <v>0</v>
      </c>
      <c r="CT182" s="106">
        <f t="shared" si="110"/>
        <v>0.5</v>
      </c>
      <c r="CU182" s="95">
        <f t="shared" si="111"/>
        <v>9.1999999999999993</v>
      </c>
      <c r="CV182" s="95">
        <f t="shared" si="112"/>
        <v>0</v>
      </c>
      <c r="CW182" s="95">
        <f t="shared" si="113"/>
        <v>461.9</v>
      </c>
      <c r="CX182" s="99">
        <f>'LOB Transfers'!G181</f>
        <v>56888</v>
      </c>
      <c r="CY182" s="99">
        <f>'LOB Transfers'!J181</f>
        <v>0</v>
      </c>
      <c r="CZ182" s="87" t="s">
        <v>374</v>
      </c>
    </row>
    <row r="183" spans="1:104" ht="15" customHeight="1">
      <c r="A183" s="88">
        <v>388</v>
      </c>
      <c r="B183" s="87" t="s">
        <v>84</v>
      </c>
      <c r="C183" s="87" t="s">
        <v>695</v>
      </c>
      <c r="D183" s="95">
        <v>419.6</v>
      </c>
      <c r="E183" s="95">
        <v>0</v>
      </c>
      <c r="F183" s="95">
        <f t="shared" si="80"/>
        <v>419.6</v>
      </c>
      <c r="G183" s="95">
        <v>431.1</v>
      </c>
      <c r="H183" s="95">
        <v>0</v>
      </c>
      <c r="I183" s="95">
        <f t="shared" si="81"/>
        <v>431.1</v>
      </c>
      <c r="J183" s="95">
        <v>426.8</v>
      </c>
      <c r="K183" s="95">
        <v>0</v>
      </c>
      <c r="L183" s="95">
        <f t="shared" si="82"/>
        <v>426.8</v>
      </c>
      <c r="M183" s="95">
        <f>IF(ISNA(VLOOKUP($CZ183,'Audit Values'!$A$2:$BW$365,2,FALSE)),'Preliminary SO66'!C182,VLOOKUP($CZ183,'Audit Values'!$A$2:$BW$365,73,FALSE))</f>
        <v>412.6</v>
      </c>
      <c r="N183" s="95">
        <f>IF(ISNA(VLOOKUP($CZ183,'Audit Values'!$A$2:$BW$365,2,FALSE)),'Preliminary SO66'!F182,VLOOKUP($CZ183,'Audit Values'!$A$2:$BW$365,4,FALSE))</f>
        <v>0</v>
      </c>
      <c r="O183" s="95">
        <f t="shared" si="83"/>
        <v>412.6</v>
      </c>
      <c r="P183" s="95">
        <f>IF('Military Provision'!J184="YES", MAX('2019 Legal Max'!L183,'2019 Legal Max'!I183,AVERAGE('2019 Legal Max'!F183,'2019 Legal Max'!I183,'2019 Legal Max'!L183)), MAX(L183, I183))</f>
        <v>431.1</v>
      </c>
      <c r="Q183" s="95">
        <f>IF(ISNA(VLOOKUP($CZ183,'Audit Values'!$A$2:$BU$353,2,FALSE)),'Preliminary SO66'!AL182,VLOOKUP($CZ183,'Audit Values'!$A$2:$BU$3955,58,FALSE))</f>
        <v>0</v>
      </c>
      <c r="R183" s="95">
        <v>0</v>
      </c>
      <c r="S183" s="95">
        <f t="shared" si="116"/>
        <v>431.1</v>
      </c>
      <c r="T183" s="95">
        <f t="shared" si="84"/>
        <v>189.5</v>
      </c>
      <c r="U183" s="95">
        <f>IF(ISNA(VLOOKUP($CZ183,'Audit Values'!$A$2:$BW$317,2,FALSE)),'Preliminary SO66'!AM182,VLOOKUP($CZ183,'Audit Values'!$A$2:$BW$317,62,FALSE))</f>
        <v>0</v>
      </c>
      <c r="V183" s="95">
        <f>(U183/6)*'Weighting Factors'!$Q$7</f>
        <v>0</v>
      </c>
      <c r="W183" s="132">
        <f>IF(ISNA(VLOOKUP($CZ183,'Audit Values'!$A$2:$BW$353,2,FALSE)),'Preliminary SO66'!AN182,VLOOKUP($CZ183,'Audit Values'!$A$2:$BW$353,61,FALSE))</f>
        <v>0</v>
      </c>
      <c r="X183" s="95">
        <f>W183*'Weighting Factors'!$Q$8</f>
        <v>0</v>
      </c>
      <c r="Y183" s="95">
        <f t="shared" si="85"/>
        <v>0</v>
      </c>
      <c r="Z183" s="276">
        <f>IF(ISNA(VLOOKUP($CZ183,'Audit Values'!$A$2:$BW$317,2,FALSE)),'Preliminary SO66'!AO182,VLOOKUP($CZ183,'Audit Values'!$A$2:$BW$317,60,FALSE))</f>
        <v>209.3</v>
      </c>
      <c r="AA183" s="95">
        <f>Z183/6*'Weighting Factors'!$Q$6</f>
        <v>17.399999999999999</v>
      </c>
      <c r="AB183" s="99">
        <f>IF(ISNA(VLOOKUP($CZ183,'Audit Values'!$A$2:$BU$353,2,FALSE)),'Preliminary SO66'!AS182,VLOOKUP($CZ183,'Audit Values'!$A$2:$BU$353,63,FALSE))</f>
        <v>459</v>
      </c>
      <c r="AC183" s="99">
        <v>0</v>
      </c>
      <c r="AD183" s="99">
        <f>IF(ISNA(VLOOKUP($CZ183,'Audit Values'!$A$2:$BU$353,2,FALSE)),'Preliminary SO66'!AP182,VLOOKUP($CZ183,'Audit Values'!$A$2:$BU$353,64,FALSE))</f>
        <v>89</v>
      </c>
      <c r="AE183" s="95">
        <f>IF(A183=207, AD183,MAX(AC183,AD183))*'Weighting Factors'!$Q$9</f>
        <v>43.1</v>
      </c>
      <c r="AF183" s="95">
        <f t="shared" si="86"/>
        <v>0</v>
      </c>
      <c r="AG183" s="95">
        <f>IF(ISNA(VLOOKUP($CZ183,'Audit Values'!$A$2:$BW$353,2,FALSE)),'Preliminary SO66'!AG182,VLOOKUP($CZ183,'Audit Values'!$A$2:$BW$353,70,FALSE))</f>
        <v>0</v>
      </c>
      <c r="AH183" s="95">
        <f t="shared" si="87"/>
        <v>0</v>
      </c>
      <c r="AI183" s="95">
        <f>IF(ISNA(VLOOKUP($CZ183,'Audit Values'!$A$2:$BU$353,2,FALSE)),'Preliminary SO66'!AQ182,VLOOKUP($CZ183,'Audit Values'!$A$2:$BU$353,65,FALSE))</f>
        <v>0</v>
      </c>
      <c r="AJ183" s="95">
        <f>AI183*'Weighting Factors'!$Q$10</f>
        <v>0</v>
      </c>
      <c r="AK183" s="95">
        <f>IF(ISNA(VLOOKUP($CZ183,'Audit Values'!$A$2:$BU$353,2,FALSE)),'Preliminary SO66'!AR182,VLOOKUP($CZ183,'Audit Values'!$A$2:$BU$353,66,FALSE))</f>
        <v>35.4</v>
      </c>
      <c r="AL183" s="95"/>
      <c r="AM183" s="99">
        <f t="shared" si="88"/>
        <v>49914</v>
      </c>
      <c r="AN183" s="99">
        <v>61632</v>
      </c>
      <c r="AO183" s="95">
        <f>MAX(AN183, AM183)/'Weighting Factors'!$Q$5</f>
        <v>14.8</v>
      </c>
      <c r="AP183" s="95">
        <f>CN183/'Weighting Factors'!$Q$5</f>
        <v>0</v>
      </c>
      <c r="AQ183" s="95">
        <v>0</v>
      </c>
      <c r="AR183" s="95">
        <f>CS183/'Weighting Factors'!$Q$5</f>
        <v>0</v>
      </c>
      <c r="AS183" s="99">
        <v>387350</v>
      </c>
      <c r="AT183" s="95">
        <f>AS183/'Weighting Factors'!$Q$5</f>
        <v>93</v>
      </c>
      <c r="AU183" s="95">
        <f>IF(ISNA(VLOOKUP($CZ183,'Audit Values'!$A$2:$BU$353,2,FALSE)),'Preliminary SO66'!X182,VLOOKUP($CZ183,'Audit Values'!$A$2:$BU$353,47,FALSE))</f>
        <v>0</v>
      </c>
      <c r="AV183" s="95">
        <f t="shared" si="89"/>
        <v>788.9</v>
      </c>
      <c r="AW183" s="95">
        <f t="shared" si="90"/>
        <v>695.9</v>
      </c>
      <c r="AX183" s="95">
        <f>IF(ISNA(VLOOKUP($CZ183,'Audit Values'!$A$2:$BU$353,2,FALSE)),'Preliminary SO66'!AA182,VLOOKUP($CZ183,'Audit Values'!$A$2:$BU$353,41,FALSE))</f>
        <v>0</v>
      </c>
      <c r="AY183" s="95">
        <f>IF(ISNA(VLOOKUP($CZ183,'Audit Values'!$A$2:$BU$353,2,FALSE)),'Preliminary SO66'!AB182,VLOOKUP($CZ183,'Audit Values'!$A$2:$BU$353,42,FALSE))</f>
        <v>0</v>
      </c>
      <c r="AZ183" s="114">
        <v>0</v>
      </c>
      <c r="BA183" s="99">
        <f>SUM(AX183*'Weighting Factors'!$T$10)+('2019 Legal Max'!AY183*'Weighting Factors'!$T$11)+('2019 Legal Max'!AZ183*'Weighting Factors'!$T$12)</f>
        <v>0</v>
      </c>
      <c r="BB183" s="158">
        <v>0</v>
      </c>
      <c r="BC183" s="88">
        <f>IF(ISNA(VLOOKUP($CZ183,'Audit Values'!$A$2:$BU$353,2,FALSE)),"",IF(AND('Weighting Factors'!H183&gt;0,VLOOKUP($CZ183,'Audit Values'!$A$2:$BU$353,51,FALSE)&lt;'Weighting Factors'!H183),'Weighting Factors'!H183,VLOOKUP($CZ183,'Audit Values'!$A$2:$BU$353,50,FALSE)))</f>
        <v>14</v>
      </c>
      <c r="BD183" s="88" t="str">
        <f>IF(ISNA(VLOOKUP($CZ183,'Audit Values'!$A$2:$BV$353,2,FALSE)),"",VLOOKUP($CZ183,'Audit Values'!$A$2:$BV$353,51,FALSE))</f>
        <v>A</v>
      </c>
      <c r="BE183" s="88" t="str">
        <f>IF('Weighting Factors'!H183="","",IF('Weighting Factors'!J183="Pending","PX","R"))</f>
        <v/>
      </c>
      <c r="BF183" s="97">
        <f>SUM((S183+T183+Y183+AA183+AE183+AH183+AJ183++AO183+AP183+AQ183+AU183+AR183)*'Weighting Factors'!$Q$5)+'2019 Legal Max'!BA183+'2019 Legal Max'!BB183</f>
        <v>2898424</v>
      </c>
      <c r="BG183" s="99">
        <f>SUM((AV183+AR183)*'Weighting Factors'!$Q$5)+BA183+'2019 Legal Max'!BB183</f>
        <v>3285769</v>
      </c>
      <c r="BH183" s="108">
        <f>IF('Weighting Factors'!H183&gt;0,'Weighting Factors'!H183,'Preliminary SO66'!AV182)</f>
        <v>3297847</v>
      </c>
      <c r="BI183" s="99">
        <f t="shared" si="114"/>
        <v>3285769</v>
      </c>
      <c r="BJ183" s="112"/>
      <c r="BK183" s="112">
        <f>'Weighting Factors'!F183</f>
        <v>0</v>
      </c>
      <c r="BL183" s="112">
        <f>'Weighting Factors'!E183</f>
        <v>0</v>
      </c>
      <c r="BM183" s="99">
        <f t="shared" si="91"/>
        <v>0</v>
      </c>
      <c r="BN183" s="99">
        <f t="shared" si="92"/>
        <v>3285769</v>
      </c>
      <c r="BO183" s="99">
        <f>SUM((S183+T183+Y183+AA183+AE183+AH183+AJ183++AO183+AP183+AQ183+AR183)*'Weighting Factors'!Q$12)+(MAX(AS183,'Weighting Factors'!B183))</f>
        <v>3511941</v>
      </c>
      <c r="BP183" s="122">
        <v>0.3</v>
      </c>
      <c r="BQ183" s="99">
        <f t="shared" si="93"/>
        <v>1053582</v>
      </c>
      <c r="BR183" s="108">
        <v>1064245</v>
      </c>
      <c r="BS183" s="99">
        <f t="shared" si="94"/>
        <v>1053582</v>
      </c>
      <c r="BT183" s="167">
        <f t="shared" si="95"/>
        <v>0.3</v>
      </c>
      <c r="BU183" s="95">
        <f t="shared" si="96"/>
        <v>0</v>
      </c>
      <c r="BV183" s="87" t="b">
        <f t="shared" si="97"/>
        <v>0</v>
      </c>
      <c r="BW183" s="117">
        <f t="shared" si="98"/>
        <v>0</v>
      </c>
      <c r="BX183" s="116">
        <f t="shared" si="99"/>
        <v>0</v>
      </c>
      <c r="BY183" s="95">
        <f t="shared" si="100"/>
        <v>0</v>
      </c>
      <c r="BZ183" s="87" t="b">
        <f t="shared" si="101"/>
        <v>1</v>
      </c>
      <c r="CA183" s="87">
        <f t="shared" si="102"/>
        <v>162.2363</v>
      </c>
      <c r="CB183" s="116">
        <f t="shared" si="103"/>
        <v>0.43964500000000001</v>
      </c>
      <c r="CC183" s="95">
        <f t="shared" si="104"/>
        <v>189.5</v>
      </c>
      <c r="CD183" s="95">
        <f t="shared" si="105"/>
        <v>0</v>
      </c>
      <c r="CE183" s="98">
        <v>280.5</v>
      </c>
      <c r="CF183" s="250">
        <f t="shared" si="106"/>
        <v>0.126</v>
      </c>
      <c r="CG183" s="274">
        <f>IF(CF183&lt;0.06,1,IF(CF183&gt;=18.29,52,MATCH(CF183-0.001,'Weighting Factors'!$Y$5:$Y$156)+1))</f>
        <v>8</v>
      </c>
      <c r="CH183" s="243">
        <f>VLOOKUP(CG183, 'Weighting Factors'!$W$5:$Z$56,4)</f>
        <v>1410</v>
      </c>
      <c r="CI183" s="118">
        <f>('Weighting Factors'!$Q$5/'Weighting Factors'!$Q$14)</f>
        <v>1</v>
      </c>
      <c r="CJ183" s="245">
        <f t="shared" si="107"/>
        <v>49914</v>
      </c>
      <c r="CK183" s="245">
        <f>CJ183*'Weighting Factors'!$S$7</f>
        <v>49914</v>
      </c>
      <c r="CL183" s="245">
        <f t="shared" si="108"/>
        <v>49914</v>
      </c>
      <c r="CM183" s="95">
        <f>AM183/'Weighting Factors'!$Q$5</f>
        <v>12</v>
      </c>
      <c r="CN183" s="148">
        <v>0</v>
      </c>
      <c r="CO183" s="148">
        <v>0</v>
      </c>
      <c r="CP183" s="149">
        <v>0</v>
      </c>
      <c r="CQ183" s="151">
        <v>0</v>
      </c>
      <c r="CR183" s="99">
        <f>SUM((AV183*'Weighting Factors'!$Q$5)+'2019 Legal Max'!BA183)*CQ183</f>
        <v>0</v>
      </c>
      <c r="CS183" s="99">
        <f t="shared" si="109"/>
        <v>0</v>
      </c>
      <c r="CT183" s="106">
        <f t="shared" si="110"/>
        <v>0.19389999999999999</v>
      </c>
      <c r="CU183" s="95">
        <f t="shared" si="111"/>
        <v>0</v>
      </c>
      <c r="CV183" s="95">
        <f t="shared" si="112"/>
        <v>0</v>
      </c>
      <c r="CW183" s="95">
        <f t="shared" si="113"/>
        <v>788.9</v>
      </c>
      <c r="CX183" s="99">
        <f>'LOB Transfers'!G182</f>
        <v>57526</v>
      </c>
      <c r="CY183" s="99">
        <f>'LOB Transfers'!J182</f>
        <v>0</v>
      </c>
      <c r="CZ183" s="87" t="s">
        <v>375</v>
      </c>
    </row>
    <row r="184" spans="1:104" ht="15" customHeight="1">
      <c r="A184" s="88">
        <v>389</v>
      </c>
      <c r="B184" s="87" t="s">
        <v>82</v>
      </c>
      <c r="C184" s="87" t="s">
        <v>696</v>
      </c>
      <c r="D184" s="95">
        <v>606</v>
      </c>
      <c r="E184" s="95">
        <v>0</v>
      </c>
      <c r="F184" s="95">
        <f t="shared" si="80"/>
        <v>606</v>
      </c>
      <c r="G184" s="95">
        <v>627.5</v>
      </c>
      <c r="H184" s="95">
        <v>0</v>
      </c>
      <c r="I184" s="95">
        <f t="shared" si="81"/>
        <v>627.5</v>
      </c>
      <c r="J184" s="95">
        <v>638</v>
      </c>
      <c r="K184" s="95">
        <v>0</v>
      </c>
      <c r="L184" s="95">
        <f t="shared" si="82"/>
        <v>638</v>
      </c>
      <c r="M184" s="95">
        <f>IF(ISNA(VLOOKUP($CZ184,'Audit Values'!$A$2:$BW$365,2,FALSE)),'Preliminary SO66'!C183,VLOOKUP($CZ184,'Audit Values'!$A$2:$BW$365,73,FALSE))</f>
        <v>619</v>
      </c>
      <c r="N184" s="95">
        <f>IF(ISNA(VLOOKUP($CZ184,'Audit Values'!$A$2:$BW$365,2,FALSE)),'Preliminary SO66'!F183,VLOOKUP($CZ184,'Audit Values'!$A$2:$BW$365,4,FALSE))</f>
        <v>0</v>
      </c>
      <c r="O184" s="95">
        <f t="shared" si="83"/>
        <v>619</v>
      </c>
      <c r="P184" s="95">
        <f>IF('Military Provision'!J185="YES", MAX('2019 Legal Max'!L184,'2019 Legal Max'!I184,AVERAGE('2019 Legal Max'!F184,'2019 Legal Max'!I184,'2019 Legal Max'!L184)), MAX(L184, I184))</f>
        <v>638</v>
      </c>
      <c r="Q184" s="95">
        <f>IF(ISNA(VLOOKUP($CZ184,'Audit Values'!$A$2:$BU$353,2,FALSE)),'Preliminary SO66'!AL183,VLOOKUP($CZ184,'Audit Values'!$A$2:$BU$3955,58,FALSE))</f>
        <v>16.5</v>
      </c>
      <c r="R184" s="95">
        <v>0</v>
      </c>
      <c r="S184" s="95">
        <f t="shared" si="116"/>
        <v>654.5</v>
      </c>
      <c r="T184" s="95">
        <f t="shared" si="84"/>
        <v>238.1</v>
      </c>
      <c r="U184" s="95">
        <f>IF(ISNA(VLOOKUP($CZ184,'Audit Values'!$A$2:$BW$317,2,FALSE)),'Preliminary SO66'!AM183,VLOOKUP($CZ184,'Audit Values'!$A$2:$BW$317,62,FALSE))</f>
        <v>0</v>
      </c>
      <c r="V184" s="95">
        <f>(U184/6)*'Weighting Factors'!$Q$7</f>
        <v>0</v>
      </c>
      <c r="W184" s="132">
        <f>IF(ISNA(VLOOKUP($CZ184,'Audit Values'!$A$2:$BW$353,2,FALSE)),'Preliminary SO66'!AN183,VLOOKUP($CZ184,'Audit Values'!$A$2:$BW$353,61,FALSE))</f>
        <v>7</v>
      </c>
      <c r="X184" s="95">
        <f>W184*'Weighting Factors'!$Q$8</f>
        <v>1.3</v>
      </c>
      <c r="Y184" s="95">
        <f t="shared" si="85"/>
        <v>1.3</v>
      </c>
      <c r="Z184" s="276">
        <f>IF(ISNA(VLOOKUP($CZ184,'Audit Values'!$A$2:$BW$317,2,FALSE)),'Preliminary SO66'!AO183,VLOOKUP($CZ184,'Audit Values'!$A$2:$BW$317,60,FALSE))</f>
        <v>162.4</v>
      </c>
      <c r="AA184" s="95">
        <f>Z184/6*'Weighting Factors'!$Q$6</f>
        <v>13.5</v>
      </c>
      <c r="AB184" s="99">
        <f>IF(ISNA(VLOOKUP($CZ184,'Audit Values'!$A$2:$BU$353,2,FALSE)),'Preliminary SO66'!AS183,VLOOKUP($CZ184,'Audit Values'!$A$2:$BU$353,63,FALSE))</f>
        <v>661</v>
      </c>
      <c r="AC184" s="99">
        <v>0</v>
      </c>
      <c r="AD184" s="99">
        <f>IF(ISNA(VLOOKUP($CZ184,'Audit Values'!$A$2:$BU$353,2,FALSE)),'Preliminary SO66'!AP183,VLOOKUP($CZ184,'Audit Values'!$A$2:$BU$353,64,FALSE))</f>
        <v>356</v>
      </c>
      <c r="AE184" s="95">
        <f>IF(A184=207, AD184,MAX(AC184,AD184))*'Weighting Factors'!$Q$9</f>
        <v>172.3</v>
      </c>
      <c r="AF184" s="95">
        <f t="shared" si="86"/>
        <v>37.4</v>
      </c>
      <c r="AG184" s="95">
        <f>IF(ISNA(VLOOKUP($CZ184,'Audit Values'!$A$2:$BW$353,2,FALSE)),'Preliminary SO66'!AG183,VLOOKUP($CZ184,'Audit Values'!$A$2:$BW$353,70,FALSE))</f>
        <v>35.200000000000003</v>
      </c>
      <c r="AH184" s="95">
        <f t="shared" si="87"/>
        <v>37.4</v>
      </c>
      <c r="AI184" s="95">
        <f>IF(ISNA(VLOOKUP($CZ184,'Audit Values'!$A$2:$BU$353,2,FALSE)),'Preliminary SO66'!AQ183,VLOOKUP($CZ184,'Audit Values'!$A$2:$BU$353,65,FALSE))</f>
        <v>0</v>
      </c>
      <c r="AJ184" s="95">
        <f>AI184*'Weighting Factors'!$Q$10</f>
        <v>0</v>
      </c>
      <c r="AK184" s="95">
        <f>IF(ISNA(VLOOKUP($CZ184,'Audit Values'!$A$2:$BU$353,2,FALSE)),'Preliminary SO66'!AR183,VLOOKUP($CZ184,'Audit Values'!$A$2:$BU$353,66,FALSE))</f>
        <v>186</v>
      </c>
      <c r="AL184" s="95"/>
      <c r="AM184" s="99">
        <f t="shared" si="88"/>
        <v>217620</v>
      </c>
      <c r="AN184" s="99">
        <v>265403</v>
      </c>
      <c r="AO184" s="95">
        <f>MAX(AN184, AM184)/'Weighting Factors'!$Q$5</f>
        <v>63.7</v>
      </c>
      <c r="AP184" s="95">
        <f>CN184/'Weighting Factors'!$Q$5</f>
        <v>0</v>
      </c>
      <c r="AQ184" s="95">
        <v>0</v>
      </c>
      <c r="AR184" s="95">
        <f>CS184/'Weighting Factors'!$Q$5</f>
        <v>0</v>
      </c>
      <c r="AS184" s="99">
        <v>599802</v>
      </c>
      <c r="AT184" s="95">
        <f>AS184/'Weighting Factors'!$Q$5</f>
        <v>144</v>
      </c>
      <c r="AU184" s="95">
        <f>IF(ISNA(VLOOKUP($CZ184,'Audit Values'!$A$2:$BU$353,2,FALSE)),'Preliminary SO66'!X183,VLOOKUP($CZ184,'Audit Values'!$A$2:$BU$353,47,FALSE))</f>
        <v>0</v>
      </c>
      <c r="AV184" s="95">
        <f t="shared" si="89"/>
        <v>1324.8</v>
      </c>
      <c r="AW184" s="95">
        <f t="shared" si="90"/>
        <v>1180.8</v>
      </c>
      <c r="AX184" s="95">
        <f>IF(ISNA(VLOOKUP($CZ184,'Audit Values'!$A$2:$BU$353,2,FALSE)),'Preliminary SO66'!AA183,VLOOKUP($CZ184,'Audit Values'!$A$2:$BU$353,41,FALSE))</f>
        <v>0</v>
      </c>
      <c r="AY184" s="95">
        <f>IF(ISNA(VLOOKUP($CZ184,'Audit Values'!$A$2:$BU$353,2,FALSE)),'Preliminary SO66'!AB183,VLOOKUP($CZ184,'Audit Values'!$A$2:$BU$353,42,FALSE))</f>
        <v>0</v>
      </c>
      <c r="AZ184" s="114">
        <v>0</v>
      </c>
      <c r="BA184" s="99">
        <f>SUM(AX184*'Weighting Factors'!$T$10)+('2019 Legal Max'!AY184*'Weighting Factors'!$T$11)+('2019 Legal Max'!AZ184*'Weighting Factors'!$T$12)</f>
        <v>0</v>
      </c>
      <c r="BB184" s="158">
        <v>0</v>
      </c>
      <c r="BC184" s="88">
        <f>IF(ISNA(VLOOKUP($CZ184,'Audit Values'!$A$2:$BU$353,2,FALSE)),"",IF(AND('Weighting Factors'!H184&gt;0,VLOOKUP($CZ184,'Audit Values'!$A$2:$BU$353,51,FALSE)&lt;'Weighting Factors'!H184),'Weighting Factors'!H184,VLOOKUP($CZ184,'Audit Values'!$A$2:$BU$353,50,FALSE)))</f>
        <v>14</v>
      </c>
      <c r="BD184" s="88" t="str">
        <f>IF(ISNA(VLOOKUP($CZ184,'Audit Values'!$A$2:$BV$353,2,FALSE)),"",VLOOKUP($CZ184,'Audit Values'!$A$2:$BV$353,51,FALSE))</f>
        <v>A</v>
      </c>
      <c r="BE184" s="88" t="str">
        <f>IF('Weighting Factors'!H184="","",IF('Weighting Factors'!J184="Pending","PX","R"))</f>
        <v/>
      </c>
      <c r="BF184" s="97">
        <f>SUM((S184+T184+Y184+AA184+AE184+AH184+AJ184++AO184+AP184+AQ184+AU184+AR184)*'Weighting Factors'!$Q$5)+'2019 Legal Max'!BA184+'2019 Legal Max'!BB184</f>
        <v>4918032</v>
      </c>
      <c r="BG184" s="99">
        <f>SUM((AV184+AR184)*'Weighting Factors'!$Q$5)+BA184+'2019 Legal Max'!BB184</f>
        <v>5517792</v>
      </c>
      <c r="BH184" s="108">
        <f>IF('Weighting Factors'!H184&gt;0,'Weighting Factors'!H184,'Preliminary SO66'!AV183)</f>
        <v>5573187</v>
      </c>
      <c r="BI184" s="99">
        <f t="shared" si="114"/>
        <v>5517792</v>
      </c>
      <c r="BJ184" s="112"/>
      <c r="BK184" s="112">
        <f>'Weighting Factors'!F184</f>
        <v>0</v>
      </c>
      <c r="BL184" s="112">
        <f>'Weighting Factors'!E184</f>
        <v>0</v>
      </c>
      <c r="BM184" s="99">
        <f t="shared" si="91"/>
        <v>0</v>
      </c>
      <c r="BN184" s="99">
        <f t="shared" si="92"/>
        <v>5517792</v>
      </c>
      <c r="BO184" s="99">
        <f>SUM((S184+T184+Y184+AA184+AE184+AH184+AJ184++AO184+AP184+AQ184+AR184)*'Weighting Factors'!Q$12)+(MAX(AS184,'Weighting Factors'!B184))</f>
        <v>5901594</v>
      </c>
      <c r="BP184" s="122">
        <v>0.3</v>
      </c>
      <c r="BQ184" s="99">
        <f t="shared" si="93"/>
        <v>1770478</v>
      </c>
      <c r="BR184" s="108">
        <v>1786385</v>
      </c>
      <c r="BS184" s="99">
        <f t="shared" si="94"/>
        <v>1770478</v>
      </c>
      <c r="BT184" s="167">
        <f t="shared" si="95"/>
        <v>0.3</v>
      </c>
      <c r="BU184" s="95">
        <f t="shared" si="96"/>
        <v>0</v>
      </c>
      <c r="BV184" s="87" t="b">
        <f t="shared" si="97"/>
        <v>0</v>
      </c>
      <c r="BW184" s="117">
        <f t="shared" si="98"/>
        <v>0</v>
      </c>
      <c r="BX184" s="116">
        <f t="shared" si="99"/>
        <v>0</v>
      </c>
      <c r="BY184" s="95">
        <f t="shared" si="100"/>
        <v>0</v>
      </c>
      <c r="BZ184" s="87" t="b">
        <f t="shared" si="101"/>
        <v>1</v>
      </c>
      <c r="CA184" s="87">
        <f t="shared" si="102"/>
        <v>438.69380000000001</v>
      </c>
      <c r="CB184" s="116">
        <f t="shared" si="103"/>
        <v>0.36374499999999999</v>
      </c>
      <c r="CC184" s="95">
        <f t="shared" si="104"/>
        <v>238.1</v>
      </c>
      <c r="CD184" s="95">
        <f t="shared" si="105"/>
        <v>0</v>
      </c>
      <c r="CE184" s="98">
        <v>580</v>
      </c>
      <c r="CF184" s="250">
        <f t="shared" si="106"/>
        <v>0.32100000000000001</v>
      </c>
      <c r="CG184" s="274">
        <f>IF(CF184&lt;0.06,1,IF(CF184&gt;=18.29,52,MATCH(CF184-0.001,'Weighting Factors'!$Y$5:$Y$156)+1))</f>
        <v>21</v>
      </c>
      <c r="CH184" s="243">
        <f>VLOOKUP(CG184, 'Weighting Factors'!$W$5:$Z$56,4)</f>
        <v>1170</v>
      </c>
      <c r="CI184" s="118">
        <f>('Weighting Factors'!$Q$5/'Weighting Factors'!$Q$14)</f>
        <v>1</v>
      </c>
      <c r="CJ184" s="245">
        <f t="shared" si="107"/>
        <v>217620</v>
      </c>
      <c r="CK184" s="245">
        <f>CJ184*'Weighting Factors'!$S$7</f>
        <v>217620</v>
      </c>
      <c r="CL184" s="245">
        <f t="shared" si="108"/>
        <v>217620</v>
      </c>
      <c r="CM184" s="95">
        <f>AM184/'Weighting Factors'!$Q$5</f>
        <v>52.2</v>
      </c>
      <c r="CN184" s="148">
        <v>0</v>
      </c>
      <c r="CO184" s="148">
        <v>0</v>
      </c>
      <c r="CP184" s="149">
        <v>0</v>
      </c>
      <c r="CQ184" s="151">
        <v>0</v>
      </c>
      <c r="CR184" s="99">
        <f>SUM((AV184*'Weighting Factors'!$Q$5)+'2019 Legal Max'!BA184)*CQ184</f>
        <v>0</v>
      </c>
      <c r="CS184" s="99">
        <f t="shared" si="109"/>
        <v>0</v>
      </c>
      <c r="CT184" s="106">
        <f t="shared" si="110"/>
        <v>0.53859999999999997</v>
      </c>
      <c r="CU184" s="95">
        <f t="shared" si="111"/>
        <v>37.4</v>
      </c>
      <c r="CV184" s="95">
        <f t="shared" si="112"/>
        <v>0</v>
      </c>
      <c r="CW184" s="95">
        <f t="shared" si="113"/>
        <v>1324.8</v>
      </c>
      <c r="CX184" s="99">
        <f>'LOB Transfers'!G183</f>
        <v>233172</v>
      </c>
      <c r="CY184" s="99">
        <f>'LOB Transfers'!J183</f>
        <v>1770</v>
      </c>
      <c r="CZ184" s="87" t="s">
        <v>376</v>
      </c>
    </row>
    <row r="185" spans="1:104" ht="15" customHeight="1">
      <c r="A185" s="88">
        <v>390</v>
      </c>
      <c r="B185" s="87" t="s">
        <v>82</v>
      </c>
      <c r="C185" s="87" t="s">
        <v>697</v>
      </c>
      <c r="D185" s="95">
        <v>75.5</v>
      </c>
      <c r="E185" s="95">
        <v>0</v>
      </c>
      <c r="F185" s="95">
        <f t="shared" si="80"/>
        <v>75.5</v>
      </c>
      <c r="G185" s="95">
        <v>59</v>
      </c>
      <c r="H185" s="95">
        <v>0</v>
      </c>
      <c r="I185" s="95">
        <f t="shared" si="81"/>
        <v>59</v>
      </c>
      <c r="J185" s="95">
        <v>56</v>
      </c>
      <c r="K185" s="95">
        <v>0</v>
      </c>
      <c r="L185" s="95">
        <f t="shared" si="82"/>
        <v>56</v>
      </c>
      <c r="M185" s="95">
        <f>IF(ISNA(VLOOKUP($CZ185,'Audit Values'!$A$2:$BW$365,2,FALSE)),'Preliminary SO66'!C184,VLOOKUP($CZ185,'Audit Values'!$A$2:$BW$365,73,FALSE))</f>
        <v>60.5</v>
      </c>
      <c r="N185" s="95">
        <f>IF(ISNA(VLOOKUP($CZ185,'Audit Values'!$A$2:$BW$365,2,FALSE)),'Preliminary SO66'!F184,VLOOKUP($CZ185,'Audit Values'!$A$2:$BW$365,4,FALSE))</f>
        <v>0</v>
      </c>
      <c r="O185" s="95">
        <f t="shared" si="83"/>
        <v>60.5</v>
      </c>
      <c r="P185" s="95">
        <f>IF('Military Provision'!J186="YES", MAX('2019 Legal Max'!L185,'2019 Legal Max'!I185,AVERAGE('2019 Legal Max'!F185,'2019 Legal Max'!I185,'2019 Legal Max'!L185)), MAX(L185, I185))</f>
        <v>59</v>
      </c>
      <c r="Q185" s="95">
        <f>IF(ISNA(VLOOKUP($CZ185,'Audit Values'!$A$2:$BU$353,2,FALSE)),'Preliminary SO66'!AL184,VLOOKUP($CZ185,'Audit Values'!$A$2:$BU$3955,58,FALSE))</f>
        <v>0.5</v>
      </c>
      <c r="R185" s="95">
        <v>0</v>
      </c>
      <c r="S185" s="95">
        <f t="shared" si="116"/>
        <v>59.5</v>
      </c>
      <c r="T185" s="95">
        <f t="shared" si="84"/>
        <v>60.4</v>
      </c>
      <c r="U185" s="95">
        <f>IF(ISNA(VLOOKUP($CZ185,'Audit Values'!$A$2:$BW$317,2,FALSE)),'Preliminary SO66'!AM184,VLOOKUP($CZ185,'Audit Values'!$A$2:$BW$317,62,FALSE))</f>
        <v>0</v>
      </c>
      <c r="V185" s="95">
        <f>(U185/6)*'Weighting Factors'!$Q$7</f>
        <v>0</v>
      </c>
      <c r="W185" s="132">
        <f>IF(ISNA(VLOOKUP($CZ185,'Audit Values'!$A$2:$BW$353,2,FALSE)),'Preliminary SO66'!AN184,VLOOKUP($CZ185,'Audit Values'!$A$2:$BW$353,61,FALSE))</f>
        <v>0</v>
      </c>
      <c r="X185" s="95">
        <f>W185*'Weighting Factors'!$Q$8</f>
        <v>0</v>
      </c>
      <c r="Y185" s="95">
        <f t="shared" si="85"/>
        <v>0</v>
      </c>
      <c r="Z185" s="276">
        <f>IF(ISNA(VLOOKUP($CZ185,'Audit Values'!$A$2:$BW$317,2,FALSE)),'Preliminary SO66'!AO184,VLOOKUP($CZ185,'Audit Values'!$A$2:$BW$317,60,FALSE))</f>
        <v>0</v>
      </c>
      <c r="AA185" s="95">
        <f>Z185/6*'Weighting Factors'!$Q$6</f>
        <v>0</v>
      </c>
      <c r="AB185" s="99">
        <f>IF(ISNA(VLOOKUP($CZ185,'Audit Values'!$A$2:$BU$353,2,FALSE)),'Preliminary SO66'!AS184,VLOOKUP($CZ185,'Audit Values'!$A$2:$BU$353,63,FALSE))</f>
        <v>62</v>
      </c>
      <c r="AC185" s="99">
        <v>0</v>
      </c>
      <c r="AD185" s="99">
        <f>IF(ISNA(VLOOKUP($CZ185,'Audit Values'!$A$2:$BU$353,2,FALSE)),'Preliminary SO66'!AP184,VLOOKUP($CZ185,'Audit Values'!$A$2:$BU$353,64,FALSE))</f>
        <v>39</v>
      </c>
      <c r="AE185" s="95">
        <f>IF(A185=207, AD185,MAX(AC185,AD185))*'Weighting Factors'!$Q$9</f>
        <v>18.899999999999999</v>
      </c>
      <c r="AF185" s="95">
        <f t="shared" si="86"/>
        <v>4.0999999999999996</v>
      </c>
      <c r="AG185" s="95">
        <f>IF(ISNA(VLOOKUP($CZ185,'Audit Values'!$A$2:$BW$353,2,FALSE)),'Preliminary SO66'!AG184,VLOOKUP($CZ185,'Audit Values'!$A$2:$BW$353,70,FALSE))</f>
        <v>4.0999999999999996</v>
      </c>
      <c r="AH185" s="95">
        <f t="shared" si="87"/>
        <v>4.0999999999999996</v>
      </c>
      <c r="AI185" s="95">
        <f>IF(ISNA(VLOOKUP($CZ185,'Audit Values'!$A$2:$BU$353,2,FALSE)),'Preliminary SO66'!AQ184,VLOOKUP($CZ185,'Audit Values'!$A$2:$BU$353,65,FALSE))</f>
        <v>0</v>
      </c>
      <c r="AJ185" s="95">
        <f>AI185*'Weighting Factors'!$Q$10</f>
        <v>0</v>
      </c>
      <c r="AK185" s="95">
        <f>IF(ISNA(VLOOKUP($CZ185,'Audit Values'!$A$2:$BU$353,2,FALSE)),'Preliminary SO66'!AR184,VLOOKUP($CZ185,'Audit Values'!$A$2:$BU$353,66,FALSE))</f>
        <v>12</v>
      </c>
      <c r="AL185" s="95"/>
      <c r="AM185" s="99">
        <f t="shared" si="88"/>
        <v>19440</v>
      </c>
      <c r="AN185" s="99">
        <v>40446</v>
      </c>
      <c r="AO185" s="95">
        <f>MAX(AN185, AM185)/'Weighting Factors'!$Q$5</f>
        <v>9.6999999999999993</v>
      </c>
      <c r="AP185" s="95">
        <f>CN185/'Weighting Factors'!$Q$5</f>
        <v>0</v>
      </c>
      <c r="AQ185" s="95">
        <v>0</v>
      </c>
      <c r="AR185" s="95">
        <f>CS185/'Weighting Factors'!$Q$5</f>
        <v>0</v>
      </c>
      <c r="AS185" s="99">
        <v>149913</v>
      </c>
      <c r="AT185" s="95">
        <f>AS185/'Weighting Factors'!$Q$5</f>
        <v>36</v>
      </c>
      <c r="AU185" s="95">
        <f>IF(ISNA(VLOOKUP($CZ185,'Audit Values'!$A$2:$BU$353,2,FALSE)),'Preliminary SO66'!X184,VLOOKUP($CZ185,'Audit Values'!$A$2:$BU$353,47,FALSE))</f>
        <v>0</v>
      </c>
      <c r="AV185" s="95">
        <f t="shared" si="89"/>
        <v>188.6</v>
      </c>
      <c r="AW185" s="95">
        <f t="shared" si="90"/>
        <v>152.6</v>
      </c>
      <c r="AX185" s="95">
        <f>IF(ISNA(VLOOKUP($CZ185,'Audit Values'!$A$2:$BU$353,2,FALSE)),'Preliminary SO66'!AA184,VLOOKUP($CZ185,'Audit Values'!$A$2:$BU$353,41,FALSE))</f>
        <v>0</v>
      </c>
      <c r="AY185" s="95">
        <f>IF(ISNA(VLOOKUP($CZ185,'Audit Values'!$A$2:$BU$353,2,FALSE)),'Preliminary SO66'!AB184,VLOOKUP($CZ185,'Audit Values'!$A$2:$BU$353,42,FALSE))</f>
        <v>0</v>
      </c>
      <c r="AZ185" s="114">
        <v>0</v>
      </c>
      <c r="BA185" s="99">
        <f>SUM(AX185*'Weighting Factors'!$T$10)+('2019 Legal Max'!AY185*'Weighting Factors'!$T$11)+('2019 Legal Max'!AZ185*'Weighting Factors'!$T$12)</f>
        <v>0</v>
      </c>
      <c r="BB185" s="158">
        <v>0</v>
      </c>
      <c r="BC185" s="88">
        <f>IF(ISNA(VLOOKUP($CZ185,'Audit Values'!$A$2:$BU$353,2,FALSE)),"",IF(AND('Weighting Factors'!H185&gt;0,VLOOKUP($CZ185,'Audit Values'!$A$2:$BU$353,51,FALSE)&lt;'Weighting Factors'!H185),'Weighting Factors'!H185,VLOOKUP($CZ185,'Audit Values'!$A$2:$BU$353,50,FALSE)))</f>
        <v>15</v>
      </c>
      <c r="BD185" s="88" t="str">
        <f>IF(ISNA(VLOOKUP($CZ185,'Audit Values'!$A$2:$BV$353,2,FALSE)),"",VLOOKUP($CZ185,'Audit Values'!$A$2:$BV$353,51,FALSE))</f>
        <v>A</v>
      </c>
      <c r="BE185" s="88" t="str">
        <f>IF('Weighting Factors'!H185="","",IF('Weighting Factors'!J185="Pending","PX","R"))</f>
        <v/>
      </c>
      <c r="BF185" s="97">
        <f>SUM((S185+T185+Y185+AA185+AE185+AH185+AJ185++AO185+AP185+AQ185+AU185+AR185)*'Weighting Factors'!$Q$5)+'2019 Legal Max'!BA185+'2019 Legal Max'!BB185</f>
        <v>635579</v>
      </c>
      <c r="BG185" s="99">
        <f>SUM((AV185+AR185)*'Weighting Factors'!$Q$5)+BA185+'2019 Legal Max'!BB185</f>
        <v>785519</v>
      </c>
      <c r="BH185" s="108">
        <f>IF('Weighting Factors'!H185&gt;0,'Weighting Factors'!H185,'Preliminary SO66'!AV184)</f>
        <v>852992</v>
      </c>
      <c r="BI185" s="99">
        <f t="shared" si="114"/>
        <v>785519</v>
      </c>
      <c r="BJ185" s="112"/>
      <c r="BK185" s="112">
        <f>'Weighting Factors'!F185</f>
        <v>-6861</v>
      </c>
      <c r="BL185" s="112">
        <f>'Weighting Factors'!E185</f>
        <v>0</v>
      </c>
      <c r="BM185" s="99">
        <f t="shared" si="91"/>
        <v>-6861</v>
      </c>
      <c r="BN185" s="99">
        <f t="shared" si="92"/>
        <v>778658</v>
      </c>
      <c r="BO185" s="99">
        <f>SUM((S185+T185+Y185+AA185+AE185+AH185+AJ185++AO185+AP185+AQ185+AR185)*'Weighting Factors'!Q$12)+(MAX(AS185,'Weighting Factors'!B185))</f>
        <v>835087</v>
      </c>
      <c r="BP185" s="122">
        <v>0.3</v>
      </c>
      <c r="BQ185" s="99">
        <f t="shared" si="93"/>
        <v>250526</v>
      </c>
      <c r="BR185" s="148">
        <v>271587</v>
      </c>
      <c r="BS185" s="99">
        <f t="shared" si="94"/>
        <v>250526</v>
      </c>
      <c r="BT185" s="167">
        <f t="shared" si="95"/>
        <v>0.3</v>
      </c>
      <c r="BU185" s="95">
        <f t="shared" si="96"/>
        <v>60.4</v>
      </c>
      <c r="BV185" s="87" t="b">
        <f t="shared" si="97"/>
        <v>0</v>
      </c>
      <c r="BW185" s="117">
        <f t="shared" si="98"/>
        <v>0</v>
      </c>
      <c r="BX185" s="116">
        <f t="shared" si="99"/>
        <v>0</v>
      </c>
      <c r="BY185" s="95">
        <f t="shared" si="100"/>
        <v>0</v>
      </c>
      <c r="BZ185" s="87" t="b">
        <f t="shared" si="101"/>
        <v>0</v>
      </c>
      <c r="CA185" s="87">
        <f t="shared" si="102"/>
        <v>0</v>
      </c>
      <c r="CB185" s="116">
        <f t="shared" si="103"/>
        <v>0</v>
      </c>
      <c r="CC185" s="95">
        <f t="shared" si="104"/>
        <v>0</v>
      </c>
      <c r="CD185" s="95">
        <f t="shared" si="105"/>
        <v>0</v>
      </c>
      <c r="CE185" s="98">
        <v>210</v>
      </c>
      <c r="CF185" s="250">
        <f t="shared" si="106"/>
        <v>5.7000000000000002E-2</v>
      </c>
      <c r="CG185" s="274">
        <f>IF(CF185&lt;0.06,1,IF(CF185&gt;=18.29,52,MATCH(CF185-0.001,'Weighting Factors'!$Y$5:$Y$156)+1))</f>
        <v>1</v>
      </c>
      <c r="CH185" s="243">
        <f>VLOOKUP(CG185, 'Weighting Factors'!$W$5:$Z$56,4)</f>
        <v>1620</v>
      </c>
      <c r="CI185" s="118">
        <f>('Weighting Factors'!$Q$5/'Weighting Factors'!$Q$14)</f>
        <v>1</v>
      </c>
      <c r="CJ185" s="245">
        <f t="shared" si="107"/>
        <v>19440</v>
      </c>
      <c r="CK185" s="245">
        <f>CJ185*'Weighting Factors'!$S$7</f>
        <v>19440</v>
      </c>
      <c r="CL185" s="245">
        <f t="shared" si="108"/>
        <v>19440</v>
      </c>
      <c r="CM185" s="95">
        <f>AM185/'Weighting Factors'!$Q$5</f>
        <v>4.7</v>
      </c>
      <c r="CN185" s="148">
        <v>0</v>
      </c>
      <c r="CO185" s="148">
        <v>0</v>
      </c>
      <c r="CP185" s="149">
        <v>0</v>
      </c>
      <c r="CQ185" s="151">
        <v>0</v>
      </c>
      <c r="CR185" s="99">
        <f>SUM((AV185*'Weighting Factors'!$Q$5)+'2019 Legal Max'!BA185)*CQ185</f>
        <v>0</v>
      </c>
      <c r="CS185" s="99">
        <f t="shared" si="109"/>
        <v>0</v>
      </c>
      <c r="CT185" s="106">
        <f t="shared" si="110"/>
        <v>0.629</v>
      </c>
      <c r="CU185" s="95">
        <f t="shared" si="111"/>
        <v>4.0999999999999996</v>
      </c>
      <c r="CV185" s="95">
        <f t="shared" si="112"/>
        <v>0</v>
      </c>
      <c r="CW185" s="95">
        <f t="shared" si="113"/>
        <v>188.6</v>
      </c>
      <c r="CX185" s="99">
        <f>'LOB Transfers'!G184</f>
        <v>25178</v>
      </c>
      <c r="CY185" s="99">
        <f>'LOB Transfers'!J184</f>
        <v>0</v>
      </c>
      <c r="CZ185" s="87" t="s">
        <v>377</v>
      </c>
    </row>
    <row r="186" spans="1:104" ht="15" customHeight="1">
      <c r="A186" s="88">
        <v>392</v>
      </c>
      <c r="B186" s="87" t="s">
        <v>86</v>
      </c>
      <c r="C186" s="87" t="s">
        <v>698</v>
      </c>
      <c r="D186" s="95">
        <v>273.60000000000002</v>
      </c>
      <c r="E186" s="95">
        <v>0</v>
      </c>
      <c r="F186" s="95">
        <f t="shared" si="80"/>
        <v>273.60000000000002</v>
      </c>
      <c r="G186" s="95">
        <v>280</v>
      </c>
      <c r="H186" s="95">
        <v>0</v>
      </c>
      <c r="I186" s="95">
        <f t="shared" si="81"/>
        <v>280</v>
      </c>
      <c r="J186" s="95">
        <v>274.10000000000002</v>
      </c>
      <c r="K186" s="95">
        <v>0</v>
      </c>
      <c r="L186" s="95">
        <f t="shared" si="82"/>
        <v>274.10000000000002</v>
      </c>
      <c r="M186" s="95">
        <f>IF(ISNA(VLOOKUP($CZ186,'Audit Values'!$A$2:$BW$365,2,FALSE)),'Preliminary SO66'!C185,VLOOKUP($CZ186,'Audit Values'!$A$2:$BW$365,73,FALSE))</f>
        <v>282.3</v>
      </c>
      <c r="N186" s="95">
        <f>IF(ISNA(VLOOKUP($CZ186,'Audit Values'!$A$2:$BW$365,2,FALSE)),'Preliminary SO66'!F185,VLOOKUP($CZ186,'Audit Values'!$A$2:$BW$365,4,FALSE))</f>
        <v>0</v>
      </c>
      <c r="O186" s="95">
        <f t="shared" si="83"/>
        <v>282.3</v>
      </c>
      <c r="P186" s="95">
        <f>IF('Military Provision'!J187="YES", MAX('2019 Legal Max'!L186,'2019 Legal Max'!I186,AVERAGE('2019 Legal Max'!F186,'2019 Legal Max'!I186,'2019 Legal Max'!L186)), MAX(L186, I186))</f>
        <v>280</v>
      </c>
      <c r="Q186" s="95">
        <f>IF(ISNA(VLOOKUP($CZ186,'Audit Values'!$A$2:$BU$353,2,FALSE)),'Preliminary SO66'!AL185,VLOOKUP($CZ186,'Audit Values'!$A$2:$BU$3955,58,FALSE))</f>
        <v>3.5</v>
      </c>
      <c r="R186" s="95">
        <v>0</v>
      </c>
      <c r="S186" s="95">
        <f t="shared" si="116"/>
        <v>283.5</v>
      </c>
      <c r="T186" s="95">
        <f t="shared" si="84"/>
        <v>149.69999999999999</v>
      </c>
      <c r="U186" s="95">
        <f>IF(ISNA(VLOOKUP($CZ186,'Audit Values'!$A$2:$BW$317,2,FALSE)),'Preliminary SO66'!AM185,VLOOKUP($CZ186,'Audit Values'!$A$2:$BW$317,62,FALSE))</f>
        <v>0</v>
      </c>
      <c r="V186" s="95">
        <f>(U186/6)*'Weighting Factors'!$Q$7</f>
        <v>0</v>
      </c>
      <c r="W186" s="132">
        <f>IF(ISNA(VLOOKUP($CZ186,'Audit Values'!$A$2:$BW$353,2,FALSE)),'Preliminary SO66'!AN185,VLOOKUP($CZ186,'Audit Values'!$A$2:$BW$353,61,FALSE))</f>
        <v>0</v>
      </c>
      <c r="X186" s="95">
        <f>W186*'Weighting Factors'!$Q$8</f>
        <v>0</v>
      </c>
      <c r="Y186" s="95">
        <f t="shared" si="85"/>
        <v>0</v>
      </c>
      <c r="Z186" s="276">
        <f>IF(ISNA(VLOOKUP($CZ186,'Audit Values'!$A$2:$BW$317,2,FALSE)),'Preliminary SO66'!AO185,VLOOKUP($CZ186,'Audit Values'!$A$2:$BW$317,60,FALSE))</f>
        <v>14.4</v>
      </c>
      <c r="AA186" s="95">
        <f>Z186/6*'Weighting Factors'!$Q$6</f>
        <v>1.2</v>
      </c>
      <c r="AB186" s="99">
        <f>IF(ISNA(VLOOKUP($CZ186,'Audit Values'!$A$2:$BU$353,2,FALSE)),'Preliminary SO66'!AS185,VLOOKUP($CZ186,'Audit Values'!$A$2:$BU$353,63,FALSE))</f>
        <v>292</v>
      </c>
      <c r="AC186" s="99">
        <v>0</v>
      </c>
      <c r="AD186" s="99">
        <f>IF(ISNA(VLOOKUP($CZ186,'Audit Values'!$A$2:$BU$353,2,FALSE)),'Preliminary SO66'!AP185,VLOOKUP($CZ186,'Audit Values'!$A$2:$BU$353,64,FALSE))</f>
        <v>100</v>
      </c>
      <c r="AE186" s="95">
        <f>IF(A186=207, AD186,MAX(AC186,AD186))*'Weighting Factors'!$Q$9</f>
        <v>48.4</v>
      </c>
      <c r="AF186" s="95">
        <f t="shared" si="86"/>
        <v>0</v>
      </c>
      <c r="AG186" s="95">
        <f>IF(ISNA(VLOOKUP($CZ186,'Audit Values'!$A$2:$BW$353,2,FALSE)),'Preliminary SO66'!AG185,VLOOKUP($CZ186,'Audit Values'!$A$2:$BW$353,70,FALSE))</f>
        <v>0.3</v>
      </c>
      <c r="AH186" s="95">
        <f t="shared" si="87"/>
        <v>0.3</v>
      </c>
      <c r="AI186" s="95">
        <f>IF(ISNA(VLOOKUP($CZ186,'Audit Values'!$A$2:$BU$353,2,FALSE)),'Preliminary SO66'!AQ185,VLOOKUP($CZ186,'Audit Values'!$A$2:$BU$353,65,FALSE))</f>
        <v>0</v>
      </c>
      <c r="AJ186" s="95">
        <f>AI186*'Weighting Factors'!$Q$10</f>
        <v>0</v>
      </c>
      <c r="AK186" s="95">
        <f>IF(ISNA(VLOOKUP($CZ186,'Audit Values'!$A$2:$BU$353,2,FALSE)),'Preliminary SO66'!AR185,VLOOKUP($CZ186,'Audit Values'!$A$2:$BU$353,66,FALSE))</f>
        <v>77</v>
      </c>
      <c r="AL186" s="95"/>
      <c r="AM186" s="99">
        <f t="shared" si="88"/>
        <v>103950</v>
      </c>
      <c r="AN186" s="99">
        <v>117101</v>
      </c>
      <c r="AO186" s="95">
        <f>MAX(AN186, AM186)/'Weighting Factors'!$Q$5</f>
        <v>28.1</v>
      </c>
      <c r="AP186" s="95">
        <f>CN186/'Weighting Factors'!$Q$5</f>
        <v>0</v>
      </c>
      <c r="AQ186" s="95">
        <v>0</v>
      </c>
      <c r="AR186" s="95">
        <f>CS186/'Weighting Factors'!$Q$5</f>
        <v>0</v>
      </c>
      <c r="AS186" s="99">
        <v>346754</v>
      </c>
      <c r="AT186" s="95">
        <f>AS186/'Weighting Factors'!$Q$5</f>
        <v>83.3</v>
      </c>
      <c r="AU186" s="95">
        <f>IF(ISNA(VLOOKUP($CZ186,'Audit Values'!$A$2:$BU$353,2,FALSE)),'Preliminary SO66'!X185,VLOOKUP($CZ186,'Audit Values'!$A$2:$BU$353,47,FALSE))</f>
        <v>0</v>
      </c>
      <c r="AV186" s="95">
        <f t="shared" si="89"/>
        <v>594.5</v>
      </c>
      <c r="AW186" s="95">
        <f t="shared" si="90"/>
        <v>511.2</v>
      </c>
      <c r="AX186" s="95">
        <f>IF(ISNA(VLOOKUP($CZ186,'Audit Values'!$A$2:$BU$353,2,FALSE)),'Preliminary SO66'!AA185,VLOOKUP($CZ186,'Audit Values'!$A$2:$BU$353,41,FALSE))</f>
        <v>0</v>
      </c>
      <c r="AY186" s="95">
        <f>IF(ISNA(VLOOKUP($CZ186,'Audit Values'!$A$2:$BU$353,2,FALSE)),'Preliminary SO66'!AB185,VLOOKUP($CZ186,'Audit Values'!$A$2:$BU$353,42,FALSE))</f>
        <v>0</v>
      </c>
      <c r="AZ186" s="114">
        <v>0</v>
      </c>
      <c r="BA186" s="99">
        <f>SUM(AX186*'Weighting Factors'!$T$10)+('2019 Legal Max'!AY186*'Weighting Factors'!$T$11)+('2019 Legal Max'!AZ186*'Weighting Factors'!$T$12)</f>
        <v>0</v>
      </c>
      <c r="BB186" s="158">
        <v>0</v>
      </c>
      <c r="BC186" s="88">
        <f>IF(ISNA(VLOOKUP($CZ186,'Audit Values'!$A$2:$BU$353,2,FALSE)),"",IF(AND('Weighting Factors'!H186&gt;0,VLOOKUP($CZ186,'Audit Values'!$A$2:$BU$353,51,FALSE)&lt;'Weighting Factors'!H186),'Weighting Factors'!H186,VLOOKUP($CZ186,'Audit Values'!$A$2:$BU$353,50,FALSE)))</f>
        <v>15</v>
      </c>
      <c r="BD186" s="88" t="str">
        <f>IF(ISNA(VLOOKUP($CZ186,'Audit Values'!$A$2:$BV$353,2,FALSE)),"",VLOOKUP($CZ186,'Audit Values'!$A$2:$BV$353,51,FALSE))</f>
        <v>A</v>
      </c>
      <c r="BE186" s="88" t="str">
        <f>IF('Weighting Factors'!H186="","",IF('Weighting Factors'!J186="Pending","PX","R"))</f>
        <v/>
      </c>
      <c r="BF186" s="97">
        <f>SUM((S186+T186+Y186+AA186+AE186+AH186+AJ186++AO186+AP186+AQ186+AU186+AR186)*'Weighting Factors'!$Q$5)+'2019 Legal Max'!BA186+'2019 Legal Max'!BB186</f>
        <v>2129148</v>
      </c>
      <c r="BG186" s="99">
        <f>SUM((AV186+AR186)*'Weighting Factors'!$Q$5)+BA186+'2019 Legal Max'!BB186</f>
        <v>2476093</v>
      </c>
      <c r="BH186" s="108">
        <f>IF('Weighting Factors'!H186&gt;0,'Weighting Factors'!H186,'Preliminary SO66'!AV185)</f>
        <v>2601043</v>
      </c>
      <c r="BI186" s="99">
        <f t="shared" si="114"/>
        <v>2476093</v>
      </c>
      <c r="BJ186" s="112">
        <v>0</v>
      </c>
      <c r="BK186" s="112">
        <f>'Weighting Factors'!F186</f>
        <v>0</v>
      </c>
      <c r="BL186" s="112">
        <f>'Weighting Factors'!E186</f>
        <v>0</v>
      </c>
      <c r="BM186" s="99">
        <f t="shared" si="91"/>
        <v>0</v>
      </c>
      <c r="BN186" s="99">
        <f t="shared" si="92"/>
        <v>2476093</v>
      </c>
      <c r="BO186" s="99">
        <f>SUM((S186+T186+Y186+AA186+AE186+AH186+AJ186++AO186+AP186+AQ186+AR186)*'Weighting Factors'!Q$12)+(MAX(AS186,'Weighting Factors'!B186))</f>
        <v>2691176</v>
      </c>
      <c r="BP186" s="122">
        <v>0.3</v>
      </c>
      <c r="BQ186" s="99">
        <f t="shared" si="93"/>
        <v>807353</v>
      </c>
      <c r="BR186" s="108">
        <v>829444</v>
      </c>
      <c r="BS186" s="99">
        <f t="shared" si="94"/>
        <v>807353</v>
      </c>
      <c r="BT186" s="167">
        <f t="shared" si="95"/>
        <v>0.3</v>
      </c>
      <c r="BU186" s="95">
        <f t="shared" si="96"/>
        <v>0</v>
      </c>
      <c r="BV186" s="87" t="b">
        <f t="shared" si="97"/>
        <v>1</v>
      </c>
      <c r="BW186" s="117">
        <f t="shared" si="98"/>
        <v>1771.693</v>
      </c>
      <c r="BX186" s="116">
        <f t="shared" si="99"/>
        <v>0.52792300000000003</v>
      </c>
      <c r="BY186" s="95">
        <f t="shared" si="100"/>
        <v>149.69999999999999</v>
      </c>
      <c r="BZ186" s="87" t="b">
        <f t="shared" si="101"/>
        <v>0</v>
      </c>
      <c r="CA186" s="87">
        <f t="shared" si="102"/>
        <v>0</v>
      </c>
      <c r="CB186" s="116">
        <f t="shared" si="103"/>
        <v>0</v>
      </c>
      <c r="CC186" s="95">
        <f t="shared" si="104"/>
        <v>0</v>
      </c>
      <c r="CD186" s="95">
        <f t="shared" si="105"/>
        <v>0</v>
      </c>
      <c r="CE186" s="98">
        <v>511</v>
      </c>
      <c r="CF186" s="250">
        <f t="shared" si="106"/>
        <v>0.151</v>
      </c>
      <c r="CG186" s="274">
        <f>IF(CF186&lt;0.06,1,IF(CF186&gt;=18.29,52,MATCH(CF186-0.001,'Weighting Factors'!$Y$5:$Y$156)+1))</f>
        <v>11</v>
      </c>
      <c r="CH186" s="243">
        <f>VLOOKUP(CG186, 'Weighting Factors'!$W$5:$Z$56,4)</f>
        <v>1350</v>
      </c>
      <c r="CI186" s="118">
        <f>('Weighting Factors'!$Q$5/'Weighting Factors'!$Q$14)</f>
        <v>1</v>
      </c>
      <c r="CJ186" s="245">
        <f t="shared" si="107"/>
        <v>103950</v>
      </c>
      <c r="CK186" s="245">
        <f>CJ186*'Weighting Factors'!$S$7</f>
        <v>103950</v>
      </c>
      <c r="CL186" s="245">
        <f t="shared" si="108"/>
        <v>103950</v>
      </c>
      <c r="CM186" s="95">
        <f>AM186/'Weighting Factors'!$Q$5</f>
        <v>25</v>
      </c>
      <c r="CN186" s="148">
        <v>0</v>
      </c>
      <c r="CO186" s="148">
        <v>0</v>
      </c>
      <c r="CP186" s="149">
        <v>0</v>
      </c>
      <c r="CQ186" s="151">
        <v>0</v>
      </c>
      <c r="CR186" s="99">
        <f>SUM((AV186*'Weighting Factors'!$Q$5)+'2019 Legal Max'!BA186)*CQ186</f>
        <v>0</v>
      </c>
      <c r="CS186" s="99">
        <f t="shared" si="109"/>
        <v>0</v>
      </c>
      <c r="CT186" s="106">
        <f t="shared" si="110"/>
        <v>0.34250000000000003</v>
      </c>
      <c r="CU186" s="95">
        <f t="shared" si="111"/>
        <v>0</v>
      </c>
      <c r="CV186" s="95">
        <f t="shared" si="112"/>
        <v>0</v>
      </c>
      <c r="CW186" s="95">
        <f t="shared" si="113"/>
        <v>594.5</v>
      </c>
      <c r="CX186" s="99">
        <f>'LOB Transfers'!G185</f>
        <v>66122</v>
      </c>
      <c r="CY186" s="99">
        <f>'LOB Transfers'!J185</f>
        <v>0</v>
      </c>
      <c r="CZ186" s="87" t="s">
        <v>378</v>
      </c>
    </row>
    <row r="187" spans="1:104" ht="15" customHeight="1">
      <c r="A187" s="88">
        <v>393</v>
      </c>
      <c r="B187" s="87" t="s">
        <v>87</v>
      </c>
      <c r="C187" s="87" t="s">
        <v>699</v>
      </c>
      <c r="D187" s="95">
        <v>302.60000000000002</v>
      </c>
      <c r="E187" s="95">
        <v>0</v>
      </c>
      <c r="F187" s="95">
        <f t="shared" si="80"/>
        <v>302.60000000000002</v>
      </c>
      <c r="G187" s="95">
        <v>314</v>
      </c>
      <c r="H187" s="95">
        <v>0</v>
      </c>
      <c r="I187" s="95">
        <f t="shared" si="81"/>
        <v>314</v>
      </c>
      <c r="J187" s="95">
        <v>310</v>
      </c>
      <c r="K187" s="95">
        <v>0</v>
      </c>
      <c r="L187" s="95">
        <f t="shared" si="82"/>
        <v>310</v>
      </c>
      <c r="M187" s="95">
        <f>IF(ISNA(VLOOKUP($CZ187,'Audit Values'!$A$2:$BW$365,2,FALSE)),'Preliminary SO66'!C186,VLOOKUP($CZ187,'Audit Values'!$A$2:$BW$365,73,FALSE))</f>
        <v>322.5</v>
      </c>
      <c r="N187" s="95">
        <f>IF(ISNA(VLOOKUP($CZ187,'Audit Values'!$A$2:$BW$365,2,FALSE)),'Preliminary SO66'!F186,VLOOKUP($CZ187,'Audit Values'!$A$2:$BW$365,4,FALSE))</f>
        <v>0</v>
      </c>
      <c r="O187" s="95">
        <f t="shared" si="83"/>
        <v>322.5</v>
      </c>
      <c r="P187" s="95">
        <f>IF('Military Provision'!J188="YES", MAX('2019 Legal Max'!L187,'2019 Legal Max'!I187,AVERAGE('2019 Legal Max'!F187,'2019 Legal Max'!I187,'2019 Legal Max'!L187)), MAX(L187, I187))</f>
        <v>314</v>
      </c>
      <c r="Q187" s="95">
        <f>IF(ISNA(VLOOKUP($CZ187,'Audit Values'!$A$2:$BU$353,2,FALSE)),'Preliminary SO66'!AL186,VLOOKUP($CZ187,'Audit Values'!$A$2:$BU$3955,58,FALSE))</f>
        <v>4.5</v>
      </c>
      <c r="R187" s="95">
        <v>0</v>
      </c>
      <c r="S187" s="95">
        <f t="shared" si="116"/>
        <v>318.5</v>
      </c>
      <c r="T187" s="95">
        <f t="shared" si="84"/>
        <v>152.19999999999999</v>
      </c>
      <c r="U187" s="95">
        <f>IF(ISNA(VLOOKUP($CZ187,'Audit Values'!$A$2:$BW$317,2,FALSE)),'Preliminary SO66'!AM186,VLOOKUP($CZ187,'Audit Values'!$A$2:$BW$317,62,FALSE))</f>
        <v>0</v>
      </c>
      <c r="V187" s="95">
        <f>(U187/6)*'Weighting Factors'!$Q$7</f>
        <v>0</v>
      </c>
      <c r="W187" s="132">
        <f>IF(ISNA(VLOOKUP($CZ187,'Audit Values'!$A$2:$BW$353,2,FALSE)),'Preliminary SO66'!AN186,VLOOKUP($CZ187,'Audit Values'!$A$2:$BW$353,61,FALSE))</f>
        <v>0</v>
      </c>
      <c r="X187" s="95">
        <f>W187*'Weighting Factors'!$Q$8</f>
        <v>0</v>
      </c>
      <c r="Y187" s="95">
        <f t="shared" si="85"/>
        <v>0</v>
      </c>
      <c r="Z187" s="276">
        <f>IF(ISNA(VLOOKUP($CZ187,'Audit Values'!$A$2:$BW$317,2,FALSE)),'Preliminary SO66'!AO186,VLOOKUP($CZ187,'Audit Values'!$A$2:$BW$317,60,FALSE))</f>
        <v>71.7</v>
      </c>
      <c r="AA187" s="95">
        <f>Z187/6*'Weighting Factors'!$Q$6</f>
        <v>6</v>
      </c>
      <c r="AB187" s="99">
        <f>IF(ISNA(VLOOKUP($CZ187,'Audit Values'!$A$2:$BU$353,2,FALSE)),'Preliminary SO66'!AS186,VLOOKUP($CZ187,'Audit Values'!$A$2:$BU$353,63,FALSE))</f>
        <v>333</v>
      </c>
      <c r="AC187" s="99">
        <v>0</v>
      </c>
      <c r="AD187" s="99">
        <f>IF(ISNA(VLOOKUP($CZ187,'Audit Values'!$A$2:$BU$353,2,FALSE)),'Preliminary SO66'!AP186,VLOOKUP($CZ187,'Audit Values'!$A$2:$BU$353,64,FALSE))</f>
        <v>138</v>
      </c>
      <c r="AE187" s="95">
        <f>IF(A187=207, AD187,MAX(AC187,AD187))*'Weighting Factors'!$Q$9</f>
        <v>66.8</v>
      </c>
      <c r="AF187" s="95">
        <f t="shared" si="86"/>
        <v>6.2</v>
      </c>
      <c r="AG187" s="95">
        <f>IF(ISNA(VLOOKUP($CZ187,'Audit Values'!$A$2:$BW$353,2,FALSE)),'Preliminary SO66'!AG186,VLOOKUP($CZ187,'Audit Values'!$A$2:$BW$353,70,FALSE))</f>
        <v>6.9</v>
      </c>
      <c r="AH187" s="95">
        <f t="shared" si="87"/>
        <v>6.9</v>
      </c>
      <c r="AI187" s="95">
        <f>IF(ISNA(VLOOKUP($CZ187,'Audit Values'!$A$2:$BU$353,2,FALSE)),'Preliminary SO66'!AQ186,VLOOKUP($CZ187,'Audit Values'!$A$2:$BU$353,65,FALSE))</f>
        <v>0</v>
      </c>
      <c r="AJ187" s="95">
        <f>AI187*'Weighting Factors'!$Q$10</f>
        <v>0</v>
      </c>
      <c r="AK187" s="95">
        <f>IF(ISNA(VLOOKUP($CZ187,'Audit Values'!$A$2:$BU$353,2,FALSE)),'Preliminary SO66'!AR186,VLOOKUP($CZ187,'Audit Values'!$A$2:$BU$353,66,FALSE))</f>
        <v>79</v>
      </c>
      <c r="AL187" s="95"/>
      <c r="AM187" s="99">
        <f t="shared" si="88"/>
        <v>89270</v>
      </c>
      <c r="AN187" s="99">
        <v>109012</v>
      </c>
      <c r="AO187" s="95">
        <f>MAX(AN187, AM187)/'Weighting Factors'!$Q$5</f>
        <v>26.2</v>
      </c>
      <c r="AP187" s="95">
        <f>CN187/'Weighting Factors'!$Q$5</f>
        <v>0</v>
      </c>
      <c r="AQ187" s="95">
        <v>0</v>
      </c>
      <c r="AR187" s="95">
        <f>CS187/'Weighting Factors'!$Q$5</f>
        <v>0</v>
      </c>
      <c r="AS187" s="99">
        <v>351187</v>
      </c>
      <c r="AT187" s="95">
        <f>AS187/'Weighting Factors'!$Q$5</f>
        <v>84.3</v>
      </c>
      <c r="AU187" s="95">
        <f>IF(ISNA(VLOOKUP($CZ187,'Audit Values'!$A$2:$BU$353,2,FALSE)),'Preliminary SO66'!X186,VLOOKUP($CZ187,'Audit Values'!$A$2:$BU$353,47,FALSE))</f>
        <v>0</v>
      </c>
      <c r="AV187" s="95">
        <f t="shared" si="89"/>
        <v>660.9</v>
      </c>
      <c r="AW187" s="95">
        <f t="shared" si="90"/>
        <v>576.6</v>
      </c>
      <c r="AX187" s="95">
        <f>IF(ISNA(VLOOKUP($CZ187,'Audit Values'!$A$2:$BU$353,2,FALSE)),'Preliminary SO66'!AA186,VLOOKUP($CZ187,'Audit Values'!$A$2:$BU$353,41,FALSE))</f>
        <v>0</v>
      </c>
      <c r="AY187" s="95">
        <f>IF(ISNA(VLOOKUP($CZ187,'Audit Values'!$A$2:$BU$353,2,FALSE)),'Preliminary SO66'!AB186,VLOOKUP($CZ187,'Audit Values'!$A$2:$BU$353,42,FALSE))</f>
        <v>0</v>
      </c>
      <c r="AZ187" s="114">
        <v>0</v>
      </c>
      <c r="BA187" s="99">
        <f>SUM(AX187*'Weighting Factors'!$T$10)+('2019 Legal Max'!AY187*'Weighting Factors'!$T$11)+('2019 Legal Max'!AZ187*'Weighting Factors'!$T$12)</f>
        <v>0</v>
      </c>
      <c r="BB187" s="158">
        <v>0</v>
      </c>
      <c r="BC187" s="88">
        <f>IF(ISNA(VLOOKUP($CZ187,'Audit Values'!$A$2:$BU$353,2,FALSE)),"",IF(AND('Weighting Factors'!H187&gt;0,VLOOKUP($CZ187,'Audit Values'!$A$2:$BU$353,51,FALSE)&lt;'Weighting Factors'!H187),'Weighting Factors'!H187,VLOOKUP($CZ187,'Audit Values'!$A$2:$BU$353,50,FALSE)))</f>
        <v>25</v>
      </c>
      <c r="BD187" s="88" t="str">
        <f>IF(ISNA(VLOOKUP($CZ187,'Audit Values'!$A$2:$BV$353,2,FALSE)),"",VLOOKUP($CZ187,'Audit Values'!$A$2:$BV$353,51,FALSE))</f>
        <v>A</v>
      </c>
      <c r="BE187" s="88" t="str">
        <f>IF('Weighting Factors'!H187="","",IF('Weighting Factors'!J187="Pending","PX","R"))</f>
        <v>R</v>
      </c>
      <c r="BF187" s="97">
        <f>SUM((S187+T187+Y187+AA187+AE187+AH187+AJ187++AO187+AP187+AQ187+AU187+AR187)*'Weighting Factors'!$Q$5)+'2019 Legal Max'!BA187+'2019 Legal Max'!BB187</f>
        <v>2401539</v>
      </c>
      <c r="BG187" s="99">
        <f>SUM((AV187+AR187)*'Weighting Factors'!$Q$5)+BA187+'2019 Legal Max'!BB187</f>
        <v>2752649</v>
      </c>
      <c r="BH187" s="108">
        <f>IF('Weighting Factors'!H187&gt;0,'Weighting Factors'!H187,'Preliminary SO66'!AV186)</f>
        <v>2798047</v>
      </c>
      <c r="BI187" s="99">
        <f t="shared" si="114"/>
        <v>2752649</v>
      </c>
      <c r="BJ187" s="112"/>
      <c r="BK187" s="112">
        <f>'Weighting Factors'!F187</f>
        <v>0</v>
      </c>
      <c r="BL187" s="112">
        <f>'Weighting Factors'!E187</f>
        <v>0</v>
      </c>
      <c r="BM187" s="99">
        <f t="shared" si="91"/>
        <v>0</v>
      </c>
      <c r="BN187" s="99">
        <f t="shared" si="92"/>
        <v>2752649</v>
      </c>
      <c r="BO187" s="99">
        <f>SUM((S187+T187+Y187+AA187+AE187+AH187+AJ187++AO187+AP187+AQ187+AR187)*'Weighting Factors'!Q$12)+(MAX(AS187,'Weighting Factors'!B187))</f>
        <v>2952882</v>
      </c>
      <c r="BP187" s="122">
        <v>0.3</v>
      </c>
      <c r="BQ187" s="99">
        <f t="shared" si="93"/>
        <v>885865</v>
      </c>
      <c r="BR187" s="108">
        <v>875350</v>
      </c>
      <c r="BS187" s="99">
        <f t="shared" si="94"/>
        <v>875350</v>
      </c>
      <c r="BT187" s="167">
        <f t="shared" si="95"/>
        <v>0.2964</v>
      </c>
      <c r="BU187" s="95">
        <f t="shared" si="96"/>
        <v>0</v>
      </c>
      <c r="BV187" s="87" t="b">
        <f t="shared" si="97"/>
        <v>0</v>
      </c>
      <c r="BW187" s="117">
        <f t="shared" si="98"/>
        <v>0</v>
      </c>
      <c r="BX187" s="116">
        <f t="shared" si="99"/>
        <v>0</v>
      </c>
      <c r="BY187" s="95">
        <f t="shared" si="100"/>
        <v>0</v>
      </c>
      <c r="BZ187" s="87" t="b">
        <f t="shared" si="101"/>
        <v>1</v>
      </c>
      <c r="CA187" s="87">
        <f t="shared" si="102"/>
        <v>22.893799999999999</v>
      </c>
      <c r="CB187" s="116">
        <f t="shared" si="103"/>
        <v>0.47790100000000002</v>
      </c>
      <c r="CC187" s="95">
        <f t="shared" si="104"/>
        <v>152.19999999999999</v>
      </c>
      <c r="CD187" s="95">
        <f t="shared" si="105"/>
        <v>0</v>
      </c>
      <c r="CE187" s="98">
        <v>187.5</v>
      </c>
      <c r="CF187" s="250">
        <f t="shared" si="106"/>
        <v>0.42099999999999999</v>
      </c>
      <c r="CG187" s="274">
        <f>IF(CF187&lt;0.06,1,IF(CF187&gt;=18.29,52,MATCH(CF187-0.001,'Weighting Factors'!$Y$5:$Y$156)+1))</f>
        <v>23</v>
      </c>
      <c r="CH187" s="243">
        <f>VLOOKUP(CG187, 'Weighting Factors'!$W$5:$Z$56,4)</f>
        <v>1130</v>
      </c>
      <c r="CI187" s="118">
        <f>('Weighting Factors'!$Q$5/'Weighting Factors'!$Q$14)</f>
        <v>1</v>
      </c>
      <c r="CJ187" s="245">
        <f t="shared" si="107"/>
        <v>89270</v>
      </c>
      <c r="CK187" s="245">
        <f>CJ187*'Weighting Factors'!$S$7</f>
        <v>89270</v>
      </c>
      <c r="CL187" s="245">
        <f t="shared" si="108"/>
        <v>89270</v>
      </c>
      <c r="CM187" s="95">
        <f>AM187/'Weighting Factors'!$Q$5</f>
        <v>21.4</v>
      </c>
      <c r="CN187" s="148">
        <v>0</v>
      </c>
      <c r="CO187" s="148">
        <v>0</v>
      </c>
      <c r="CP187" s="149">
        <v>0</v>
      </c>
      <c r="CQ187" s="151">
        <v>0</v>
      </c>
      <c r="CR187" s="99">
        <f>SUM((AV187*'Weighting Factors'!$Q$5)+'2019 Legal Max'!BA187)*CQ187</f>
        <v>0</v>
      </c>
      <c r="CS187" s="99">
        <f t="shared" si="109"/>
        <v>0</v>
      </c>
      <c r="CT187" s="106">
        <f t="shared" si="110"/>
        <v>0.41439999999999999</v>
      </c>
      <c r="CU187" s="95">
        <f t="shared" si="111"/>
        <v>0</v>
      </c>
      <c r="CV187" s="95">
        <f t="shared" si="112"/>
        <v>6.2</v>
      </c>
      <c r="CW187" s="95">
        <f t="shared" si="113"/>
        <v>660.9</v>
      </c>
      <c r="CX187" s="99">
        <f>'LOB Transfers'!G186</f>
        <v>89111</v>
      </c>
      <c r="CY187" s="99">
        <f>'LOB Transfers'!J186</f>
        <v>0</v>
      </c>
      <c r="CZ187" s="87" t="s">
        <v>379</v>
      </c>
    </row>
    <row r="188" spans="1:104" ht="15" customHeight="1">
      <c r="A188" s="88">
        <v>394</v>
      </c>
      <c r="B188" s="87" t="s">
        <v>10</v>
      </c>
      <c r="C188" s="87" t="s">
        <v>700</v>
      </c>
      <c r="D188" s="95">
        <v>1520</v>
      </c>
      <c r="E188" s="95">
        <v>0</v>
      </c>
      <c r="F188" s="95">
        <f t="shared" si="80"/>
        <v>1520</v>
      </c>
      <c r="G188" s="95">
        <v>1525</v>
      </c>
      <c r="H188" s="95">
        <v>0</v>
      </c>
      <c r="I188" s="95">
        <f t="shared" si="81"/>
        <v>1525</v>
      </c>
      <c r="J188" s="95">
        <v>1533.5</v>
      </c>
      <c r="K188" s="95">
        <v>0</v>
      </c>
      <c r="L188" s="95">
        <f t="shared" si="82"/>
        <v>1533.5</v>
      </c>
      <c r="M188" s="95">
        <f>IF(ISNA(VLOOKUP($CZ188,'Audit Values'!$A$2:$BW$365,2,FALSE)),'Preliminary SO66'!C187,VLOOKUP($CZ188,'Audit Values'!$A$2:$BW$365,73,FALSE))</f>
        <v>1541.7</v>
      </c>
      <c r="N188" s="95">
        <f>IF(ISNA(VLOOKUP($CZ188,'Audit Values'!$A$2:$BW$365,2,FALSE)),'Preliminary SO66'!F187,VLOOKUP($CZ188,'Audit Values'!$A$2:$BW$365,4,FALSE))</f>
        <v>0</v>
      </c>
      <c r="O188" s="95">
        <f t="shared" si="83"/>
        <v>1541.7</v>
      </c>
      <c r="P188" s="95">
        <f>IF('Military Provision'!J189="YES", MAX('2019 Legal Max'!L188,'2019 Legal Max'!I188,AVERAGE('2019 Legal Max'!F188,'2019 Legal Max'!I188,'2019 Legal Max'!L188)), MAX(L188, I188))</f>
        <v>1533.5</v>
      </c>
      <c r="Q188" s="95">
        <f>IF(ISNA(VLOOKUP($CZ188,'Audit Values'!$A$2:$BU$353,2,FALSE)),'Preliminary SO66'!AL187,VLOOKUP($CZ188,'Audit Values'!$A$2:$BU$3955,58,FALSE))</f>
        <v>17</v>
      </c>
      <c r="R188" s="95">
        <v>0</v>
      </c>
      <c r="S188" s="95">
        <f t="shared" si="116"/>
        <v>1550.5</v>
      </c>
      <c r="T188" s="95">
        <f t="shared" si="84"/>
        <v>92</v>
      </c>
      <c r="U188" s="95">
        <f>IF(ISNA(VLOOKUP($CZ188,'Audit Values'!$A$2:$BW$317,2,FALSE)),'Preliminary SO66'!AM187,VLOOKUP($CZ188,'Audit Values'!$A$2:$BW$317,62,FALSE))</f>
        <v>56</v>
      </c>
      <c r="V188" s="95">
        <f>(U188/6)*'Weighting Factors'!$Q$7</f>
        <v>3.7</v>
      </c>
      <c r="W188" s="132">
        <f>IF(ISNA(VLOOKUP($CZ188,'Audit Values'!$A$2:$BW$353,2,FALSE)),'Preliminary SO66'!AN187,VLOOKUP($CZ188,'Audit Values'!$A$2:$BW$353,61,FALSE))</f>
        <v>36</v>
      </c>
      <c r="X188" s="95">
        <f>W188*'Weighting Factors'!$Q$8</f>
        <v>6.7</v>
      </c>
      <c r="Y188" s="95">
        <f t="shared" si="85"/>
        <v>6.7</v>
      </c>
      <c r="Z188" s="276">
        <f>IF(ISNA(VLOOKUP($CZ188,'Audit Values'!$A$2:$BW$317,2,FALSE)),'Preliminary SO66'!AO187,VLOOKUP($CZ188,'Audit Values'!$A$2:$BW$317,60,FALSE))</f>
        <v>325.2</v>
      </c>
      <c r="AA188" s="95">
        <f>Z188/6*'Weighting Factors'!$Q$6</f>
        <v>27.1</v>
      </c>
      <c r="AB188" s="99">
        <f>IF(ISNA(VLOOKUP($CZ188,'Audit Values'!$A$2:$BU$353,2,FALSE)),'Preliminary SO66'!AS187,VLOOKUP($CZ188,'Audit Values'!$A$2:$BU$353,63,FALSE))</f>
        <v>1594</v>
      </c>
      <c r="AC188" s="99">
        <v>0</v>
      </c>
      <c r="AD188" s="99">
        <f>IF(ISNA(VLOOKUP($CZ188,'Audit Values'!$A$2:$BU$353,2,FALSE)),'Preliminary SO66'!AP187,VLOOKUP($CZ188,'Audit Values'!$A$2:$BU$353,64,FALSE))</f>
        <v>326</v>
      </c>
      <c r="AE188" s="95">
        <f>IF(A188=207, AD188,MAX(AC188,AD188))*'Weighting Factors'!$Q$9</f>
        <v>157.80000000000001</v>
      </c>
      <c r="AF188" s="95">
        <f t="shared" si="86"/>
        <v>0</v>
      </c>
      <c r="AG188" s="95">
        <f>IF(ISNA(VLOOKUP($CZ188,'Audit Values'!$A$2:$BW$353,2,FALSE)),'Preliminary SO66'!AG187,VLOOKUP($CZ188,'Audit Values'!$A$2:$BW$353,70,FALSE))</f>
        <v>0</v>
      </c>
      <c r="AH188" s="95">
        <f t="shared" si="87"/>
        <v>0</v>
      </c>
      <c r="AI188" s="95">
        <f>IF(ISNA(VLOOKUP($CZ188,'Audit Values'!$A$2:$BU$353,2,FALSE)),'Preliminary SO66'!AQ187,VLOOKUP($CZ188,'Audit Values'!$A$2:$BU$353,65,FALSE))</f>
        <v>0</v>
      </c>
      <c r="AJ188" s="95">
        <f>AI188*'Weighting Factors'!$Q$10</f>
        <v>0</v>
      </c>
      <c r="AK188" s="95">
        <f>IF(ISNA(VLOOKUP($CZ188,'Audit Values'!$A$2:$BU$353,2,FALSE)),'Preliminary SO66'!AR187,VLOOKUP($CZ188,'Audit Values'!$A$2:$BU$353,66,FALSE))</f>
        <v>580</v>
      </c>
      <c r="AL188" s="95"/>
      <c r="AM188" s="99">
        <f t="shared" si="88"/>
        <v>365400</v>
      </c>
      <c r="AN188" s="99">
        <v>377881</v>
      </c>
      <c r="AO188" s="95">
        <f>MAX(AN188, AM188)/'Weighting Factors'!$Q$5</f>
        <v>90.7</v>
      </c>
      <c r="AP188" s="95">
        <f>CN188/'Weighting Factors'!$Q$5</f>
        <v>0</v>
      </c>
      <c r="AQ188" s="95">
        <v>0</v>
      </c>
      <c r="AR188" s="95">
        <f>CS188/'Weighting Factors'!$Q$5</f>
        <v>0</v>
      </c>
      <c r="AS188" s="99">
        <v>1392546</v>
      </c>
      <c r="AT188" s="95">
        <f>AS188/'Weighting Factors'!$Q$5</f>
        <v>334.3</v>
      </c>
      <c r="AU188" s="95">
        <f>IF(ISNA(VLOOKUP($CZ188,'Audit Values'!$A$2:$BU$353,2,FALSE)),'Preliminary SO66'!X187,VLOOKUP($CZ188,'Audit Values'!$A$2:$BU$353,47,FALSE))</f>
        <v>0</v>
      </c>
      <c r="AV188" s="95">
        <f t="shared" si="89"/>
        <v>2259.1</v>
      </c>
      <c r="AW188" s="95">
        <f t="shared" si="90"/>
        <v>1924.8</v>
      </c>
      <c r="AX188" s="95">
        <f>IF(ISNA(VLOOKUP($CZ188,'Audit Values'!$A$2:$BU$353,2,FALSE)),'Preliminary SO66'!AA187,VLOOKUP($CZ188,'Audit Values'!$A$2:$BU$353,41,FALSE))</f>
        <v>22</v>
      </c>
      <c r="AY188" s="95">
        <f>IF(ISNA(VLOOKUP($CZ188,'Audit Values'!$A$2:$BU$353,2,FALSE)),'Preliminary SO66'!AB187,VLOOKUP($CZ188,'Audit Values'!$A$2:$BU$353,42,FALSE))</f>
        <v>0</v>
      </c>
      <c r="AZ188" s="114">
        <v>22.5</v>
      </c>
      <c r="BA188" s="99">
        <f>SUM(AX188*'Weighting Factors'!$T$10)+('2019 Legal Max'!AY188*'Weighting Factors'!$T$11)+('2019 Legal Max'!AZ188*'Weighting Factors'!$T$12)</f>
        <v>125953</v>
      </c>
      <c r="BB188" s="158">
        <v>0</v>
      </c>
      <c r="BC188" s="88">
        <f>IF(ISNA(VLOOKUP($CZ188,'Audit Values'!$A$2:$BU$353,2,FALSE)),"",IF(AND('Weighting Factors'!H188&gt;0,VLOOKUP($CZ188,'Audit Values'!$A$2:$BU$353,51,FALSE)&lt;'Weighting Factors'!H188),'Weighting Factors'!H188,VLOOKUP($CZ188,'Audit Values'!$A$2:$BU$353,50,FALSE)))</f>
        <v>17</v>
      </c>
      <c r="BD188" s="88" t="str">
        <f>IF(ISNA(VLOOKUP($CZ188,'Audit Values'!$A$2:$BV$353,2,FALSE)),"",VLOOKUP($CZ188,'Audit Values'!$A$2:$BV$353,51,FALSE))</f>
        <v>A</v>
      </c>
      <c r="BE188" s="88" t="str">
        <f>IF('Weighting Factors'!H188="","",IF('Weighting Factors'!J188="Pending","PX","R"))</f>
        <v/>
      </c>
      <c r="BF188" s="97">
        <f>SUM((S188+T188+Y188+AA188+AE188+AH188+AJ188++AO188+AP188+AQ188+AU188+AR188)*'Weighting Factors'!$Q$5)+'2019 Legal Max'!BA188+'2019 Legal Max'!BB188</f>
        <v>8142745</v>
      </c>
      <c r="BG188" s="99">
        <f>SUM((AV188+AR188)*'Weighting Factors'!$Q$5)+BA188+'2019 Legal Max'!BB188</f>
        <v>9535105</v>
      </c>
      <c r="BH188" s="108">
        <f>IF('Weighting Factors'!H188&gt;0,'Weighting Factors'!H188,'Preliminary SO66'!AV187)</f>
        <v>9863429</v>
      </c>
      <c r="BI188" s="99">
        <f t="shared" si="114"/>
        <v>9535105</v>
      </c>
      <c r="BJ188" s="112"/>
      <c r="BK188" s="112">
        <f>'Weighting Factors'!F188</f>
        <v>-118378</v>
      </c>
      <c r="BL188" s="112">
        <f>'Weighting Factors'!E188</f>
        <v>-2127</v>
      </c>
      <c r="BM188" s="99">
        <f t="shared" si="91"/>
        <v>-120505</v>
      </c>
      <c r="BN188" s="99">
        <f t="shared" si="92"/>
        <v>9414600</v>
      </c>
      <c r="BO188" s="99">
        <f>SUM((S188+T188+Y188+AA188+AE188+AH188+AJ188++AO188+AP188+AQ188+AR188)*'Weighting Factors'!Q$12)+(MAX(AS188,'Weighting Factors'!B188))</f>
        <v>10034898</v>
      </c>
      <c r="BP188" s="122">
        <v>0.33</v>
      </c>
      <c r="BQ188" s="99">
        <f t="shared" si="93"/>
        <v>3311516</v>
      </c>
      <c r="BR188" s="108">
        <v>3408868</v>
      </c>
      <c r="BS188" s="99">
        <f t="shared" si="94"/>
        <v>3311516</v>
      </c>
      <c r="BT188" s="167">
        <f t="shared" si="95"/>
        <v>0.33</v>
      </c>
      <c r="BU188" s="95">
        <f t="shared" si="96"/>
        <v>0</v>
      </c>
      <c r="BV188" s="87" t="b">
        <f t="shared" si="97"/>
        <v>0</v>
      </c>
      <c r="BW188" s="117">
        <f t="shared" si="98"/>
        <v>0</v>
      </c>
      <c r="BX188" s="116">
        <f t="shared" si="99"/>
        <v>0</v>
      </c>
      <c r="BY188" s="95">
        <f t="shared" si="100"/>
        <v>0</v>
      </c>
      <c r="BZ188" s="87" t="b">
        <f t="shared" si="101"/>
        <v>1</v>
      </c>
      <c r="CA188" s="87">
        <f t="shared" si="102"/>
        <v>1547.4938</v>
      </c>
      <c r="CB188" s="116">
        <f t="shared" si="103"/>
        <v>5.9331000000000002E-2</v>
      </c>
      <c r="CC188" s="95">
        <f t="shared" si="104"/>
        <v>92</v>
      </c>
      <c r="CD188" s="95">
        <f t="shared" si="105"/>
        <v>0</v>
      </c>
      <c r="CE188" s="98">
        <v>55</v>
      </c>
      <c r="CF188" s="250">
        <f t="shared" si="106"/>
        <v>10.545</v>
      </c>
      <c r="CG188" s="274">
        <f>IF(CF188&lt;0.06,1,IF(CF188&gt;=18.29,52,MATCH(CF188-0.001,'Weighting Factors'!$Y$5:$Y$156)+1))</f>
        <v>48</v>
      </c>
      <c r="CH188" s="243">
        <f>VLOOKUP(CG188, 'Weighting Factors'!$W$5:$Z$56,4)</f>
        <v>630</v>
      </c>
      <c r="CI188" s="118">
        <f>('Weighting Factors'!$Q$5/'Weighting Factors'!$Q$14)</f>
        <v>1</v>
      </c>
      <c r="CJ188" s="245">
        <f t="shared" si="107"/>
        <v>365400</v>
      </c>
      <c r="CK188" s="245">
        <f>CJ188*'Weighting Factors'!$S$7</f>
        <v>365400</v>
      </c>
      <c r="CL188" s="245">
        <f t="shared" si="108"/>
        <v>365400</v>
      </c>
      <c r="CM188" s="95">
        <f>AM188/'Weighting Factors'!$Q$5</f>
        <v>87.7</v>
      </c>
      <c r="CN188" s="148">
        <v>0</v>
      </c>
      <c r="CO188" s="148">
        <v>0</v>
      </c>
      <c r="CP188" s="149">
        <v>0</v>
      </c>
      <c r="CQ188" s="151">
        <v>0</v>
      </c>
      <c r="CR188" s="99">
        <f>SUM((AV188*'Weighting Factors'!$Q$5)+'2019 Legal Max'!BA188)*CQ188</f>
        <v>0</v>
      </c>
      <c r="CS188" s="99">
        <f t="shared" si="109"/>
        <v>0</v>
      </c>
      <c r="CT188" s="106">
        <f t="shared" si="110"/>
        <v>0.20449999999999999</v>
      </c>
      <c r="CU188" s="95">
        <f t="shared" si="111"/>
        <v>0</v>
      </c>
      <c r="CV188" s="95">
        <f t="shared" si="112"/>
        <v>0</v>
      </c>
      <c r="CW188" s="95">
        <f t="shared" si="113"/>
        <v>2259.1</v>
      </c>
      <c r="CX188" s="99">
        <f>'LOB Transfers'!G187</f>
        <v>233131</v>
      </c>
      <c r="CY188" s="99">
        <f>'LOB Transfers'!J187</f>
        <v>9935</v>
      </c>
      <c r="CZ188" s="87" t="s">
        <v>380</v>
      </c>
    </row>
    <row r="189" spans="1:104" ht="15" customHeight="1">
      <c r="A189" s="88">
        <v>395</v>
      </c>
      <c r="B189" s="87" t="s">
        <v>88</v>
      </c>
      <c r="C189" s="87" t="s">
        <v>701</v>
      </c>
      <c r="D189" s="95">
        <v>282</v>
      </c>
      <c r="E189" s="95">
        <v>0</v>
      </c>
      <c r="F189" s="95">
        <f t="shared" si="80"/>
        <v>282</v>
      </c>
      <c r="G189" s="95">
        <v>287.5</v>
      </c>
      <c r="H189" s="95">
        <v>0</v>
      </c>
      <c r="I189" s="95">
        <f t="shared" si="81"/>
        <v>287.5</v>
      </c>
      <c r="J189" s="95">
        <v>286.5</v>
      </c>
      <c r="K189" s="95">
        <v>0</v>
      </c>
      <c r="L189" s="95">
        <f t="shared" si="82"/>
        <v>286.5</v>
      </c>
      <c r="M189" s="95">
        <f>IF(ISNA(VLOOKUP($CZ189,'Audit Values'!$A$2:$BW$365,2,FALSE)),'Preliminary SO66'!C188,VLOOKUP($CZ189,'Audit Values'!$A$2:$BW$365,73,FALSE))</f>
        <v>260</v>
      </c>
      <c r="N189" s="95">
        <f>IF(ISNA(VLOOKUP($CZ189,'Audit Values'!$A$2:$BW$365,2,FALSE)),'Preliminary SO66'!F188,VLOOKUP($CZ189,'Audit Values'!$A$2:$BW$365,4,FALSE))</f>
        <v>0</v>
      </c>
      <c r="O189" s="95">
        <f t="shared" si="83"/>
        <v>260</v>
      </c>
      <c r="P189" s="95">
        <f>IF('Military Provision'!J190="YES", MAX('2019 Legal Max'!L189,'2019 Legal Max'!I189,AVERAGE('2019 Legal Max'!F189,'2019 Legal Max'!I189,'2019 Legal Max'!L189)), MAX(L189, I189))</f>
        <v>287.5</v>
      </c>
      <c r="Q189" s="95">
        <f>IF(ISNA(VLOOKUP($CZ189,'Audit Values'!$A$2:$BU$353,2,FALSE)),'Preliminary SO66'!AL188,VLOOKUP($CZ189,'Audit Values'!$A$2:$BU$3955,58,FALSE))</f>
        <v>0</v>
      </c>
      <c r="R189" s="95">
        <v>0</v>
      </c>
      <c r="S189" s="95">
        <f t="shared" si="116"/>
        <v>287.5</v>
      </c>
      <c r="T189" s="95">
        <f t="shared" si="84"/>
        <v>148.69999999999999</v>
      </c>
      <c r="U189" s="95">
        <f>IF(ISNA(VLOOKUP($CZ189,'Audit Values'!$A$2:$BW$317,2,FALSE)),'Preliminary SO66'!AM188,VLOOKUP($CZ189,'Audit Values'!$A$2:$BW$317,62,FALSE))</f>
        <v>0</v>
      </c>
      <c r="V189" s="95">
        <f>(U189/6)*'Weighting Factors'!$Q$7</f>
        <v>0</v>
      </c>
      <c r="W189" s="132">
        <f>IF(ISNA(VLOOKUP($CZ189,'Audit Values'!$A$2:$BW$353,2,FALSE)),'Preliminary SO66'!AN188,VLOOKUP($CZ189,'Audit Values'!$A$2:$BW$353,61,FALSE))</f>
        <v>0</v>
      </c>
      <c r="X189" s="95">
        <f>W189*'Weighting Factors'!$Q$8</f>
        <v>0</v>
      </c>
      <c r="Y189" s="95">
        <f t="shared" si="85"/>
        <v>0</v>
      </c>
      <c r="Z189" s="276">
        <f>IF(ISNA(VLOOKUP($CZ189,'Audit Values'!$A$2:$BW$317,2,FALSE)),'Preliminary SO66'!AO188,VLOOKUP($CZ189,'Audit Values'!$A$2:$BW$317,60,FALSE))</f>
        <v>126.2</v>
      </c>
      <c r="AA189" s="95">
        <f>Z189/6*'Weighting Factors'!$Q$6</f>
        <v>10.5</v>
      </c>
      <c r="AB189" s="99">
        <f>IF(ISNA(VLOOKUP($CZ189,'Audit Values'!$A$2:$BU$353,2,FALSE)),'Preliminary SO66'!AS188,VLOOKUP($CZ189,'Audit Values'!$A$2:$BU$353,63,FALSE))</f>
        <v>261</v>
      </c>
      <c r="AC189" s="99">
        <v>0</v>
      </c>
      <c r="AD189" s="99">
        <f>IF(ISNA(VLOOKUP($CZ189,'Audit Values'!$A$2:$BU$353,2,FALSE)),'Preliminary SO66'!AP188,VLOOKUP($CZ189,'Audit Values'!$A$2:$BU$353,64,FALSE))</f>
        <v>106</v>
      </c>
      <c r="AE189" s="95">
        <f>IF(A189=207, AD189,MAX(AC189,AD189))*'Weighting Factors'!$Q$9</f>
        <v>51.3</v>
      </c>
      <c r="AF189" s="95">
        <f t="shared" si="86"/>
        <v>4.2</v>
      </c>
      <c r="AG189" s="95">
        <f>IF(ISNA(VLOOKUP($CZ189,'Audit Values'!$A$2:$BW$353,2,FALSE)),'Preliminary SO66'!AG188,VLOOKUP($CZ189,'Audit Values'!$A$2:$BW$353,70,FALSE))</f>
        <v>4.3</v>
      </c>
      <c r="AH189" s="95">
        <f t="shared" si="87"/>
        <v>4.3</v>
      </c>
      <c r="AI189" s="95">
        <f>IF(ISNA(VLOOKUP($CZ189,'Audit Values'!$A$2:$BU$353,2,FALSE)),'Preliminary SO66'!AQ188,VLOOKUP($CZ189,'Audit Values'!$A$2:$BU$353,65,FALSE))</f>
        <v>0</v>
      </c>
      <c r="AJ189" s="95">
        <f>AI189*'Weighting Factors'!$Q$10</f>
        <v>0</v>
      </c>
      <c r="AK189" s="95">
        <f>IF(ISNA(VLOOKUP($CZ189,'Audit Values'!$A$2:$BU$353,2,FALSE)),'Preliminary SO66'!AR188,VLOOKUP($CZ189,'Audit Values'!$A$2:$BU$353,66,FALSE))</f>
        <v>69</v>
      </c>
      <c r="AL189" s="95"/>
      <c r="AM189" s="99">
        <f t="shared" si="88"/>
        <v>94530</v>
      </c>
      <c r="AN189" s="99">
        <v>147146</v>
      </c>
      <c r="AO189" s="95">
        <f>MAX(AN189, AM189)/'Weighting Factors'!$Q$5</f>
        <v>35.299999999999997</v>
      </c>
      <c r="AP189" s="95">
        <f>CN189/'Weighting Factors'!$Q$5</f>
        <v>0</v>
      </c>
      <c r="AQ189" s="95">
        <v>0</v>
      </c>
      <c r="AR189" s="95">
        <f>CS189/'Weighting Factors'!$Q$5</f>
        <v>0</v>
      </c>
      <c r="AS189" s="99">
        <v>296440</v>
      </c>
      <c r="AT189" s="95">
        <f>AS189/'Weighting Factors'!$Q$5</f>
        <v>71.2</v>
      </c>
      <c r="AU189" s="95">
        <f>IF(ISNA(VLOOKUP($CZ189,'Audit Values'!$A$2:$BU$353,2,FALSE)),'Preliminary SO66'!X188,VLOOKUP($CZ189,'Audit Values'!$A$2:$BU$353,47,FALSE))</f>
        <v>1</v>
      </c>
      <c r="AV189" s="95">
        <f t="shared" si="89"/>
        <v>609.79999999999995</v>
      </c>
      <c r="AW189" s="95">
        <f t="shared" si="90"/>
        <v>538.6</v>
      </c>
      <c r="AX189" s="95">
        <f>IF(ISNA(VLOOKUP($CZ189,'Audit Values'!$A$2:$BU$353,2,FALSE)),'Preliminary SO66'!AA188,VLOOKUP($CZ189,'Audit Values'!$A$2:$BU$353,41,FALSE))</f>
        <v>0</v>
      </c>
      <c r="AY189" s="95">
        <f>IF(ISNA(VLOOKUP($CZ189,'Audit Values'!$A$2:$BU$353,2,FALSE)),'Preliminary SO66'!AB188,VLOOKUP($CZ189,'Audit Values'!$A$2:$BU$353,42,FALSE))</f>
        <v>0</v>
      </c>
      <c r="AZ189" s="114">
        <v>0</v>
      </c>
      <c r="BA189" s="99">
        <f>SUM(AX189*'Weighting Factors'!$T$10)+('2019 Legal Max'!AY189*'Weighting Factors'!$T$11)+('2019 Legal Max'!AZ189*'Weighting Factors'!$T$12)</f>
        <v>0</v>
      </c>
      <c r="BB189" s="158">
        <v>0</v>
      </c>
      <c r="BC189" s="88">
        <f>IF(ISNA(VLOOKUP($CZ189,'Audit Values'!$A$2:$BU$353,2,FALSE)),"",IF(AND('Weighting Factors'!H189&gt;0,VLOOKUP($CZ189,'Audit Values'!$A$2:$BU$353,51,FALSE)&lt;'Weighting Factors'!H189),'Weighting Factors'!H189,VLOOKUP($CZ189,'Audit Values'!$A$2:$BU$353,50,FALSE)))</f>
        <v>17</v>
      </c>
      <c r="BD189" s="88" t="str">
        <f>IF(ISNA(VLOOKUP($CZ189,'Audit Values'!$A$2:$BV$353,2,FALSE)),"",VLOOKUP($CZ189,'Audit Values'!$A$2:$BV$353,51,FALSE))</f>
        <v>A</v>
      </c>
      <c r="BE189" s="88" t="str">
        <f>IF('Weighting Factors'!H189="","",IF('Weighting Factors'!J189="Pending","PX","R"))</f>
        <v/>
      </c>
      <c r="BF189" s="97">
        <f>SUM((S189+T189+Y189+AA189+AE189+AH189+AJ189++AO189+AP189+AQ189+AU189+AR189)*'Weighting Factors'!$Q$5)+'2019 Legal Max'!BA189+'2019 Legal Max'!BB189</f>
        <v>2243269</v>
      </c>
      <c r="BG189" s="99">
        <f>SUM((AV189+AR189)*'Weighting Factors'!$Q$5)+BA189+'2019 Legal Max'!BB189</f>
        <v>2539817</v>
      </c>
      <c r="BH189" s="108">
        <f>IF('Weighting Factors'!H189&gt;0,'Weighting Factors'!H189,'Preliminary SO66'!AV188)</f>
        <v>2544399</v>
      </c>
      <c r="BI189" s="99">
        <f t="shared" si="114"/>
        <v>2539817</v>
      </c>
      <c r="BJ189" s="112"/>
      <c r="BK189" s="112">
        <f>'Weighting Factors'!F189</f>
        <v>0</v>
      </c>
      <c r="BL189" s="112">
        <f>'Weighting Factors'!E189</f>
        <v>0</v>
      </c>
      <c r="BM189" s="99">
        <f t="shared" si="91"/>
        <v>0</v>
      </c>
      <c r="BN189" s="99">
        <f t="shared" si="92"/>
        <v>2539817</v>
      </c>
      <c r="BO189" s="99">
        <f>SUM((S189+T189+Y189+AA189+AE189+AH189+AJ189++AO189+AP189+AQ189+AR189)*'Weighting Factors'!Q$12)+(MAX(AS189,'Weighting Factors'!B189))</f>
        <v>2779744</v>
      </c>
      <c r="BP189" s="122">
        <v>0.3</v>
      </c>
      <c r="BQ189" s="99">
        <f t="shared" si="93"/>
        <v>833923</v>
      </c>
      <c r="BR189" s="108">
        <v>841000</v>
      </c>
      <c r="BS189" s="99">
        <f t="shared" si="94"/>
        <v>833923</v>
      </c>
      <c r="BT189" s="167">
        <f t="shared" si="95"/>
        <v>0.3</v>
      </c>
      <c r="BU189" s="95">
        <f t="shared" si="96"/>
        <v>0</v>
      </c>
      <c r="BV189" s="87" t="b">
        <f t="shared" si="97"/>
        <v>1</v>
      </c>
      <c r="BW189" s="117">
        <f t="shared" si="98"/>
        <v>1810.3130000000001</v>
      </c>
      <c r="BX189" s="116">
        <f t="shared" si="99"/>
        <v>0.51732</v>
      </c>
      <c r="BY189" s="95">
        <f t="shared" si="100"/>
        <v>148.69999999999999</v>
      </c>
      <c r="BZ189" s="87" t="b">
        <f t="shared" si="101"/>
        <v>0</v>
      </c>
      <c r="CA189" s="87">
        <f t="shared" si="102"/>
        <v>0</v>
      </c>
      <c r="CB189" s="116">
        <f t="shared" si="103"/>
        <v>0</v>
      </c>
      <c r="CC189" s="95">
        <f t="shared" si="104"/>
        <v>0</v>
      </c>
      <c r="CD189" s="95">
        <f t="shared" si="105"/>
        <v>0</v>
      </c>
      <c r="CE189" s="98">
        <v>486</v>
      </c>
      <c r="CF189" s="250">
        <f t="shared" si="106"/>
        <v>0.14199999999999999</v>
      </c>
      <c r="CG189" s="274">
        <f>IF(CF189&lt;0.06,1,IF(CF189&gt;=18.29,52,MATCH(CF189-0.001,'Weighting Factors'!$Y$5:$Y$156)+1))</f>
        <v>10</v>
      </c>
      <c r="CH189" s="243">
        <f>VLOOKUP(CG189, 'Weighting Factors'!$W$5:$Z$56,4)</f>
        <v>1370</v>
      </c>
      <c r="CI189" s="118">
        <f>('Weighting Factors'!$Q$5/'Weighting Factors'!$Q$14)</f>
        <v>1</v>
      </c>
      <c r="CJ189" s="245">
        <f t="shared" si="107"/>
        <v>94530</v>
      </c>
      <c r="CK189" s="245">
        <f>CJ189*'Weighting Factors'!$S$7</f>
        <v>94530</v>
      </c>
      <c r="CL189" s="245">
        <f t="shared" si="108"/>
        <v>94530</v>
      </c>
      <c r="CM189" s="95">
        <f>AM189/'Weighting Factors'!$Q$5</f>
        <v>22.7</v>
      </c>
      <c r="CN189" s="148">
        <v>0</v>
      </c>
      <c r="CO189" s="148">
        <v>0</v>
      </c>
      <c r="CP189" s="149">
        <v>0</v>
      </c>
      <c r="CQ189" s="151">
        <v>0</v>
      </c>
      <c r="CR189" s="99">
        <f>SUM((AV189*'Weighting Factors'!$Q$5)+'2019 Legal Max'!BA189)*CQ189</f>
        <v>0</v>
      </c>
      <c r="CS189" s="99">
        <f t="shared" si="109"/>
        <v>0</v>
      </c>
      <c r="CT189" s="106">
        <f t="shared" si="110"/>
        <v>0.40610000000000002</v>
      </c>
      <c r="CU189" s="95">
        <f t="shared" si="111"/>
        <v>0</v>
      </c>
      <c r="CV189" s="95">
        <f t="shared" si="112"/>
        <v>4.2</v>
      </c>
      <c r="CW189" s="95">
        <f t="shared" si="113"/>
        <v>609.79999999999995</v>
      </c>
      <c r="CX189" s="99">
        <f>'LOB Transfers'!G188</f>
        <v>70300</v>
      </c>
      <c r="CY189" s="99">
        <f>'LOB Transfers'!J188</f>
        <v>0</v>
      </c>
      <c r="CZ189" s="87" t="s">
        <v>381</v>
      </c>
    </row>
    <row r="190" spans="1:104" ht="15" customHeight="1">
      <c r="A190" s="88">
        <v>396</v>
      </c>
      <c r="B190" s="87" t="s">
        <v>10</v>
      </c>
      <c r="C190" s="87" t="s">
        <v>702</v>
      </c>
      <c r="D190" s="95">
        <v>649.1</v>
      </c>
      <c r="E190" s="95">
        <v>0</v>
      </c>
      <c r="F190" s="95">
        <f t="shared" si="80"/>
        <v>649.1</v>
      </c>
      <c r="G190" s="95">
        <v>675.8</v>
      </c>
      <c r="H190" s="95">
        <v>0</v>
      </c>
      <c r="I190" s="95">
        <f t="shared" si="81"/>
        <v>675.8</v>
      </c>
      <c r="J190" s="95">
        <v>654.20000000000005</v>
      </c>
      <c r="K190" s="95">
        <v>0</v>
      </c>
      <c r="L190" s="95">
        <f t="shared" si="82"/>
        <v>654.20000000000005</v>
      </c>
      <c r="M190" s="95">
        <f>IF(ISNA(VLOOKUP($CZ190,'Audit Values'!$A$2:$BW$365,2,FALSE)),'Preliminary SO66'!C189,VLOOKUP($CZ190,'Audit Values'!$A$2:$BW$365,73,FALSE))</f>
        <v>643.4</v>
      </c>
      <c r="N190" s="95">
        <f>IF(ISNA(VLOOKUP($CZ190,'Audit Values'!$A$2:$BW$365,2,FALSE)),'Preliminary SO66'!F189,VLOOKUP($CZ190,'Audit Values'!$A$2:$BW$365,4,FALSE))</f>
        <v>0</v>
      </c>
      <c r="O190" s="95">
        <f t="shared" si="83"/>
        <v>643.4</v>
      </c>
      <c r="P190" s="95">
        <f>IF('Military Provision'!J191="YES", MAX('2019 Legal Max'!L190,'2019 Legal Max'!I190,AVERAGE('2019 Legal Max'!F190,'2019 Legal Max'!I190,'2019 Legal Max'!L190)), MAX(L190, I190))</f>
        <v>675.8</v>
      </c>
      <c r="Q190" s="95">
        <f>IF(ISNA(VLOOKUP($CZ190,'Audit Values'!$A$2:$BU$353,2,FALSE)),'Preliminary SO66'!AL189,VLOOKUP($CZ190,'Audit Values'!$A$2:$BU$3955,58,FALSE))</f>
        <v>5</v>
      </c>
      <c r="R190" s="95">
        <v>0</v>
      </c>
      <c r="S190" s="95">
        <f t="shared" si="116"/>
        <v>680.8</v>
      </c>
      <c r="T190" s="95">
        <f t="shared" si="84"/>
        <v>241.6</v>
      </c>
      <c r="U190" s="95">
        <f>IF(ISNA(VLOOKUP($CZ190,'Audit Values'!$A$2:$BW$317,2,FALSE)),'Preliminary SO66'!AM189,VLOOKUP($CZ190,'Audit Values'!$A$2:$BW$317,62,FALSE))</f>
        <v>1</v>
      </c>
      <c r="V190" s="95">
        <f>(U190/6)*'Weighting Factors'!$Q$7</f>
        <v>0.1</v>
      </c>
      <c r="W190" s="132">
        <f>IF(ISNA(VLOOKUP($CZ190,'Audit Values'!$A$2:$BW$353,2,FALSE)),'Preliminary SO66'!AN189,VLOOKUP($CZ190,'Audit Values'!$A$2:$BW$353,61,FALSE))</f>
        <v>6</v>
      </c>
      <c r="X190" s="95">
        <f>W190*'Weighting Factors'!$Q$8</f>
        <v>1.1000000000000001</v>
      </c>
      <c r="Y190" s="95">
        <f t="shared" si="85"/>
        <v>1.1000000000000001</v>
      </c>
      <c r="Z190" s="276">
        <f>IF(ISNA(VLOOKUP($CZ190,'Audit Values'!$A$2:$BW$317,2,FALSE)),'Preliminary SO66'!AO189,VLOOKUP($CZ190,'Audit Values'!$A$2:$BW$317,60,FALSE))</f>
        <v>151.80000000000001</v>
      </c>
      <c r="AA190" s="95">
        <f>Z190/6*'Weighting Factors'!$Q$6</f>
        <v>12.7</v>
      </c>
      <c r="AB190" s="99">
        <f>IF(ISNA(VLOOKUP($CZ190,'Audit Values'!$A$2:$BU$353,2,FALSE)),'Preliminary SO66'!AS189,VLOOKUP($CZ190,'Audit Values'!$A$2:$BU$353,63,FALSE))</f>
        <v>658</v>
      </c>
      <c r="AC190" s="99">
        <v>0</v>
      </c>
      <c r="AD190" s="99">
        <f>IF(ISNA(VLOOKUP($CZ190,'Audit Values'!$A$2:$BU$353,2,FALSE)),'Preliminary SO66'!AP189,VLOOKUP($CZ190,'Audit Values'!$A$2:$BU$353,64,FALSE))</f>
        <v>172</v>
      </c>
      <c r="AE190" s="95">
        <f>IF(A190=207, AD190,MAX(AC190,AD190))*'Weighting Factors'!$Q$9</f>
        <v>83.2</v>
      </c>
      <c r="AF190" s="95">
        <f t="shared" si="86"/>
        <v>0</v>
      </c>
      <c r="AG190" s="95">
        <f>IF(ISNA(VLOOKUP($CZ190,'Audit Values'!$A$2:$BW$353,2,FALSE)),'Preliminary SO66'!AG189,VLOOKUP($CZ190,'Audit Values'!$A$2:$BW$353,70,FALSE))</f>
        <v>0</v>
      </c>
      <c r="AH190" s="95">
        <f t="shared" si="87"/>
        <v>0</v>
      </c>
      <c r="AI190" s="95">
        <f>IF(ISNA(VLOOKUP($CZ190,'Audit Values'!$A$2:$BU$353,2,FALSE)),'Preliminary SO66'!AQ189,VLOOKUP($CZ190,'Audit Values'!$A$2:$BU$353,65,FALSE))</f>
        <v>0</v>
      </c>
      <c r="AJ190" s="95">
        <f>AI190*'Weighting Factors'!$Q$10</f>
        <v>0</v>
      </c>
      <c r="AK190" s="95">
        <f>IF(ISNA(VLOOKUP($CZ190,'Audit Values'!$A$2:$BU$353,2,FALSE)),'Preliminary SO66'!AR189,VLOOKUP($CZ190,'Audit Values'!$A$2:$BU$353,66,FALSE))</f>
        <v>183.5</v>
      </c>
      <c r="AL190" s="95"/>
      <c r="AM190" s="99">
        <f t="shared" si="88"/>
        <v>163315</v>
      </c>
      <c r="AN190" s="99">
        <v>193756</v>
      </c>
      <c r="AO190" s="95">
        <f>MAX(AN190, AM190)/'Weighting Factors'!$Q$5</f>
        <v>46.5</v>
      </c>
      <c r="AP190" s="95">
        <f>CN190/'Weighting Factors'!$Q$5</f>
        <v>0</v>
      </c>
      <c r="AQ190" s="95">
        <v>0</v>
      </c>
      <c r="AR190" s="95">
        <f>CS190/'Weighting Factors'!$Q$5</f>
        <v>0</v>
      </c>
      <c r="AS190" s="99">
        <v>717270</v>
      </c>
      <c r="AT190" s="95">
        <f>AS190/'Weighting Factors'!$Q$5</f>
        <v>172.2</v>
      </c>
      <c r="AU190" s="95">
        <f>IF(ISNA(VLOOKUP($CZ190,'Audit Values'!$A$2:$BU$353,2,FALSE)),'Preliminary SO66'!X189,VLOOKUP($CZ190,'Audit Values'!$A$2:$BU$353,47,FALSE))</f>
        <v>0</v>
      </c>
      <c r="AV190" s="95">
        <f t="shared" si="89"/>
        <v>1238.0999999999999</v>
      </c>
      <c r="AW190" s="95">
        <f t="shared" si="90"/>
        <v>1065.9000000000001</v>
      </c>
      <c r="AX190" s="95">
        <f>IF(ISNA(VLOOKUP($CZ190,'Audit Values'!$A$2:$BU$353,2,FALSE)),'Preliminary SO66'!AA189,VLOOKUP($CZ190,'Audit Values'!$A$2:$BU$353,41,FALSE))</f>
        <v>4</v>
      </c>
      <c r="AY190" s="95">
        <f>IF(ISNA(VLOOKUP($CZ190,'Audit Values'!$A$2:$BU$353,2,FALSE)),'Preliminary SO66'!AB189,VLOOKUP($CZ190,'Audit Values'!$A$2:$BU$353,42,FALSE))</f>
        <v>0</v>
      </c>
      <c r="AZ190" s="114">
        <v>13.5</v>
      </c>
      <c r="BA190" s="99">
        <f>SUM(AX190*'Weighting Factors'!$T$10)+('2019 Legal Max'!AY190*'Weighting Factors'!$T$11)+('2019 Legal Max'!AZ190*'Weighting Factors'!$T$12)</f>
        <v>29572</v>
      </c>
      <c r="BB190" s="158">
        <v>0</v>
      </c>
      <c r="BC190" s="88">
        <f>IF(ISNA(VLOOKUP($CZ190,'Audit Values'!$A$2:$BU$353,2,FALSE)),"",IF(AND('Weighting Factors'!H190&gt;0,VLOOKUP($CZ190,'Audit Values'!$A$2:$BU$353,51,FALSE)&lt;'Weighting Factors'!H190),'Weighting Factors'!H190,VLOOKUP($CZ190,'Audit Values'!$A$2:$BU$353,50,FALSE)))</f>
        <v>22</v>
      </c>
      <c r="BD190" s="88" t="str">
        <f>IF(ISNA(VLOOKUP($CZ190,'Audit Values'!$A$2:$BV$353,2,FALSE)),"",VLOOKUP($CZ190,'Audit Values'!$A$2:$BV$353,51,FALSE))</f>
        <v>A</v>
      </c>
      <c r="BE190" s="88" t="str">
        <f>IF('Weighting Factors'!H190="","",IF('Weighting Factors'!J190="Pending","PX","R"))</f>
        <v/>
      </c>
      <c r="BF190" s="97">
        <f>SUM((S190+T190+Y190+AA190+AE190+AH190+AJ190++AO190+AP190+AQ190+AU190+AR190)*'Weighting Factors'!$Q$5)+'2019 Legal Max'!BA190+'2019 Legal Max'!BB190</f>
        <v>4469046</v>
      </c>
      <c r="BG190" s="99">
        <f>SUM((AV190+AR190)*'Weighting Factors'!$Q$5)+BA190+'2019 Legal Max'!BB190</f>
        <v>5186259</v>
      </c>
      <c r="BH190" s="108">
        <f>IF('Weighting Factors'!H190&gt;0,'Weighting Factors'!H190,'Preliminary SO66'!AV189)</f>
        <v>5416471</v>
      </c>
      <c r="BI190" s="99">
        <f t="shared" si="114"/>
        <v>5186259</v>
      </c>
      <c r="BJ190" s="112"/>
      <c r="BK190" s="112">
        <f>'Weighting Factors'!F190</f>
        <v>-2899</v>
      </c>
      <c r="BL190" s="112">
        <f>'Weighting Factors'!E190</f>
        <v>-709</v>
      </c>
      <c r="BM190" s="99">
        <f t="shared" si="91"/>
        <v>-3608</v>
      </c>
      <c r="BN190" s="99">
        <f t="shared" si="92"/>
        <v>5182651</v>
      </c>
      <c r="BO190" s="99">
        <f>SUM((S190+T190+Y190+AA190+AE190+AH190+AJ190++AO190+AP190+AQ190+AR190)*'Weighting Factors'!Q$12)+(MAX(AS190,'Weighting Factors'!B190))</f>
        <v>5531490</v>
      </c>
      <c r="BP190" s="122">
        <v>0.33</v>
      </c>
      <c r="BQ190" s="99">
        <f t="shared" si="93"/>
        <v>1825392</v>
      </c>
      <c r="BR190" s="108">
        <v>1870104</v>
      </c>
      <c r="BS190" s="99">
        <f t="shared" si="94"/>
        <v>1825392</v>
      </c>
      <c r="BT190" s="167">
        <f t="shared" si="95"/>
        <v>0.33</v>
      </c>
      <c r="BU190" s="95">
        <f t="shared" si="96"/>
        <v>0</v>
      </c>
      <c r="BV190" s="87" t="b">
        <f t="shared" si="97"/>
        <v>0</v>
      </c>
      <c r="BW190" s="117">
        <f t="shared" si="98"/>
        <v>0</v>
      </c>
      <c r="BX190" s="116">
        <f t="shared" si="99"/>
        <v>0</v>
      </c>
      <c r="BY190" s="95">
        <f t="shared" si="100"/>
        <v>0</v>
      </c>
      <c r="BZ190" s="87" t="b">
        <f t="shared" si="101"/>
        <v>1</v>
      </c>
      <c r="CA190" s="87">
        <f t="shared" si="102"/>
        <v>471.24</v>
      </c>
      <c r="CB190" s="116">
        <f t="shared" si="103"/>
        <v>0.35481000000000001</v>
      </c>
      <c r="CC190" s="95">
        <f t="shared" si="104"/>
        <v>241.6</v>
      </c>
      <c r="CD190" s="95">
        <f t="shared" si="105"/>
        <v>0</v>
      </c>
      <c r="CE190" s="98">
        <v>125</v>
      </c>
      <c r="CF190" s="250">
        <f t="shared" si="106"/>
        <v>1.468</v>
      </c>
      <c r="CG190" s="274">
        <f>IF(CF190&lt;0.06,1,IF(CF190&gt;=18.29,52,MATCH(CF190-0.001,'Weighting Factors'!$Y$5:$Y$156)+1))</f>
        <v>35</v>
      </c>
      <c r="CH190" s="243">
        <f>VLOOKUP(CG190, 'Weighting Factors'!$W$5:$Z$56,4)</f>
        <v>890</v>
      </c>
      <c r="CI190" s="118">
        <f>('Weighting Factors'!$Q$5/'Weighting Factors'!$Q$14)</f>
        <v>1</v>
      </c>
      <c r="CJ190" s="245">
        <f t="shared" si="107"/>
        <v>163315</v>
      </c>
      <c r="CK190" s="245">
        <f>CJ190*'Weighting Factors'!$S$7</f>
        <v>163315</v>
      </c>
      <c r="CL190" s="245">
        <f t="shared" si="108"/>
        <v>163315</v>
      </c>
      <c r="CM190" s="95">
        <f>AM190/'Weighting Factors'!$Q$5</f>
        <v>39.200000000000003</v>
      </c>
      <c r="CN190" s="148">
        <v>0</v>
      </c>
      <c r="CO190" s="148">
        <v>0</v>
      </c>
      <c r="CP190" s="149">
        <v>0</v>
      </c>
      <c r="CQ190" s="151">
        <v>0</v>
      </c>
      <c r="CR190" s="99">
        <f>SUM((AV190*'Weighting Factors'!$Q$5)+'2019 Legal Max'!BA190)*CQ190</f>
        <v>0</v>
      </c>
      <c r="CS190" s="99">
        <f t="shared" si="109"/>
        <v>0</v>
      </c>
      <c r="CT190" s="106">
        <f t="shared" si="110"/>
        <v>0.26140000000000002</v>
      </c>
      <c r="CU190" s="95">
        <f t="shared" si="111"/>
        <v>0</v>
      </c>
      <c r="CV190" s="95">
        <f t="shared" si="112"/>
        <v>0</v>
      </c>
      <c r="CW190" s="95">
        <f t="shared" si="113"/>
        <v>1238.0999999999999</v>
      </c>
      <c r="CX190" s="99">
        <f>'LOB Transfers'!G189</f>
        <v>123214</v>
      </c>
      <c r="CY190" s="99">
        <f>'LOB Transfers'!J189</f>
        <v>1643</v>
      </c>
      <c r="CZ190" s="87" t="s">
        <v>382</v>
      </c>
    </row>
    <row r="191" spans="1:104" ht="15" customHeight="1">
      <c r="A191" s="88">
        <v>397</v>
      </c>
      <c r="B191" s="87" t="s">
        <v>89</v>
      </c>
      <c r="C191" s="87" t="s">
        <v>703</v>
      </c>
      <c r="D191" s="95">
        <v>209.5</v>
      </c>
      <c r="E191" s="95">
        <v>0</v>
      </c>
      <c r="F191" s="95">
        <f t="shared" si="80"/>
        <v>209.5</v>
      </c>
      <c r="G191" s="95">
        <v>201.5</v>
      </c>
      <c r="H191" s="95">
        <v>0</v>
      </c>
      <c r="I191" s="95">
        <f t="shared" si="81"/>
        <v>201.5</v>
      </c>
      <c r="J191" s="95">
        <v>194.5</v>
      </c>
      <c r="K191" s="95">
        <v>0</v>
      </c>
      <c r="L191" s="95">
        <f t="shared" si="82"/>
        <v>194.5</v>
      </c>
      <c r="M191" s="95">
        <f>IF(ISNA(VLOOKUP($CZ191,'Audit Values'!$A$2:$BW$365,2,FALSE)),'Preliminary SO66'!C190,VLOOKUP($CZ191,'Audit Values'!$A$2:$BW$365,73,FALSE))</f>
        <v>192.5</v>
      </c>
      <c r="N191" s="95">
        <f>IF(ISNA(VLOOKUP($CZ191,'Audit Values'!$A$2:$BW$365,2,FALSE)),'Preliminary SO66'!F190,VLOOKUP($CZ191,'Audit Values'!$A$2:$BW$365,4,FALSE))</f>
        <v>0</v>
      </c>
      <c r="O191" s="95">
        <f t="shared" si="83"/>
        <v>192.5</v>
      </c>
      <c r="P191" s="95">
        <f>IF('Military Provision'!J192="YES", MAX('2019 Legal Max'!L191,'2019 Legal Max'!I191,AVERAGE('2019 Legal Max'!F191,'2019 Legal Max'!I191,'2019 Legal Max'!L191)), MAX(L191, I191))</f>
        <v>201.5</v>
      </c>
      <c r="Q191" s="95">
        <f>IF(ISNA(VLOOKUP($CZ191,'Audit Values'!$A$2:$BU$353,2,FALSE)),'Preliminary SO66'!AL190,VLOOKUP($CZ191,'Audit Values'!$A$2:$BU$3955,58,FALSE))</f>
        <v>1</v>
      </c>
      <c r="R191" s="95">
        <v>0</v>
      </c>
      <c r="S191" s="95">
        <f t="shared" si="116"/>
        <v>202.5</v>
      </c>
      <c r="T191" s="95">
        <f t="shared" si="84"/>
        <v>150.4</v>
      </c>
      <c r="U191" s="95">
        <f>IF(ISNA(VLOOKUP($CZ191,'Audit Values'!$A$2:$BW$317,2,FALSE)),'Preliminary SO66'!AM190,VLOOKUP($CZ191,'Audit Values'!$A$2:$BW$317,62,FALSE))</f>
        <v>0</v>
      </c>
      <c r="V191" s="95">
        <f>(U191/6)*'Weighting Factors'!$Q$7</f>
        <v>0</v>
      </c>
      <c r="W191" s="132">
        <f>IF(ISNA(VLOOKUP($CZ191,'Audit Values'!$A$2:$BW$353,2,FALSE)),'Preliminary SO66'!AN190,VLOOKUP($CZ191,'Audit Values'!$A$2:$BW$353,61,FALSE))</f>
        <v>0</v>
      </c>
      <c r="X191" s="95">
        <f>W191*'Weighting Factors'!$Q$8</f>
        <v>0</v>
      </c>
      <c r="Y191" s="95">
        <f t="shared" si="85"/>
        <v>0</v>
      </c>
      <c r="Z191" s="276">
        <f>IF(ISNA(VLOOKUP($CZ191,'Audit Values'!$A$2:$BW$317,2,FALSE)),'Preliminary SO66'!AO190,VLOOKUP($CZ191,'Audit Values'!$A$2:$BW$317,60,FALSE))</f>
        <v>109.4</v>
      </c>
      <c r="AA191" s="95">
        <f>Z191/6*'Weighting Factors'!$Q$6</f>
        <v>9.1</v>
      </c>
      <c r="AB191" s="99">
        <f>IF(ISNA(VLOOKUP($CZ191,'Audit Values'!$A$2:$BU$353,2,FALSE)),'Preliminary SO66'!AS190,VLOOKUP($CZ191,'Audit Values'!$A$2:$BU$353,63,FALSE))</f>
        <v>196</v>
      </c>
      <c r="AC191" s="99">
        <v>0</v>
      </c>
      <c r="AD191" s="99">
        <f>IF(ISNA(VLOOKUP($CZ191,'Audit Values'!$A$2:$BU$353,2,FALSE)),'Preliminary SO66'!AP190,VLOOKUP($CZ191,'Audit Values'!$A$2:$BU$353,64,FALSE))</f>
        <v>61</v>
      </c>
      <c r="AE191" s="95">
        <f>IF(A191=207, AD191,MAX(AC191,AD191))*'Weighting Factors'!$Q$9</f>
        <v>29.5</v>
      </c>
      <c r="AF191" s="95">
        <f t="shared" si="86"/>
        <v>0</v>
      </c>
      <c r="AG191" s="95">
        <f>IF(ISNA(VLOOKUP($CZ191,'Audit Values'!$A$2:$BW$353,2,FALSE)),'Preliminary SO66'!AG190,VLOOKUP($CZ191,'Audit Values'!$A$2:$BW$353,70,FALSE))</f>
        <v>0</v>
      </c>
      <c r="AH191" s="95">
        <f t="shared" si="87"/>
        <v>0</v>
      </c>
      <c r="AI191" s="95">
        <f>IF(ISNA(VLOOKUP($CZ191,'Audit Values'!$A$2:$BU$353,2,FALSE)),'Preliminary SO66'!AQ190,VLOOKUP($CZ191,'Audit Values'!$A$2:$BU$353,65,FALSE))</f>
        <v>0</v>
      </c>
      <c r="AJ191" s="95">
        <f>AI191*'Weighting Factors'!$Q$10</f>
        <v>0</v>
      </c>
      <c r="AK191" s="95">
        <f>IF(ISNA(VLOOKUP($CZ191,'Audit Values'!$A$2:$BU$353,2,FALSE)),'Preliminary SO66'!AR190,VLOOKUP($CZ191,'Audit Values'!$A$2:$BU$353,66,FALSE))</f>
        <v>150</v>
      </c>
      <c r="AL191" s="95"/>
      <c r="AM191" s="99">
        <f t="shared" si="88"/>
        <v>172500</v>
      </c>
      <c r="AN191" s="99">
        <v>216097</v>
      </c>
      <c r="AO191" s="95">
        <f>MAX(AN191, AM191)/'Weighting Factors'!$Q$5</f>
        <v>51.9</v>
      </c>
      <c r="AP191" s="95">
        <f>CN191/'Weighting Factors'!$Q$5</f>
        <v>0</v>
      </c>
      <c r="AQ191" s="95">
        <v>0</v>
      </c>
      <c r="AR191" s="95">
        <f>CS191/'Weighting Factors'!$Q$5</f>
        <v>0</v>
      </c>
      <c r="AS191" s="99">
        <v>439260</v>
      </c>
      <c r="AT191" s="95">
        <f>AS191/'Weighting Factors'!$Q$5</f>
        <v>105.5</v>
      </c>
      <c r="AU191" s="95">
        <f>IF(ISNA(VLOOKUP($CZ191,'Audit Values'!$A$2:$BU$353,2,FALSE)),'Preliminary SO66'!X190,VLOOKUP($CZ191,'Audit Values'!$A$2:$BU$353,47,FALSE))</f>
        <v>0</v>
      </c>
      <c r="AV191" s="95">
        <f t="shared" si="89"/>
        <v>548.9</v>
      </c>
      <c r="AW191" s="95">
        <f t="shared" si="90"/>
        <v>443.4</v>
      </c>
      <c r="AX191" s="95">
        <f>IF(ISNA(VLOOKUP($CZ191,'Audit Values'!$A$2:$BU$353,2,FALSE)),'Preliminary SO66'!AA190,VLOOKUP($CZ191,'Audit Values'!$A$2:$BU$353,41,FALSE))</f>
        <v>102</v>
      </c>
      <c r="AY191" s="95">
        <f>IF(ISNA(VLOOKUP($CZ191,'Audit Values'!$A$2:$BU$353,2,FALSE)),'Preliminary SO66'!AB190,VLOOKUP($CZ191,'Audit Values'!$A$2:$BU$353,42,FALSE))</f>
        <v>1.9</v>
      </c>
      <c r="AZ191" s="114">
        <v>456</v>
      </c>
      <c r="BA191" s="99">
        <f>SUM(AX191*'Weighting Factors'!$T$10)+('2019 Legal Max'!AY191*'Weighting Factors'!$T$11)+('2019 Legal Max'!AZ191*'Weighting Factors'!$T$12)</f>
        <v>836534</v>
      </c>
      <c r="BB191" s="158">
        <v>0</v>
      </c>
      <c r="BC191" s="88">
        <f>IF(ISNA(VLOOKUP($CZ191,'Audit Values'!$A$2:$BU$353,2,FALSE)),"",IF(AND('Weighting Factors'!H191&gt;0,VLOOKUP($CZ191,'Audit Values'!$A$2:$BU$353,51,FALSE)&lt;'Weighting Factors'!H191),'Weighting Factors'!H191,VLOOKUP($CZ191,'Audit Values'!$A$2:$BU$353,50,FALSE)))</f>
        <v>18</v>
      </c>
      <c r="BD191" s="88" t="str">
        <f>IF(ISNA(VLOOKUP($CZ191,'Audit Values'!$A$2:$BV$353,2,FALSE)),"",VLOOKUP($CZ191,'Audit Values'!$A$2:$BV$353,51,FALSE))</f>
        <v>A</v>
      </c>
      <c r="BE191" s="88" t="str">
        <f>IF('Weighting Factors'!H191="","",IF('Weighting Factors'!J191="Pending","PX","R"))</f>
        <v/>
      </c>
      <c r="BF191" s="97">
        <f>SUM((S191+T191+Y191+AA191+AE191+AH191+AJ191++AO191+AP191+AQ191+AU191+AR191)*'Weighting Factors'!$Q$5)+'2019 Legal Max'!BA191+'2019 Legal Max'!BB191</f>
        <v>2683295</v>
      </c>
      <c r="BG191" s="99">
        <f>SUM((AV191+AR191)*'Weighting Factors'!$Q$5)+BA191+'2019 Legal Max'!BB191</f>
        <v>3122703</v>
      </c>
      <c r="BH191" s="108">
        <f>IF('Weighting Factors'!H191&gt;0,'Weighting Factors'!H191,'Preliminary SO66'!AV190)</f>
        <v>3152007</v>
      </c>
      <c r="BI191" s="99">
        <f t="shared" si="114"/>
        <v>3122703</v>
      </c>
      <c r="BJ191" s="112"/>
      <c r="BK191" s="112">
        <f>'Weighting Factors'!F191</f>
        <v>0</v>
      </c>
      <c r="BL191" s="112">
        <f>'Weighting Factors'!E191</f>
        <v>0</v>
      </c>
      <c r="BM191" s="99">
        <f t="shared" si="91"/>
        <v>0</v>
      </c>
      <c r="BN191" s="99">
        <f t="shared" si="92"/>
        <v>3122703</v>
      </c>
      <c r="BO191" s="99">
        <f>SUM((S191+T191+Y191+AA191+AE191+AH191+AJ191++AO191+AP191+AQ191+AR191)*'Weighting Factors'!Q$12)+(MAX(AS191,'Weighting Factors'!B191))</f>
        <v>2430126</v>
      </c>
      <c r="BP191" s="122">
        <v>0.3</v>
      </c>
      <c r="BQ191" s="99">
        <f t="shared" si="93"/>
        <v>729038</v>
      </c>
      <c r="BR191" s="108">
        <v>764031</v>
      </c>
      <c r="BS191" s="99">
        <f t="shared" si="94"/>
        <v>729038</v>
      </c>
      <c r="BT191" s="167">
        <f t="shared" si="95"/>
        <v>0.3</v>
      </c>
      <c r="BU191" s="95">
        <f t="shared" si="96"/>
        <v>0</v>
      </c>
      <c r="BV191" s="87" t="b">
        <f t="shared" si="97"/>
        <v>1</v>
      </c>
      <c r="BW191" s="117">
        <f t="shared" si="98"/>
        <v>989.63800000000003</v>
      </c>
      <c r="BX191" s="116">
        <f t="shared" si="99"/>
        <v>0.74263199999999996</v>
      </c>
      <c r="BY191" s="95">
        <f t="shared" si="100"/>
        <v>150.4</v>
      </c>
      <c r="BZ191" s="87" t="b">
        <f t="shared" si="101"/>
        <v>0</v>
      </c>
      <c r="CA191" s="87">
        <f t="shared" si="102"/>
        <v>0</v>
      </c>
      <c r="CB191" s="116">
        <f t="shared" si="103"/>
        <v>0</v>
      </c>
      <c r="CC191" s="95">
        <f t="shared" si="104"/>
        <v>0</v>
      </c>
      <c r="CD191" s="95">
        <f t="shared" si="105"/>
        <v>0</v>
      </c>
      <c r="CE191" s="98">
        <v>400</v>
      </c>
      <c r="CF191" s="250">
        <f t="shared" si="106"/>
        <v>0.375</v>
      </c>
      <c r="CG191" s="274">
        <f>IF(CF191&lt;0.06,1,IF(CF191&gt;=18.29,52,MATCH(CF191-0.001,'Weighting Factors'!$Y$5:$Y$156)+1))</f>
        <v>22</v>
      </c>
      <c r="CH191" s="243">
        <f>VLOOKUP(CG191, 'Weighting Factors'!$W$5:$Z$56,4)</f>
        <v>1150</v>
      </c>
      <c r="CI191" s="118">
        <f>('Weighting Factors'!$Q$5/'Weighting Factors'!$Q$14)</f>
        <v>1</v>
      </c>
      <c r="CJ191" s="245">
        <f t="shared" si="107"/>
        <v>172500</v>
      </c>
      <c r="CK191" s="245">
        <f>CJ191*'Weighting Factors'!$S$7</f>
        <v>172500</v>
      </c>
      <c r="CL191" s="245">
        <f t="shared" si="108"/>
        <v>172500</v>
      </c>
      <c r="CM191" s="95">
        <f>AM191/'Weighting Factors'!$Q$5</f>
        <v>41.4</v>
      </c>
      <c r="CN191" s="148">
        <v>0</v>
      </c>
      <c r="CO191" s="148">
        <v>0</v>
      </c>
      <c r="CP191" s="149">
        <v>0</v>
      </c>
      <c r="CQ191" s="151">
        <v>0</v>
      </c>
      <c r="CR191" s="99">
        <f>SUM((AV191*'Weighting Factors'!$Q$5)+'2019 Legal Max'!BA191)*CQ191</f>
        <v>0</v>
      </c>
      <c r="CS191" s="99">
        <f t="shared" si="109"/>
        <v>0</v>
      </c>
      <c r="CT191" s="106">
        <f t="shared" si="110"/>
        <v>0.31119999999999998</v>
      </c>
      <c r="CU191" s="95">
        <f t="shared" si="111"/>
        <v>0</v>
      </c>
      <c r="CV191" s="95">
        <f t="shared" si="112"/>
        <v>0</v>
      </c>
      <c r="CW191" s="95">
        <f t="shared" si="113"/>
        <v>548.9</v>
      </c>
      <c r="CX191" s="99">
        <f>'LOB Transfers'!G190</f>
        <v>39222</v>
      </c>
      <c r="CY191" s="99">
        <f>'LOB Transfers'!J190</f>
        <v>0</v>
      </c>
      <c r="CZ191" s="87" t="s">
        <v>383</v>
      </c>
    </row>
    <row r="192" spans="1:104" ht="15" customHeight="1">
      <c r="A192" s="88">
        <v>398</v>
      </c>
      <c r="B192" s="87" t="s">
        <v>89</v>
      </c>
      <c r="C192" s="87" t="s">
        <v>704</v>
      </c>
      <c r="D192" s="95">
        <v>239</v>
      </c>
      <c r="E192" s="95">
        <v>0</v>
      </c>
      <c r="F192" s="95">
        <f t="shared" si="80"/>
        <v>239</v>
      </c>
      <c r="G192" s="95">
        <v>246.5</v>
      </c>
      <c r="H192" s="95">
        <v>0</v>
      </c>
      <c r="I192" s="95">
        <f t="shared" si="81"/>
        <v>246.5</v>
      </c>
      <c r="J192" s="95">
        <v>242</v>
      </c>
      <c r="K192" s="95">
        <v>0</v>
      </c>
      <c r="L192" s="95">
        <f t="shared" si="82"/>
        <v>242</v>
      </c>
      <c r="M192" s="95">
        <f>IF(ISNA(VLOOKUP($CZ192,'Audit Values'!$A$2:$BW$365,2,FALSE)),'Preliminary SO66'!C191,VLOOKUP($CZ192,'Audit Values'!$A$2:$BW$365,73,FALSE))</f>
        <v>230.5</v>
      </c>
      <c r="N192" s="95">
        <f>IF(ISNA(VLOOKUP($CZ192,'Audit Values'!$A$2:$BW$365,2,FALSE)),'Preliminary SO66'!F191,VLOOKUP($CZ192,'Audit Values'!$A$2:$BW$365,4,FALSE))</f>
        <v>0</v>
      </c>
      <c r="O192" s="95">
        <f t="shared" si="83"/>
        <v>230.5</v>
      </c>
      <c r="P192" s="95">
        <f>IF('Military Provision'!J193="YES", MAX('2019 Legal Max'!L192,'2019 Legal Max'!I192,AVERAGE('2019 Legal Max'!F192,'2019 Legal Max'!I192,'2019 Legal Max'!L192)), MAX(L192, I192))</f>
        <v>246.5</v>
      </c>
      <c r="Q192" s="95">
        <f>IF(ISNA(VLOOKUP($CZ192,'Audit Values'!$A$2:$BU$353,2,FALSE)),'Preliminary SO66'!AL191,VLOOKUP($CZ192,'Audit Values'!$A$2:$BU$3955,58,FALSE))</f>
        <v>4</v>
      </c>
      <c r="R192" s="95">
        <v>0</v>
      </c>
      <c r="S192" s="95">
        <f t="shared" si="116"/>
        <v>250.5</v>
      </c>
      <c r="T192" s="95">
        <f t="shared" si="84"/>
        <v>154.19999999999999</v>
      </c>
      <c r="U192" s="95">
        <f>IF(ISNA(VLOOKUP($CZ192,'Audit Values'!$A$2:$BW$317,2,FALSE)),'Preliminary SO66'!AM191,VLOOKUP($CZ192,'Audit Values'!$A$2:$BW$317,62,FALSE))</f>
        <v>0</v>
      </c>
      <c r="V192" s="95">
        <f>(U192/6)*'Weighting Factors'!$Q$7</f>
        <v>0</v>
      </c>
      <c r="W192" s="132">
        <f>IF(ISNA(VLOOKUP($CZ192,'Audit Values'!$A$2:$BW$353,2,FALSE)),'Preliminary SO66'!AN191,VLOOKUP($CZ192,'Audit Values'!$A$2:$BW$353,61,FALSE))</f>
        <v>0</v>
      </c>
      <c r="X192" s="95">
        <f>W192*'Weighting Factors'!$Q$8</f>
        <v>0</v>
      </c>
      <c r="Y192" s="95">
        <f t="shared" si="85"/>
        <v>0</v>
      </c>
      <c r="Z192" s="276">
        <f>IF(ISNA(VLOOKUP($CZ192,'Audit Values'!$A$2:$BW$317,2,FALSE)),'Preliminary SO66'!AO191,VLOOKUP($CZ192,'Audit Values'!$A$2:$BW$317,60,FALSE))</f>
        <v>113.4</v>
      </c>
      <c r="AA192" s="95">
        <f>Z192/6*'Weighting Factors'!$Q$6</f>
        <v>9.5</v>
      </c>
      <c r="AB192" s="99">
        <f>IF(ISNA(VLOOKUP($CZ192,'Audit Values'!$A$2:$BU$353,2,FALSE)),'Preliminary SO66'!AS191,VLOOKUP($CZ192,'Audit Values'!$A$2:$BU$353,63,FALSE))</f>
        <v>240</v>
      </c>
      <c r="AC192" s="99">
        <v>0</v>
      </c>
      <c r="AD192" s="99">
        <f>IF(ISNA(VLOOKUP($CZ192,'Audit Values'!$A$2:$BU$353,2,FALSE)),'Preliminary SO66'!AP191,VLOOKUP($CZ192,'Audit Values'!$A$2:$BU$353,64,FALSE))</f>
        <v>116</v>
      </c>
      <c r="AE192" s="95">
        <f>IF(A192=207, AD192,MAX(AC192,AD192))*'Weighting Factors'!$Q$9</f>
        <v>56.1</v>
      </c>
      <c r="AF192" s="95">
        <f t="shared" si="86"/>
        <v>10.8</v>
      </c>
      <c r="AG192" s="95">
        <f>IF(ISNA(VLOOKUP($CZ192,'Audit Values'!$A$2:$BW$353,2,FALSE)),'Preliminary SO66'!AG191,VLOOKUP($CZ192,'Audit Values'!$A$2:$BW$353,70,FALSE))</f>
        <v>10</v>
      </c>
      <c r="AH192" s="95">
        <f t="shared" si="87"/>
        <v>10.8</v>
      </c>
      <c r="AI192" s="95">
        <f>IF(ISNA(VLOOKUP($CZ192,'Audit Values'!$A$2:$BU$353,2,FALSE)),'Preliminary SO66'!AQ191,VLOOKUP($CZ192,'Audit Values'!$A$2:$BU$353,65,FALSE))</f>
        <v>0</v>
      </c>
      <c r="AJ192" s="95">
        <f>AI192*'Weighting Factors'!$Q$10</f>
        <v>0</v>
      </c>
      <c r="AK192" s="95">
        <f>IF(ISNA(VLOOKUP($CZ192,'Audit Values'!$A$2:$BU$353,2,FALSE)),'Preliminary SO66'!AR191,VLOOKUP($CZ192,'Audit Values'!$A$2:$BU$353,66,FALSE))</f>
        <v>67</v>
      </c>
      <c r="AL192" s="95"/>
      <c r="AM192" s="99">
        <f t="shared" si="88"/>
        <v>81070</v>
      </c>
      <c r="AN192" s="99">
        <v>110167</v>
      </c>
      <c r="AO192" s="95">
        <f>MAX(AN192, AM192)/'Weighting Factors'!$Q$5</f>
        <v>26.5</v>
      </c>
      <c r="AP192" s="95">
        <f>CN192/'Weighting Factors'!$Q$5</f>
        <v>0</v>
      </c>
      <c r="AQ192" s="95">
        <v>0</v>
      </c>
      <c r="AR192" s="95">
        <f>CS192/'Weighting Factors'!$Q$5</f>
        <v>0</v>
      </c>
      <c r="AS192" s="99">
        <v>372696</v>
      </c>
      <c r="AT192" s="95">
        <f>AS192/'Weighting Factors'!$Q$5</f>
        <v>89.5</v>
      </c>
      <c r="AU192" s="95">
        <f>IF(ISNA(VLOOKUP($CZ192,'Audit Values'!$A$2:$BU$353,2,FALSE)),'Preliminary SO66'!X191,VLOOKUP($CZ192,'Audit Values'!$A$2:$BU$353,47,FALSE))</f>
        <v>0</v>
      </c>
      <c r="AV192" s="95">
        <f t="shared" si="89"/>
        <v>597.1</v>
      </c>
      <c r="AW192" s="95">
        <f t="shared" si="90"/>
        <v>507.6</v>
      </c>
      <c r="AX192" s="95">
        <f>IF(ISNA(VLOOKUP($CZ192,'Audit Values'!$A$2:$BU$353,2,FALSE)),'Preliminary SO66'!AA191,VLOOKUP($CZ192,'Audit Values'!$A$2:$BU$353,41,FALSE))</f>
        <v>1</v>
      </c>
      <c r="AY192" s="95">
        <f>IF(ISNA(VLOOKUP($CZ192,'Audit Values'!$A$2:$BU$353,2,FALSE)),'Preliminary SO66'!AB191,VLOOKUP($CZ192,'Audit Values'!$A$2:$BU$353,42,FALSE))</f>
        <v>0.8</v>
      </c>
      <c r="AZ192" s="114">
        <v>1.5</v>
      </c>
      <c r="BA192" s="99">
        <f>SUM(AX192*'Weighting Factors'!$T$10)+('2019 Legal Max'!AY192*'Weighting Factors'!$T$11)+('2019 Legal Max'!AZ192*'Weighting Factors'!$T$12)</f>
        <v>7424</v>
      </c>
      <c r="BB192" s="158">
        <v>0</v>
      </c>
      <c r="BC192" s="88">
        <f>IF(ISNA(VLOOKUP($CZ192,'Audit Values'!$A$2:$BU$353,2,FALSE)),"",IF(AND('Weighting Factors'!H192&gt;0,VLOOKUP($CZ192,'Audit Values'!$A$2:$BU$353,51,FALSE)&lt;'Weighting Factors'!H192),'Weighting Factors'!H192,VLOOKUP($CZ192,'Audit Values'!$A$2:$BU$353,50,FALSE)))</f>
        <v>18</v>
      </c>
      <c r="BD192" s="88" t="str">
        <f>IF(ISNA(VLOOKUP($CZ192,'Audit Values'!$A$2:$BV$353,2,FALSE)),"",VLOOKUP($CZ192,'Audit Values'!$A$2:$BV$353,51,FALSE))</f>
        <v>A</v>
      </c>
      <c r="BE192" s="88" t="str">
        <f>IF('Weighting Factors'!H192="","",IF('Weighting Factors'!J192="Pending","PX","R"))</f>
        <v/>
      </c>
      <c r="BF192" s="97">
        <f>SUM((S192+T192+Y192+AA192+AE192+AH192+AJ192++AO192+AP192+AQ192+AU192+AR192)*'Weighting Factors'!$Q$5)+'2019 Legal Max'!BA192+'2019 Legal Max'!BB192</f>
        <v>2121578</v>
      </c>
      <c r="BG192" s="99">
        <f>SUM((AV192+AR192)*'Weighting Factors'!$Q$5)+BA192+'2019 Legal Max'!BB192</f>
        <v>2494346</v>
      </c>
      <c r="BH192" s="108">
        <f>IF('Weighting Factors'!H192&gt;0,'Weighting Factors'!H192,'Preliminary SO66'!AV191)</f>
        <v>2530995</v>
      </c>
      <c r="BI192" s="99">
        <f t="shared" si="114"/>
        <v>2494346</v>
      </c>
      <c r="BJ192" s="112"/>
      <c r="BK192" s="112">
        <f>'Weighting Factors'!F192</f>
        <v>0</v>
      </c>
      <c r="BL192" s="112">
        <f>'Weighting Factors'!E192</f>
        <v>0</v>
      </c>
      <c r="BM192" s="99">
        <f t="shared" si="91"/>
        <v>0</v>
      </c>
      <c r="BN192" s="99">
        <f t="shared" si="92"/>
        <v>2494346</v>
      </c>
      <c r="BO192" s="99">
        <f>SUM((S192+T192+Y192+AA192+AE192+AH192+AJ192++AO192+AP192+AQ192+AR192)*'Weighting Factors'!Q$12)+(MAX(AS192,'Weighting Factors'!B192))</f>
        <v>2708615</v>
      </c>
      <c r="BP192" s="122">
        <v>0.33</v>
      </c>
      <c r="BQ192" s="99">
        <f t="shared" si="93"/>
        <v>893843</v>
      </c>
      <c r="BR192" s="108">
        <v>883597</v>
      </c>
      <c r="BS192" s="99">
        <f t="shared" si="94"/>
        <v>883597</v>
      </c>
      <c r="BT192" s="167">
        <f t="shared" si="95"/>
        <v>0.32619999999999999</v>
      </c>
      <c r="BU192" s="95">
        <f t="shared" si="96"/>
        <v>0</v>
      </c>
      <c r="BV192" s="87" t="b">
        <f t="shared" si="97"/>
        <v>1</v>
      </c>
      <c r="BW192" s="117">
        <f t="shared" si="98"/>
        <v>1453.078</v>
      </c>
      <c r="BX192" s="116">
        <f t="shared" si="99"/>
        <v>0.61539699999999997</v>
      </c>
      <c r="BY192" s="95">
        <f t="shared" si="100"/>
        <v>154.19999999999999</v>
      </c>
      <c r="BZ192" s="87" t="b">
        <f t="shared" si="101"/>
        <v>0</v>
      </c>
      <c r="CA192" s="87">
        <f t="shared" si="102"/>
        <v>0</v>
      </c>
      <c r="CB192" s="116">
        <f t="shared" si="103"/>
        <v>0</v>
      </c>
      <c r="CC192" s="95">
        <f t="shared" si="104"/>
        <v>0</v>
      </c>
      <c r="CD192" s="95">
        <f t="shared" si="105"/>
        <v>0</v>
      </c>
      <c r="CE192" s="98">
        <v>235</v>
      </c>
      <c r="CF192" s="250">
        <f t="shared" si="106"/>
        <v>0.28499999999999998</v>
      </c>
      <c r="CG192" s="274">
        <f>IF(CF192&lt;0.06,1,IF(CF192&gt;=18.29,52,MATCH(CF192-0.001,'Weighting Factors'!$Y$5:$Y$156)+1))</f>
        <v>19</v>
      </c>
      <c r="CH192" s="243">
        <f>VLOOKUP(CG192, 'Weighting Factors'!$W$5:$Z$56,4)</f>
        <v>1210</v>
      </c>
      <c r="CI192" s="118">
        <f>('Weighting Factors'!$Q$5/'Weighting Factors'!$Q$14)</f>
        <v>1</v>
      </c>
      <c r="CJ192" s="245">
        <f t="shared" si="107"/>
        <v>81070</v>
      </c>
      <c r="CK192" s="245">
        <f>CJ192*'Weighting Factors'!$S$7</f>
        <v>81070</v>
      </c>
      <c r="CL192" s="245">
        <f t="shared" si="108"/>
        <v>81070</v>
      </c>
      <c r="CM192" s="95">
        <f>AM192/'Weighting Factors'!$Q$5</f>
        <v>19.5</v>
      </c>
      <c r="CN192" s="148">
        <v>0</v>
      </c>
      <c r="CO192" s="148">
        <v>0</v>
      </c>
      <c r="CP192" s="149">
        <v>0</v>
      </c>
      <c r="CQ192" s="151">
        <v>0</v>
      </c>
      <c r="CR192" s="99">
        <f>SUM((AV192*'Weighting Factors'!$Q$5)+'2019 Legal Max'!BA192)*CQ192</f>
        <v>0</v>
      </c>
      <c r="CS192" s="99">
        <f t="shared" si="109"/>
        <v>0</v>
      </c>
      <c r="CT192" s="106">
        <f t="shared" si="110"/>
        <v>0.48330000000000001</v>
      </c>
      <c r="CU192" s="95">
        <f t="shared" si="111"/>
        <v>0</v>
      </c>
      <c r="CV192" s="95">
        <f t="shared" si="112"/>
        <v>10.8</v>
      </c>
      <c r="CW192" s="95">
        <f t="shared" si="113"/>
        <v>597.1</v>
      </c>
      <c r="CX192" s="99">
        <f>'LOB Transfers'!G191</f>
        <v>83588</v>
      </c>
      <c r="CY192" s="99">
        <f>'LOB Transfers'!J191</f>
        <v>0</v>
      </c>
      <c r="CZ192" s="87" t="s">
        <v>384</v>
      </c>
    </row>
    <row r="193" spans="1:104" ht="15" customHeight="1">
      <c r="A193" s="88">
        <v>399</v>
      </c>
      <c r="B193" s="87" t="s">
        <v>90</v>
      </c>
      <c r="C193" s="87" t="s">
        <v>705</v>
      </c>
      <c r="D193" s="95">
        <v>109.7</v>
      </c>
      <c r="E193" s="95">
        <v>0</v>
      </c>
      <c r="F193" s="95">
        <f t="shared" si="80"/>
        <v>109.7</v>
      </c>
      <c r="G193" s="95">
        <v>109</v>
      </c>
      <c r="H193" s="95">
        <v>0</v>
      </c>
      <c r="I193" s="95">
        <f t="shared" si="81"/>
        <v>109</v>
      </c>
      <c r="J193" s="95">
        <v>110.5</v>
      </c>
      <c r="K193" s="95">
        <v>0</v>
      </c>
      <c r="L193" s="95">
        <f t="shared" si="82"/>
        <v>110.5</v>
      </c>
      <c r="M193" s="95">
        <f>IF(ISNA(VLOOKUP($CZ193,'Audit Values'!$A$2:$BW$365,2,FALSE)),'Preliminary SO66'!C192,VLOOKUP($CZ193,'Audit Values'!$A$2:$BW$365,73,FALSE))</f>
        <v>111.1</v>
      </c>
      <c r="N193" s="95">
        <f>IF(ISNA(VLOOKUP($CZ193,'Audit Values'!$A$2:$BW$365,2,FALSE)),'Preliminary SO66'!F192,VLOOKUP($CZ193,'Audit Values'!$A$2:$BW$365,4,FALSE))</f>
        <v>0</v>
      </c>
      <c r="O193" s="95">
        <f t="shared" si="83"/>
        <v>111.1</v>
      </c>
      <c r="P193" s="95">
        <f>IF('Military Provision'!J194="YES", MAX('2019 Legal Max'!L193,'2019 Legal Max'!I193,AVERAGE('2019 Legal Max'!F193,'2019 Legal Max'!I193,'2019 Legal Max'!L193)), MAX(L193, I193))</f>
        <v>110.5</v>
      </c>
      <c r="Q193" s="95">
        <f>IF(ISNA(VLOOKUP($CZ193,'Audit Values'!$A$2:$BU$353,2,FALSE)),'Preliminary SO66'!AL192,VLOOKUP($CZ193,'Audit Values'!$A$2:$BU$3955,58,FALSE))</f>
        <v>3</v>
      </c>
      <c r="R193" s="95">
        <v>0</v>
      </c>
      <c r="S193" s="95">
        <f t="shared" si="116"/>
        <v>113.5</v>
      </c>
      <c r="T193" s="95">
        <f t="shared" si="84"/>
        <v>111.1</v>
      </c>
      <c r="U193" s="95">
        <f>IF(ISNA(VLOOKUP($CZ193,'Audit Values'!$A$2:$BW$317,2,FALSE)),'Preliminary SO66'!AM192,VLOOKUP($CZ193,'Audit Values'!$A$2:$BW$317,62,FALSE))</f>
        <v>0</v>
      </c>
      <c r="V193" s="95">
        <f>(U193/6)*'Weighting Factors'!$Q$7</f>
        <v>0</v>
      </c>
      <c r="W193" s="132">
        <f>IF(ISNA(VLOOKUP($CZ193,'Audit Values'!$A$2:$BW$353,2,FALSE)),'Preliminary SO66'!AN192,VLOOKUP($CZ193,'Audit Values'!$A$2:$BW$353,61,FALSE))</f>
        <v>0</v>
      </c>
      <c r="X193" s="95">
        <f>W193*'Weighting Factors'!$Q$8</f>
        <v>0</v>
      </c>
      <c r="Y193" s="95">
        <f t="shared" si="85"/>
        <v>0</v>
      </c>
      <c r="Z193" s="276">
        <f>IF(ISNA(VLOOKUP($CZ193,'Audit Values'!$A$2:$BW$317,2,FALSE)),'Preliminary SO66'!AO192,VLOOKUP($CZ193,'Audit Values'!$A$2:$BW$317,60,FALSE))</f>
        <v>31</v>
      </c>
      <c r="AA193" s="95">
        <f>Z193/6*'Weighting Factors'!$Q$6</f>
        <v>2.6</v>
      </c>
      <c r="AB193" s="99">
        <f>IF(ISNA(VLOOKUP($CZ193,'Audit Values'!$A$2:$BU$353,2,FALSE)),'Preliminary SO66'!AS192,VLOOKUP($CZ193,'Audit Values'!$A$2:$BU$353,63,FALSE))</f>
        <v>118</v>
      </c>
      <c r="AC193" s="99">
        <v>0</v>
      </c>
      <c r="AD193" s="99">
        <f>IF(ISNA(VLOOKUP($CZ193,'Audit Values'!$A$2:$BU$353,2,FALSE)),'Preliminary SO66'!AP192,VLOOKUP($CZ193,'Audit Values'!$A$2:$BU$353,64,FALSE))</f>
        <v>47</v>
      </c>
      <c r="AE193" s="95">
        <f>IF(A193=207, AD193,MAX(AC193,AD193))*'Weighting Factors'!$Q$9</f>
        <v>22.7</v>
      </c>
      <c r="AF193" s="95">
        <f t="shared" si="86"/>
        <v>1.6</v>
      </c>
      <c r="AG193" s="95">
        <f>IF(ISNA(VLOOKUP($CZ193,'Audit Values'!$A$2:$BW$353,2,FALSE)),'Preliminary SO66'!AG192,VLOOKUP($CZ193,'Audit Values'!$A$2:$BW$353,70,FALSE))</f>
        <v>3</v>
      </c>
      <c r="AH193" s="95">
        <f t="shared" si="87"/>
        <v>3</v>
      </c>
      <c r="AI193" s="95">
        <f>IF(ISNA(VLOOKUP($CZ193,'Audit Values'!$A$2:$BU$353,2,FALSE)),'Preliminary SO66'!AQ192,VLOOKUP($CZ193,'Audit Values'!$A$2:$BU$353,65,FALSE))</f>
        <v>0</v>
      </c>
      <c r="AJ193" s="95">
        <f>AI193*'Weighting Factors'!$Q$10</f>
        <v>0</v>
      </c>
      <c r="AK193" s="95">
        <f>IF(ISNA(VLOOKUP($CZ193,'Audit Values'!$A$2:$BU$353,2,FALSE)),'Preliminary SO66'!AR192,VLOOKUP($CZ193,'Audit Values'!$A$2:$BU$353,66,FALSE))</f>
        <v>21</v>
      </c>
      <c r="AL193" s="95"/>
      <c r="AM193" s="99">
        <f t="shared" si="88"/>
        <v>34020</v>
      </c>
      <c r="AN193" s="99">
        <v>69721</v>
      </c>
      <c r="AO193" s="95">
        <f>MAX(AN193, AM193)/'Weighting Factors'!$Q$5</f>
        <v>16.7</v>
      </c>
      <c r="AP193" s="95">
        <f>CN193/'Weighting Factors'!$Q$5</f>
        <v>0</v>
      </c>
      <c r="AQ193" s="95">
        <v>0</v>
      </c>
      <c r="AR193" s="95">
        <f>CS193/'Weighting Factors'!$Q$5</f>
        <v>0</v>
      </c>
      <c r="AS193" s="99">
        <v>132680</v>
      </c>
      <c r="AT193" s="95">
        <f>AS193/'Weighting Factors'!$Q$5</f>
        <v>31.9</v>
      </c>
      <c r="AU193" s="95">
        <f>IF(ISNA(VLOOKUP($CZ193,'Audit Values'!$A$2:$BU$353,2,FALSE)),'Preliminary SO66'!X192,VLOOKUP($CZ193,'Audit Values'!$A$2:$BU$353,47,FALSE))</f>
        <v>0</v>
      </c>
      <c r="AV193" s="95">
        <f t="shared" si="89"/>
        <v>301.5</v>
      </c>
      <c r="AW193" s="95">
        <f t="shared" si="90"/>
        <v>269.60000000000002</v>
      </c>
      <c r="AX193" s="95">
        <f>IF(ISNA(VLOOKUP($CZ193,'Audit Values'!$A$2:$BU$353,2,FALSE)),'Preliminary SO66'!AA192,VLOOKUP($CZ193,'Audit Values'!$A$2:$BU$353,41,FALSE))</f>
        <v>0</v>
      </c>
      <c r="AY193" s="95">
        <f>IF(ISNA(VLOOKUP($CZ193,'Audit Values'!$A$2:$BU$353,2,FALSE)),'Preliminary SO66'!AB192,VLOOKUP($CZ193,'Audit Values'!$A$2:$BU$353,42,FALSE))</f>
        <v>0</v>
      </c>
      <c r="AZ193" s="114">
        <v>0</v>
      </c>
      <c r="BA193" s="99">
        <f>SUM(AX193*'Weighting Factors'!$T$10)+('2019 Legal Max'!AY193*'Weighting Factors'!$T$11)+('2019 Legal Max'!AZ193*'Weighting Factors'!$T$12)</f>
        <v>0</v>
      </c>
      <c r="BB193" s="158">
        <v>0</v>
      </c>
      <c r="BC193" s="88">
        <f>IF(ISNA(VLOOKUP($CZ193,'Audit Values'!$A$2:$BU$353,2,FALSE)),"",IF(AND('Weighting Factors'!H193&gt;0,VLOOKUP($CZ193,'Audit Values'!$A$2:$BU$353,51,FALSE)&lt;'Weighting Factors'!H193),'Weighting Factors'!H193,VLOOKUP($CZ193,'Audit Values'!$A$2:$BU$353,50,FALSE)))</f>
        <v>3</v>
      </c>
      <c r="BD193" s="88" t="str">
        <f>IF(ISNA(VLOOKUP($CZ193,'Audit Values'!$A$2:$BV$353,2,FALSE)),"",VLOOKUP($CZ193,'Audit Values'!$A$2:$BV$353,51,FALSE))</f>
        <v>A</v>
      </c>
      <c r="BE193" s="88" t="str">
        <f>IF('Weighting Factors'!H193="","",IF('Weighting Factors'!J193="Pending","PX","R"))</f>
        <v/>
      </c>
      <c r="BF193" s="97">
        <f>SUM((S193+T193+Y193+AA193+AE193+AH193+AJ193++AO193+AP193+AQ193+AU193+AR193)*'Weighting Factors'!$Q$5)+'2019 Legal Max'!BA193+'2019 Legal Max'!BB193</f>
        <v>1122884</v>
      </c>
      <c r="BG193" s="99">
        <f>SUM((AV193+AR193)*'Weighting Factors'!$Q$5)+BA193+'2019 Legal Max'!BB193</f>
        <v>1255748</v>
      </c>
      <c r="BH193" s="108">
        <f>IF('Weighting Factors'!H193&gt;0,'Weighting Factors'!H193,'Preliminary SO66'!AV192)</f>
        <v>1313225</v>
      </c>
      <c r="BI193" s="99">
        <f t="shared" si="114"/>
        <v>1255748</v>
      </c>
      <c r="BJ193" s="112"/>
      <c r="BK193" s="112">
        <f>'Weighting Factors'!F193</f>
        <v>0</v>
      </c>
      <c r="BL193" s="112">
        <f>'Weighting Factors'!E193</f>
        <v>0</v>
      </c>
      <c r="BM193" s="99">
        <f t="shared" si="91"/>
        <v>0</v>
      </c>
      <c r="BN193" s="99">
        <f t="shared" si="92"/>
        <v>1255748</v>
      </c>
      <c r="BO193" s="99">
        <f>SUM((S193+T193+Y193+AA193+AE193+AH193+AJ193++AO193+AP193+AQ193+AR193)*'Weighting Factors'!Q$12)+(MAX(AS193,'Weighting Factors'!B193))</f>
        <v>1384074</v>
      </c>
      <c r="BP193" s="122">
        <v>0.33</v>
      </c>
      <c r="BQ193" s="99">
        <f t="shared" si="93"/>
        <v>456744</v>
      </c>
      <c r="BR193" s="108">
        <v>468450</v>
      </c>
      <c r="BS193" s="99">
        <f t="shared" si="94"/>
        <v>456744</v>
      </c>
      <c r="BT193" s="167">
        <f t="shared" si="95"/>
        <v>0.33</v>
      </c>
      <c r="BU193" s="95">
        <f t="shared" si="96"/>
        <v>0</v>
      </c>
      <c r="BV193" s="87" t="b">
        <f t="shared" si="97"/>
        <v>1</v>
      </c>
      <c r="BW193" s="117">
        <f t="shared" si="98"/>
        <v>130.34299999999999</v>
      </c>
      <c r="BX193" s="116">
        <f t="shared" si="99"/>
        <v>0.97854600000000003</v>
      </c>
      <c r="BY193" s="95">
        <f t="shared" si="100"/>
        <v>111.1</v>
      </c>
      <c r="BZ193" s="87" t="b">
        <f t="shared" si="101"/>
        <v>0</v>
      </c>
      <c r="CA193" s="87">
        <f t="shared" si="102"/>
        <v>0</v>
      </c>
      <c r="CB193" s="116">
        <f t="shared" si="103"/>
        <v>0</v>
      </c>
      <c r="CC193" s="95">
        <f t="shared" si="104"/>
        <v>0</v>
      </c>
      <c r="CD193" s="95">
        <f t="shared" si="105"/>
        <v>0</v>
      </c>
      <c r="CE193" s="98">
        <v>439</v>
      </c>
      <c r="CF193" s="250">
        <f t="shared" si="106"/>
        <v>4.8000000000000001E-2</v>
      </c>
      <c r="CG193" s="274">
        <f>IF(CF193&lt;0.06,1,IF(CF193&gt;=18.29,52,MATCH(CF193-0.001,'Weighting Factors'!$Y$5:$Y$156)+1))</f>
        <v>1</v>
      </c>
      <c r="CH193" s="243">
        <f>VLOOKUP(CG193, 'Weighting Factors'!$W$5:$Z$56,4)</f>
        <v>1620</v>
      </c>
      <c r="CI193" s="118">
        <f>('Weighting Factors'!$Q$5/'Weighting Factors'!$Q$14)</f>
        <v>1</v>
      </c>
      <c r="CJ193" s="245">
        <f t="shared" si="107"/>
        <v>34020</v>
      </c>
      <c r="CK193" s="245">
        <f>CJ193*'Weighting Factors'!$S$7</f>
        <v>34020</v>
      </c>
      <c r="CL193" s="245">
        <f t="shared" si="108"/>
        <v>34020</v>
      </c>
      <c r="CM193" s="95">
        <f>AM193/'Weighting Factors'!$Q$5</f>
        <v>8.1999999999999993</v>
      </c>
      <c r="CN193" s="148">
        <v>0</v>
      </c>
      <c r="CO193" s="148">
        <v>0</v>
      </c>
      <c r="CP193" s="149">
        <v>0</v>
      </c>
      <c r="CQ193" s="151">
        <v>0</v>
      </c>
      <c r="CR193" s="99">
        <f>SUM((AV193*'Weighting Factors'!$Q$5)+'2019 Legal Max'!BA193)*CQ193</f>
        <v>0</v>
      </c>
      <c r="CS193" s="99">
        <f t="shared" si="109"/>
        <v>0</v>
      </c>
      <c r="CT193" s="106">
        <f t="shared" si="110"/>
        <v>0.39829999999999999</v>
      </c>
      <c r="CU193" s="95">
        <f t="shared" si="111"/>
        <v>0</v>
      </c>
      <c r="CV193" s="95">
        <f t="shared" si="112"/>
        <v>1.6</v>
      </c>
      <c r="CW193" s="95">
        <f t="shared" si="113"/>
        <v>301.5</v>
      </c>
      <c r="CX193" s="99">
        <f>'LOB Transfers'!G192</f>
        <v>34713</v>
      </c>
      <c r="CY193" s="99">
        <f>'LOB Transfers'!J192</f>
        <v>0</v>
      </c>
      <c r="CZ193" s="87" t="s">
        <v>385</v>
      </c>
    </row>
    <row r="194" spans="1:104" ht="15" customHeight="1">
      <c r="A194" s="88">
        <v>400</v>
      </c>
      <c r="B194" s="87" t="s">
        <v>91</v>
      </c>
      <c r="C194" s="87" t="s">
        <v>706</v>
      </c>
      <c r="D194" s="95">
        <v>836.1</v>
      </c>
      <c r="E194" s="95">
        <v>0</v>
      </c>
      <c r="F194" s="95">
        <f t="shared" si="80"/>
        <v>836.1</v>
      </c>
      <c r="G194" s="95">
        <v>860.3</v>
      </c>
      <c r="H194" s="95">
        <v>0</v>
      </c>
      <c r="I194" s="95">
        <f t="shared" si="81"/>
        <v>860.3</v>
      </c>
      <c r="J194" s="95">
        <v>820</v>
      </c>
      <c r="K194" s="95">
        <v>0</v>
      </c>
      <c r="L194" s="95">
        <f t="shared" si="82"/>
        <v>820</v>
      </c>
      <c r="M194" s="95">
        <f>IF(ISNA(VLOOKUP($CZ194,'Audit Values'!$A$2:$BW$365,2,FALSE)),'Preliminary SO66'!C193,VLOOKUP($CZ194,'Audit Values'!$A$2:$BW$365,73,FALSE))</f>
        <v>809.9</v>
      </c>
      <c r="N194" s="95">
        <f>IF(ISNA(VLOOKUP($CZ194,'Audit Values'!$A$2:$BW$365,2,FALSE)),'Preliminary SO66'!F193,VLOOKUP($CZ194,'Audit Values'!$A$2:$BW$365,4,FALSE))</f>
        <v>0</v>
      </c>
      <c r="O194" s="95">
        <f t="shared" si="83"/>
        <v>809.9</v>
      </c>
      <c r="P194" s="95">
        <f>IF('Military Provision'!J195="YES", MAX('2019 Legal Max'!L194,'2019 Legal Max'!I194,AVERAGE('2019 Legal Max'!F194,'2019 Legal Max'!I194,'2019 Legal Max'!L194)), MAX(L194, I194))</f>
        <v>860.3</v>
      </c>
      <c r="Q194" s="95">
        <f>IF(ISNA(VLOOKUP($CZ194,'Audit Values'!$A$2:$BU$353,2,FALSE)),'Preliminary SO66'!AL193,VLOOKUP($CZ194,'Audit Values'!$A$2:$BU$3955,58,FALSE))</f>
        <v>6</v>
      </c>
      <c r="R194" s="95">
        <v>0</v>
      </c>
      <c r="S194" s="95">
        <f t="shared" si="116"/>
        <v>866.3</v>
      </c>
      <c r="T194" s="95">
        <f t="shared" si="84"/>
        <v>252.8</v>
      </c>
      <c r="U194" s="95">
        <f>IF(ISNA(VLOOKUP($CZ194,'Audit Values'!$A$2:$BW$317,2,FALSE)),'Preliminary SO66'!AM193,VLOOKUP($CZ194,'Audit Values'!$A$2:$BW$317,62,FALSE))</f>
        <v>3.9</v>
      </c>
      <c r="V194" s="95">
        <f>(U194/6)*'Weighting Factors'!$Q$7</f>
        <v>0.3</v>
      </c>
      <c r="W194" s="132">
        <f>IF(ISNA(VLOOKUP($CZ194,'Audit Values'!$A$2:$BW$353,2,FALSE)),'Preliminary SO66'!AN193,VLOOKUP($CZ194,'Audit Values'!$A$2:$BW$353,61,FALSE))</f>
        <v>2</v>
      </c>
      <c r="X194" s="95">
        <f>W194*'Weighting Factors'!$Q$8</f>
        <v>0.4</v>
      </c>
      <c r="Y194" s="95">
        <f t="shared" si="85"/>
        <v>0.4</v>
      </c>
      <c r="Z194" s="276">
        <f>IF(ISNA(VLOOKUP($CZ194,'Audit Values'!$A$2:$BW$317,2,FALSE)),'Preliminary SO66'!AO193,VLOOKUP($CZ194,'Audit Values'!$A$2:$BW$317,60,FALSE))</f>
        <v>276.8</v>
      </c>
      <c r="AA194" s="95">
        <f>Z194/6*'Weighting Factors'!$Q$6</f>
        <v>23.1</v>
      </c>
      <c r="AB194" s="99">
        <f>IF(ISNA(VLOOKUP($CZ194,'Audit Values'!$A$2:$BU$353,2,FALSE)),'Preliminary SO66'!AS193,VLOOKUP($CZ194,'Audit Values'!$A$2:$BU$353,63,FALSE))</f>
        <v>829</v>
      </c>
      <c r="AC194" s="99">
        <v>0</v>
      </c>
      <c r="AD194" s="99">
        <f>IF(ISNA(VLOOKUP($CZ194,'Audit Values'!$A$2:$BU$353,2,FALSE)),'Preliminary SO66'!AP193,VLOOKUP($CZ194,'Audit Values'!$A$2:$BU$353,64,FALSE))</f>
        <v>183</v>
      </c>
      <c r="AE194" s="95">
        <f>IF(A194=207, AD194,MAX(AC194,AD194))*'Weighting Factors'!$Q$9</f>
        <v>88.6</v>
      </c>
      <c r="AF194" s="95">
        <f t="shared" si="86"/>
        <v>0</v>
      </c>
      <c r="AG194" s="95">
        <f>IF(ISNA(VLOOKUP($CZ194,'Audit Values'!$A$2:$BW$353,2,FALSE)),'Preliminary SO66'!AG193,VLOOKUP($CZ194,'Audit Values'!$A$2:$BW$353,70,FALSE))</f>
        <v>0</v>
      </c>
      <c r="AH194" s="95">
        <f t="shared" si="87"/>
        <v>0</v>
      </c>
      <c r="AI194" s="95">
        <f>IF(ISNA(VLOOKUP($CZ194,'Audit Values'!$A$2:$BU$353,2,FALSE)),'Preliminary SO66'!AQ193,VLOOKUP($CZ194,'Audit Values'!$A$2:$BU$353,65,FALSE))</f>
        <v>0</v>
      </c>
      <c r="AJ194" s="95">
        <f>AI194*'Weighting Factors'!$Q$10</f>
        <v>0</v>
      </c>
      <c r="AK194" s="95">
        <f>IF(ISNA(VLOOKUP($CZ194,'Audit Values'!$A$2:$BU$353,2,FALSE)),'Preliminary SO66'!AR193,VLOOKUP($CZ194,'Audit Values'!$A$2:$BU$353,66,FALSE))</f>
        <v>274.5</v>
      </c>
      <c r="AL194" s="95"/>
      <c r="AM194" s="99">
        <f t="shared" si="88"/>
        <v>282735</v>
      </c>
      <c r="AN194" s="99">
        <v>342058</v>
      </c>
      <c r="AO194" s="95">
        <f>MAX(AN194, AM194)/'Weighting Factors'!$Q$5</f>
        <v>82.1</v>
      </c>
      <c r="AP194" s="95">
        <f>CN194/'Weighting Factors'!$Q$5</f>
        <v>0</v>
      </c>
      <c r="AQ194" s="95">
        <v>0</v>
      </c>
      <c r="AR194" s="95">
        <f>CS194/'Weighting Factors'!$Q$5</f>
        <v>0</v>
      </c>
      <c r="AS194" s="99">
        <v>1122106</v>
      </c>
      <c r="AT194" s="95">
        <f>AS194/'Weighting Factors'!$Q$5</f>
        <v>269.39999999999998</v>
      </c>
      <c r="AU194" s="95">
        <f>IF(ISNA(VLOOKUP($CZ194,'Audit Values'!$A$2:$BU$353,2,FALSE)),'Preliminary SO66'!X193,VLOOKUP($CZ194,'Audit Values'!$A$2:$BU$353,47,FALSE))</f>
        <v>0</v>
      </c>
      <c r="AV194" s="95">
        <f t="shared" si="89"/>
        <v>1582.7</v>
      </c>
      <c r="AW194" s="95">
        <f t="shared" si="90"/>
        <v>1313.3</v>
      </c>
      <c r="AX194" s="95">
        <f>IF(ISNA(VLOOKUP($CZ194,'Audit Values'!$A$2:$BU$353,2,FALSE)),'Preliminary SO66'!AA193,VLOOKUP($CZ194,'Audit Values'!$A$2:$BU$353,41,FALSE))</f>
        <v>70</v>
      </c>
      <c r="AY194" s="95">
        <f>IF(ISNA(VLOOKUP($CZ194,'Audit Values'!$A$2:$BU$353,2,FALSE)),'Preliminary SO66'!AB193,VLOOKUP($CZ194,'Audit Values'!$A$2:$BU$353,42,FALSE))</f>
        <v>144.1</v>
      </c>
      <c r="AZ194" s="114">
        <v>45</v>
      </c>
      <c r="BA194" s="99">
        <f>SUM(AX194*'Weighting Factors'!$T$10)+('2019 Legal Max'!AY194*'Weighting Factors'!$T$11)+('2019 Legal Max'!AZ194*'Weighting Factors'!$T$12)</f>
        <v>626875</v>
      </c>
      <c r="BB194" s="158">
        <v>0</v>
      </c>
      <c r="BC194" s="88">
        <f>IF(ISNA(VLOOKUP($CZ194,'Audit Values'!$A$2:$BU$353,2,FALSE)),"",IF(AND('Weighting Factors'!H194&gt;0,VLOOKUP($CZ194,'Audit Values'!$A$2:$BU$353,51,FALSE)&lt;'Weighting Factors'!H194),'Weighting Factors'!H194,VLOOKUP($CZ194,'Audit Values'!$A$2:$BU$353,50,FALSE)))</f>
        <v>25</v>
      </c>
      <c r="BD194" s="88" t="str">
        <f>IF(ISNA(VLOOKUP($CZ194,'Audit Values'!$A$2:$BV$353,2,FALSE)),"",VLOOKUP($CZ194,'Audit Values'!$A$2:$BV$353,51,FALSE))</f>
        <v>A</v>
      </c>
      <c r="BE194" s="88" t="str">
        <f>IF('Weighting Factors'!H194="","",IF('Weighting Factors'!J194="Pending","PX","R"))</f>
        <v/>
      </c>
      <c r="BF194" s="97">
        <f>SUM((S194+T194+Y194+AA194+AE194+AH194+AJ194++AO194+AP194+AQ194+AU194+AR194)*'Weighting Factors'!$Q$5)+'2019 Legal Max'!BA194+'2019 Legal Max'!BB194</f>
        <v>6096770</v>
      </c>
      <c r="BG194" s="99">
        <f>SUM((AV194+AR194)*'Weighting Factors'!$Q$5)+BA194+'2019 Legal Max'!BB194</f>
        <v>7218821</v>
      </c>
      <c r="BH194" s="108">
        <f>IF('Weighting Factors'!H194&gt;0,'Weighting Factors'!H194,'Preliminary SO66'!AV193)</f>
        <v>7538572</v>
      </c>
      <c r="BI194" s="99">
        <f t="shared" si="114"/>
        <v>7218821</v>
      </c>
      <c r="BJ194" s="112"/>
      <c r="BK194" s="112">
        <f>'Weighting Factors'!F194</f>
        <v>0</v>
      </c>
      <c r="BL194" s="112">
        <f>'Weighting Factors'!E194</f>
        <v>-2836</v>
      </c>
      <c r="BM194" s="99">
        <f t="shared" si="91"/>
        <v>-2836</v>
      </c>
      <c r="BN194" s="99">
        <f t="shared" si="92"/>
        <v>7215985</v>
      </c>
      <c r="BO194" s="99">
        <f>SUM((S194+T194+Y194+AA194+AE194+AH194+AJ194++AO194+AP194+AQ194+AR194)*'Weighting Factors'!Q$12)+(MAX(AS194,'Weighting Factors'!B194))</f>
        <v>7018823</v>
      </c>
      <c r="BP194" s="122">
        <v>0.33</v>
      </c>
      <c r="BQ194" s="99">
        <f t="shared" si="93"/>
        <v>2316212</v>
      </c>
      <c r="BR194" s="108">
        <v>2428592</v>
      </c>
      <c r="BS194" s="99">
        <f t="shared" si="94"/>
        <v>2316212</v>
      </c>
      <c r="BT194" s="167">
        <f t="shared" si="95"/>
        <v>0.33</v>
      </c>
      <c r="BU194" s="95">
        <f t="shared" si="96"/>
        <v>0</v>
      </c>
      <c r="BV194" s="87" t="b">
        <f t="shared" si="97"/>
        <v>0</v>
      </c>
      <c r="BW194" s="117">
        <f t="shared" si="98"/>
        <v>0</v>
      </c>
      <c r="BX194" s="116">
        <f t="shared" si="99"/>
        <v>0</v>
      </c>
      <c r="BY194" s="95">
        <f t="shared" si="100"/>
        <v>0</v>
      </c>
      <c r="BZ194" s="87" t="b">
        <f t="shared" si="101"/>
        <v>1</v>
      </c>
      <c r="CA194" s="87">
        <f t="shared" si="102"/>
        <v>700.79629999999997</v>
      </c>
      <c r="CB194" s="116">
        <f t="shared" si="103"/>
        <v>0.29178700000000002</v>
      </c>
      <c r="CC194" s="95">
        <f t="shared" si="104"/>
        <v>252.8</v>
      </c>
      <c r="CD194" s="95">
        <f t="shared" si="105"/>
        <v>0</v>
      </c>
      <c r="CE194" s="98">
        <v>395.5</v>
      </c>
      <c r="CF194" s="250">
        <f t="shared" si="106"/>
        <v>0.69399999999999995</v>
      </c>
      <c r="CG194" s="274">
        <f>IF(CF194&lt;0.06,1,IF(CF194&gt;=18.29,52,MATCH(CF194-0.001,'Weighting Factors'!$Y$5:$Y$156)+1))</f>
        <v>28</v>
      </c>
      <c r="CH194" s="243">
        <f>VLOOKUP(CG194, 'Weighting Factors'!$W$5:$Z$56,4)</f>
        <v>1030</v>
      </c>
      <c r="CI194" s="118">
        <f>('Weighting Factors'!$Q$5/'Weighting Factors'!$Q$14)</f>
        <v>1</v>
      </c>
      <c r="CJ194" s="245">
        <f t="shared" si="107"/>
        <v>282735</v>
      </c>
      <c r="CK194" s="245">
        <f>CJ194*'Weighting Factors'!$S$7</f>
        <v>282735</v>
      </c>
      <c r="CL194" s="245">
        <f t="shared" si="108"/>
        <v>282735</v>
      </c>
      <c r="CM194" s="95">
        <f>AM194/'Weighting Factors'!$Q$5</f>
        <v>67.900000000000006</v>
      </c>
      <c r="CN194" s="148">
        <v>0</v>
      </c>
      <c r="CO194" s="148">
        <v>0</v>
      </c>
      <c r="CP194" s="149">
        <v>0</v>
      </c>
      <c r="CQ194" s="151">
        <v>0</v>
      </c>
      <c r="CR194" s="99">
        <f>SUM((AV194*'Weighting Factors'!$Q$5)+'2019 Legal Max'!BA194)*CQ194</f>
        <v>0</v>
      </c>
      <c r="CS194" s="99">
        <f t="shared" si="109"/>
        <v>0</v>
      </c>
      <c r="CT194" s="106">
        <f t="shared" si="110"/>
        <v>0.22070000000000001</v>
      </c>
      <c r="CU194" s="95">
        <f t="shared" si="111"/>
        <v>0</v>
      </c>
      <c r="CV194" s="95">
        <f t="shared" si="112"/>
        <v>0</v>
      </c>
      <c r="CW194" s="95">
        <f t="shared" si="113"/>
        <v>1582.7</v>
      </c>
      <c r="CX194" s="99">
        <f>'LOB Transfers'!G193</f>
        <v>130171</v>
      </c>
      <c r="CY194" s="99">
        <f>'LOB Transfers'!J193</f>
        <v>695</v>
      </c>
      <c r="CZ194" s="87" t="s">
        <v>386</v>
      </c>
    </row>
    <row r="195" spans="1:104" ht="15" customHeight="1">
      <c r="A195" s="88">
        <v>401</v>
      </c>
      <c r="B195" s="87" t="s">
        <v>76</v>
      </c>
      <c r="C195" s="87" t="s">
        <v>707</v>
      </c>
      <c r="D195" s="95">
        <v>159</v>
      </c>
      <c r="E195" s="95">
        <v>0</v>
      </c>
      <c r="F195" s="95">
        <f t="shared" si="80"/>
        <v>159</v>
      </c>
      <c r="G195" s="95">
        <v>151.5</v>
      </c>
      <c r="H195" s="95">
        <v>0</v>
      </c>
      <c r="I195" s="95">
        <f t="shared" si="81"/>
        <v>151.5</v>
      </c>
      <c r="J195" s="95">
        <v>163</v>
      </c>
      <c r="K195" s="95">
        <v>0</v>
      </c>
      <c r="L195" s="95">
        <f t="shared" si="82"/>
        <v>163</v>
      </c>
      <c r="M195" s="95">
        <f>IF(ISNA(VLOOKUP($CZ195,'Audit Values'!$A$2:$BW$365,2,FALSE)),'Preliminary SO66'!C194,VLOOKUP($CZ195,'Audit Values'!$A$2:$BW$365,73,FALSE))</f>
        <v>146.5</v>
      </c>
      <c r="N195" s="95">
        <f>IF(ISNA(VLOOKUP($CZ195,'Audit Values'!$A$2:$BW$365,2,FALSE)),'Preliminary SO66'!F194,VLOOKUP($CZ195,'Audit Values'!$A$2:$BW$365,4,FALSE))</f>
        <v>0</v>
      </c>
      <c r="O195" s="95">
        <f t="shared" si="83"/>
        <v>146.5</v>
      </c>
      <c r="P195" s="95">
        <f>IF('Military Provision'!J196="YES", MAX('2019 Legal Max'!L195,'2019 Legal Max'!I195,AVERAGE('2019 Legal Max'!F195,'2019 Legal Max'!I195,'2019 Legal Max'!L195)), MAX(L195, I195))</f>
        <v>163</v>
      </c>
      <c r="Q195" s="95">
        <f>IF(ISNA(VLOOKUP($CZ195,'Audit Values'!$A$2:$BU$353,2,FALSE)),'Preliminary SO66'!AL194,VLOOKUP($CZ195,'Audit Values'!$A$2:$BU$3955,58,FALSE))</f>
        <v>2.5</v>
      </c>
      <c r="R195" s="95">
        <v>0</v>
      </c>
      <c r="S195" s="95">
        <f t="shared" si="116"/>
        <v>165.5</v>
      </c>
      <c r="T195" s="95">
        <f t="shared" si="84"/>
        <v>139.1</v>
      </c>
      <c r="U195" s="95">
        <f>IF(ISNA(VLOOKUP($CZ195,'Audit Values'!$A$2:$BW$317,2,FALSE)),'Preliminary SO66'!AM194,VLOOKUP($CZ195,'Audit Values'!$A$2:$BW$317,62,FALSE))</f>
        <v>6.9</v>
      </c>
      <c r="V195" s="95">
        <f>(U195/6)*'Weighting Factors'!$Q$7</f>
        <v>0.5</v>
      </c>
      <c r="W195" s="132">
        <f>IF(ISNA(VLOOKUP($CZ195,'Audit Values'!$A$2:$BW$353,2,FALSE)),'Preliminary SO66'!AN194,VLOOKUP($CZ195,'Audit Values'!$A$2:$BW$353,61,FALSE))</f>
        <v>6</v>
      </c>
      <c r="X195" s="95">
        <f>W195*'Weighting Factors'!$Q$8</f>
        <v>1.1000000000000001</v>
      </c>
      <c r="Y195" s="95">
        <f t="shared" si="85"/>
        <v>1.1000000000000001</v>
      </c>
      <c r="Z195" s="276">
        <f>IF(ISNA(VLOOKUP($CZ195,'Audit Values'!$A$2:$BW$317,2,FALSE)),'Preliminary SO66'!AO194,VLOOKUP($CZ195,'Audit Values'!$A$2:$BW$317,60,FALSE))</f>
        <v>37.6</v>
      </c>
      <c r="AA195" s="95">
        <f>Z195/6*'Weighting Factors'!$Q$6</f>
        <v>3.1</v>
      </c>
      <c r="AB195" s="99">
        <f>IF(ISNA(VLOOKUP($CZ195,'Audit Values'!$A$2:$BU$353,2,FALSE)),'Preliminary SO66'!AS194,VLOOKUP($CZ195,'Audit Values'!$A$2:$BU$353,63,FALSE))</f>
        <v>153</v>
      </c>
      <c r="AC195" s="99">
        <v>0</v>
      </c>
      <c r="AD195" s="99">
        <f>IF(ISNA(VLOOKUP($CZ195,'Audit Values'!$A$2:$BU$353,2,FALSE)),'Preliminary SO66'!AP194,VLOOKUP($CZ195,'Audit Values'!$A$2:$BU$353,64,FALSE))</f>
        <v>91</v>
      </c>
      <c r="AE195" s="95">
        <f>IF(A195=207, AD195,MAX(AC195,AD195))*'Weighting Factors'!$Q$9</f>
        <v>44</v>
      </c>
      <c r="AF195" s="95">
        <f t="shared" si="86"/>
        <v>9.6</v>
      </c>
      <c r="AG195" s="95">
        <f>IF(ISNA(VLOOKUP($CZ195,'Audit Values'!$A$2:$BW$353,2,FALSE)),'Preliminary SO66'!AG194,VLOOKUP($CZ195,'Audit Values'!$A$2:$BW$353,70,FALSE))</f>
        <v>9.5</v>
      </c>
      <c r="AH195" s="95">
        <f t="shared" si="87"/>
        <v>9.6</v>
      </c>
      <c r="AI195" s="95">
        <f>IF(ISNA(VLOOKUP($CZ195,'Audit Values'!$A$2:$BU$353,2,FALSE)),'Preliminary SO66'!AQ194,VLOOKUP($CZ195,'Audit Values'!$A$2:$BU$353,65,FALSE))</f>
        <v>0</v>
      </c>
      <c r="AJ195" s="95">
        <f>AI195*'Weighting Factors'!$Q$10</f>
        <v>0</v>
      </c>
      <c r="AK195" s="95">
        <f>IF(ISNA(VLOOKUP($CZ195,'Audit Values'!$A$2:$BU$353,2,FALSE)),'Preliminary SO66'!AR194,VLOOKUP($CZ195,'Audit Values'!$A$2:$BU$353,66,FALSE))</f>
        <v>27</v>
      </c>
      <c r="AL195" s="95"/>
      <c r="AM195" s="99">
        <f t="shared" si="88"/>
        <v>37530</v>
      </c>
      <c r="AN195" s="99">
        <v>54698</v>
      </c>
      <c r="AO195" s="95">
        <f>MAX(AN195, AM195)/'Weighting Factors'!$Q$5</f>
        <v>13.1</v>
      </c>
      <c r="AP195" s="95">
        <f>CN195/'Weighting Factors'!$Q$5</f>
        <v>0</v>
      </c>
      <c r="AQ195" s="95">
        <v>0</v>
      </c>
      <c r="AR195" s="95">
        <f>CS195/'Weighting Factors'!$Q$5</f>
        <v>0</v>
      </c>
      <c r="AS195" s="99">
        <v>176554</v>
      </c>
      <c r="AT195" s="95">
        <f>AS195/'Weighting Factors'!$Q$5</f>
        <v>42.4</v>
      </c>
      <c r="AU195" s="95">
        <f>IF(ISNA(VLOOKUP($CZ195,'Audit Values'!$A$2:$BU$353,2,FALSE)),'Preliminary SO66'!X194,VLOOKUP($CZ195,'Audit Values'!$A$2:$BU$353,47,FALSE))</f>
        <v>0</v>
      </c>
      <c r="AV195" s="95">
        <f t="shared" si="89"/>
        <v>417.9</v>
      </c>
      <c r="AW195" s="95">
        <f t="shared" si="90"/>
        <v>375.5</v>
      </c>
      <c r="AX195" s="95">
        <f>IF(ISNA(VLOOKUP($CZ195,'Audit Values'!$A$2:$BU$353,2,FALSE)),'Preliminary SO66'!AA194,VLOOKUP($CZ195,'Audit Values'!$A$2:$BU$353,41,FALSE))</f>
        <v>0</v>
      </c>
      <c r="AY195" s="95">
        <f>IF(ISNA(VLOOKUP($CZ195,'Audit Values'!$A$2:$BU$353,2,FALSE)),'Preliminary SO66'!AB194,VLOOKUP($CZ195,'Audit Values'!$A$2:$BU$353,42,FALSE))</f>
        <v>0</v>
      </c>
      <c r="AZ195" s="114">
        <v>0</v>
      </c>
      <c r="BA195" s="99">
        <f>SUM(AX195*'Weighting Factors'!$T$10)+('2019 Legal Max'!AY195*'Weighting Factors'!$T$11)+('2019 Legal Max'!AZ195*'Weighting Factors'!$T$12)</f>
        <v>0</v>
      </c>
      <c r="BB195" s="158">
        <v>0</v>
      </c>
      <c r="BC195" s="88">
        <f>IF(ISNA(VLOOKUP($CZ195,'Audit Values'!$A$2:$BU$353,2,FALSE)),"",IF(AND('Weighting Factors'!H195&gt;0,VLOOKUP($CZ195,'Audit Values'!$A$2:$BU$353,51,FALSE)&lt;'Weighting Factors'!H195),'Weighting Factors'!H195,VLOOKUP($CZ195,'Audit Values'!$A$2:$BU$353,50,FALSE)))</f>
        <v>19</v>
      </c>
      <c r="BD195" s="88" t="str">
        <f>IF(ISNA(VLOOKUP($CZ195,'Audit Values'!$A$2:$BV$353,2,FALSE)),"",VLOOKUP($CZ195,'Audit Values'!$A$2:$BV$353,51,FALSE))</f>
        <v>A</v>
      </c>
      <c r="BE195" s="88" t="str">
        <f>IF('Weighting Factors'!H195="","",IF('Weighting Factors'!J195="Pending","PX","R"))</f>
        <v/>
      </c>
      <c r="BF195" s="97">
        <f>SUM((S195+T195+Y195+AA195+AE195+AH195+AJ195++AO195+AP195+AQ195+AU195+AR195)*'Weighting Factors'!$Q$5)+'2019 Legal Max'!BA195+'2019 Legal Max'!BB195</f>
        <v>1563958</v>
      </c>
      <c r="BG195" s="99">
        <f>SUM((AV195+AR195)*'Weighting Factors'!$Q$5)+BA195+'2019 Legal Max'!BB195</f>
        <v>1740554</v>
      </c>
      <c r="BH195" s="108">
        <f>IF('Weighting Factors'!H195&gt;0,'Weighting Factors'!H195,'Preliminary SO66'!AV194)</f>
        <v>1807194</v>
      </c>
      <c r="BI195" s="99">
        <f t="shared" si="114"/>
        <v>1740554</v>
      </c>
      <c r="BJ195" s="112"/>
      <c r="BK195" s="112">
        <f>'Weighting Factors'!F195</f>
        <v>-3828</v>
      </c>
      <c r="BL195" s="112">
        <f>'Weighting Factors'!E195</f>
        <v>0</v>
      </c>
      <c r="BM195" s="99">
        <f t="shared" si="91"/>
        <v>-3828</v>
      </c>
      <c r="BN195" s="99">
        <f t="shared" si="92"/>
        <v>1736726</v>
      </c>
      <c r="BO195" s="99">
        <f>SUM((S195+T195+Y195+AA195+AE195+AH195+AJ195++AO195+AP195+AQ195+AR195)*'Weighting Factors'!Q$12)+(MAX(AS195,'Weighting Factors'!B195))</f>
        <v>1862549</v>
      </c>
      <c r="BP195" s="122">
        <v>0.3</v>
      </c>
      <c r="BQ195" s="99">
        <f t="shared" si="93"/>
        <v>558765</v>
      </c>
      <c r="BR195" s="108">
        <v>579330</v>
      </c>
      <c r="BS195" s="99">
        <f t="shared" si="94"/>
        <v>558765</v>
      </c>
      <c r="BT195" s="167">
        <f t="shared" si="95"/>
        <v>0.3</v>
      </c>
      <c r="BU195" s="95">
        <f t="shared" si="96"/>
        <v>0</v>
      </c>
      <c r="BV195" s="87" t="b">
        <f t="shared" si="97"/>
        <v>1</v>
      </c>
      <c r="BW195" s="117">
        <f t="shared" si="98"/>
        <v>632.40300000000002</v>
      </c>
      <c r="BX195" s="116">
        <f t="shared" si="99"/>
        <v>0.84070900000000004</v>
      </c>
      <c r="BY195" s="95">
        <f t="shared" si="100"/>
        <v>139.1</v>
      </c>
      <c r="BZ195" s="87" t="b">
        <f t="shared" si="101"/>
        <v>0</v>
      </c>
      <c r="CA195" s="87">
        <f t="shared" si="102"/>
        <v>0</v>
      </c>
      <c r="CB195" s="116">
        <f t="shared" si="103"/>
        <v>0</v>
      </c>
      <c r="CC195" s="95">
        <f t="shared" si="104"/>
        <v>0</v>
      </c>
      <c r="CD195" s="95">
        <f t="shared" si="105"/>
        <v>0</v>
      </c>
      <c r="CE195" s="98">
        <v>196</v>
      </c>
      <c r="CF195" s="250">
        <f t="shared" si="106"/>
        <v>0.13800000000000001</v>
      </c>
      <c r="CG195" s="274">
        <f>IF(CF195&lt;0.06,1,IF(CF195&gt;=18.29,52,MATCH(CF195-0.001,'Weighting Factors'!$Y$5:$Y$156)+1))</f>
        <v>9</v>
      </c>
      <c r="CH195" s="243">
        <f>VLOOKUP(CG195, 'Weighting Factors'!$W$5:$Z$56,4)</f>
        <v>1390</v>
      </c>
      <c r="CI195" s="118">
        <f>('Weighting Factors'!$Q$5/'Weighting Factors'!$Q$14)</f>
        <v>1</v>
      </c>
      <c r="CJ195" s="245">
        <f t="shared" si="107"/>
        <v>37530</v>
      </c>
      <c r="CK195" s="245">
        <f>CJ195*'Weighting Factors'!$S$7</f>
        <v>37530</v>
      </c>
      <c r="CL195" s="245">
        <f t="shared" si="108"/>
        <v>37530</v>
      </c>
      <c r="CM195" s="95">
        <f>AM195/'Weighting Factors'!$Q$5</f>
        <v>9</v>
      </c>
      <c r="CN195" s="148">
        <v>0</v>
      </c>
      <c r="CO195" s="148">
        <v>0</v>
      </c>
      <c r="CP195" s="149">
        <v>0</v>
      </c>
      <c r="CQ195" s="151">
        <v>0</v>
      </c>
      <c r="CR195" s="99">
        <f>SUM((AV195*'Weighting Factors'!$Q$5)+'2019 Legal Max'!BA195)*CQ195</f>
        <v>0</v>
      </c>
      <c r="CS195" s="99">
        <f t="shared" si="109"/>
        <v>0</v>
      </c>
      <c r="CT195" s="106">
        <f t="shared" si="110"/>
        <v>0.5948</v>
      </c>
      <c r="CU195" s="95">
        <f t="shared" si="111"/>
        <v>9.6</v>
      </c>
      <c r="CV195" s="95">
        <f t="shared" si="112"/>
        <v>0</v>
      </c>
      <c r="CW195" s="95">
        <f t="shared" si="113"/>
        <v>417.9</v>
      </c>
      <c r="CX195" s="99">
        <f>'LOB Transfers'!G194</f>
        <v>59173</v>
      </c>
      <c r="CY195" s="99">
        <f>'LOB Transfers'!J194</f>
        <v>1453</v>
      </c>
      <c r="CZ195" s="87" t="s">
        <v>387</v>
      </c>
    </row>
    <row r="196" spans="1:104" ht="15" customHeight="1">
      <c r="A196" s="88">
        <v>402</v>
      </c>
      <c r="B196" s="87" t="s">
        <v>10</v>
      </c>
      <c r="C196" s="87" t="s">
        <v>708</v>
      </c>
      <c r="D196" s="95">
        <v>2077.6999999999998</v>
      </c>
      <c r="E196" s="95">
        <v>0</v>
      </c>
      <c r="F196" s="95">
        <f t="shared" si="80"/>
        <v>2077.6999999999998</v>
      </c>
      <c r="G196" s="95">
        <v>2155.8000000000002</v>
      </c>
      <c r="H196" s="95">
        <v>0</v>
      </c>
      <c r="I196" s="95">
        <f t="shared" si="81"/>
        <v>2155.8000000000002</v>
      </c>
      <c r="J196" s="95">
        <v>2158.6999999999998</v>
      </c>
      <c r="K196" s="95">
        <v>0</v>
      </c>
      <c r="L196" s="95">
        <f t="shared" si="82"/>
        <v>2158.6999999999998</v>
      </c>
      <c r="M196" s="95">
        <f>IF(ISNA(VLOOKUP($CZ196,'Audit Values'!$A$2:$BW$365,2,FALSE)),'Preliminary SO66'!C195,VLOOKUP($CZ196,'Audit Values'!$A$2:$BW$365,73,FALSE))</f>
        <v>2137</v>
      </c>
      <c r="N196" s="95">
        <f>IF(ISNA(VLOOKUP($CZ196,'Audit Values'!$A$2:$BW$365,2,FALSE)),'Preliminary SO66'!F195,VLOOKUP($CZ196,'Audit Values'!$A$2:$BW$365,4,FALSE))</f>
        <v>0</v>
      </c>
      <c r="O196" s="95">
        <f t="shared" si="83"/>
        <v>2137</v>
      </c>
      <c r="P196" s="95">
        <f>IF('Military Provision'!J197="YES", MAX('2019 Legal Max'!L196,'2019 Legal Max'!I196,AVERAGE('2019 Legal Max'!F196,'2019 Legal Max'!I196,'2019 Legal Max'!L196)), MAX(L196, I196))</f>
        <v>2158.6999999999998</v>
      </c>
      <c r="Q196" s="95">
        <f>IF(ISNA(VLOOKUP($CZ196,'Audit Values'!$A$2:$BU$353,2,FALSE)),'Preliminary SO66'!AL195,VLOOKUP($CZ196,'Audit Values'!$A$2:$BU$3955,58,FALSE))</f>
        <v>11.5</v>
      </c>
      <c r="R196" s="95">
        <v>0</v>
      </c>
      <c r="S196" s="95">
        <f t="shared" si="116"/>
        <v>2170.1999999999998</v>
      </c>
      <c r="T196" s="95">
        <f t="shared" si="84"/>
        <v>76</v>
      </c>
      <c r="U196" s="95">
        <f>IF(ISNA(VLOOKUP($CZ196,'Audit Values'!$A$2:$BW$317,2,FALSE)),'Preliminary SO66'!AM195,VLOOKUP($CZ196,'Audit Values'!$A$2:$BW$317,62,FALSE))</f>
        <v>30.2</v>
      </c>
      <c r="V196" s="95">
        <f>(U196/6)*'Weighting Factors'!$Q$7</f>
        <v>2</v>
      </c>
      <c r="W196" s="132">
        <f>IF(ISNA(VLOOKUP($CZ196,'Audit Values'!$A$2:$BW$353,2,FALSE)),'Preliminary SO66'!AN195,VLOOKUP($CZ196,'Audit Values'!$A$2:$BW$353,61,FALSE))</f>
        <v>19</v>
      </c>
      <c r="X196" s="95">
        <f>W196*'Weighting Factors'!$Q$8</f>
        <v>3.5</v>
      </c>
      <c r="Y196" s="95">
        <f t="shared" si="85"/>
        <v>3.5</v>
      </c>
      <c r="Z196" s="276">
        <f>IF(ISNA(VLOOKUP($CZ196,'Audit Values'!$A$2:$BW$317,2,FALSE)),'Preliminary SO66'!AO195,VLOOKUP($CZ196,'Audit Values'!$A$2:$BW$317,60,FALSE))</f>
        <v>511.4</v>
      </c>
      <c r="AA196" s="95">
        <f>Z196/6*'Weighting Factors'!$Q$6</f>
        <v>42.6</v>
      </c>
      <c r="AB196" s="99">
        <f>IF(ISNA(VLOOKUP($CZ196,'Audit Values'!$A$2:$BU$353,2,FALSE)),'Preliminary SO66'!AS195,VLOOKUP($CZ196,'Audit Values'!$A$2:$BU$353,63,FALSE))</f>
        <v>2253</v>
      </c>
      <c r="AC196" s="99">
        <v>0</v>
      </c>
      <c r="AD196" s="99">
        <f>IF(ISNA(VLOOKUP($CZ196,'Audit Values'!$A$2:$BU$353,2,FALSE)),'Preliminary SO66'!AP195,VLOOKUP($CZ196,'Audit Values'!$A$2:$BU$353,64,FALSE))</f>
        <v>677</v>
      </c>
      <c r="AE196" s="95">
        <f>IF(A196=207, AD196,MAX(AC196,AD196))*'Weighting Factors'!$Q$9</f>
        <v>327.7</v>
      </c>
      <c r="AF196" s="95">
        <f t="shared" si="86"/>
        <v>0</v>
      </c>
      <c r="AG196" s="95">
        <f>IF(ISNA(VLOOKUP($CZ196,'Audit Values'!$A$2:$BW$353,2,FALSE)),'Preliminary SO66'!AG195,VLOOKUP($CZ196,'Audit Values'!$A$2:$BW$353,70,FALSE))</f>
        <v>13.4</v>
      </c>
      <c r="AH196" s="95">
        <f t="shared" si="87"/>
        <v>13.4</v>
      </c>
      <c r="AI196" s="95">
        <f>IF(ISNA(VLOOKUP($CZ196,'Audit Values'!$A$2:$BU$353,2,FALSE)),'Preliminary SO66'!AQ195,VLOOKUP($CZ196,'Audit Values'!$A$2:$BU$353,65,FALSE))</f>
        <v>0</v>
      </c>
      <c r="AJ196" s="95">
        <f>AI196*'Weighting Factors'!$Q$10</f>
        <v>0</v>
      </c>
      <c r="AK196" s="95">
        <f>IF(ISNA(VLOOKUP($CZ196,'Audit Values'!$A$2:$BU$353,2,FALSE)),'Preliminary SO66'!AR195,VLOOKUP($CZ196,'Audit Values'!$A$2:$BU$353,66,FALSE))</f>
        <v>357.1</v>
      </c>
      <c r="AL196" s="95"/>
      <c r="AM196" s="99">
        <f t="shared" si="88"/>
        <v>253541</v>
      </c>
      <c r="AN196" s="99">
        <v>293522</v>
      </c>
      <c r="AO196" s="95">
        <f>MAX(AN196, AM196)/'Weighting Factors'!$Q$5</f>
        <v>70.5</v>
      </c>
      <c r="AP196" s="95">
        <f>CN196/'Weighting Factors'!$Q$5</f>
        <v>0</v>
      </c>
      <c r="AQ196" s="95">
        <v>0</v>
      </c>
      <c r="AR196" s="95">
        <f>CS196/'Weighting Factors'!$Q$5</f>
        <v>0</v>
      </c>
      <c r="AS196" s="99">
        <v>1831937</v>
      </c>
      <c r="AT196" s="95">
        <f>AS196/'Weighting Factors'!$Q$5</f>
        <v>439.8</v>
      </c>
      <c r="AU196" s="95">
        <f>IF(ISNA(VLOOKUP($CZ196,'Audit Values'!$A$2:$BU$353,2,FALSE)),'Preliminary SO66'!X195,VLOOKUP($CZ196,'Audit Values'!$A$2:$BU$353,47,FALSE))</f>
        <v>0</v>
      </c>
      <c r="AV196" s="95">
        <f t="shared" si="89"/>
        <v>3143.7</v>
      </c>
      <c r="AW196" s="95">
        <f t="shared" si="90"/>
        <v>2703.9</v>
      </c>
      <c r="AX196" s="95">
        <f>IF(ISNA(VLOOKUP($CZ196,'Audit Values'!$A$2:$BU$353,2,FALSE)),'Preliminary SO66'!AA195,VLOOKUP($CZ196,'Audit Values'!$A$2:$BU$353,41,FALSE))</f>
        <v>1</v>
      </c>
      <c r="AY196" s="95">
        <f>IF(ISNA(VLOOKUP($CZ196,'Audit Values'!$A$2:$BU$353,2,FALSE)),'Preliminary SO66'!AB195,VLOOKUP($CZ196,'Audit Values'!$A$2:$BU$353,42,FALSE))</f>
        <v>0</v>
      </c>
      <c r="AZ196" s="114">
        <v>0</v>
      </c>
      <c r="BA196" s="99">
        <f>SUM(AX196*'Weighting Factors'!$T$10)+('2019 Legal Max'!AY196*'Weighting Factors'!$T$11)+('2019 Legal Max'!AZ196*'Weighting Factors'!$T$12)</f>
        <v>5000</v>
      </c>
      <c r="BB196" s="158">
        <v>0</v>
      </c>
      <c r="BC196" s="88">
        <f>IF(ISNA(VLOOKUP($CZ196,'Audit Values'!$A$2:$BU$353,2,FALSE)),"",IF(AND('Weighting Factors'!H196&gt;0,VLOOKUP($CZ196,'Audit Values'!$A$2:$BU$353,51,FALSE)&lt;'Weighting Factors'!H196),'Weighting Factors'!H196,VLOOKUP($CZ196,'Audit Values'!$A$2:$BU$353,50,FALSE)))</f>
        <v>21</v>
      </c>
      <c r="BD196" s="88" t="str">
        <f>IF(ISNA(VLOOKUP($CZ196,'Audit Values'!$A$2:$BV$353,2,FALSE)),"",VLOOKUP($CZ196,'Audit Values'!$A$2:$BV$353,51,FALSE))</f>
        <v>A</v>
      </c>
      <c r="BE196" s="88" t="str">
        <f>IF('Weighting Factors'!H196="","",IF('Weighting Factors'!J196="Pending","PX","R"))</f>
        <v>R</v>
      </c>
      <c r="BF196" s="97">
        <f>SUM((S196+T196+Y196+AA196+AE196+AH196+AJ196++AO196+AP196+AQ196+AU196+AR196)*'Weighting Factors'!$Q$5)+'2019 Legal Max'!BA196+'2019 Legal Max'!BB196</f>
        <v>11266744</v>
      </c>
      <c r="BG196" s="99">
        <f>SUM((AV196+AR196)*'Weighting Factors'!$Q$5)+BA196+'2019 Legal Max'!BB196</f>
        <v>13098511</v>
      </c>
      <c r="BH196" s="108">
        <f>IF('Weighting Factors'!H196&gt;0,'Weighting Factors'!H196,'Preliminary SO66'!AV195)</f>
        <v>13389644</v>
      </c>
      <c r="BI196" s="99">
        <f t="shared" si="114"/>
        <v>13098511</v>
      </c>
      <c r="BJ196" s="112"/>
      <c r="BK196" s="112">
        <f>'Weighting Factors'!F196</f>
        <v>-20962</v>
      </c>
      <c r="BL196" s="112">
        <f>'Weighting Factors'!E196</f>
        <v>0</v>
      </c>
      <c r="BM196" s="99">
        <f t="shared" si="91"/>
        <v>-20962</v>
      </c>
      <c r="BN196" s="99">
        <f t="shared" si="92"/>
        <v>13077549</v>
      </c>
      <c r="BO196" s="99">
        <f>SUM((S196+T196+Y196+AA196+AE196+AH196+AJ196++AO196+AP196+AQ196+AR196)*'Weighting Factors'!Q$12)+(MAX(AS196,'Weighting Factors'!B196))</f>
        <v>13972448</v>
      </c>
      <c r="BP196" s="122">
        <v>0.33</v>
      </c>
      <c r="BQ196" s="99">
        <f t="shared" si="93"/>
        <v>4610908</v>
      </c>
      <c r="BR196" s="108">
        <v>4656676</v>
      </c>
      <c r="BS196" s="99">
        <f t="shared" si="94"/>
        <v>4610908</v>
      </c>
      <c r="BT196" s="167">
        <f t="shared" si="95"/>
        <v>0.33</v>
      </c>
      <c r="BU196" s="95">
        <f t="shared" si="96"/>
        <v>0</v>
      </c>
      <c r="BV196" s="87" t="b">
        <f t="shared" si="97"/>
        <v>0</v>
      </c>
      <c r="BW196" s="117">
        <f t="shared" si="98"/>
        <v>0</v>
      </c>
      <c r="BX196" s="116">
        <f t="shared" si="99"/>
        <v>0</v>
      </c>
      <c r="BY196" s="95">
        <f t="shared" si="100"/>
        <v>0</v>
      </c>
      <c r="BZ196" s="87" t="b">
        <f t="shared" si="101"/>
        <v>0</v>
      </c>
      <c r="CA196" s="87">
        <f t="shared" si="102"/>
        <v>0</v>
      </c>
      <c r="CB196" s="116">
        <f t="shared" si="103"/>
        <v>0</v>
      </c>
      <c r="CC196" s="95">
        <f t="shared" si="104"/>
        <v>0</v>
      </c>
      <c r="CD196" s="95">
        <f t="shared" si="105"/>
        <v>76</v>
      </c>
      <c r="CE196" s="98">
        <v>69.5</v>
      </c>
      <c r="CF196" s="250">
        <f t="shared" si="106"/>
        <v>5.1379999999999999</v>
      </c>
      <c r="CG196" s="274">
        <f>IF(CF196&lt;0.06,1,IF(CF196&gt;=18.29,52,MATCH(CF196-0.001,'Weighting Factors'!$Y$5:$Y$156)+1))</f>
        <v>44</v>
      </c>
      <c r="CH196" s="243">
        <f>VLOOKUP(CG196, 'Weighting Factors'!$W$5:$Z$56,4)</f>
        <v>710</v>
      </c>
      <c r="CI196" s="118">
        <f>('Weighting Factors'!$Q$5/'Weighting Factors'!$Q$14)</f>
        <v>1</v>
      </c>
      <c r="CJ196" s="245">
        <f t="shared" si="107"/>
        <v>253541</v>
      </c>
      <c r="CK196" s="245">
        <f>CJ196*'Weighting Factors'!$S$7</f>
        <v>253541</v>
      </c>
      <c r="CL196" s="245">
        <f t="shared" si="108"/>
        <v>253541</v>
      </c>
      <c r="CM196" s="95">
        <f>AM196/'Weighting Factors'!$Q$5</f>
        <v>60.9</v>
      </c>
      <c r="CN196" s="148">
        <v>0</v>
      </c>
      <c r="CO196" s="148">
        <v>0</v>
      </c>
      <c r="CP196" s="149">
        <v>0</v>
      </c>
      <c r="CQ196" s="151">
        <v>0</v>
      </c>
      <c r="CR196" s="99">
        <f>SUM((AV196*'Weighting Factors'!$Q$5)+'2019 Legal Max'!BA196)*CQ196</f>
        <v>0</v>
      </c>
      <c r="CS196" s="99">
        <f t="shared" si="109"/>
        <v>0</v>
      </c>
      <c r="CT196" s="106">
        <f t="shared" si="110"/>
        <v>0.30049999999999999</v>
      </c>
      <c r="CU196" s="95">
        <f t="shared" si="111"/>
        <v>0</v>
      </c>
      <c r="CV196" s="95">
        <f t="shared" si="112"/>
        <v>0</v>
      </c>
      <c r="CW196" s="95">
        <f t="shared" si="113"/>
        <v>3143.7</v>
      </c>
      <c r="CX196" s="99">
        <f>'LOB Transfers'!G195</f>
        <v>482301</v>
      </c>
      <c r="CY196" s="99">
        <f>'LOB Transfers'!J195</f>
        <v>5072</v>
      </c>
      <c r="CZ196" s="87" t="s">
        <v>388</v>
      </c>
    </row>
    <row r="197" spans="1:104" ht="15" customHeight="1">
      <c r="A197" s="88">
        <v>403</v>
      </c>
      <c r="B197" s="87" t="s">
        <v>88</v>
      </c>
      <c r="C197" s="87" t="s">
        <v>709</v>
      </c>
      <c r="D197" s="95">
        <v>214.3</v>
      </c>
      <c r="E197" s="95">
        <v>0</v>
      </c>
      <c r="F197" s="95">
        <f t="shared" ref="F197:F260" si="117">D197+E197</f>
        <v>214.3</v>
      </c>
      <c r="G197" s="95">
        <v>222.3</v>
      </c>
      <c r="H197" s="95">
        <v>0</v>
      </c>
      <c r="I197" s="95">
        <f t="shared" ref="I197:I260" si="118">G197+H197</f>
        <v>222.3</v>
      </c>
      <c r="J197" s="95">
        <v>237.5</v>
      </c>
      <c r="K197" s="95">
        <v>0</v>
      </c>
      <c r="L197" s="95">
        <f t="shared" ref="L197:L260" si="119">J197+K197</f>
        <v>237.5</v>
      </c>
      <c r="M197" s="95">
        <f>IF(ISNA(VLOOKUP($CZ197,'Audit Values'!$A$2:$BW$365,2,FALSE)),'Preliminary SO66'!C196,VLOOKUP($CZ197,'Audit Values'!$A$2:$BW$365,73,FALSE))</f>
        <v>245.6</v>
      </c>
      <c r="N197" s="95">
        <f>IF(ISNA(VLOOKUP($CZ197,'Audit Values'!$A$2:$BW$365,2,FALSE)),'Preliminary SO66'!F196,VLOOKUP($CZ197,'Audit Values'!$A$2:$BW$365,4,FALSE))</f>
        <v>0</v>
      </c>
      <c r="O197" s="95">
        <f t="shared" ref="O197:O260" si="120">M197+N197</f>
        <v>245.6</v>
      </c>
      <c r="P197" s="95">
        <f>IF('Military Provision'!J198="YES", MAX('2019 Legal Max'!L197,'2019 Legal Max'!I197,AVERAGE('2019 Legal Max'!F197,'2019 Legal Max'!I197,'2019 Legal Max'!L197)), MAX(L197, I197))</f>
        <v>237.5</v>
      </c>
      <c r="Q197" s="95">
        <f>IF(ISNA(VLOOKUP($CZ197,'Audit Values'!$A$2:$BU$353,2,FALSE)),'Preliminary SO66'!AL196,VLOOKUP($CZ197,'Audit Values'!$A$2:$BU$3955,58,FALSE))</f>
        <v>2</v>
      </c>
      <c r="R197" s="95">
        <v>0</v>
      </c>
      <c r="S197" s="95">
        <f t="shared" si="116"/>
        <v>239.5</v>
      </c>
      <c r="T197" s="95">
        <f t="shared" ref="T197:T260" si="121">MAX(BU197, BY197, CC197, CD197)</f>
        <v>154.4</v>
      </c>
      <c r="U197" s="95">
        <f>IF(ISNA(VLOOKUP($CZ197,'Audit Values'!$A$2:$BW$317,2,FALSE)),'Preliminary SO66'!AM196,VLOOKUP($CZ197,'Audit Values'!$A$2:$BW$317,62,FALSE))</f>
        <v>10.7</v>
      </c>
      <c r="V197" s="95">
        <f>(U197/6)*'Weighting Factors'!$Q$7</f>
        <v>0.7</v>
      </c>
      <c r="W197" s="132">
        <f>IF(ISNA(VLOOKUP($CZ197,'Audit Values'!$A$2:$BW$353,2,FALSE)),'Preliminary SO66'!AN196,VLOOKUP($CZ197,'Audit Values'!$A$2:$BW$353,61,FALSE))</f>
        <v>6</v>
      </c>
      <c r="X197" s="95">
        <f>W197*'Weighting Factors'!$Q$8</f>
        <v>1.1000000000000001</v>
      </c>
      <c r="Y197" s="95">
        <f t="shared" ref="Y197:Y260" si="122">MAX(V197,X197)</f>
        <v>1.1000000000000001</v>
      </c>
      <c r="Z197" s="276">
        <f>IF(ISNA(VLOOKUP($CZ197,'Audit Values'!$A$2:$BW$317,2,FALSE)),'Preliminary SO66'!AO196,VLOOKUP($CZ197,'Audit Values'!$A$2:$BW$317,60,FALSE))</f>
        <v>62.7</v>
      </c>
      <c r="AA197" s="95">
        <f>Z197/6*'Weighting Factors'!$Q$6</f>
        <v>5.2</v>
      </c>
      <c r="AB197" s="99">
        <f>IF(ISNA(VLOOKUP($CZ197,'Audit Values'!$A$2:$BU$353,2,FALSE)),'Preliminary SO66'!AS196,VLOOKUP($CZ197,'Audit Values'!$A$2:$BU$353,63,FALSE))</f>
        <v>252</v>
      </c>
      <c r="AC197" s="99">
        <v>0</v>
      </c>
      <c r="AD197" s="99">
        <f>IF(ISNA(VLOOKUP($CZ197,'Audit Values'!$A$2:$BU$353,2,FALSE)),'Preliminary SO66'!AP196,VLOOKUP($CZ197,'Audit Values'!$A$2:$BU$353,64,FALSE))</f>
        <v>64</v>
      </c>
      <c r="AE197" s="95">
        <f>IF(A197=207, AD197,MAX(AC197,AD197))*'Weighting Factors'!$Q$9</f>
        <v>31</v>
      </c>
      <c r="AF197" s="95">
        <f t="shared" ref="AF197:AF260" si="123">MAX(CU197,CV197)</f>
        <v>0</v>
      </c>
      <c r="AG197" s="95">
        <f>IF(ISNA(VLOOKUP($CZ197,'Audit Values'!$A$2:$BW$353,2,FALSE)),'Preliminary SO66'!AG196,VLOOKUP($CZ197,'Audit Values'!$A$2:$BW$353,70,FALSE))</f>
        <v>0.4</v>
      </c>
      <c r="AH197" s="95">
        <f t="shared" ref="AH197:AH260" si="124">MAX(AF197, AG197)</f>
        <v>0.4</v>
      </c>
      <c r="AI197" s="95">
        <f>IF(ISNA(VLOOKUP($CZ197,'Audit Values'!$A$2:$BU$353,2,FALSE)),'Preliminary SO66'!AQ196,VLOOKUP($CZ197,'Audit Values'!$A$2:$BU$353,65,FALSE))</f>
        <v>0</v>
      </c>
      <c r="AJ197" s="95">
        <f>AI197*'Weighting Factors'!$Q$10</f>
        <v>0</v>
      </c>
      <c r="AK197" s="95">
        <f>IF(ISNA(VLOOKUP($CZ197,'Audit Values'!$A$2:$BU$353,2,FALSE)),'Preliminary SO66'!AR196,VLOOKUP($CZ197,'Audit Values'!$A$2:$BU$353,66,FALSE))</f>
        <v>94</v>
      </c>
      <c r="AL197" s="95"/>
      <c r="AM197" s="99">
        <f t="shared" ref="AM197:AM260" si="125">CL197</f>
        <v>113740</v>
      </c>
      <c r="AN197" s="99">
        <v>152924</v>
      </c>
      <c r="AO197" s="95">
        <f>MAX(AN197, AM197)/'Weighting Factors'!$Q$5</f>
        <v>36.700000000000003</v>
      </c>
      <c r="AP197" s="95">
        <f>CN197/'Weighting Factors'!$Q$5</f>
        <v>0</v>
      </c>
      <c r="AQ197" s="95">
        <v>0</v>
      </c>
      <c r="AR197" s="95">
        <f>CS197/'Weighting Factors'!$Q$5</f>
        <v>0</v>
      </c>
      <c r="AS197" s="99">
        <v>299203</v>
      </c>
      <c r="AT197" s="95">
        <f>AS197/'Weighting Factors'!$Q$5</f>
        <v>71.8</v>
      </c>
      <c r="AU197" s="95">
        <f>IF(ISNA(VLOOKUP($CZ197,'Audit Values'!$A$2:$BU$353,2,FALSE)),'Preliminary SO66'!X196,VLOOKUP($CZ197,'Audit Values'!$A$2:$BU$353,47,FALSE))</f>
        <v>1</v>
      </c>
      <c r="AV197" s="95">
        <f t="shared" ref="AV197:AV260" si="126">SUM(S197+T197+Y197+AA197+AE197+AH197+AJ197++AO197+AP197+AQ197+AT197+AU197)</f>
        <v>541.1</v>
      </c>
      <c r="AW197" s="95">
        <f t="shared" ref="AW197:AW260" si="127">SUM(S197+T197+Y197+AA197+AE197+AH197+AJ197++AO197+AP197+AQ197+AR197+AU197)</f>
        <v>469.3</v>
      </c>
      <c r="AX197" s="95">
        <f>IF(ISNA(VLOOKUP($CZ197,'Audit Values'!$A$2:$BU$353,2,FALSE)),'Preliminary SO66'!AA196,VLOOKUP($CZ197,'Audit Values'!$A$2:$BU$353,41,FALSE))</f>
        <v>6</v>
      </c>
      <c r="AY197" s="95">
        <f>IF(ISNA(VLOOKUP($CZ197,'Audit Values'!$A$2:$BU$353,2,FALSE)),'Preliminary SO66'!AB196,VLOOKUP($CZ197,'Audit Values'!$A$2:$BU$353,42,FALSE))</f>
        <v>0</v>
      </c>
      <c r="AZ197" s="114">
        <v>0</v>
      </c>
      <c r="BA197" s="99">
        <f>SUM(AX197*'Weighting Factors'!$T$10)+('2019 Legal Max'!AY197*'Weighting Factors'!$T$11)+('2019 Legal Max'!AZ197*'Weighting Factors'!$T$12)</f>
        <v>30000</v>
      </c>
      <c r="BB197" s="158">
        <v>0</v>
      </c>
      <c r="BC197" s="88">
        <f>IF(ISNA(VLOOKUP($CZ197,'Audit Values'!$A$2:$BU$353,2,FALSE)),"",IF(AND('Weighting Factors'!H197&gt;0,VLOOKUP($CZ197,'Audit Values'!$A$2:$BU$353,51,FALSE)&lt;'Weighting Factors'!H197),'Weighting Factors'!H197,VLOOKUP($CZ197,'Audit Values'!$A$2:$BU$353,50,FALSE)))</f>
        <v>17</v>
      </c>
      <c r="BD197" s="88" t="str">
        <f>IF(ISNA(VLOOKUP($CZ197,'Audit Values'!$A$2:$BV$353,2,FALSE)),"",VLOOKUP($CZ197,'Audit Values'!$A$2:$BV$353,51,FALSE))</f>
        <v>A</v>
      </c>
      <c r="BE197" s="88" t="str">
        <f>IF('Weighting Factors'!H197="","",IF('Weighting Factors'!J197="Pending","PX","R"))</f>
        <v/>
      </c>
      <c r="BF197" s="97">
        <f>SUM((S197+T197+Y197+AA197+AE197+AH197+AJ197++AO197+AP197+AQ197+AU197+AR197)*'Weighting Factors'!$Q$5)+'2019 Legal Max'!BA197+'2019 Legal Max'!BB197</f>
        <v>1984635</v>
      </c>
      <c r="BG197" s="99">
        <f>SUM((AV197+AR197)*'Weighting Factors'!$Q$5)+BA197+'2019 Legal Max'!BB197</f>
        <v>2283682</v>
      </c>
      <c r="BH197" s="108">
        <f>IF('Weighting Factors'!H197&gt;0,'Weighting Factors'!H197,'Preliminary SO66'!AV196)</f>
        <v>2539117</v>
      </c>
      <c r="BI197" s="99">
        <f t="shared" si="114"/>
        <v>2283682</v>
      </c>
      <c r="BJ197" s="112"/>
      <c r="BK197" s="112">
        <f>'Weighting Factors'!F197</f>
        <v>-4182</v>
      </c>
      <c r="BL197" s="112">
        <f>'Weighting Factors'!E197</f>
        <v>0</v>
      </c>
      <c r="BM197" s="99">
        <f t="shared" ref="BM197:BM260" si="128">SUM(BJ197:BL197)</f>
        <v>-4182</v>
      </c>
      <c r="BN197" s="99">
        <f t="shared" ref="BN197:BN260" si="129">BI197+BM197</f>
        <v>2279500</v>
      </c>
      <c r="BO197" s="99">
        <f>SUM((S197+T197+Y197+AA197+AE197+AH197+AJ197++AO197+AP197+AQ197+AR197)*'Weighting Factors'!Q$12)+(MAX(AS197,'Weighting Factors'!B197))</f>
        <v>2401870</v>
      </c>
      <c r="BP197" s="122">
        <v>0.3</v>
      </c>
      <c r="BQ197" s="99">
        <f t="shared" ref="BQ197:BQ260" si="130">BO197*BP197</f>
        <v>720561</v>
      </c>
      <c r="BR197" s="108">
        <v>793832</v>
      </c>
      <c r="BS197" s="99">
        <f t="shared" ref="BS197:BS260" si="131">MIN(BQ197,BR197)</f>
        <v>720561</v>
      </c>
      <c r="BT197" s="167">
        <f t="shared" ref="BT197:BT260" si="132">BS197/BO197</f>
        <v>0.3</v>
      </c>
      <c r="BU197" s="95">
        <f t="shared" ref="BU197:BU260" si="133">ROUND(IF(S197&lt;=99.9,(S197*1.014331),0),1)</f>
        <v>0</v>
      </c>
      <c r="BV197" s="87" t="b">
        <f t="shared" ref="BV197:BV260" si="134">AND(S197&gt;99.9,S197&lt;=299.9)</f>
        <v>1</v>
      </c>
      <c r="BW197" s="117">
        <f t="shared" ref="BW197:BW260" si="135">IF(BV197=TRUE,ROUND((S197-100)*9.655,3),0)</f>
        <v>1346.873</v>
      </c>
      <c r="BX197" s="116">
        <f t="shared" ref="BX197:BX260" si="136">IF(BV197=TRUE,ROUND(((7337-BW197)/3642.4)-1,6),0)</f>
        <v>0.64455499999999999</v>
      </c>
      <c r="BY197" s="95">
        <f t="shared" ref="BY197:BY260" si="137">ROUND(BX197*S197,1)</f>
        <v>154.4</v>
      </c>
      <c r="BZ197" s="87" t="b">
        <f t="shared" ref="BZ197:BZ260" si="138">AND(S197&gt;299.9,S197&lt;=1621.9)</f>
        <v>0</v>
      </c>
      <c r="CA197" s="87">
        <f t="shared" ref="CA197:CA260" si="139">IF(BZ197=TRUE,ROUND((S197-300)*1.2375,4),0)</f>
        <v>0</v>
      </c>
      <c r="CB197" s="116">
        <f t="shared" ref="CB197:CB260" si="140">IF(BZ197=TRUE,ROUND(((5406-CA197)/3642.4)-1,6),0)</f>
        <v>0</v>
      </c>
      <c r="CC197" s="95">
        <f t="shared" ref="CC197:CC260" si="141">ROUND(CB197*S197,1)</f>
        <v>0</v>
      </c>
      <c r="CD197" s="95">
        <f t="shared" ref="CD197:CD260" si="142">ROUND(IF(S197&gt;=1622,(S197*0.03504),0),1)</f>
        <v>0</v>
      </c>
      <c r="CE197" s="98">
        <v>339.5</v>
      </c>
      <c r="CF197" s="250">
        <f t="shared" ref="CF197:CF260" si="143">AK197/CE197</f>
        <v>0.27700000000000002</v>
      </c>
      <c r="CG197" s="274">
        <f>IF(CF197&lt;0.06,1,IF(CF197&gt;=18.29,52,MATCH(CF197-0.001,'Weighting Factors'!$Y$5:$Y$156)+1))</f>
        <v>19</v>
      </c>
      <c r="CH197" s="243">
        <f>VLOOKUP(CG197, 'Weighting Factors'!$W$5:$Z$56,4)</f>
        <v>1210</v>
      </c>
      <c r="CI197" s="118">
        <f>('Weighting Factors'!$Q$5/'Weighting Factors'!$Q$14)</f>
        <v>1</v>
      </c>
      <c r="CJ197" s="245">
        <f t="shared" ref="CJ197:CJ260" si="144">AK197*CH197</f>
        <v>113740</v>
      </c>
      <c r="CK197" s="245">
        <f>CJ197*'Weighting Factors'!$S$7</f>
        <v>113740</v>
      </c>
      <c r="CL197" s="245">
        <f t="shared" ref="CL197:CL260" si="145">CK197*CI197</f>
        <v>113740</v>
      </c>
      <c r="CM197" s="95">
        <f>AM197/'Weighting Factors'!$Q$5</f>
        <v>27.3</v>
      </c>
      <c r="CN197" s="148">
        <v>0</v>
      </c>
      <c r="CO197" s="148">
        <v>0</v>
      </c>
      <c r="CP197" s="149">
        <v>0</v>
      </c>
      <c r="CQ197" s="151">
        <v>0</v>
      </c>
      <c r="CR197" s="99">
        <f>SUM((AV197*'Weighting Factors'!$Q$5)+'2019 Legal Max'!BA197)*CQ197</f>
        <v>0</v>
      </c>
      <c r="CS197" s="99">
        <f t="shared" ref="CS197:CS260" si="146">IF(CP197&gt;CR197,CR197,CP197)</f>
        <v>0</v>
      </c>
      <c r="CT197" s="106">
        <f t="shared" ref="CT197:CT260" si="147">AD197/AB197</f>
        <v>0.254</v>
      </c>
      <c r="CU197" s="95">
        <f t="shared" ref="CU197:CU260" si="148">IF(CT197&gt;=50%,AD197*10.5%,0)</f>
        <v>0</v>
      </c>
      <c r="CV197" s="95">
        <f t="shared" ref="CV197:CV260" si="149">IF(AND(CT197&gt;35%,CT197&lt;50%),AD197*(CT197-35%)*0.7,0)</f>
        <v>0</v>
      </c>
      <c r="CW197" s="95">
        <f t="shared" ref="CW197:CW260" si="150">AW197+AT197</f>
        <v>541.1</v>
      </c>
      <c r="CX197" s="99">
        <f>'LOB Transfers'!G196</f>
        <v>41504</v>
      </c>
      <c r="CY197" s="99">
        <f>'LOB Transfers'!J196</f>
        <v>1441</v>
      </c>
      <c r="CZ197" s="87" t="s">
        <v>389</v>
      </c>
    </row>
    <row r="198" spans="1:104" ht="15" customHeight="1">
      <c r="A198" s="88">
        <v>404</v>
      </c>
      <c r="B198" s="87" t="s">
        <v>29</v>
      </c>
      <c r="C198" s="87" t="s">
        <v>710</v>
      </c>
      <c r="D198" s="95">
        <v>705</v>
      </c>
      <c r="E198" s="95">
        <v>0</v>
      </c>
      <c r="F198" s="95">
        <f t="shared" si="117"/>
        <v>705</v>
      </c>
      <c r="G198" s="95">
        <v>721.5</v>
      </c>
      <c r="H198" s="95">
        <v>0</v>
      </c>
      <c r="I198" s="95">
        <f t="shared" si="118"/>
        <v>721.5</v>
      </c>
      <c r="J198" s="95">
        <v>728</v>
      </c>
      <c r="K198" s="95">
        <v>0</v>
      </c>
      <c r="L198" s="95">
        <f t="shared" si="119"/>
        <v>728</v>
      </c>
      <c r="M198" s="95">
        <f>IF(ISNA(VLOOKUP($CZ198,'Audit Values'!$A$2:$BW$365,2,FALSE)),'Preliminary SO66'!C197,VLOOKUP($CZ198,'Audit Values'!$A$2:$BW$365,73,FALSE))</f>
        <v>716</v>
      </c>
      <c r="N198" s="95">
        <f>IF(ISNA(VLOOKUP($CZ198,'Audit Values'!$A$2:$BW$365,2,FALSE)),'Preliminary SO66'!F197,VLOOKUP($CZ198,'Audit Values'!$A$2:$BW$365,4,FALSE))</f>
        <v>0</v>
      </c>
      <c r="O198" s="95">
        <f t="shared" si="120"/>
        <v>716</v>
      </c>
      <c r="P198" s="95">
        <f>IF('Military Provision'!J199="YES", MAX('2019 Legal Max'!L198,'2019 Legal Max'!I198,AVERAGE('2019 Legal Max'!F198,'2019 Legal Max'!I198,'2019 Legal Max'!L198)), MAX(L198, I198))</f>
        <v>728</v>
      </c>
      <c r="Q198" s="95">
        <f>IF(ISNA(VLOOKUP($CZ198,'Audit Values'!$A$2:$BU$353,2,FALSE)),'Preliminary SO66'!AL197,VLOOKUP($CZ198,'Audit Values'!$A$2:$BU$3955,58,FALSE))</f>
        <v>6</v>
      </c>
      <c r="R198" s="95">
        <v>0</v>
      </c>
      <c r="S198" s="95">
        <f t="shared" si="116"/>
        <v>734</v>
      </c>
      <c r="T198" s="95">
        <f t="shared" si="121"/>
        <v>247.2</v>
      </c>
      <c r="U198" s="95">
        <f>IF(ISNA(VLOOKUP($CZ198,'Audit Values'!$A$2:$BW$317,2,FALSE)),'Preliminary SO66'!AM197,VLOOKUP($CZ198,'Audit Values'!$A$2:$BW$317,62,FALSE))</f>
        <v>0</v>
      </c>
      <c r="V198" s="95">
        <f>(U198/6)*'Weighting Factors'!$Q$7</f>
        <v>0</v>
      </c>
      <c r="W198" s="132">
        <f>IF(ISNA(VLOOKUP($CZ198,'Audit Values'!$A$2:$BW$353,2,FALSE)),'Preliminary SO66'!AN197,VLOOKUP($CZ198,'Audit Values'!$A$2:$BW$353,61,FALSE))</f>
        <v>2</v>
      </c>
      <c r="X198" s="95">
        <f>W198*'Weighting Factors'!$Q$8</f>
        <v>0.4</v>
      </c>
      <c r="Y198" s="95">
        <f t="shared" si="122"/>
        <v>0.4</v>
      </c>
      <c r="Z198" s="276">
        <f>IF(ISNA(VLOOKUP($CZ198,'Audit Values'!$A$2:$BW$317,2,FALSE)),'Preliminary SO66'!AO197,VLOOKUP($CZ198,'Audit Values'!$A$2:$BW$317,60,FALSE))</f>
        <v>197.3</v>
      </c>
      <c r="AA198" s="95">
        <f>Z198/6*'Weighting Factors'!$Q$6</f>
        <v>16.399999999999999</v>
      </c>
      <c r="AB198" s="99">
        <f>IF(ISNA(VLOOKUP($CZ198,'Audit Values'!$A$2:$BU$353,2,FALSE)),'Preliminary SO66'!AS197,VLOOKUP($CZ198,'Audit Values'!$A$2:$BU$353,63,FALSE))</f>
        <v>729</v>
      </c>
      <c r="AC198" s="99">
        <v>0</v>
      </c>
      <c r="AD198" s="99">
        <f>IF(ISNA(VLOOKUP($CZ198,'Audit Values'!$A$2:$BU$353,2,FALSE)),'Preliminary SO66'!AP197,VLOOKUP($CZ198,'Audit Values'!$A$2:$BU$353,64,FALSE))</f>
        <v>310</v>
      </c>
      <c r="AE198" s="95">
        <f>IF(A198=207, AD198,MAX(AC198,AD198))*'Weighting Factors'!$Q$9</f>
        <v>150</v>
      </c>
      <c r="AF198" s="95">
        <f t="shared" si="123"/>
        <v>16.3</v>
      </c>
      <c r="AG198" s="95">
        <f>IF(ISNA(VLOOKUP($CZ198,'Audit Values'!$A$2:$BW$353,2,FALSE)),'Preliminary SO66'!AG197,VLOOKUP($CZ198,'Audit Values'!$A$2:$BW$353,70,FALSE))</f>
        <v>17.899999999999999</v>
      </c>
      <c r="AH198" s="95">
        <f t="shared" si="124"/>
        <v>17.899999999999999</v>
      </c>
      <c r="AI198" s="95">
        <f>IF(ISNA(VLOOKUP($CZ198,'Audit Values'!$A$2:$BU$353,2,FALSE)),'Preliminary SO66'!AQ197,VLOOKUP($CZ198,'Audit Values'!$A$2:$BU$353,65,FALSE))</f>
        <v>110.4</v>
      </c>
      <c r="AJ198" s="95">
        <f>AI198*'Weighting Factors'!$Q$10</f>
        <v>27.6</v>
      </c>
      <c r="AK198" s="95">
        <f>IF(ISNA(VLOOKUP($CZ198,'Audit Values'!$A$2:$BU$353,2,FALSE)),'Preliminary SO66'!AR197,VLOOKUP($CZ198,'Audit Values'!$A$2:$BU$353,66,FALSE))</f>
        <v>262.5</v>
      </c>
      <c r="AL198" s="95"/>
      <c r="AM198" s="99">
        <f t="shared" si="125"/>
        <v>191625</v>
      </c>
      <c r="AN198" s="99">
        <v>204541</v>
      </c>
      <c r="AO198" s="95">
        <f>MAX(AN198, AM198)/'Weighting Factors'!$Q$5</f>
        <v>49.1</v>
      </c>
      <c r="AP198" s="95">
        <f>CN198/'Weighting Factors'!$Q$5</f>
        <v>0</v>
      </c>
      <c r="AQ198" s="95">
        <v>0</v>
      </c>
      <c r="AR198" s="95">
        <f>CS198/'Weighting Factors'!$Q$5</f>
        <v>0</v>
      </c>
      <c r="AS198" s="99">
        <v>763323</v>
      </c>
      <c r="AT198" s="95">
        <f>AS198/'Weighting Factors'!$Q$5</f>
        <v>183.3</v>
      </c>
      <c r="AU198" s="95">
        <f>IF(ISNA(VLOOKUP($CZ198,'Audit Values'!$A$2:$BU$353,2,FALSE)),'Preliminary SO66'!X197,VLOOKUP($CZ198,'Audit Values'!$A$2:$BU$353,47,FALSE))</f>
        <v>0</v>
      </c>
      <c r="AV198" s="95">
        <f t="shared" si="126"/>
        <v>1425.9</v>
      </c>
      <c r="AW198" s="95">
        <f t="shared" si="127"/>
        <v>1242.5999999999999</v>
      </c>
      <c r="AX198" s="95">
        <f>IF(ISNA(VLOOKUP($CZ198,'Audit Values'!$A$2:$BU$353,2,FALSE)),'Preliminary SO66'!AA197,VLOOKUP($CZ198,'Audit Values'!$A$2:$BU$353,41,FALSE))</f>
        <v>0</v>
      </c>
      <c r="AY198" s="95">
        <f>IF(ISNA(VLOOKUP($CZ198,'Audit Values'!$A$2:$BU$353,2,FALSE)),'Preliminary SO66'!AB197,VLOOKUP($CZ198,'Audit Values'!$A$2:$BU$353,42,FALSE))</f>
        <v>0</v>
      </c>
      <c r="AZ198" s="114">
        <v>2</v>
      </c>
      <c r="BA198" s="99">
        <f>SUM(AX198*'Weighting Factors'!$T$10)+('2019 Legal Max'!AY198*'Weighting Factors'!$T$11)+('2019 Legal Max'!AZ198*'Weighting Factors'!$T$12)</f>
        <v>1418</v>
      </c>
      <c r="BB198" s="158">
        <v>0</v>
      </c>
      <c r="BC198" s="88">
        <f>IF(ISNA(VLOOKUP($CZ198,'Audit Values'!$A$2:$BU$353,2,FALSE)),"",IF(AND('Weighting Factors'!H198&gt;0,VLOOKUP($CZ198,'Audit Values'!$A$2:$BU$353,51,FALSE)&lt;'Weighting Factors'!H198),'Weighting Factors'!H198,VLOOKUP($CZ198,'Audit Values'!$A$2:$BU$353,50,FALSE)))</f>
        <v>8</v>
      </c>
      <c r="BD198" s="88" t="str">
        <f>IF(ISNA(VLOOKUP($CZ198,'Audit Values'!$A$2:$BV$353,2,FALSE)),"",VLOOKUP($CZ198,'Audit Values'!$A$2:$BV$353,51,FALSE))</f>
        <v>A</v>
      </c>
      <c r="BE198" s="88" t="str">
        <f>IF('Weighting Factors'!H198="","",IF('Weighting Factors'!J198="Pending","PX","R"))</f>
        <v>R</v>
      </c>
      <c r="BF198" s="97">
        <f>SUM((S198+T198+Y198+AA198+AE198+AH198+AJ198++AO198+AP198+AQ198+AU198+AR198)*'Weighting Factors'!$Q$5)+'2019 Legal Max'!BA198+'2019 Legal Max'!BB198</f>
        <v>5176847</v>
      </c>
      <c r="BG198" s="99">
        <f>SUM((AV198+AR198)*'Weighting Factors'!$Q$5)+BA198+'2019 Legal Max'!BB198</f>
        <v>5940292</v>
      </c>
      <c r="BH198" s="108">
        <f>IF('Weighting Factors'!H198&gt;0,'Weighting Factors'!H198,'Preliminary SO66'!AV197)</f>
        <v>5981862</v>
      </c>
      <c r="BI198" s="99">
        <f t="shared" ref="BI198:BI261" si="151">MIN(BG198,BH198)</f>
        <v>5940292</v>
      </c>
      <c r="BJ198" s="112"/>
      <c r="BK198" s="112">
        <f>'Weighting Factors'!F198</f>
        <v>0</v>
      </c>
      <c r="BL198" s="112">
        <f>'Weighting Factors'!E198</f>
        <v>0</v>
      </c>
      <c r="BM198" s="99">
        <f t="shared" si="128"/>
        <v>0</v>
      </c>
      <c r="BN198" s="99">
        <f t="shared" si="129"/>
        <v>5940292</v>
      </c>
      <c r="BO198" s="99">
        <f>SUM((S198+T198+Y198+AA198+AE198+AH198+AJ198++AO198+AP198+AQ198+AR198)*'Weighting Factors'!Q$12)+(MAX(AS198,'Weighting Factors'!B198))</f>
        <v>6342597</v>
      </c>
      <c r="BP198" s="122">
        <v>0.3</v>
      </c>
      <c r="BQ198" s="99">
        <f t="shared" si="130"/>
        <v>1902779</v>
      </c>
      <c r="BR198" s="108">
        <v>1902717</v>
      </c>
      <c r="BS198" s="99">
        <f t="shared" si="131"/>
        <v>1902717</v>
      </c>
      <c r="BT198" s="167">
        <f t="shared" si="132"/>
        <v>0.3</v>
      </c>
      <c r="BU198" s="95">
        <f t="shared" si="133"/>
        <v>0</v>
      </c>
      <c r="BV198" s="87" t="b">
        <f t="shared" si="134"/>
        <v>0</v>
      </c>
      <c r="BW198" s="117">
        <f t="shared" si="135"/>
        <v>0</v>
      </c>
      <c r="BX198" s="116">
        <f t="shared" si="136"/>
        <v>0</v>
      </c>
      <c r="BY198" s="95">
        <f t="shared" si="137"/>
        <v>0</v>
      </c>
      <c r="BZ198" s="87" t="b">
        <f t="shared" si="138"/>
        <v>1</v>
      </c>
      <c r="CA198" s="87">
        <f t="shared" si="139"/>
        <v>537.07500000000005</v>
      </c>
      <c r="CB198" s="116">
        <f t="shared" si="140"/>
        <v>0.33673500000000001</v>
      </c>
      <c r="CC198" s="95">
        <f t="shared" si="141"/>
        <v>247.2</v>
      </c>
      <c r="CD198" s="95">
        <f t="shared" si="142"/>
        <v>0</v>
      </c>
      <c r="CE198" s="98">
        <v>60</v>
      </c>
      <c r="CF198" s="250">
        <f t="shared" si="143"/>
        <v>4.375</v>
      </c>
      <c r="CG198" s="274">
        <f>IF(CF198&lt;0.06,1,IF(CF198&gt;=18.29,52,MATCH(CF198-0.001,'Weighting Factors'!$Y$5:$Y$156)+1))</f>
        <v>43</v>
      </c>
      <c r="CH198" s="243">
        <f>VLOOKUP(CG198, 'Weighting Factors'!$W$5:$Z$56,4)</f>
        <v>730</v>
      </c>
      <c r="CI198" s="118">
        <f>('Weighting Factors'!$Q$5/'Weighting Factors'!$Q$14)</f>
        <v>1</v>
      </c>
      <c r="CJ198" s="245">
        <f t="shared" si="144"/>
        <v>191625</v>
      </c>
      <c r="CK198" s="245">
        <f>CJ198*'Weighting Factors'!$S$7</f>
        <v>191625</v>
      </c>
      <c r="CL198" s="245">
        <f t="shared" si="145"/>
        <v>191625</v>
      </c>
      <c r="CM198" s="95">
        <f>AM198/'Weighting Factors'!$Q$5</f>
        <v>46</v>
      </c>
      <c r="CN198" s="148">
        <v>0</v>
      </c>
      <c r="CO198" s="148">
        <v>0</v>
      </c>
      <c r="CP198" s="149">
        <v>0</v>
      </c>
      <c r="CQ198" s="151">
        <v>0</v>
      </c>
      <c r="CR198" s="99">
        <f>SUM((AV198*'Weighting Factors'!$Q$5)+'2019 Legal Max'!BA198)*CQ198</f>
        <v>0</v>
      </c>
      <c r="CS198" s="99">
        <f t="shared" si="146"/>
        <v>0</v>
      </c>
      <c r="CT198" s="106">
        <f t="shared" si="147"/>
        <v>0.42520000000000002</v>
      </c>
      <c r="CU198" s="95">
        <f t="shared" si="148"/>
        <v>0</v>
      </c>
      <c r="CV198" s="95">
        <f t="shared" si="149"/>
        <v>16.3</v>
      </c>
      <c r="CW198" s="95">
        <f t="shared" si="150"/>
        <v>1425.9</v>
      </c>
      <c r="CX198" s="99">
        <f>'LOB Transfers'!G197</f>
        <v>200927</v>
      </c>
      <c r="CY198" s="99">
        <f>'LOB Transfers'!J197</f>
        <v>571</v>
      </c>
      <c r="CZ198" s="87" t="s">
        <v>390</v>
      </c>
    </row>
    <row r="199" spans="1:104" ht="15" customHeight="1">
      <c r="A199" s="88">
        <v>405</v>
      </c>
      <c r="B199" s="87" t="s">
        <v>76</v>
      </c>
      <c r="C199" s="87" t="s">
        <v>711</v>
      </c>
      <c r="D199" s="95">
        <v>755.8</v>
      </c>
      <c r="E199" s="95">
        <v>0</v>
      </c>
      <c r="F199" s="95">
        <f t="shared" si="117"/>
        <v>755.8</v>
      </c>
      <c r="G199" s="95">
        <v>798.7</v>
      </c>
      <c r="H199" s="95">
        <v>0</v>
      </c>
      <c r="I199" s="95">
        <f t="shared" si="118"/>
        <v>798.7</v>
      </c>
      <c r="J199" s="95">
        <v>750.6</v>
      </c>
      <c r="K199" s="95">
        <v>0</v>
      </c>
      <c r="L199" s="95">
        <f t="shared" si="119"/>
        <v>750.6</v>
      </c>
      <c r="M199" s="95">
        <f>IF(ISNA(VLOOKUP($CZ199,'Audit Values'!$A$2:$BW$365,2,FALSE)),'Preliminary SO66'!C198,VLOOKUP($CZ199,'Audit Values'!$A$2:$BW$365,73,FALSE))</f>
        <v>768.6</v>
      </c>
      <c r="N199" s="95">
        <f>IF(ISNA(VLOOKUP($CZ199,'Audit Values'!$A$2:$BW$365,2,FALSE)),'Preliminary SO66'!F198,VLOOKUP($CZ199,'Audit Values'!$A$2:$BW$365,4,FALSE))</f>
        <v>0</v>
      </c>
      <c r="O199" s="95">
        <f t="shared" si="120"/>
        <v>768.6</v>
      </c>
      <c r="P199" s="95">
        <f>IF('Military Provision'!J200="YES", MAX('2019 Legal Max'!L199,'2019 Legal Max'!I199,AVERAGE('2019 Legal Max'!F199,'2019 Legal Max'!I199,'2019 Legal Max'!L199)), MAX(L199, I199))</f>
        <v>798.7</v>
      </c>
      <c r="Q199" s="95">
        <f>IF(ISNA(VLOOKUP($CZ199,'Audit Values'!$A$2:$BU$353,2,FALSE)),'Preliminary SO66'!AL198,VLOOKUP($CZ199,'Audit Values'!$A$2:$BU$3955,58,FALSE))</f>
        <v>10.5</v>
      </c>
      <c r="R199" s="95">
        <v>0</v>
      </c>
      <c r="S199" s="95">
        <f t="shared" si="116"/>
        <v>809.2</v>
      </c>
      <c r="T199" s="95">
        <f t="shared" si="121"/>
        <v>251.8</v>
      </c>
      <c r="U199" s="95">
        <f>IF(ISNA(VLOOKUP($CZ199,'Audit Values'!$A$2:$BW$317,2,FALSE)),'Preliminary SO66'!AM198,VLOOKUP($CZ199,'Audit Values'!$A$2:$BW$317,62,FALSE))</f>
        <v>447.7</v>
      </c>
      <c r="V199" s="95">
        <f>(U199/6)*'Weighting Factors'!$Q$7</f>
        <v>29.5</v>
      </c>
      <c r="W199" s="132">
        <f>IF(ISNA(VLOOKUP($CZ199,'Audit Values'!$A$2:$BW$353,2,FALSE)),'Preliminary SO66'!AN198,VLOOKUP($CZ199,'Audit Values'!$A$2:$BW$353,61,FALSE))</f>
        <v>159</v>
      </c>
      <c r="X199" s="95">
        <f>W199*'Weighting Factors'!$Q$8</f>
        <v>29.4</v>
      </c>
      <c r="Y199" s="95">
        <f t="shared" si="122"/>
        <v>29.5</v>
      </c>
      <c r="Z199" s="276">
        <f>IF(ISNA(VLOOKUP($CZ199,'Audit Values'!$A$2:$BW$317,2,FALSE)),'Preliminary SO66'!AO198,VLOOKUP($CZ199,'Audit Values'!$A$2:$BW$317,60,FALSE))</f>
        <v>239.8</v>
      </c>
      <c r="AA199" s="95">
        <f>Z199/6*'Weighting Factors'!$Q$6</f>
        <v>20</v>
      </c>
      <c r="AB199" s="99">
        <f>IF(ISNA(VLOOKUP($CZ199,'Audit Values'!$A$2:$BU$353,2,FALSE)),'Preliminary SO66'!AS198,VLOOKUP($CZ199,'Audit Values'!$A$2:$BU$353,63,FALSE))</f>
        <v>805</v>
      </c>
      <c r="AC199" s="99">
        <v>0</v>
      </c>
      <c r="AD199" s="99">
        <f>IF(ISNA(VLOOKUP($CZ199,'Audit Values'!$A$2:$BU$353,2,FALSE)),'Preliminary SO66'!AP198,VLOOKUP($CZ199,'Audit Values'!$A$2:$BU$353,64,FALSE))</f>
        <v>484</v>
      </c>
      <c r="AE199" s="95">
        <f>IF(A199=207, AD199,MAX(AC199,AD199))*'Weighting Factors'!$Q$9</f>
        <v>234.3</v>
      </c>
      <c r="AF199" s="95">
        <f t="shared" si="123"/>
        <v>50.8</v>
      </c>
      <c r="AG199" s="95">
        <f>IF(ISNA(VLOOKUP($CZ199,'Audit Values'!$A$2:$BW$353,2,FALSE)),'Preliminary SO66'!AG198,VLOOKUP($CZ199,'Audit Values'!$A$2:$BW$353,70,FALSE))</f>
        <v>50.8</v>
      </c>
      <c r="AH199" s="95">
        <f t="shared" si="124"/>
        <v>50.8</v>
      </c>
      <c r="AI199" s="95">
        <f>IF(ISNA(VLOOKUP($CZ199,'Audit Values'!$A$2:$BU$353,2,FALSE)),'Preliminary SO66'!AQ198,VLOOKUP($CZ199,'Audit Values'!$A$2:$BU$353,65,FALSE))</f>
        <v>14</v>
      </c>
      <c r="AJ199" s="95">
        <f>AI199*'Weighting Factors'!$Q$10</f>
        <v>3.5</v>
      </c>
      <c r="AK199" s="95">
        <f>IF(ISNA(VLOOKUP($CZ199,'Audit Values'!$A$2:$BU$353,2,FALSE)),'Preliminary SO66'!AR198,VLOOKUP($CZ199,'Audit Values'!$A$2:$BU$353,66,FALSE))</f>
        <v>44</v>
      </c>
      <c r="AL199" s="95"/>
      <c r="AM199" s="99">
        <f t="shared" si="125"/>
        <v>50600</v>
      </c>
      <c r="AN199" s="99">
        <v>52002</v>
      </c>
      <c r="AO199" s="95">
        <f>MAX(AN199, AM199)/'Weighting Factors'!$Q$5</f>
        <v>12.5</v>
      </c>
      <c r="AP199" s="95">
        <f>CN199/'Weighting Factors'!$Q$5</f>
        <v>0</v>
      </c>
      <c r="AQ199" s="95">
        <v>0</v>
      </c>
      <c r="AR199" s="95">
        <f>CS199/'Weighting Factors'!$Q$5</f>
        <v>0</v>
      </c>
      <c r="AS199" s="99">
        <v>824123</v>
      </c>
      <c r="AT199" s="95">
        <f>AS199/'Weighting Factors'!$Q$5</f>
        <v>197.9</v>
      </c>
      <c r="AU199" s="95">
        <f>IF(ISNA(VLOOKUP($CZ199,'Audit Values'!$A$2:$BU$353,2,FALSE)),'Preliminary SO66'!X198,VLOOKUP($CZ199,'Audit Values'!$A$2:$BU$353,47,FALSE))</f>
        <v>0</v>
      </c>
      <c r="AV199" s="95">
        <f t="shared" si="126"/>
        <v>1609.5</v>
      </c>
      <c r="AW199" s="95">
        <f t="shared" si="127"/>
        <v>1411.6</v>
      </c>
      <c r="AX199" s="95">
        <f>IF(ISNA(VLOOKUP($CZ199,'Audit Values'!$A$2:$BU$353,2,FALSE)),'Preliminary SO66'!AA198,VLOOKUP($CZ199,'Audit Values'!$A$2:$BU$353,41,FALSE))</f>
        <v>0</v>
      </c>
      <c r="AY199" s="95">
        <f>IF(ISNA(VLOOKUP($CZ199,'Audit Values'!$A$2:$BU$353,2,FALSE)),'Preliminary SO66'!AB198,VLOOKUP($CZ199,'Audit Values'!$A$2:$BU$353,42,FALSE))</f>
        <v>0</v>
      </c>
      <c r="AZ199" s="114">
        <v>0</v>
      </c>
      <c r="BA199" s="99">
        <f>SUM(AX199*'Weighting Factors'!$T$10)+('2019 Legal Max'!AY199*'Weighting Factors'!$T$11)+('2019 Legal Max'!AZ199*'Weighting Factors'!$T$12)</f>
        <v>0</v>
      </c>
      <c r="BB199" s="158">
        <v>0</v>
      </c>
      <c r="BC199" s="88">
        <f>IF(ISNA(VLOOKUP($CZ199,'Audit Values'!$A$2:$BU$353,2,FALSE)),"",IF(AND('Weighting Factors'!H199&gt;0,VLOOKUP($CZ199,'Audit Values'!$A$2:$BU$353,51,FALSE)&lt;'Weighting Factors'!H199),'Weighting Factors'!H199,VLOOKUP($CZ199,'Audit Values'!$A$2:$BU$353,50,FALSE)))</f>
        <v>25</v>
      </c>
      <c r="BD199" s="88" t="str">
        <f>IF(ISNA(VLOOKUP($CZ199,'Audit Values'!$A$2:$BV$353,2,FALSE)),"",VLOOKUP($CZ199,'Audit Values'!$A$2:$BV$353,51,FALSE))</f>
        <v>A</v>
      </c>
      <c r="BE199" s="88" t="str">
        <f>IF('Weighting Factors'!H199="","",IF('Weighting Factors'!J199="Pending","PX","R"))</f>
        <v/>
      </c>
      <c r="BF199" s="97">
        <f>SUM((S199+T199+Y199+AA199+AE199+AH199+AJ199++AO199+AP199+AQ199+AU199+AR199)*'Weighting Factors'!$Q$5)+'2019 Legal Max'!BA199+'2019 Legal Max'!BB199</f>
        <v>5879314</v>
      </c>
      <c r="BG199" s="99">
        <f>SUM((AV199+AR199)*'Weighting Factors'!$Q$5)+BA199+'2019 Legal Max'!BB199</f>
        <v>6703568</v>
      </c>
      <c r="BH199" s="108">
        <f>IF('Weighting Factors'!H199&gt;0,'Weighting Factors'!H199,'Preliminary SO66'!AV198)</f>
        <v>7038017</v>
      </c>
      <c r="BI199" s="99">
        <f t="shared" si="151"/>
        <v>6703568</v>
      </c>
      <c r="BJ199" s="112"/>
      <c r="BK199" s="112">
        <f>'Weighting Factors'!F199</f>
        <v>0</v>
      </c>
      <c r="BL199" s="112">
        <f>'Weighting Factors'!E199</f>
        <v>0</v>
      </c>
      <c r="BM199" s="99">
        <f t="shared" si="128"/>
        <v>0</v>
      </c>
      <c r="BN199" s="99">
        <f t="shared" si="129"/>
        <v>6703568</v>
      </c>
      <c r="BO199" s="99">
        <f>SUM((S199+T199+Y199+AA199+AE199+AH199+AJ199++AO199+AP199+AQ199+AR199)*'Weighting Factors'!Q$12)+(MAX(AS199,'Weighting Factors'!B199))</f>
        <v>7183171</v>
      </c>
      <c r="BP199" s="122">
        <v>0.3</v>
      </c>
      <c r="BQ199" s="99">
        <f t="shared" si="130"/>
        <v>2154951</v>
      </c>
      <c r="BR199" s="108">
        <v>1882239</v>
      </c>
      <c r="BS199" s="99">
        <f t="shared" si="131"/>
        <v>1882239</v>
      </c>
      <c r="BT199" s="167">
        <f t="shared" si="132"/>
        <v>0.26200000000000001</v>
      </c>
      <c r="BU199" s="95">
        <f t="shared" si="133"/>
        <v>0</v>
      </c>
      <c r="BV199" s="87" t="b">
        <f t="shared" si="134"/>
        <v>0</v>
      </c>
      <c r="BW199" s="117">
        <f t="shared" si="135"/>
        <v>0</v>
      </c>
      <c r="BX199" s="116">
        <f t="shared" si="136"/>
        <v>0</v>
      </c>
      <c r="BY199" s="95">
        <f t="shared" si="137"/>
        <v>0</v>
      </c>
      <c r="BZ199" s="87" t="b">
        <f t="shared" si="138"/>
        <v>1</v>
      </c>
      <c r="CA199" s="87">
        <f t="shared" si="139"/>
        <v>630.13499999999999</v>
      </c>
      <c r="CB199" s="116">
        <f t="shared" si="140"/>
        <v>0.31118600000000002</v>
      </c>
      <c r="CC199" s="95">
        <f t="shared" si="141"/>
        <v>251.8</v>
      </c>
      <c r="CD199" s="95">
        <f t="shared" si="142"/>
        <v>0</v>
      </c>
      <c r="CE199" s="98">
        <v>116</v>
      </c>
      <c r="CF199" s="250">
        <f t="shared" si="143"/>
        <v>0.379</v>
      </c>
      <c r="CG199" s="274">
        <f>IF(CF199&lt;0.06,1,IF(CF199&gt;=18.29,52,MATCH(CF199-0.001,'Weighting Factors'!$Y$5:$Y$156)+1))</f>
        <v>22</v>
      </c>
      <c r="CH199" s="243">
        <f>VLOOKUP(CG199, 'Weighting Factors'!$W$5:$Z$56,4)</f>
        <v>1150</v>
      </c>
      <c r="CI199" s="118">
        <f>('Weighting Factors'!$Q$5/'Weighting Factors'!$Q$14)</f>
        <v>1</v>
      </c>
      <c r="CJ199" s="245">
        <f t="shared" si="144"/>
        <v>50600</v>
      </c>
      <c r="CK199" s="245">
        <f>CJ199*'Weighting Factors'!$S$7</f>
        <v>50600</v>
      </c>
      <c r="CL199" s="245">
        <f t="shared" si="145"/>
        <v>50600</v>
      </c>
      <c r="CM199" s="95">
        <f>AM199/'Weighting Factors'!$Q$5</f>
        <v>12.1</v>
      </c>
      <c r="CN199" s="148">
        <v>0</v>
      </c>
      <c r="CO199" s="148">
        <v>0</v>
      </c>
      <c r="CP199" s="149">
        <v>0</v>
      </c>
      <c r="CQ199" s="151">
        <v>0</v>
      </c>
      <c r="CR199" s="99">
        <f>SUM((AV199*'Weighting Factors'!$Q$5)+'2019 Legal Max'!BA199)*CQ199</f>
        <v>0</v>
      </c>
      <c r="CS199" s="99">
        <f t="shared" si="146"/>
        <v>0</v>
      </c>
      <c r="CT199" s="106">
        <f t="shared" si="147"/>
        <v>0.60119999999999996</v>
      </c>
      <c r="CU199" s="95">
        <f t="shared" si="148"/>
        <v>50.8</v>
      </c>
      <c r="CV199" s="95">
        <f t="shared" si="149"/>
        <v>0</v>
      </c>
      <c r="CW199" s="95">
        <f t="shared" si="150"/>
        <v>1609.5</v>
      </c>
      <c r="CX199" s="99">
        <f>'LOB Transfers'!G198</f>
        <v>275748</v>
      </c>
      <c r="CY199" s="99">
        <f>'LOB Transfers'!J198</f>
        <v>34633</v>
      </c>
      <c r="CZ199" s="87" t="s">
        <v>391</v>
      </c>
    </row>
    <row r="200" spans="1:104" ht="15" customHeight="1">
      <c r="A200" s="88">
        <v>407</v>
      </c>
      <c r="B200" s="87" t="s">
        <v>90</v>
      </c>
      <c r="C200" s="87" t="s">
        <v>712</v>
      </c>
      <c r="D200" s="95">
        <v>792.5</v>
      </c>
      <c r="E200" s="95">
        <v>0</v>
      </c>
      <c r="F200" s="95">
        <f t="shared" si="117"/>
        <v>792.5</v>
      </c>
      <c r="G200" s="95">
        <v>830.1</v>
      </c>
      <c r="H200" s="95">
        <v>0</v>
      </c>
      <c r="I200" s="95">
        <f t="shared" si="118"/>
        <v>830.1</v>
      </c>
      <c r="J200" s="95">
        <v>846.5</v>
      </c>
      <c r="K200" s="95">
        <v>0</v>
      </c>
      <c r="L200" s="95">
        <f t="shared" si="119"/>
        <v>846.5</v>
      </c>
      <c r="M200" s="95">
        <f>IF(ISNA(VLOOKUP($CZ200,'Audit Values'!$A$2:$BW$365,2,FALSE)),'Preliminary SO66'!C199,VLOOKUP($CZ200,'Audit Values'!$A$2:$BW$365,73,FALSE))</f>
        <v>852</v>
      </c>
      <c r="N200" s="95">
        <f>IF(ISNA(VLOOKUP($CZ200,'Audit Values'!$A$2:$BW$365,2,FALSE)),'Preliminary SO66'!F199,VLOOKUP($CZ200,'Audit Values'!$A$2:$BW$365,4,FALSE))</f>
        <v>0</v>
      </c>
      <c r="O200" s="95">
        <f t="shared" si="120"/>
        <v>852</v>
      </c>
      <c r="P200" s="95">
        <f>IF('Military Provision'!J201="YES", MAX('2019 Legal Max'!L200,'2019 Legal Max'!I200,AVERAGE('2019 Legal Max'!F200,'2019 Legal Max'!I200,'2019 Legal Max'!L200)), MAX(L200, I200))</f>
        <v>846.5</v>
      </c>
      <c r="Q200" s="95">
        <f>IF(ISNA(VLOOKUP($CZ200,'Audit Values'!$A$2:$BU$353,2,FALSE)),'Preliminary SO66'!AL199,VLOOKUP($CZ200,'Audit Values'!$A$2:$BU$3955,58,FALSE))</f>
        <v>0</v>
      </c>
      <c r="R200" s="95">
        <v>0</v>
      </c>
      <c r="S200" s="95">
        <f t="shared" si="116"/>
        <v>846.5</v>
      </c>
      <c r="T200" s="95">
        <f t="shared" si="121"/>
        <v>252.7</v>
      </c>
      <c r="U200" s="95">
        <f>IF(ISNA(VLOOKUP($CZ200,'Audit Values'!$A$2:$BW$317,2,FALSE)),'Preliminary SO66'!AM199,VLOOKUP($CZ200,'Audit Values'!$A$2:$BW$317,62,FALSE))</f>
        <v>0</v>
      </c>
      <c r="V200" s="95">
        <f>(U200/6)*'Weighting Factors'!$Q$7</f>
        <v>0</v>
      </c>
      <c r="W200" s="132">
        <f>IF(ISNA(VLOOKUP($CZ200,'Audit Values'!$A$2:$BW$353,2,FALSE)),'Preliminary SO66'!AN199,VLOOKUP($CZ200,'Audit Values'!$A$2:$BW$353,61,FALSE))</f>
        <v>4</v>
      </c>
      <c r="X200" s="95">
        <f>W200*'Weighting Factors'!$Q$8</f>
        <v>0.7</v>
      </c>
      <c r="Y200" s="95">
        <f t="shared" si="122"/>
        <v>0.7</v>
      </c>
      <c r="Z200" s="276">
        <f>IF(ISNA(VLOOKUP($CZ200,'Audit Values'!$A$2:$BW$317,2,FALSE)),'Preliminary SO66'!AO199,VLOOKUP($CZ200,'Audit Values'!$A$2:$BW$317,60,FALSE))</f>
        <v>197.2</v>
      </c>
      <c r="AA200" s="95">
        <f>Z200/6*'Weighting Factors'!$Q$6</f>
        <v>16.399999999999999</v>
      </c>
      <c r="AB200" s="99">
        <f>IF(ISNA(VLOOKUP($CZ200,'Audit Values'!$A$2:$BU$353,2,FALSE)),'Preliminary SO66'!AS199,VLOOKUP($CZ200,'Audit Values'!$A$2:$BU$353,63,FALSE))</f>
        <v>857</v>
      </c>
      <c r="AC200" s="99">
        <v>0</v>
      </c>
      <c r="AD200" s="99">
        <f>IF(ISNA(VLOOKUP($CZ200,'Audit Values'!$A$2:$BU$353,2,FALSE)),'Preliminary SO66'!AP199,VLOOKUP($CZ200,'Audit Values'!$A$2:$BU$353,64,FALSE))</f>
        <v>379</v>
      </c>
      <c r="AE200" s="95">
        <f>IF(A200=207, AD200,MAX(AC200,AD200))*'Weighting Factors'!$Q$9</f>
        <v>183.4</v>
      </c>
      <c r="AF200" s="95">
        <f t="shared" si="123"/>
        <v>24.5</v>
      </c>
      <c r="AG200" s="95">
        <f>IF(ISNA(VLOOKUP($CZ200,'Audit Values'!$A$2:$BW$353,2,FALSE)),'Preliminary SO66'!AG199,VLOOKUP($CZ200,'Audit Values'!$A$2:$BW$353,70,FALSE))</f>
        <v>25.3</v>
      </c>
      <c r="AH200" s="95">
        <f t="shared" si="124"/>
        <v>25.3</v>
      </c>
      <c r="AI200" s="95">
        <f>IF(ISNA(VLOOKUP($CZ200,'Audit Values'!$A$2:$BU$353,2,FALSE)),'Preliminary SO66'!AQ199,VLOOKUP($CZ200,'Audit Values'!$A$2:$BU$353,65,FALSE))</f>
        <v>0</v>
      </c>
      <c r="AJ200" s="95">
        <f>AI200*'Weighting Factors'!$Q$10</f>
        <v>0</v>
      </c>
      <c r="AK200" s="95">
        <f>IF(ISNA(VLOOKUP($CZ200,'Audit Values'!$A$2:$BU$353,2,FALSE)),'Preliminary SO66'!AR199,VLOOKUP($CZ200,'Audit Values'!$A$2:$BU$353,66,FALSE))</f>
        <v>121</v>
      </c>
      <c r="AL200" s="95"/>
      <c r="AM200" s="99">
        <f t="shared" si="125"/>
        <v>148830</v>
      </c>
      <c r="AN200" s="99">
        <v>161784</v>
      </c>
      <c r="AO200" s="95">
        <f>MAX(AN200, AM200)/'Weighting Factors'!$Q$5</f>
        <v>38.799999999999997</v>
      </c>
      <c r="AP200" s="95">
        <f>CN200/'Weighting Factors'!$Q$5</f>
        <v>0</v>
      </c>
      <c r="AQ200" s="95">
        <v>0</v>
      </c>
      <c r="AR200" s="95">
        <f>CS200/'Weighting Factors'!$Q$5</f>
        <v>0</v>
      </c>
      <c r="AS200" s="99">
        <v>758987</v>
      </c>
      <c r="AT200" s="95">
        <f>AS200/'Weighting Factors'!$Q$5</f>
        <v>182.2</v>
      </c>
      <c r="AU200" s="95">
        <f>IF(ISNA(VLOOKUP($CZ200,'Audit Values'!$A$2:$BU$353,2,FALSE)),'Preliminary SO66'!X199,VLOOKUP($CZ200,'Audit Values'!$A$2:$BU$353,47,FALSE))</f>
        <v>0</v>
      </c>
      <c r="AV200" s="95">
        <f t="shared" si="126"/>
        <v>1546</v>
      </c>
      <c r="AW200" s="95">
        <f t="shared" si="127"/>
        <v>1363.8</v>
      </c>
      <c r="AX200" s="95">
        <f>IF(ISNA(VLOOKUP($CZ200,'Audit Values'!$A$2:$BU$353,2,FALSE)),'Preliminary SO66'!AA199,VLOOKUP($CZ200,'Audit Values'!$A$2:$BU$353,41,FALSE))</f>
        <v>0</v>
      </c>
      <c r="AY200" s="95">
        <f>IF(ISNA(VLOOKUP($CZ200,'Audit Values'!$A$2:$BU$353,2,FALSE)),'Preliminary SO66'!AB199,VLOOKUP($CZ200,'Audit Values'!$A$2:$BU$353,42,FALSE))</f>
        <v>0</v>
      </c>
      <c r="AZ200" s="114">
        <v>0</v>
      </c>
      <c r="BA200" s="99">
        <f>SUM(AX200*'Weighting Factors'!$T$10)+('2019 Legal Max'!AY200*'Weighting Factors'!$T$11)+('2019 Legal Max'!AZ200*'Weighting Factors'!$T$12)</f>
        <v>0</v>
      </c>
      <c r="BB200" s="158">
        <v>0</v>
      </c>
      <c r="BC200" s="88">
        <f>IF(ISNA(VLOOKUP($CZ200,'Audit Values'!$A$2:$BU$353,2,FALSE)),"",IF(AND('Weighting Factors'!H200&gt;0,VLOOKUP($CZ200,'Audit Values'!$A$2:$BU$353,51,FALSE)&lt;'Weighting Factors'!H200),'Weighting Factors'!H200,VLOOKUP($CZ200,'Audit Values'!$A$2:$BU$353,50,FALSE)))</f>
        <v>21</v>
      </c>
      <c r="BD200" s="88" t="str">
        <f>IF(ISNA(VLOOKUP($CZ200,'Audit Values'!$A$2:$BV$353,2,FALSE)),"",VLOOKUP($CZ200,'Audit Values'!$A$2:$BV$353,51,FALSE))</f>
        <v>A</v>
      </c>
      <c r="BE200" s="88" t="str">
        <f>IF('Weighting Factors'!H200="","",IF('Weighting Factors'!J200="Pending","PX","R"))</f>
        <v/>
      </c>
      <c r="BF200" s="97">
        <f>SUM((S200+T200+Y200+AA200+AE200+AH200+AJ200++AO200+AP200+AQ200+AU200+AR200)*'Weighting Factors'!$Q$5)+'2019 Legal Max'!BA200+'2019 Legal Max'!BB200</f>
        <v>5680227</v>
      </c>
      <c r="BG200" s="99">
        <f>SUM((AV200+AR200)*'Weighting Factors'!$Q$5)+BA200+'2019 Legal Max'!BB200</f>
        <v>6439090</v>
      </c>
      <c r="BH200" s="108">
        <f>IF('Weighting Factors'!H200&gt;0,'Weighting Factors'!H200,'Preliminary SO66'!AV199)</f>
        <v>6550296</v>
      </c>
      <c r="BI200" s="99">
        <f t="shared" si="151"/>
        <v>6439090</v>
      </c>
      <c r="BJ200" s="112"/>
      <c r="BK200" s="112">
        <f>'Weighting Factors'!F200</f>
        <v>0</v>
      </c>
      <c r="BL200" s="112">
        <f>'Weighting Factors'!E200</f>
        <v>0</v>
      </c>
      <c r="BM200" s="99">
        <f t="shared" si="128"/>
        <v>0</v>
      </c>
      <c r="BN200" s="99">
        <f t="shared" si="129"/>
        <v>6439090</v>
      </c>
      <c r="BO200" s="99">
        <f>SUM((S200+T200+Y200+AA200+AE200+AH200+AJ200++AO200+AP200+AQ200+AR200)*'Weighting Factors'!Q$12)+(MAX(AS200,'Weighting Factors'!B200))</f>
        <v>6956593</v>
      </c>
      <c r="BP200" s="122">
        <v>0.33</v>
      </c>
      <c r="BQ200" s="99">
        <f t="shared" si="130"/>
        <v>2295676</v>
      </c>
      <c r="BR200" s="108">
        <v>2306986</v>
      </c>
      <c r="BS200" s="99">
        <f t="shared" si="131"/>
        <v>2295676</v>
      </c>
      <c r="BT200" s="167">
        <f t="shared" si="132"/>
        <v>0.33</v>
      </c>
      <c r="BU200" s="95">
        <f t="shared" si="133"/>
        <v>0</v>
      </c>
      <c r="BV200" s="87" t="b">
        <f t="shared" si="134"/>
        <v>0</v>
      </c>
      <c r="BW200" s="117">
        <f t="shared" si="135"/>
        <v>0</v>
      </c>
      <c r="BX200" s="116">
        <f t="shared" si="136"/>
        <v>0</v>
      </c>
      <c r="BY200" s="95">
        <f t="shared" si="137"/>
        <v>0</v>
      </c>
      <c r="BZ200" s="87" t="b">
        <f t="shared" si="138"/>
        <v>1</v>
      </c>
      <c r="CA200" s="87">
        <f t="shared" si="139"/>
        <v>676.29380000000003</v>
      </c>
      <c r="CB200" s="116">
        <f t="shared" si="140"/>
        <v>0.298514</v>
      </c>
      <c r="CC200" s="95">
        <f t="shared" si="141"/>
        <v>252.7</v>
      </c>
      <c r="CD200" s="95">
        <f t="shared" si="142"/>
        <v>0</v>
      </c>
      <c r="CE200" s="98">
        <v>489</v>
      </c>
      <c r="CF200" s="250">
        <f t="shared" si="143"/>
        <v>0.247</v>
      </c>
      <c r="CG200" s="274">
        <f>IF(CF200&lt;0.06,1,IF(CF200&gt;=18.29,52,MATCH(CF200-0.001,'Weighting Factors'!$Y$5:$Y$156)+1))</f>
        <v>18</v>
      </c>
      <c r="CH200" s="243">
        <f>VLOOKUP(CG200, 'Weighting Factors'!$W$5:$Z$56,4)</f>
        <v>1230</v>
      </c>
      <c r="CI200" s="118">
        <f>('Weighting Factors'!$Q$5/'Weighting Factors'!$Q$14)</f>
        <v>1</v>
      </c>
      <c r="CJ200" s="245">
        <f t="shared" si="144"/>
        <v>148830</v>
      </c>
      <c r="CK200" s="245">
        <f>CJ200*'Weighting Factors'!$S$7</f>
        <v>148830</v>
      </c>
      <c r="CL200" s="245">
        <f t="shared" si="145"/>
        <v>148830</v>
      </c>
      <c r="CM200" s="95">
        <f>AM200/'Weighting Factors'!$Q$5</f>
        <v>35.700000000000003</v>
      </c>
      <c r="CN200" s="148">
        <v>0</v>
      </c>
      <c r="CO200" s="148">
        <v>0</v>
      </c>
      <c r="CP200" s="149">
        <v>0</v>
      </c>
      <c r="CQ200" s="151">
        <v>0</v>
      </c>
      <c r="CR200" s="99">
        <f>SUM((AV200*'Weighting Factors'!$Q$5)+'2019 Legal Max'!BA200)*CQ200</f>
        <v>0</v>
      </c>
      <c r="CS200" s="99">
        <f t="shared" si="146"/>
        <v>0</v>
      </c>
      <c r="CT200" s="106">
        <f t="shared" si="147"/>
        <v>0.44219999999999998</v>
      </c>
      <c r="CU200" s="95">
        <f t="shared" si="148"/>
        <v>0</v>
      </c>
      <c r="CV200" s="95">
        <f t="shared" si="149"/>
        <v>24.5</v>
      </c>
      <c r="CW200" s="95">
        <f t="shared" si="150"/>
        <v>1546</v>
      </c>
      <c r="CX200" s="99">
        <f>'LOB Transfers'!G199</f>
        <v>272267</v>
      </c>
      <c r="CY200" s="99">
        <f>'LOB Transfers'!J199</f>
        <v>1148</v>
      </c>
      <c r="CZ200" s="87" t="s">
        <v>392</v>
      </c>
    </row>
    <row r="201" spans="1:104" ht="15" customHeight="1">
      <c r="A201" s="88">
        <v>408</v>
      </c>
      <c r="B201" s="87" t="s">
        <v>89</v>
      </c>
      <c r="C201" s="87" t="s">
        <v>713</v>
      </c>
      <c r="D201" s="95">
        <v>498</v>
      </c>
      <c r="E201" s="95">
        <v>0</v>
      </c>
      <c r="F201" s="95">
        <f t="shared" si="117"/>
        <v>498</v>
      </c>
      <c r="G201" s="95">
        <v>502.5</v>
      </c>
      <c r="H201" s="95">
        <v>0</v>
      </c>
      <c r="I201" s="95">
        <f t="shared" si="118"/>
        <v>502.5</v>
      </c>
      <c r="J201" s="95">
        <v>501</v>
      </c>
      <c r="K201" s="95">
        <v>0</v>
      </c>
      <c r="L201" s="95">
        <f t="shared" si="119"/>
        <v>501</v>
      </c>
      <c r="M201" s="95">
        <f>IF(ISNA(VLOOKUP($CZ201,'Audit Values'!$A$2:$BW$365,2,FALSE)),'Preliminary SO66'!C200,VLOOKUP($CZ201,'Audit Values'!$A$2:$BW$365,73,FALSE))</f>
        <v>488</v>
      </c>
      <c r="N201" s="95">
        <f>IF(ISNA(VLOOKUP($CZ201,'Audit Values'!$A$2:$BW$365,2,FALSE)),'Preliminary SO66'!F200,VLOOKUP($CZ201,'Audit Values'!$A$2:$BW$365,4,FALSE))</f>
        <v>0</v>
      </c>
      <c r="O201" s="95">
        <f t="shared" si="120"/>
        <v>488</v>
      </c>
      <c r="P201" s="95">
        <f>IF('Military Provision'!J202="YES", MAX('2019 Legal Max'!L201,'2019 Legal Max'!I201,AVERAGE('2019 Legal Max'!F201,'2019 Legal Max'!I201,'2019 Legal Max'!L201)), MAX(L201, I201))</f>
        <v>502.5</v>
      </c>
      <c r="Q201" s="95">
        <f>IF(ISNA(VLOOKUP($CZ201,'Audit Values'!$A$2:$BU$353,2,FALSE)),'Preliminary SO66'!AL200,VLOOKUP($CZ201,'Audit Values'!$A$2:$BU$3955,58,FALSE))</f>
        <v>0</v>
      </c>
      <c r="R201" s="95">
        <v>0</v>
      </c>
      <c r="S201" s="95">
        <f t="shared" si="116"/>
        <v>502.5</v>
      </c>
      <c r="T201" s="95">
        <f t="shared" si="121"/>
        <v>208.7</v>
      </c>
      <c r="U201" s="95">
        <f>IF(ISNA(VLOOKUP($CZ201,'Audit Values'!$A$2:$BW$317,2,FALSE)),'Preliminary SO66'!AM200,VLOOKUP($CZ201,'Audit Values'!$A$2:$BW$317,62,FALSE))</f>
        <v>0</v>
      </c>
      <c r="V201" s="95">
        <f>(U201/6)*'Weighting Factors'!$Q$7</f>
        <v>0</v>
      </c>
      <c r="W201" s="132">
        <f>IF(ISNA(VLOOKUP($CZ201,'Audit Values'!$A$2:$BW$353,2,FALSE)),'Preliminary SO66'!AN200,VLOOKUP($CZ201,'Audit Values'!$A$2:$BW$353,61,FALSE))</f>
        <v>0</v>
      </c>
      <c r="X201" s="95">
        <f>W201*'Weighting Factors'!$Q$8</f>
        <v>0</v>
      </c>
      <c r="Y201" s="95">
        <f t="shared" si="122"/>
        <v>0</v>
      </c>
      <c r="Z201" s="276">
        <f>IF(ISNA(VLOOKUP($CZ201,'Audit Values'!$A$2:$BW$317,2,FALSE)),'Preliminary SO66'!AO200,VLOOKUP($CZ201,'Audit Values'!$A$2:$BW$317,60,FALSE))</f>
        <v>193.8</v>
      </c>
      <c r="AA201" s="95">
        <f>Z201/6*'Weighting Factors'!$Q$6</f>
        <v>16.2</v>
      </c>
      <c r="AB201" s="99">
        <f>IF(ISNA(VLOOKUP($CZ201,'Audit Values'!$A$2:$BU$353,2,FALSE)),'Preliminary SO66'!AS200,VLOOKUP($CZ201,'Audit Values'!$A$2:$BU$353,63,FALSE))</f>
        <v>488</v>
      </c>
      <c r="AC201" s="99">
        <v>0</v>
      </c>
      <c r="AD201" s="99">
        <f>IF(ISNA(VLOOKUP($CZ201,'Audit Values'!$A$2:$BU$353,2,FALSE)),'Preliminary SO66'!AP200,VLOOKUP($CZ201,'Audit Values'!$A$2:$BU$353,64,FALSE))</f>
        <v>157</v>
      </c>
      <c r="AE201" s="95">
        <f>IF(A201=207, AD201,MAX(AC201,AD201))*'Weighting Factors'!$Q$9</f>
        <v>76</v>
      </c>
      <c r="AF201" s="95">
        <f t="shared" si="123"/>
        <v>0</v>
      </c>
      <c r="AG201" s="95">
        <f>IF(ISNA(VLOOKUP($CZ201,'Audit Values'!$A$2:$BW$353,2,FALSE)),'Preliminary SO66'!AG200,VLOOKUP($CZ201,'Audit Values'!$A$2:$BW$353,70,FALSE))</f>
        <v>0</v>
      </c>
      <c r="AH201" s="95">
        <f t="shared" si="124"/>
        <v>0</v>
      </c>
      <c r="AI201" s="95">
        <f>IF(ISNA(VLOOKUP($CZ201,'Audit Values'!$A$2:$BU$353,2,FALSE)),'Preliminary SO66'!AQ200,VLOOKUP($CZ201,'Audit Values'!$A$2:$BU$353,65,FALSE))</f>
        <v>0</v>
      </c>
      <c r="AJ201" s="95">
        <f>AI201*'Weighting Factors'!$Q$10</f>
        <v>0</v>
      </c>
      <c r="AK201" s="95">
        <f>IF(ISNA(VLOOKUP($CZ201,'Audit Values'!$A$2:$BU$353,2,FALSE)),'Preliminary SO66'!AR200,VLOOKUP($CZ201,'Audit Values'!$A$2:$BU$353,66,FALSE))</f>
        <v>172</v>
      </c>
      <c r="AL201" s="95"/>
      <c r="AM201" s="99">
        <f t="shared" si="125"/>
        <v>173720</v>
      </c>
      <c r="AN201" s="99">
        <v>156391</v>
      </c>
      <c r="AO201" s="95">
        <f>MAX(AN201, AM201)/'Weighting Factors'!$Q$5</f>
        <v>41.7</v>
      </c>
      <c r="AP201" s="95">
        <f>CN201/'Weighting Factors'!$Q$5</f>
        <v>0</v>
      </c>
      <c r="AQ201" s="95">
        <v>0</v>
      </c>
      <c r="AR201" s="95">
        <f>CS201/'Weighting Factors'!$Q$5</f>
        <v>0</v>
      </c>
      <c r="AS201" s="99">
        <v>754544</v>
      </c>
      <c r="AT201" s="95">
        <f>AS201/'Weighting Factors'!$Q$5</f>
        <v>181.2</v>
      </c>
      <c r="AU201" s="95">
        <f>IF(ISNA(VLOOKUP($CZ201,'Audit Values'!$A$2:$BU$353,2,FALSE)),'Preliminary SO66'!X200,VLOOKUP($CZ201,'Audit Values'!$A$2:$BU$353,47,FALSE))</f>
        <v>2</v>
      </c>
      <c r="AV201" s="95">
        <f t="shared" si="126"/>
        <v>1028.3</v>
      </c>
      <c r="AW201" s="95">
        <f t="shared" si="127"/>
        <v>847.1</v>
      </c>
      <c r="AX201" s="95">
        <f>IF(ISNA(VLOOKUP($CZ201,'Audit Values'!$A$2:$BU$353,2,FALSE)),'Preliminary SO66'!AA200,VLOOKUP($CZ201,'Audit Values'!$A$2:$BU$353,41,FALSE))</f>
        <v>4</v>
      </c>
      <c r="AY201" s="95">
        <f>IF(ISNA(VLOOKUP($CZ201,'Audit Values'!$A$2:$BU$353,2,FALSE)),'Preliminary SO66'!AB200,VLOOKUP($CZ201,'Audit Values'!$A$2:$BU$353,42,FALSE))</f>
        <v>0</v>
      </c>
      <c r="AZ201" s="114">
        <v>6</v>
      </c>
      <c r="BA201" s="99">
        <f>SUM(AX201*'Weighting Factors'!$T$10)+('2019 Legal Max'!AY201*'Weighting Factors'!$T$11)+('2019 Legal Max'!AZ201*'Weighting Factors'!$T$12)</f>
        <v>24254</v>
      </c>
      <c r="BB201" s="158">
        <v>0</v>
      </c>
      <c r="BC201" s="88">
        <f>IF(ISNA(VLOOKUP($CZ201,'Audit Values'!$A$2:$BU$353,2,FALSE)),"",IF(AND('Weighting Factors'!H201&gt;0,VLOOKUP($CZ201,'Audit Values'!$A$2:$BU$353,51,FALSE)&lt;'Weighting Factors'!H201),'Weighting Factors'!H201,VLOOKUP($CZ201,'Audit Values'!$A$2:$BU$353,50,FALSE)))</f>
        <v>19</v>
      </c>
      <c r="BD201" s="88" t="str">
        <f>IF(ISNA(VLOOKUP($CZ201,'Audit Values'!$A$2:$BV$353,2,FALSE)),"",VLOOKUP($CZ201,'Audit Values'!$A$2:$BV$353,51,FALSE))</f>
        <v>A</v>
      </c>
      <c r="BE201" s="88" t="str">
        <f>IF('Weighting Factors'!H201="","",IF('Weighting Factors'!J201="Pending","PX","R"))</f>
        <v/>
      </c>
      <c r="BF201" s="97">
        <f>SUM((S201+T201+Y201+AA201+AE201+AH201+AJ201++AO201+AP201+AQ201+AU201+AR201)*'Weighting Factors'!$Q$5)+'2019 Legal Max'!BA201+'2019 Legal Max'!BB201</f>
        <v>3552426</v>
      </c>
      <c r="BG201" s="99">
        <f>SUM((AV201+AR201)*'Weighting Factors'!$Q$5)+BA201+'2019 Legal Max'!BB201</f>
        <v>4307124</v>
      </c>
      <c r="BH201" s="108">
        <f>IF('Weighting Factors'!H201&gt;0,'Weighting Factors'!H201,'Preliminary SO66'!AV200)</f>
        <v>4499485</v>
      </c>
      <c r="BI201" s="99">
        <f t="shared" si="151"/>
        <v>4307124</v>
      </c>
      <c r="BJ201" s="112"/>
      <c r="BK201" s="112">
        <f>'Weighting Factors'!F201</f>
        <v>-106</v>
      </c>
      <c r="BL201" s="112">
        <f>'Weighting Factors'!E201</f>
        <v>0</v>
      </c>
      <c r="BM201" s="99">
        <f t="shared" si="128"/>
        <v>-106</v>
      </c>
      <c r="BN201" s="99">
        <f t="shared" si="129"/>
        <v>4307018</v>
      </c>
      <c r="BO201" s="99">
        <f>SUM((S201+T201+Y201+AA201+AE201+AH201+AJ201++AO201+AP201+AQ201+AR201)*'Weighting Factors'!Q$12)+(MAX(AS201,'Weighting Factors'!B201))</f>
        <v>4549043</v>
      </c>
      <c r="BP201" s="122">
        <v>0.3</v>
      </c>
      <c r="BQ201" s="99">
        <f t="shared" si="130"/>
        <v>1364713</v>
      </c>
      <c r="BR201" s="108">
        <v>1414359</v>
      </c>
      <c r="BS201" s="99">
        <f t="shared" si="131"/>
        <v>1364713</v>
      </c>
      <c r="BT201" s="167">
        <f t="shared" si="132"/>
        <v>0.3</v>
      </c>
      <c r="BU201" s="95">
        <f t="shared" si="133"/>
        <v>0</v>
      </c>
      <c r="BV201" s="87" t="b">
        <f t="shared" si="134"/>
        <v>0</v>
      </c>
      <c r="BW201" s="117">
        <f t="shared" si="135"/>
        <v>0</v>
      </c>
      <c r="BX201" s="116">
        <f t="shared" si="136"/>
        <v>0</v>
      </c>
      <c r="BY201" s="95">
        <f t="shared" si="137"/>
        <v>0</v>
      </c>
      <c r="BZ201" s="87" t="b">
        <f t="shared" si="138"/>
        <v>1</v>
      </c>
      <c r="CA201" s="87">
        <f t="shared" si="139"/>
        <v>250.59379999999999</v>
      </c>
      <c r="CB201" s="116">
        <f t="shared" si="140"/>
        <v>0.41538700000000001</v>
      </c>
      <c r="CC201" s="95">
        <f t="shared" si="141"/>
        <v>208.7</v>
      </c>
      <c r="CD201" s="95">
        <f t="shared" si="142"/>
        <v>0</v>
      </c>
      <c r="CE201" s="98">
        <v>237</v>
      </c>
      <c r="CF201" s="250">
        <f t="shared" si="143"/>
        <v>0.72599999999999998</v>
      </c>
      <c r="CG201" s="274">
        <f>IF(CF201&lt;0.06,1,IF(CF201&gt;=18.29,52,MATCH(CF201-0.001,'Weighting Factors'!$Y$5:$Y$156)+1))</f>
        <v>29</v>
      </c>
      <c r="CH201" s="243">
        <f>VLOOKUP(CG201, 'Weighting Factors'!$W$5:$Z$56,4)</f>
        <v>1010</v>
      </c>
      <c r="CI201" s="118">
        <f>('Weighting Factors'!$Q$5/'Weighting Factors'!$Q$14)</f>
        <v>1</v>
      </c>
      <c r="CJ201" s="245">
        <f t="shared" si="144"/>
        <v>173720</v>
      </c>
      <c r="CK201" s="245">
        <f>CJ201*'Weighting Factors'!$S$7</f>
        <v>173720</v>
      </c>
      <c r="CL201" s="245">
        <f t="shared" si="145"/>
        <v>173720</v>
      </c>
      <c r="CM201" s="95">
        <f>AM201/'Weighting Factors'!$Q$5</f>
        <v>41.7</v>
      </c>
      <c r="CN201" s="148">
        <v>0</v>
      </c>
      <c r="CO201" s="148">
        <v>0</v>
      </c>
      <c r="CP201" s="149">
        <v>0</v>
      </c>
      <c r="CQ201" s="151">
        <v>0</v>
      </c>
      <c r="CR201" s="99">
        <f>SUM((AV201*'Weighting Factors'!$Q$5)+'2019 Legal Max'!BA201)*CQ201</f>
        <v>0</v>
      </c>
      <c r="CS201" s="99">
        <f t="shared" si="146"/>
        <v>0</v>
      </c>
      <c r="CT201" s="106">
        <f t="shared" si="147"/>
        <v>0.32169999999999999</v>
      </c>
      <c r="CU201" s="95">
        <f t="shared" si="148"/>
        <v>0</v>
      </c>
      <c r="CV201" s="95">
        <f t="shared" si="149"/>
        <v>0</v>
      </c>
      <c r="CW201" s="95">
        <f t="shared" si="150"/>
        <v>1028.3</v>
      </c>
      <c r="CX201" s="99">
        <f>'LOB Transfers'!G200</f>
        <v>101125</v>
      </c>
      <c r="CY201" s="99">
        <f>'LOB Transfers'!J200</f>
        <v>0</v>
      </c>
      <c r="CZ201" s="87" t="s">
        <v>393</v>
      </c>
    </row>
    <row r="202" spans="1:104" ht="15" customHeight="1">
      <c r="A202" s="88">
        <v>409</v>
      </c>
      <c r="B202" s="87" t="s">
        <v>77</v>
      </c>
      <c r="C202" s="87" t="s">
        <v>714</v>
      </c>
      <c r="D202" s="95">
        <v>1606.3</v>
      </c>
      <c r="E202" s="95">
        <v>0</v>
      </c>
      <c r="F202" s="95">
        <f t="shared" si="117"/>
        <v>1606.3</v>
      </c>
      <c r="G202" s="95">
        <v>1684.5</v>
      </c>
      <c r="H202" s="95">
        <v>0</v>
      </c>
      <c r="I202" s="95">
        <f t="shared" si="118"/>
        <v>1684.5</v>
      </c>
      <c r="J202" s="95">
        <v>1671.3</v>
      </c>
      <c r="K202" s="95">
        <v>0</v>
      </c>
      <c r="L202" s="95">
        <f t="shared" si="119"/>
        <v>1671.3</v>
      </c>
      <c r="M202" s="95">
        <f>IF(ISNA(VLOOKUP($CZ202,'Audit Values'!$A$2:$BW$365,2,FALSE)),'Preliminary SO66'!C201,VLOOKUP($CZ202,'Audit Values'!$A$2:$BW$365,73,FALSE))</f>
        <v>1632.7</v>
      </c>
      <c r="N202" s="95">
        <f>IF(ISNA(VLOOKUP($CZ202,'Audit Values'!$A$2:$BW$365,2,FALSE)),'Preliminary SO66'!F201,VLOOKUP($CZ202,'Audit Values'!$A$2:$BW$365,4,FALSE))</f>
        <v>0</v>
      </c>
      <c r="O202" s="95">
        <f t="shared" si="120"/>
        <v>1632.7</v>
      </c>
      <c r="P202" s="95">
        <f>IF('Military Provision'!J203="YES", MAX('2019 Legal Max'!L202,'2019 Legal Max'!I202,AVERAGE('2019 Legal Max'!F202,'2019 Legal Max'!I202,'2019 Legal Max'!L202)), MAX(L202, I202))</f>
        <v>1684.5</v>
      </c>
      <c r="Q202" s="95">
        <f>IF(ISNA(VLOOKUP($CZ202,'Audit Values'!$A$2:$BU$353,2,FALSE)),'Preliminary SO66'!AL201,VLOOKUP($CZ202,'Audit Values'!$A$2:$BU$3955,58,FALSE))</f>
        <v>17.5</v>
      </c>
      <c r="R202" s="95">
        <v>0</v>
      </c>
      <c r="S202" s="95">
        <f t="shared" si="116"/>
        <v>1702</v>
      </c>
      <c r="T202" s="95">
        <f t="shared" si="121"/>
        <v>59.6</v>
      </c>
      <c r="U202" s="95">
        <f>IF(ISNA(VLOOKUP($CZ202,'Audit Values'!$A$2:$BW$317,2,FALSE)),'Preliminary SO66'!AM201,VLOOKUP($CZ202,'Audit Values'!$A$2:$BW$317,62,FALSE))</f>
        <v>5.5</v>
      </c>
      <c r="V202" s="95">
        <f>(U202/6)*'Weighting Factors'!$Q$7</f>
        <v>0.4</v>
      </c>
      <c r="W202" s="132">
        <f>IF(ISNA(VLOOKUP($CZ202,'Audit Values'!$A$2:$BW$353,2,FALSE)),'Preliminary SO66'!AN201,VLOOKUP($CZ202,'Audit Values'!$A$2:$BW$353,61,FALSE))</f>
        <v>14</v>
      </c>
      <c r="X202" s="95">
        <f>W202*'Weighting Factors'!$Q$8</f>
        <v>2.6</v>
      </c>
      <c r="Y202" s="95">
        <f t="shared" si="122"/>
        <v>2.6</v>
      </c>
      <c r="Z202" s="276">
        <f>IF(ISNA(VLOOKUP($CZ202,'Audit Values'!$A$2:$BW$317,2,FALSE)),'Preliminary SO66'!AO201,VLOOKUP($CZ202,'Audit Values'!$A$2:$BW$317,60,FALSE))</f>
        <v>148.30000000000001</v>
      </c>
      <c r="AA202" s="95">
        <f>Z202/6*'Weighting Factors'!$Q$6</f>
        <v>12.4</v>
      </c>
      <c r="AB202" s="99">
        <f>IF(ISNA(VLOOKUP($CZ202,'Audit Values'!$A$2:$BU$353,2,FALSE)),'Preliminary SO66'!AS201,VLOOKUP($CZ202,'Audit Values'!$A$2:$BU$353,63,FALSE))</f>
        <v>1690</v>
      </c>
      <c r="AC202" s="99">
        <v>0</v>
      </c>
      <c r="AD202" s="99">
        <f>IF(ISNA(VLOOKUP($CZ202,'Audit Values'!$A$2:$BU$353,2,FALSE)),'Preliminary SO66'!AP201,VLOOKUP($CZ202,'Audit Values'!$A$2:$BU$353,64,FALSE))</f>
        <v>907</v>
      </c>
      <c r="AE202" s="95">
        <f>IF(A202=207, AD202,MAX(AC202,AD202))*'Weighting Factors'!$Q$9</f>
        <v>439</v>
      </c>
      <c r="AF202" s="95">
        <f t="shared" si="123"/>
        <v>95.2</v>
      </c>
      <c r="AG202" s="95">
        <f>IF(ISNA(VLOOKUP($CZ202,'Audit Values'!$A$2:$BW$353,2,FALSE)),'Preliminary SO66'!AG201,VLOOKUP($CZ202,'Audit Values'!$A$2:$BW$353,70,FALSE))</f>
        <v>88</v>
      </c>
      <c r="AH202" s="95">
        <f t="shared" si="124"/>
        <v>95.2</v>
      </c>
      <c r="AI202" s="95">
        <f>IF(ISNA(VLOOKUP($CZ202,'Audit Values'!$A$2:$BU$353,2,FALSE)),'Preliminary SO66'!AQ201,VLOOKUP($CZ202,'Audit Values'!$A$2:$BU$353,65,FALSE))</f>
        <v>0</v>
      </c>
      <c r="AJ202" s="95">
        <f>AI202*'Weighting Factors'!$Q$10</f>
        <v>0</v>
      </c>
      <c r="AK202" s="95">
        <f>IF(ISNA(VLOOKUP($CZ202,'Audit Values'!$A$2:$BU$353,2,FALSE)),'Preliminary SO66'!AR201,VLOOKUP($CZ202,'Audit Values'!$A$2:$BU$353,66,FALSE))</f>
        <v>273</v>
      </c>
      <c r="AL202" s="95"/>
      <c r="AM202" s="99">
        <f t="shared" si="125"/>
        <v>193830</v>
      </c>
      <c r="AN202" s="99">
        <v>175266</v>
      </c>
      <c r="AO202" s="95">
        <f>MAX(AN202, AM202)/'Weighting Factors'!$Q$5</f>
        <v>46.5</v>
      </c>
      <c r="AP202" s="95">
        <f>CN202/'Weighting Factors'!$Q$5</f>
        <v>0</v>
      </c>
      <c r="AQ202" s="95">
        <v>0</v>
      </c>
      <c r="AR202" s="95">
        <f>CS202/'Weighting Factors'!$Q$5</f>
        <v>0</v>
      </c>
      <c r="AS202" s="99">
        <v>2155996</v>
      </c>
      <c r="AT202" s="95">
        <f>AS202/'Weighting Factors'!$Q$5</f>
        <v>517.6</v>
      </c>
      <c r="AU202" s="95">
        <f>IF(ISNA(VLOOKUP($CZ202,'Audit Values'!$A$2:$BU$353,2,FALSE)),'Preliminary SO66'!X201,VLOOKUP($CZ202,'Audit Values'!$A$2:$BU$353,47,FALSE))</f>
        <v>0</v>
      </c>
      <c r="AV202" s="95">
        <f t="shared" si="126"/>
        <v>2874.9</v>
      </c>
      <c r="AW202" s="95">
        <f t="shared" si="127"/>
        <v>2357.3000000000002</v>
      </c>
      <c r="AX202" s="95">
        <f>IF(ISNA(VLOOKUP($CZ202,'Audit Values'!$A$2:$BU$353,2,FALSE)),'Preliminary SO66'!AA201,VLOOKUP($CZ202,'Audit Values'!$A$2:$BU$353,41,FALSE))</f>
        <v>0</v>
      </c>
      <c r="AY202" s="95">
        <f>IF(ISNA(VLOOKUP($CZ202,'Audit Values'!$A$2:$BU$353,2,FALSE)),'Preliminary SO66'!AB201,VLOOKUP($CZ202,'Audit Values'!$A$2:$BU$353,42,FALSE))</f>
        <v>0</v>
      </c>
      <c r="AZ202" s="114">
        <v>0</v>
      </c>
      <c r="BA202" s="99">
        <f>SUM(AX202*'Weighting Factors'!$T$10)+('2019 Legal Max'!AY202*'Weighting Factors'!$T$11)+('2019 Legal Max'!AZ202*'Weighting Factors'!$T$12)</f>
        <v>0</v>
      </c>
      <c r="BB202" s="158">
        <v>0</v>
      </c>
      <c r="BC202" s="88">
        <f>IF(ISNA(VLOOKUP($CZ202,'Audit Values'!$A$2:$BU$353,2,FALSE)),"",IF(AND('Weighting Factors'!H202&gt;0,VLOOKUP($CZ202,'Audit Values'!$A$2:$BU$353,51,FALSE)&lt;'Weighting Factors'!H202),'Weighting Factors'!H202,VLOOKUP($CZ202,'Audit Values'!$A$2:$BU$353,50,FALSE)))</f>
        <v>15</v>
      </c>
      <c r="BD202" s="88" t="str">
        <f>IF(ISNA(VLOOKUP($CZ202,'Audit Values'!$A$2:$BV$353,2,FALSE)),"",VLOOKUP($CZ202,'Audit Values'!$A$2:$BV$353,51,FALSE))</f>
        <v>A</v>
      </c>
      <c r="BE202" s="88" t="str">
        <f>IF('Weighting Factors'!H202="","",IF('Weighting Factors'!J202="Pending","PX","R"))</f>
        <v/>
      </c>
      <c r="BF202" s="97">
        <f>SUM((S202+T202+Y202+AA202+AE202+AH202+AJ202++AO202+AP202+AQ202+AU202+AR202)*'Weighting Factors'!$Q$5)+'2019 Legal Max'!BA202+'2019 Legal Max'!BB202</f>
        <v>9818155</v>
      </c>
      <c r="BG202" s="99">
        <f>SUM((AV202+AR202)*'Weighting Factors'!$Q$5)+BA202+'2019 Legal Max'!BB202</f>
        <v>11973959</v>
      </c>
      <c r="BH202" s="108">
        <f>IF('Weighting Factors'!H202&gt;0,'Weighting Factors'!H202,'Preliminary SO66'!AV201)</f>
        <v>12184708</v>
      </c>
      <c r="BI202" s="99">
        <f t="shared" si="151"/>
        <v>11973959</v>
      </c>
      <c r="BJ202" s="112"/>
      <c r="BK202" s="112">
        <f>'Weighting Factors'!F202</f>
        <v>0</v>
      </c>
      <c r="BL202" s="112">
        <f>'Weighting Factors'!E202</f>
        <v>0</v>
      </c>
      <c r="BM202" s="99">
        <f t="shared" si="128"/>
        <v>0</v>
      </c>
      <c r="BN202" s="99">
        <f t="shared" si="129"/>
        <v>11973959</v>
      </c>
      <c r="BO202" s="99">
        <f>SUM((S202+T202+Y202+AA202+AE202+AH202+AJ202++AO202+AP202+AQ202+AR202)*'Weighting Factors'!Q$12)+(MAX(AS202,'Weighting Factors'!B202))</f>
        <v>12740273</v>
      </c>
      <c r="BP202" s="122">
        <v>0.3</v>
      </c>
      <c r="BQ202" s="99">
        <f t="shared" si="130"/>
        <v>3822082</v>
      </c>
      <c r="BR202" s="108">
        <v>3888704</v>
      </c>
      <c r="BS202" s="99">
        <f t="shared" si="131"/>
        <v>3822082</v>
      </c>
      <c r="BT202" s="167">
        <f t="shared" si="132"/>
        <v>0.3</v>
      </c>
      <c r="BU202" s="95">
        <f t="shared" si="133"/>
        <v>0</v>
      </c>
      <c r="BV202" s="87" t="b">
        <f t="shared" si="134"/>
        <v>0</v>
      </c>
      <c r="BW202" s="117">
        <f t="shared" si="135"/>
        <v>0</v>
      </c>
      <c r="BX202" s="116">
        <f t="shared" si="136"/>
        <v>0</v>
      </c>
      <c r="BY202" s="95">
        <f t="shared" si="137"/>
        <v>0</v>
      </c>
      <c r="BZ202" s="87" t="b">
        <f t="shared" si="138"/>
        <v>0</v>
      </c>
      <c r="CA202" s="87">
        <f t="shared" si="139"/>
        <v>0</v>
      </c>
      <c r="CB202" s="116">
        <f t="shared" si="140"/>
        <v>0</v>
      </c>
      <c r="CC202" s="95">
        <f t="shared" si="141"/>
        <v>0</v>
      </c>
      <c r="CD202" s="95">
        <f t="shared" si="142"/>
        <v>59.6</v>
      </c>
      <c r="CE202" s="98">
        <v>52.7</v>
      </c>
      <c r="CF202" s="250">
        <f t="shared" si="143"/>
        <v>5.18</v>
      </c>
      <c r="CG202" s="274">
        <f>IF(CF202&lt;0.06,1,IF(CF202&gt;=18.29,52,MATCH(CF202-0.001,'Weighting Factors'!$Y$5:$Y$156)+1))</f>
        <v>44</v>
      </c>
      <c r="CH202" s="243">
        <f>VLOOKUP(CG202, 'Weighting Factors'!$W$5:$Z$56,4)</f>
        <v>710</v>
      </c>
      <c r="CI202" s="118">
        <f>('Weighting Factors'!$Q$5/'Weighting Factors'!$Q$14)</f>
        <v>1</v>
      </c>
      <c r="CJ202" s="245">
        <f t="shared" si="144"/>
        <v>193830</v>
      </c>
      <c r="CK202" s="245">
        <f>CJ202*'Weighting Factors'!$S$7</f>
        <v>193830</v>
      </c>
      <c r="CL202" s="245">
        <f t="shared" si="145"/>
        <v>193830</v>
      </c>
      <c r="CM202" s="95">
        <f>AM202/'Weighting Factors'!$Q$5</f>
        <v>46.5</v>
      </c>
      <c r="CN202" s="148">
        <v>0</v>
      </c>
      <c r="CO202" s="148">
        <v>0</v>
      </c>
      <c r="CP202" s="149">
        <v>0</v>
      </c>
      <c r="CQ202" s="151">
        <v>0</v>
      </c>
      <c r="CR202" s="99">
        <f>SUM((AV202*'Weighting Factors'!$Q$5)+'2019 Legal Max'!BA202)*CQ202</f>
        <v>0</v>
      </c>
      <c r="CS202" s="99">
        <f t="shared" si="146"/>
        <v>0</v>
      </c>
      <c r="CT202" s="106">
        <f t="shared" si="147"/>
        <v>0.53669999999999995</v>
      </c>
      <c r="CU202" s="95">
        <f t="shared" si="148"/>
        <v>95.2</v>
      </c>
      <c r="CV202" s="95">
        <f t="shared" si="149"/>
        <v>0</v>
      </c>
      <c r="CW202" s="95">
        <f t="shared" si="150"/>
        <v>2874.9</v>
      </c>
      <c r="CX202" s="99">
        <f>'LOB Transfers'!G201</f>
        <v>587072</v>
      </c>
      <c r="CY202" s="99">
        <f>'LOB Transfers'!J201</f>
        <v>3440</v>
      </c>
      <c r="CZ202" s="87" t="s">
        <v>394</v>
      </c>
    </row>
    <row r="203" spans="1:104" ht="15" customHeight="1">
      <c r="A203" s="88">
        <v>410</v>
      </c>
      <c r="B203" s="87" t="s">
        <v>89</v>
      </c>
      <c r="C203" s="87" t="s">
        <v>715</v>
      </c>
      <c r="D203" s="95">
        <v>523.4</v>
      </c>
      <c r="E203" s="95">
        <v>0</v>
      </c>
      <c r="F203" s="95">
        <f t="shared" si="117"/>
        <v>523.4</v>
      </c>
      <c r="G203" s="95">
        <v>568.5</v>
      </c>
      <c r="H203" s="95">
        <v>0</v>
      </c>
      <c r="I203" s="95">
        <f t="shared" si="118"/>
        <v>568.5</v>
      </c>
      <c r="J203" s="95">
        <v>569.5</v>
      </c>
      <c r="K203" s="95">
        <v>0</v>
      </c>
      <c r="L203" s="95">
        <f t="shared" si="119"/>
        <v>569.5</v>
      </c>
      <c r="M203" s="95">
        <f>IF(ISNA(VLOOKUP($CZ203,'Audit Values'!$A$2:$BW$365,2,FALSE)),'Preliminary SO66'!C202,VLOOKUP($CZ203,'Audit Values'!$A$2:$BW$365,73,FALSE))</f>
        <v>581</v>
      </c>
      <c r="N203" s="95">
        <f>IF(ISNA(VLOOKUP($CZ203,'Audit Values'!$A$2:$BW$365,2,FALSE)),'Preliminary SO66'!F202,VLOOKUP($CZ203,'Audit Values'!$A$2:$BW$365,4,FALSE))</f>
        <v>0</v>
      </c>
      <c r="O203" s="95">
        <f t="shared" si="120"/>
        <v>581</v>
      </c>
      <c r="P203" s="95">
        <f>IF('Military Provision'!J204="YES", MAX('2019 Legal Max'!L203,'2019 Legal Max'!I203,AVERAGE('2019 Legal Max'!F203,'2019 Legal Max'!I203,'2019 Legal Max'!L203)), MAX(L203, I203))</f>
        <v>569.5</v>
      </c>
      <c r="Q203" s="95">
        <f>IF(ISNA(VLOOKUP($CZ203,'Audit Values'!$A$2:$BU$353,2,FALSE)),'Preliminary SO66'!AL202,VLOOKUP($CZ203,'Audit Values'!$A$2:$BU$3955,58,FALSE))</f>
        <v>2.5</v>
      </c>
      <c r="R203" s="95">
        <v>0</v>
      </c>
      <c r="S203" s="95">
        <f t="shared" si="116"/>
        <v>572</v>
      </c>
      <c r="T203" s="95">
        <f t="shared" si="121"/>
        <v>224.1</v>
      </c>
      <c r="U203" s="95">
        <f>IF(ISNA(VLOOKUP($CZ203,'Audit Values'!$A$2:$BW$317,2,FALSE)),'Preliminary SO66'!AM202,VLOOKUP($CZ203,'Audit Values'!$A$2:$BW$317,62,FALSE))</f>
        <v>16.100000000000001</v>
      </c>
      <c r="V203" s="95">
        <f>(U203/6)*'Weighting Factors'!$Q$7</f>
        <v>1.1000000000000001</v>
      </c>
      <c r="W203" s="132">
        <f>IF(ISNA(VLOOKUP($CZ203,'Audit Values'!$A$2:$BW$353,2,FALSE)),'Preliminary SO66'!AN202,VLOOKUP($CZ203,'Audit Values'!$A$2:$BW$353,61,FALSE))</f>
        <v>12</v>
      </c>
      <c r="X203" s="95">
        <f>W203*'Weighting Factors'!$Q$8</f>
        <v>2.2000000000000002</v>
      </c>
      <c r="Y203" s="95">
        <f t="shared" si="122"/>
        <v>2.2000000000000002</v>
      </c>
      <c r="Z203" s="276">
        <f>IF(ISNA(VLOOKUP($CZ203,'Audit Values'!$A$2:$BW$317,2,FALSE)),'Preliminary SO66'!AO202,VLOOKUP($CZ203,'Audit Values'!$A$2:$BW$317,60,FALSE))</f>
        <v>300</v>
      </c>
      <c r="AA203" s="95">
        <f>Z203/6*'Weighting Factors'!$Q$6</f>
        <v>25</v>
      </c>
      <c r="AB203" s="99">
        <f>IF(ISNA(VLOOKUP($CZ203,'Audit Values'!$A$2:$BU$353,2,FALSE)),'Preliminary SO66'!AS202,VLOOKUP($CZ203,'Audit Values'!$A$2:$BU$353,63,FALSE))</f>
        <v>589</v>
      </c>
      <c r="AC203" s="99">
        <v>0</v>
      </c>
      <c r="AD203" s="99">
        <f>IF(ISNA(VLOOKUP($CZ203,'Audit Values'!$A$2:$BU$353,2,FALSE)),'Preliminary SO66'!AP202,VLOOKUP($CZ203,'Audit Values'!$A$2:$BU$353,64,FALSE))</f>
        <v>158</v>
      </c>
      <c r="AE203" s="95">
        <f>IF(A203=207, AD203,MAX(AC203,AD203))*'Weighting Factors'!$Q$9</f>
        <v>76.5</v>
      </c>
      <c r="AF203" s="95">
        <f t="shared" si="123"/>
        <v>0</v>
      </c>
      <c r="AG203" s="95">
        <f>IF(ISNA(VLOOKUP($CZ203,'Audit Values'!$A$2:$BW$353,2,FALSE)),'Preliminary SO66'!AG202,VLOOKUP($CZ203,'Audit Values'!$A$2:$BW$353,70,FALSE))</f>
        <v>0</v>
      </c>
      <c r="AH203" s="95">
        <f t="shared" si="124"/>
        <v>0</v>
      </c>
      <c r="AI203" s="95">
        <f>IF(ISNA(VLOOKUP($CZ203,'Audit Values'!$A$2:$BU$353,2,FALSE)),'Preliminary SO66'!AQ202,VLOOKUP($CZ203,'Audit Values'!$A$2:$BU$353,65,FALSE))</f>
        <v>0</v>
      </c>
      <c r="AJ203" s="95">
        <f>AI203*'Weighting Factors'!$Q$10</f>
        <v>0</v>
      </c>
      <c r="AK203" s="95">
        <f>IF(ISNA(VLOOKUP($CZ203,'Audit Values'!$A$2:$BU$353,2,FALSE)),'Preliminary SO66'!AR202,VLOOKUP($CZ203,'Audit Values'!$A$2:$BU$353,66,FALSE))</f>
        <v>140</v>
      </c>
      <c r="AL203" s="95"/>
      <c r="AM203" s="99">
        <f t="shared" si="125"/>
        <v>147000</v>
      </c>
      <c r="AN203" s="99">
        <v>174110</v>
      </c>
      <c r="AO203" s="95">
        <f>MAX(AN203, AM203)/'Weighting Factors'!$Q$5</f>
        <v>41.8</v>
      </c>
      <c r="AP203" s="95">
        <f>CN203/'Weighting Factors'!$Q$5</f>
        <v>0</v>
      </c>
      <c r="AQ203" s="95">
        <v>0</v>
      </c>
      <c r="AR203" s="95">
        <f>CS203/'Weighting Factors'!$Q$5</f>
        <v>0</v>
      </c>
      <c r="AS203" s="99">
        <v>845801</v>
      </c>
      <c r="AT203" s="95">
        <f>AS203/'Weighting Factors'!$Q$5</f>
        <v>203.1</v>
      </c>
      <c r="AU203" s="95">
        <f>IF(ISNA(VLOOKUP($CZ203,'Audit Values'!$A$2:$BU$353,2,FALSE)),'Preliminary SO66'!X202,VLOOKUP($CZ203,'Audit Values'!$A$2:$BU$353,47,FALSE))</f>
        <v>0</v>
      </c>
      <c r="AV203" s="95">
        <f t="shared" si="126"/>
        <v>1144.7</v>
      </c>
      <c r="AW203" s="95">
        <f t="shared" si="127"/>
        <v>941.6</v>
      </c>
      <c r="AX203" s="95">
        <f>IF(ISNA(VLOOKUP($CZ203,'Audit Values'!$A$2:$BU$353,2,FALSE)),'Preliminary SO66'!AA202,VLOOKUP($CZ203,'Audit Values'!$A$2:$BU$353,41,FALSE))</f>
        <v>7</v>
      </c>
      <c r="AY203" s="95">
        <f>IF(ISNA(VLOOKUP($CZ203,'Audit Values'!$A$2:$BU$353,2,FALSE)),'Preliminary SO66'!AB202,VLOOKUP($CZ203,'Audit Values'!$A$2:$BU$353,42,FALSE))</f>
        <v>0</v>
      </c>
      <c r="AZ203" s="114">
        <v>4.5</v>
      </c>
      <c r="BA203" s="99">
        <f>SUM(AX203*'Weighting Factors'!$T$10)+('2019 Legal Max'!AY203*'Weighting Factors'!$T$11)+('2019 Legal Max'!AZ203*'Weighting Factors'!$T$12)</f>
        <v>38191</v>
      </c>
      <c r="BB203" s="158">
        <v>0</v>
      </c>
      <c r="BC203" s="88">
        <f>IF(ISNA(VLOOKUP($CZ203,'Audit Values'!$A$2:$BU$353,2,FALSE)),"",IF(AND('Weighting Factors'!H203&gt;0,VLOOKUP($CZ203,'Audit Values'!$A$2:$BU$353,51,FALSE)&lt;'Weighting Factors'!H203),'Weighting Factors'!H203,VLOOKUP($CZ203,'Audit Values'!$A$2:$BU$353,50,FALSE)))</f>
        <v>26</v>
      </c>
      <c r="BD203" s="88" t="str">
        <f>IF(ISNA(VLOOKUP($CZ203,'Audit Values'!$A$2:$BV$353,2,FALSE)),"",VLOOKUP($CZ203,'Audit Values'!$A$2:$BV$353,51,FALSE))</f>
        <v>A</v>
      </c>
      <c r="BE203" s="88" t="str">
        <f>IF('Weighting Factors'!H203="","",IF('Weighting Factors'!J203="Pending","PX","R"))</f>
        <v/>
      </c>
      <c r="BF203" s="97">
        <f>SUM((S203+T203+Y203+AA203+AE203+AH203+AJ203++AO203+AP203+AQ203+AU203+AR203)*'Weighting Factors'!$Q$5)+'2019 Legal Max'!BA203+'2019 Legal Max'!BB203</f>
        <v>3959955</v>
      </c>
      <c r="BG203" s="99">
        <f>SUM((AV203+AR203)*'Weighting Factors'!$Q$5)+BA203+'2019 Legal Max'!BB203</f>
        <v>4805867</v>
      </c>
      <c r="BH203" s="108">
        <f>IF('Weighting Factors'!H203&gt;0,'Weighting Factors'!H203,'Preliminary SO66'!AV202)</f>
        <v>4912128</v>
      </c>
      <c r="BI203" s="99">
        <f t="shared" si="151"/>
        <v>4805867</v>
      </c>
      <c r="BJ203" s="112"/>
      <c r="BK203" s="112">
        <f>'Weighting Factors'!F203</f>
        <v>0</v>
      </c>
      <c r="BL203" s="112">
        <f>'Weighting Factors'!E203</f>
        <v>0</v>
      </c>
      <c r="BM203" s="99">
        <f t="shared" si="128"/>
        <v>0</v>
      </c>
      <c r="BN203" s="99">
        <f t="shared" si="129"/>
        <v>4805867</v>
      </c>
      <c r="BO203" s="99">
        <f>SUM((S203+T203+Y203+AA203+AE203+AH203+AJ203++AO203+AP203+AQ203+AR203)*'Weighting Factors'!Q$12)+(MAX(AS203,'Weighting Factors'!B203))</f>
        <v>5073585</v>
      </c>
      <c r="BP203" s="122">
        <v>0.33</v>
      </c>
      <c r="BQ203" s="99">
        <f t="shared" si="130"/>
        <v>1674283</v>
      </c>
      <c r="BR203" s="108">
        <v>1715963</v>
      </c>
      <c r="BS203" s="99">
        <f t="shared" si="131"/>
        <v>1674283</v>
      </c>
      <c r="BT203" s="167">
        <f t="shared" si="132"/>
        <v>0.33</v>
      </c>
      <c r="BU203" s="95">
        <f t="shared" si="133"/>
        <v>0</v>
      </c>
      <c r="BV203" s="87" t="b">
        <f t="shared" si="134"/>
        <v>0</v>
      </c>
      <c r="BW203" s="117">
        <f t="shared" si="135"/>
        <v>0</v>
      </c>
      <c r="BX203" s="116">
        <f t="shared" si="136"/>
        <v>0</v>
      </c>
      <c r="BY203" s="95">
        <f t="shared" si="137"/>
        <v>0</v>
      </c>
      <c r="BZ203" s="87" t="b">
        <f t="shared" si="138"/>
        <v>1</v>
      </c>
      <c r="CA203" s="87">
        <f t="shared" si="139"/>
        <v>336.6</v>
      </c>
      <c r="CB203" s="116">
        <f t="shared" si="140"/>
        <v>0.39177499999999998</v>
      </c>
      <c r="CC203" s="95">
        <f t="shared" si="141"/>
        <v>224.1</v>
      </c>
      <c r="CD203" s="95">
        <f t="shared" si="142"/>
        <v>0</v>
      </c>
      <c r="CE203" s="98">
        <v>231.8</v>
      </c>
      <c r="CF203" s="250">
        <f t="shared" si="143"/>
        <v>0.60399999999999998</v>
      </c>
      <c r="CG203" s="274">
        <f>IF(CF203&lt;0.06,1,IF(CF203&gt;=18.29,52,MATCH(CF203-0.001,'Weighting Factors'!$Y$5:$Y$156)+1))</f>
        <v>27</v>
      </c>
      <c r="CH203" s="243">
        <f>VLOOKUP(CG203, 'Weighting Factors'!$W$5:$Z$56,4)</f>
        <v>1050</v>
      </c>
      <c r="CI203" s="118">
        <f>('Weighting Factors'!$Q$5/'Weighting Factors'!$Q$14)</f>
        <v>1</v>
      </c>
      <c r="CJ203" s="245">
        <f t="shared" si="144"/>
        <v>147000</v>
      </c>
      <c r="CK203" s="245">
        <f>CJ203*'Weighting Factors'!$S$7</f>
        <v>147000</v>
      </c>
      <c r="CL203" s="245">
        <f t="shared" si="145"/>
        <v>147000</v>
      </c>
      <c r="CM203" s="95">
        <f>AM203/'Weighting Factors'!$Q$5</f>
        <v>35.299999999999997</v>
      </c>
      <c r="CN203" s="148">
        <v>0</v>
      </c>
      <c r="CO203" s="148">
        <v>0</v>
      </c>
      <c r="CP203" s="149">
        <v>0</v>
      </c>
      <c r="CQ203" s="151">
        <v>0</v>
      </c>
      <c r="CR203" s="99">
        <f>SUM((AV203*'Weighting Factors'!$Q$5)+'2019 Legal Max'!BA203)*CQ203</f>
        <v>0</v>
      </c>
      <c r="CS203" s="99">
        <f t="shared" si="146"/>
        <v>0</v>
      </c>
      <c r="CT203" s="106">
        <f t="shared" si="147"/>
        <v>0.26829999999999998</v>
      </c>
      <c r="CU203" s="95">
        <f t="shared" si="148"/>
        <v>0</v>
      </c>
      <c r="CV203" s="95">
        <f t="shared" si="149"/>
        <v>0</v>
      </c>
      <c r="CW203" s="95">
        <f t="shared" si="150"/>
        <v>1144.7</v>
      </c>
      <c r="CX203" s="99">
        <f>'LOB Transfers'!G202</f>
        <v>112177</v>
      </c>
      <c r="CY203" s="99">
        <f>'LOB Transfers'!J202</f>
        <v>3181</v>
      </c>
      <c r="CZ203" s="87" t="s">
        <v>395</v>
      </c>
    </row>
    <row r="204" spans="1:104" ht="15" customHeight="1">
      <c r="A204" s="88">
        <v>411</v>
      </c>
      <c r="B204" s="87" t="s">
        <v>89</v>
      </c>
      <c r="C204" s="87" t="s">
        <v>716</v>
      </c>
      <c r="D204" s="95">
        <v>266</v>
      </c>
      <c r="E204" s="95">
        <v>0</v>
      </c>
      <c r="F204" s="95">
        <f t="shared" si="117"/>
        <v>266</v>
      </c>
      <c r="G204" s="95">
        <v>273</v>
      </c>
      <c r="H204" s="95">
        <v>0</v>
      </c>
      <c r="I204" s="95">
        <f t="shared" si="118"/>
        <v>273</v>
      </c>
      <c r="J204" s="95">
        <v>289.60000000000002</v>
      </c>
      <c r="K204" s="95">
        <v>0</v>
      </c>
      <c r="L204" s="95">
        <f t="shared" si="119"/>
        <v>289.60000000000002</v>
      </c>
      <c r="M204" s="95">
        <f>IF(ISNA(VLOOKUP($CZ204,'Audit Values'!$A$2:$BW$365,2,FALSE)),'Preliminary SO66'!C203,VLOOKUP($CZ204,'Audit Values'!$A$2:$BW$365,73,FALSE))</f>
        <v>301.5</v>
      </c>
      <c r="N204" s="95">
        <f>IF(ISNA(VLOOKUP($CZ204,'Audit Values'!$A$2:$BW$365,2,FALSE)),'Preliminary SO66'!F203,VLOOKUP($CZ204,'Audit Values'!$A$2:$BW$365,4,FALSE))</f>
        <v>0</v>
      </c>
      <c r="O204" s="95">
        <f t="shared" si="120"/>
        <v>301.5</v>
      </c>
      <c r="P204" s="95">
        <f>IF('Military Provision'!J205="YES", MAX('2019 Legal Max'!L204,'2019 Legal Max'!I204,AVERAGE('2019 Legal Max'!F204,'2019 Legal Max'!I204,'2019 Legal Max'!L204)), MAX(L204, I204))</f>
        <v>289.60000000000002</v>
      </c>
      <c r="Q204" s="95">
        <f>IF(ISNA(VLOOKUP($CZ204,'Audit Values'!$A$2:$BU$353,2,FALSE)),'Preliminary SO66'!AL203,VLOOKUP($CZ204,'Audit Values'!$A$2:$BU$3955,58,FALSE))</f>
        <v>3</v>
      </c>
      <c r="R204" s="95">
        <v>0</v>
      </c>
      <c r="S204" s="95">
        <f t="shared" si="116"/>
        <v>292.60000000000002</v>
      </c>
      <c r="T204" s="95">
        <f t="shared" si="121"/>
        <v>147.4</v>
      </c>
      <c r="U204" s="95">
        <f>IF(ISNA(VLOOKUP($CZ204,'Audit Values'!$A$2:$BW$317,2,FALSE)),'Preliminary SO66'!AM203,VLOOKUP($CZ204,'Audit Values'!$A$2:$BW$317,62,FALSE))</f>
        <v>2.2000000000000002</v>
      </c>
      <c r="V204" s="95">
        <f>(U204/6)*'Weighting Factors'!$Q$7</f>
        <v>0.1</v>
      </c>
      <c r="W204" s="132">
        <f>IF(ISNA(VLOOKUP($CZ204,'Audit Values'!$A$2:$BW$353,2,FALSE)),'Preliminary SO66'!AN203,VLOOKUP($CZ204,'Audit Values'!$A$2:$BW$353,61,FALSE))</f>
        <v>4</v>
      </c>
      <c r="X204" s="95">
        <f>W204*'Weighting Factors'!$Q$8</f>
        <v>0.7</v>
      </c>
      <c r="Y204" s="95">
        <f t="shared" si="122"/>
        <v>0.7</v>
      </c>
      <c r="Z204" s="276">
        <f>IF(ISNA(VLOOKUP($CZ204,'Audit Values'!$A$2:$BW$317,2,FALSE)),'Preliminary SO66'!AO203,VLOOKUP($CZ204,'Audit Values'!$A$2:$BW$317,60,FALSE))</f>
        <v>164.2</v>
      </c>
      <c r="AA204" s="95">
        <f>Z204/6*'Weighting Factors'!$Q$6</f>
        <v>13.7</v>
      </c>
      <c r="AB204" s="99">
        <f>IF(ISNA(VLOOKUP($CZ204,'Audit Values'!$A$2:$BU$353,2,FALSE)),'Preliminary SO66'!AS203,VLOOKUP($CZ204,'Audit Values'!$A$2:$BU$353,63,FALSE))</f>
        <v>308</v>
      </c>
      <c r="AC204" s="99">
        <v>0</v>
      </c>
      <c r="AD204" s="99">
        <f>IF(ISNA(VLOOKUP($CZ204,'Audit Values'!$A$2:$BU$353,2,FALSE)),'Preliminary SO66'!AP203,VLOOKUP($CZ204,'Audit Values'!$A$2:$BU$353,64,FALSE))</f>
        <v>63</v>
      </c>
      <c r="AE204" s="95">
        <f>IF(A204=207, AD204,MAX(AC204,AD204))*'Weighting Factors'!$Q$9</f>
        <v>30.5</v>
      </c>
      <c r="AF204" s="95">
        <f t="shared" si="123"/>
        <v>0</v>
      </c>
      <c r="AG204" s="95">
        <f>IF(ISNA(VLOOKUP($CZ204,'Audit Values'!$A$2:$BW$353,2,FALSE)),'Preliminary SO66'!AG203,VLOOKUP($CZ204,'Audit Values'!$A$2:$BW$353,70,FALSE))</f>
        <v>0</v>
      </c>
      <c r="AH204" s="95">
        <f t="shared" si="124"/>
        <v>0</v>
      </c>
      <c r="AI204" s="95">
        <f>IF(ISNA(VLOOKUP($CZ204,'Audit Values'!$A$2:$BU$353,2,FALSE)),'Preliminary SO66'!AQ203,VLOOKUP($CZ204,'Audit Values'!$A$2:$BU$353,65,FALSE))</f>
        <v>0</v>
      </c>
      <c r="AJ204" s="95">
        <f>AI204*'Weighting Factors'!$Q$10</f>
        <v>0</v>
      </c>
      <c r="AK204" s="95">
        <f>IF(ISNA(VLOOKUP($CZ204,'Audit Values'!$A$2:$BU$353,2,FALSE)),'Preliminary SO66'!AR203,VLOOKUP($CZ204,'Audit Values'!$A$2:$BU$353,66,FALSE))</f>
        <v>112</v>
      </c>
      <c r="AL204" s="95"/>
      <c r="AM204" s="99">
        <f t="shared" si="125"/>
        <v>106400</v>
      </c>
      <c r="AN204" s="99">
        <v>117101</v>
      </c>
      <c r="AO204" s="95">
        <f>MAX(AN204, AM204)/'Weighting Factors'!$Q$5</f>
        <v>28.1</v>
      </c>
      <c r="AP204" s="95">
        <f>CN204/'Weighting Factors'!$Q$5</f>
        <v>0</v>
      </c>
      <c r="AQ204" s="95">
        <v>0</v>
      </c>
      <c r="AR204" s="95">
        <f>CS204/'Weighting Factors'!$Q$5</f>
        <v>0</v>
      </c>
      <c r="AS204" s="99">
        <v>428564</v>
      </c>
      <c r="AT204" s="95">
        <f>AS204/'Weighting Factors'!$Q$5</f>
        <v>102.9</v>
      </c>
      <c r="AU204" s="95">
        <f>IF(ISNA(VLOOKUP($CZ204,'Audit Values'!$A$2:$BU$353,2,FALSE)),'Preliminary SO66'!X203,VLOOKUP($CZ204,'Audit Values'!$A$2:$BU$353,47,FALSE))</f>
        <v>0</v>
      </c>
      <c r="AV204" s="95">
        <f t="shared" si="126"/>
        <v>615.9</v>
      </c>
      <c r="AW204" s="95">
        <f t="shared" si="127"/>
        <v>513</v>
      </c>
      <c r="AX204" s="95">
        <f>IF(ISNA(VLOOKUP($CZ204,'Audit Values'!$A$2:$BU$353,2,FALSE)),'Preliminary SO66'!AA203,VLOOKUP($CZ204,'Audit Values'!$A$2:$BU$353,41,FALSE))</f>
        <v>0</v>
      </c>
      <c r="AY204" s="95">
        <f>IF(ISNA(VLOOKUP($CZ204,'Audit Values'!$A$2:$BU$353,2,FALSE)),'Preliminary SO66'!AB203,VLOOKUP($CZ204,'Audit Values'!$A$2:$BU$353,42,FALSE))</f>
        <v>0</v>
      </c>
      <c r="AZ204" s="114">
        <v>0</v>
      </c>
      <c r="BA204" s="99">
        <f>SUM(AX204*'Weighting Factors'!$T$10)+('2019 Legal Max'!AY204*'Weighting Factors'!$T$11)+('2019 Legal Max'!AZ204*'Weighting Factors'!$T$12)</f>
        <v>0</v>
      </c>
      <c r="BB204" s="158">
        <v>0</v>
      </c>
      <c r="BC204" s="88">
        <f>IF(ISNA(VLOOKUP($CZ204,'Audit Values'!$A$2:$BU$353,2,FALSE)),"",IF(AND('Weighting Factors'!H204&gt;0,VLOOKUP($CZ204,'Audit Values'!$A$2:$BU$353,51,FALSE)&lt;'Weighting Factors'!H204),'Weighting Factors'!H204,VLOOKUP($CZ204,'Audit Values'!$A$2:$BU$353,50,FALSE)))</f>
        <v>17</v>
      </c>
      <c r="BD204" s="88" t="str">
        <f>IF(ISNA(VLOOKUP($CZ204,'Audit Values'!$A$2:$BV$353,2,FALSE)),"",VLOOKUP($CZ204,'Audit Values'!$A$2:$BV$353,51,FALSE))</f>
        <v>A</v>
      </c>
      <c r="BE204" s="88" t="str">
        <f>IF('Weighting Factors'!H204="","",IF('Weighting Factors'!J204="Pending","PX","R"))</f>
        <v/>
      </c>
      <c r="BF204" s="97">
        <f>SUM((S204+T204+Y204+AA204+AE204+AH204+AJ204++AO204+AP204+AQ204+AU204+AR204)*'Weighting Factors'!$Q$5)+'2019 Legal Max'!BA204+'2019 Legal Max'!BB204</f>
        <v>2136645</v>
      </c>
      <c r="BG204" s="99">
        <f>SUM((AV204+AR204)*'Weighting Factors'!$Q$5)+BA204+'2019 Legal Max'!BB204</f>
        <v>2565224</v>
      </c>
      <c r="BH204" s="108">
        <f>IF('Weighting Factors'!H204&gt;0,'Weighting Factors'!H204,'Preliminary SO66'!AV203)</f>
        <v>2678928</v>
      </c>
      <c r="BI204" s="99">
        <f t="shared" si="151"/>
        <v>2565224</v>
      </c>
      <c r="BJ204" s="112"/>
      <c r="BK204" s="112">
        <f>'Weighting Factors'!F204</f>
        <v>0</v>
      </c>
      <c r="BL204" s="112">
        <f>'Weighting Factors'!E204</f>
        <v>0</v>
      </c>
      <c r="BM204" s="99">
        <f t="shared" si="128"/>
        <v>0</v>
      </c>
      <c r="BN204" s="99">
        <f t="shared" si="129"/>
        <v>2565224</v>
      </c>
      <c r="BO204" s="99">
        <f>SUM((S204+T204+Y204+AA204+AE204+AH204+AJ204++AO204+AP204+AQ204+AR204)*'Weighting Factors'!Q$12)+(MAX(AS204,'Weighting Factors'!B204))</f>
        <v>2731934</v>
      </c>
      <c r="BP204" s="122">
        <v>0.33</v>
      </c>
      <c r="BQ204" s="99">
        <f t="shared" si="130"/>
        <v>901538</v>
      </c>
      <c r="BR204" s="108">
        <v>939750</v>
      </c>
      <c r="BS204" s="99">
        <f t="shared" si="131"/>
        <v>901538</v>
      </c>
      <c r="BT204" s="167">
        <f t="shared" si="132"/>
        <v>0.33</v>
      </c>
      <c r="BU204" s="95">
        <f t="shared" si="133"/>
        <v>0</v>
      </c>
      <c r="BV204" s="87" t="b">
        <f t="shared" si="134"/>
        <v>1</v>
      </c>
      <c r="BW204" s="117">
        <f t="shared" si="135"/>
        <v>1859.5530000000001</v>
      </c>
      <c r="BX204" s="116">
        <f t="shared" si="136"/>
        <v>0.50380199999999997</v>
      </c>
      <c r="BY204" s="95">
        <f t="shared" si="137"/>
        <v>147.4</v>
      </c>
      <c r="BZ204" s="87" t="b">
        <f t="shared" si="138"/>
        <v>0</v>
      </c>
      <c r="CA204" s="87">
        <f t="shared" si="139"/>
        <v>0</v>
      </c>
      <c r="CB204" s="116">
        <f t="shared" si="140"/>
        <v>0</v>
      </c>
      <c r="CC204" s="95">
        <f t="shared" si="141"/>
        <v>0</v>
      </c>
      <c r="CD204" s="95">
        <f t="shared" si="142"/>
        <v>0</v>
      </c>
      <c r="CE204" s="98">
        <v>111.2</v>
      </c>
      <c r="CF204" s="250">
        <f t="shared" si="143"/>
        <v>1.0069999999999999</v>
      </c>
      <c r="CG204" s="274">
        <f>IF(CF204&lt;0.06,1,IF(CF204&gt;=18.29,52,MATCH(CF204-0.001,'Weighting Factors'!$Y$5:$Y$156)+1))</f>
        <v>32</v>
      </c>
      <c r="CH204" s="243">
        <f>VLOOKUP(CG204, 'Weighting Factors'!$W$5:$Z$56,4)</f>
        <v>950</v>
      </c>
      <c r="CI204" s="118">
        <f>('Weighting Factors'!$Q$5/'Weighting Factors'!$Q$14)</f>
        <v>1</v>
      </c>
      <c r="CJ204" s="245">
        <f t="shared" si="144"/>
        <v>106400</v>
      </c>
      <c r="CK204" s="245">
        <f>CJ204*'Weighting Factors'!$S$7</f>
        <v>106400</v>
      </c>
      <c r="CL204" s="245">
        <f t="shared" si="145"/>
        <v>106400</v>
      </c>
      <c r="CM204" s="95">
        <f>AM204/'Weighting Factors'!$Q$5</f>
        <v>25.5</v>
      </c>
      <c r="CN204" s="148">
        <v>0</v>
      </c>
      <c r="CO204" s="148">
        <v>0</v>
      </c>
      <c r="CP204" s="149">
        <v>0</v>
      </c>
      <c r="CQ204" s="151">
        <v>0</v>
      </c>
      <c r="CR204" s="99">
        <f>SUM((AV204*'Weighting Factors'!$Q$5)+'2019 Legal Max'!BA204)*CQ204</f>
        <v>0</v>
      </c>
      <c r="CS204" s="99">
        <f t="shared" si="146"/>
        <v>0</v>
      </c>
      <c r="CT204" s="106">
        <f t="shared" si="147"/>
        <v>0.20449999999999999</v>
      </c>
      <c r="CU204" s="95">
        <f t="shared" si="148"/>
        <v>0</v>
      </c>
      <c r="CV204" s="95">
        <f t="shared" si="149"/>
        <v>0</v>
      </c>
      <c r="CW204" s="95">
        <f t="shared" si="150"/>
        <v>615.9</v>
      </c>
      <c r="CX204" s="99">
        <f>'LOB Transfers'!G203</f>
        <v>44897</v>
      </c>
      <c r="CY204" s="99">
        <f>'LOB Transfers'!J203</f>
        <v>992</v>
      </c>
      <c r="CZ204" s="87" t="s">
        <v>396</v>
      </c>
    </row>
    <row r="205" spans="1:104" ht="15" customHeight="1">
      <c r="A205" s="88">
        <v>412</v>
      </c>
      <c r="B205" s="87" t="s">
        <v>93</v>
      </c>
      <c r="C205" s="87" t="s">
        <v>717</v>
      </c>
      <c r="D205" s="95">
        <v>355.3</v>
      </c>
      <c r="E205" s="95">
        <v>0</v>
      </c>
      <c r="F205" s="95">
        <f t="shared" si="117"/>
        <v>355.3</v>
      </c>
      <c r="G205" s="95">
        <v>383.5</v>
      </c>
      <c r="H205" s="95">
        <v>0</v>
      </c>
      <c r="I205" s="95">
        <f t="shared" si="118"/>
        <v>383.5</v>
      </c>
      <c r="J205" s="95">
        <v>400.5</v>
      </c>
      <c r="K205" s="95">
        <v>0</v>
      </c>
      <c r="L205" s="95">
        <f t="shared" si="119"/>
        <v>400.5</v>
      </c>
      <c r="M205" s="95">
        <f>IF(ISNA(VLOOKUP($CZ205,'Audit Values'!$A$2:$BW$365,2,FALSE)),'Preliminary SO66'!C204,VLOOKUP($CZ205,'Audit Values'!$A$2:$BW$365,73,FALSE))</f>
        <v>403.3</v>
      </c>
      <c r="N205" s="95">
        <f>IF(ISNA(VLOOKUP($CZ205,'Audit Values'!$A$2:$BW$365,2,FALSE)),'Preliminary SO66'!F204,VLOOKUP($CZ205,'Audit Values'!$A$2:$BW$365,4,FALSE))</f>
        <v>0</v>
      </c>
      <c r="O205" s="95">
        <f t="shared" si="120"/>
        <v>403.3</v>
      </c>
      <c r="P205" s="95">
        <f>IF('Military Provision'!J206="YES", MAX('2019 Legal Max'!L205,'2019 Legal Max'!I205,AVERAGE('2019 Legal Max'!F205,'2019 Legal Max'!I205,'2019 Legal Max'!L205)), MAX(L205, I205))</f>
        <v>400.5</v>
      </c>
      <c r="Q205" s="95">
        <f>IF(ISNA(VLOOKUP($CZ205,'Audit Values'!$A$2:$BU$353,2,FALSE)),'Preliminary SO66'!AL204,VLOOKUP($CZ205,'Audit Values'!$A$2:$BU$3955,58,FALSE))</f>
        <v>0</v>
      </c>
      <c r="R205" s="95">
        <v>0</v>
      </c>
      <c r="S205" s="95">
        <f t="shared" si="116"/>
        <v>400.5</v>
      </c>
      <c r="T205" s="95">
        <f t="shared" si="121"/>
        <v>180.2</v>
      </c>
      <c r="U205" s="95">
        <f>IF(ISNA(VLOOKUP($CZ205,'Audit Values'!$A$2:$BW$317,2,FALSE)),'Preliminary SO66'!AM204,VLOOKUP($CZ205,'Audit Values'!$A$2:$BW$317,62,FALSE))</f>
        <v>0</v>
      </c>
      <c r="V205" s="95">
        <f>(U205/6)*'Weighting Factors'!$Q$7</f>
        <v>0</v>
      </c>
      <c r="W205" s="132">
        <f>IF(ISNA(VLOOKUP($CZ205,'Audit Values'!$A$2:$BW$353,2,FALSE)),'Preliminary SO66'!AN204,VLOOKUP($CZ205,'Audit Values'!$A$2:$BW$353,61,FALSE))</f>
        <v>0</v>
      </c>
      <c r="X205" s="95">
        <f>W205*'Weighting Factors'!$Q$8</f>
        <v>0</v>
      </c>
      <c r="Y205" s="95">
        <f t="shared" si="122"/>
        <v>0</v>
      </c>
      <c r="Z205" s="276">
        <f>IF(ISNA(VLOOKUP($CZ205,'Audit Values'!$A$2:$BW$317,2,FALSE)),'Preliminary SO66'!AO204,VLOOKUP($CZ205,'Audit Values'!$A$2:$BW$317,60,FALSE))</f>
        <v>65.8</v>
      </c>
      <c r="AA205" s="95">
        <f>Z205/6*'Weighting Factors'!$Q$6</f>
        <v>5.5</v>
      </c>
      <c r="AB205" s="99">
        <f>IF(ISNA(VLOOKUP($CZ205,'Audit Values'!$A$2:$BU$353,2,FALSE)),'Preliminary SO66'!AS204,VLOOKUP($CZ205,'Audit Values'!$A$2:$BU$353,63,FALSE))</f>
        <v>407</v>
      </c>
      <c r="AC205" s="99">
        <v>0</v>
      </c>
      <c r="AD205" s="99">
        <f>IF(ISNA(VLOOKUP($CZ205,'Audit Values'!$A$2:$BU$353,2,FALSE)),'Preliminary SO66'!AP204,VLOOKUP($CZ205,'Audit Values'!$A$2:$BU$353,64,FALSE))</f>
        <v>70</v>
      </c>
      <c r="AE205" s="95">
        <f>IF(A205=207, AD205,MAX(AC205,AD205))*'Weighting Factors'!$Q$9</f>
        <v>33.9</v>
      </c>
      <c r="AF205" s="95">
        <f t="shared" si="123"/>
        <v>0</v>
      </c>
      <c r="AG205" s="95">
        <f>IF(ISNA(VLOOKUP($CZ205,'Audit Values'!$A$2:$BW$353,2,FALSE)),'Preliminary SO66'!AG204,VLOOKUP($CZ205,'Audit Values'!$A$2:$BW$353,70,FALSE))</f>
        <v>0</v>
      </c>
      <c r="AH205" s="95">
        <f t="shared" si="124"/>
        <v>0</v>
      </c>
      <c r="AI205" s="95">
        <f>IF(ISNA(VLOOKUP($CZ205,'Audit Values'!$A$2:$BU$353,2,FALSE)),'Preliminary SO66'!AQ204,VLOOKUP($CZ205,'Audit Values'!$A$2:$BU$353,65,FALSE))</f>
        <v>0</v>
      </c>
      <c r="AJ205" s="95">
        <f>AI205*'Weighting Factors'!$Q$10</f>
        <v>0</v>
      </c>
      <c r="AK205" s="95">
        <f>IF(ISNA(VLOOKUP($CZ205,'Audit Values'!$A$2:$BU$353,2,FALSE)),'Preliminary SO66'!AR204,VLOOKUP($CZ205,'Audit Values'!$A$2:$BU$353,66,FALSE))</f>
        <v>96</v>
      </c>
      <c r="AL205" s="95"/>
      <c r="AM205" s="99">
        <f t="shared" si="125"/>
        <v>131520</v>
      </c>
      <c r="AN205" s="99">
        <v>152924</v>
      </c>
      <c r="AO205" s="95">
        <f>MAX(AN205, AM205)/'Weighting Factors'!$Q$5</f>
        <v>36.700000000000003</v>
      </c>
      <c r="AP205" s="95">
        <f>CN205/'Weighting Factors'!$Q$5</f>
        <v>0</v>
      </c>
      <c r="AQ205" s="95">
        <v>0</v>
      </c>
      <c r="AR205" s="95">
        <f>CS205/'Weighting Factors'!$Q$5</f>
        <v>0</v>
      </c>
      <c r="AS205" s="99">
        <v>347435</v>
      </c>
      <c r="AT205" s="95">
        <f>AS205/'Weighting Factors'!$Q$5</f>
        <v>83.4</v>
      </c>
      <c r="AU205" s="95">
        <f>IF(ISNA(VLOOKUP($CZ205,'Audit Values'!$A$2:$BU$353,2,FALSE)),'Preliminary SO66'!X204,VLOOKUP($CZ205,'Audit Values'!$A$2:$BU$353,47,FALSE))</f>
        <v>0</v>
      </c>
      <c r="AV205" s="95">
        <f t="shared" si="126"/>
        <v>740.2</v>
      </c>
      <c r="AW205" s="95">
        <f t="shared" si="127"/>
        <v>656.8</v>
      </c>
      <c r="AX205" s="95">
        <f>IF(ISNA(VLOOKUP($CZ205,'Audit Values'!$A$2:$BU$353,2,FALSE)),'Preliminary SO66'!AA204,VLOOKUP($CZ205,'Audit Values'!$A$2:$BU$353,41,FALSE))</f>
        <v>0</v>
      </c>
      <c r="AY205" s="95">
        <f>IF(ISNA(VLOOKUP($CZ205,'Audit Values'!$A$2:$BU$353,2,FALSE)),'Preliminary SO66'!AB204,VLOOKUP($CZ205,'Audit Values'!$A$2:$BU$353,42,FALSE))</f>
        <v>0</v>
      </c>
      <c r="AZ205" s="114">
        <v>0</v>
      </c>
      <c r="BA205" s="99">
        <f>SUM(AX205*'Weighting Factors'!$T$10)+('2019 Legal Max'!AY205*'Weighting Factors'!$T$11)+('2019 Legal Max'!AZ205*'Weighting Factors'!$T$12)</f>
        <v>0</v>
      </c>
      <c r="BB205" s="158">
        <v>0</v>
      </c>
      <c r="BC205" s="88">
        <f>IF(ISNA(VLOOKUP($CZ205,'Audit Values'!$A$2:$BU$353,2,FALSE)),"",IF(AND('Weighting Factors'!H205&gt;0,VLOOKUP($CZ205,'Audit Values'!$A$2:$BU$353,51,FALSE)&lt;'Weighting Factors'!H205),'Weighting Factors'!H205,VLOOKUP($CZ205,'Audit Values'!$A$2:$BU$353,50,FALSE)))</f>
        <v>17</v>
      </c>
      <c r="BD205" s="88" t="str">
        <f>IF(ISNA(VLOOKUP($CZ205,'Audit Values'!$A$2:$BV$353,2,FALSE)),"",VLOOKUP($CZ205,'Audit Values'!$A$2:$BV$353,51,FALSE))</f>
        <v>A</v>
      </c>
      <c r="BE205" s="88" t="str">
        <f>IF('Weighting Factors'!H205="","",IF('Weighting Factors'!J205="Pending","PX","R"))</f>
        <v/>
      </c>
      <c r="BF205" s="97">
        <f>SUM((S205+T205+Y205+AA205+AE205+AH205+AJ205++AO205+AP205+AQ205+AU205+AR205)*'Weighting Factors'!$Q$5)+'2019 Legal Max'!BA205+'2019 Legal Max'!BB205</f>
        <v>2735572</v>
      </c>
      <c r="BG205" s="99">
        <f>SUM((AV205+AR205)*'Weighting Factors'!$Q$5)+BA205+'2019 Legal Max'!BB205</f>
        <v>3082933</v>
      </c>
      <c r="BH205" s="108">
        <f>IF('Weighting Factors'!H205&gt;0,'Weighting Factors'!H205,'Preliminary SO66'!AV204)</f>
        <v>3169149</v>
      </c>
      <c r="BI205" s="99">
        <f t="shared" si="151"/>
        <v>3082933</v>
      </c>
      <c r="BJ205" s="112"/>
      <c r="BK205" s="112">
        <f>'Weighting Factors'!F205</f>
        <v>0</v>
      </c>
      <c r="BL205" s="112">
        <f>'Weighting Factors'!E205</f>
        <v>0</v>
      </c>
      <c r="BM205" s="99">
        <f t="shared" si="128"/>
        <v>0</v>
      </c>
      <c r="BN205" s="99">
        <f t="shared" si="129"/>
        <v>3082933</v>
      </c>
      <c r="BO205" s="99">
        <f>SUM((S205+T205+Y205+AA205+AE205+AH205+AJ205++AO205+AP205+AQ205+AR205)*'Weighting Factors'!Q$12)+(MAX(AS205,'Weighting Factors'!B205))</f>
        <v>3322720</v>
      </c>
      <c r="BP205" s="122">
        <v>0.3</v>
      </c>
      <c r="BQ205" s="99">
        <f t="shared" si="130"/>
        <v>996816</v>
      </c>
      <c r="BR205" s="108">
        <v>1015544</v>
      </c>
      <c r="BS205" s="99">
        <f t="shared" si="131"/>
        <v>996816</v>
      </c>
      <c r="BT205" s="167">
        <f t="shared" si="132"/>
        <v>0.3</v>
      </c>
      <c r="BU205" s="95">
        <f t="shared" si="133"/>
        <v>0</v>
      </c>
      <c r="BV205" s="87" t="b">
        <f t="shared" si="134"/>
        <v>0</v>
      </c>
      <c r="BW205" s="117">
        <f t="shared" si="135"/>
        <v>0</v>
      </c>
      <c r="BX205" s="116">
        <f t="shared" si="136"/>
        <v>0</v>
      </c>
      <c r="BY205" s="95">
        <f t="shared" si="137"/>
        <v>0</v>
      </c>
      <c r="BZ205" s="87" t="b">
        <f t="shared" si="138"/>
        <v>1</v>
      </c>
      <c r="CA205" s="87">
        <f t="shared" si="139"/>
        <v>124.36879999999999</v>
      </c>
      <c r="CB205" s="116">
        <f t="shared" si="140"/>
        <v>0.450042</v>
      </c>
      <c r="CC205" s="95">
        <f t="shared" si="141"/>
        <v>180.2</v>
      </c>
      <c r="CD205" s="95">
        <f t="shared" si="142"/>
        <v>0</v>
      </c>
      <c r="CE205" s="98">
        <v>674</v>
      </c>
      <c r="CF205" s="250">
        <f t="shared" si="143"/>
        <v>0.14199999999999999</v>
      </c>
      <c r="CG205" s="274">
        <f>IF(CF205&lt;0.06,1,IF(CF205&gt;=18.29,52,MATCH(CF205-0.001,'Weighting Factors'!$Y$5:$Y$156)+1))</f>
        <v>10</v>
      </c>
      <c r="CH205" s="243">
        <f>VLOOKUP(CG205, 'Weighting Factors'!$W$5:$Z$56,4)</f>
        <v>1370</v>
      </c>
      <c r="CI205" s="118">
        <f>('Weighting Factors'!$Q$5/'Weighting Factors'!$Q$14)</f>
        <v>1</v>
      </c>
      <c r="CJ205" s="245">
        <f t="shared" si="144"/>
        <v>131520</v>
      </c>
      <c r="CK205" s="245">
        <f>CJ205*'Weighting Factors'!$S$7</f>
        <v>131520</v>
      </c>
      <c r="CL205" s="245">
        <f t="shared" si="145"/>
        <v>131520</v>
      </c>
      <c r="CM205" s="95">
        <f>AM205/'Weighting Factors'!$Q$5</f>
        <v>31.6</v>
      </c>
      <c r="CN205" s="148">
        <v>0</v>
      </c>
      <c r="CO205" s="148">
        <v>0</v>
      </c>
      <c r="CP205" s="149">
        <v>0</v>
      </c>
      <c r="CQ205" s="151">
        <v>0</v>
      </c>
      <c r="CR205" s="99">
        <f>SUM((AV205*'Weighting Factors'!$Q$5)+'2019 Legal Max'!BA205)*CQ205</f>
        <v>0</v>
      </c>
      <c r="CS205" s="99">
        <f t="shared" si="146"/>
        <v>0</v>
      </c>
      <c r="CT205" s="106">
        <f t="shared" si="147"/>
        <v>0.17199999999999999</v>
      </c>
      <c r="CU205" s="95">
        <f t="shared" si="148"/>
        <v>0</v>
      </c>
      <c r="CV205" s="95">
        <f t="shared" si="149"/>
        <v>0</v>
      </c>
      <c r="CW205" s="95">
        <f t="shared" si="150"/>
        <v>740.2</v>
      </c>
      <c r="CX205" s="99">
        <f>'LOB Transfers'!G204</f>
        <v>45654</v>
      </c>
      <c r="CY205" s="99">
        <f>'LOB Transfers'!J204</f>
        <v>0</v>
      </c>
      <c r="CZ205" s="87" t="s">
        <v>397</v>
      </c>
    </row>
    <row r="206" spans="1:104" ht="15" customHeight="1">
      <c r="A206" s="88">
        <v>413</v>
      </c>
      <c r="B206" s="87" t="s">
        <v>4</v>
      </c>
      <c r="C206" s="87" t="s">
        <v>718</v>
      </c>
      <c r="D206" s="95">
        <v>1733</v>
      </c>
      <c r="E206" s="95">
        <v>0</v>
      </c>
      <c r="F206" s="95">
        <f t="shared" si="117"/>
        <v>1733</v>
      </c>
      <c r="G206" s="95">
        <v>1791.7</v>
      </c>
      <c r="H206" s="95">
        <v>0</v>
      </c>
      <c r="I206" s="95">
        <f t="shared" si="118"/>
        <v>1791.7</v>
      </c>
      <c r="J206" s="95">
        <v>1812</v>
      </c>
      <c r="K206" s="95">
        <v>0</v>
      </c>
      <c r="L206" s="95">
        <f t="shared" si="119"/>
        <v>1812</v>
      </c>
      <c r="M206" s="95">
        <f>IF(ISNA(VLOOKUP($CZ206,'Audit Values'!$A$2:$BW$365,2,FALSE)),'Preliminary SO66'!C205,VLOOKUP($CZ206,'Audit Values'!$A$2:$BW$365,73,FALSE))</f>
        <v>1822.5</v>
      </c>
      <c r="N206" s="95">
        <f>IF(ISNA(VLOOKUP($CZ206,'Audit Values'!$A$2:$BW$365,2,FALSE)),'Preliminary SO66'!F205,VLOOKUP($CZ206,'Audit Values'!$A$2:$BW$365,4,FALSE))</f>
        <v>0</v>
      </c>
      <c r="O206" s="95">
        <f t="shared" si="120"/>
        <v>1822.5</v>
      </c>
      <c r="P206" s="95">
        <f>IF('Military Provision'!J207="YES", MAX('2019 Legal Max'!L206,'2019 Legal Max'!I206,AVERAGE('2019 Legal Max'!F206,'2019 Legal Max'!I206,'2019 Legal Max'!L206)), MAX(L206, I206))</f>
        <v>1812</v>
      </c>
      <c r="Q206" s="95">
        <f>IF(ISNA(VLOOKUP($CZ206,'Audit Values'!$A$2:$BU$353,2,FALSE)),'Preliminary SO66'!AL205,VLOOKUP($CZ206,'Audit Values'!$A$2:$BU$3955,58,FALSE))</f>
        <v>20</v>
      </c>
      <c r="R206" s="95">
        <v>0</v>
      </c>
      <c r="S206" s="95">
        <f t="shared" si="116"/>
        <v>1832</v>
      </c>
      <c r="T206" s="95">
        <f t="shared" si="121"/>
        <v>64.2</v>
      </c>
      <c r="U206" s="95">
        <f>IF(ISNA(VLOOKUP($CZ206,'Audit Values'!$A$2:$BW$317,2,FALSE)),'Preliminary SO66'!AM205,VLOOKUP($CZ206,'Audit Values'!$A$2:$BW$317,62,FALSE))</f>
        <v>72</v>
      </c>
      <c r="V206" s="95">
        <f>(U206/6)*'Weighting Factors'!$Q$7</f>
        <v>4.7</v>
      </c>
      <c r="W206" s="132">
        <f>IF(ISNA(VLOOKUP($CZ206,'Audit Values'!$A$2:$BW$353,2,FALSE)),'Preliminary SO66'!AN205,VLOOKUP($CZ206,'Audit Values'!$A$2:$BW$353,61,FALSE))</f>
        <v>43</v>
      </c>
      <c r="X206" s="95">
        <f>W206*'Weighting Factors'!$Q$8</f>
        <v>8</v>
      </c>
      <c r="Y206" s="95">
        <f t="shared" si="122"/>
        <v>8</v>
      </c>
      <c r="Z206" s="276">
        <f>IF(ISNA(VLOOKUP($CZ206,'Audit Values'!$A$2:$BW$317,2,FALSE)),'Preliminary SO66'!AO205,VLOOKUP($CZ206,'Audit Values'!$A$2:$BW$317,60,FALSE))</f>
        <v>559.29999999999995</v>
      </c>
      <c r="AA206" s="95">
        <f>Z206/6*'Weighting Factors'!$Q$6</f>
        <v>46.6</v>
      </c>
      <c r="AB206" s="99">
        <f>IF(ISNA(VLOOKUP($CZ206,'Audit Values'!$A$2:$BU$353,2,FALSE)),'Preliminary SO66'!AS205,VLOOKUP($CZ206,'Audit Values'!$A$2:$BU$353,63,FALSE))</f>
        <v>1884</v>
      </c>
      <c r="AC206" s="99">
        <v>0</v>
      </c>
      <c r="AD206" s="99">
        <f>IF(ISNA(VLOOKUP($CZ206,'Audit Values'!$A$2:$BU$353,2,FALSE)),'Preliminary SO66'!AP205,VLOOKUP($CZ206,'Audit Values'!$A$2:$BU$353,64,FALSE))</f>
        <v>956</v>
      </c>
      <c r="AE206" s="95">
        <f>IF(A206=207, AD206,MAX(AC206,AD206))*'Weighting Factors'!$Q$9</f>
        <v>462.7</v>
      </c>
      <c r="AF206" s="95">
        <f t="shared" si="123"/>
        <v>100.4</v>
      </c>
      <c r="AG206" s="95">
        <f>IF(ISNA(VLOOKUP($CZ206,'Audit Values'!$A$2:$BW$353,2,FALSE)),'Preliminary SO66'!AG205,VLOOKUP($CZ206,'Audit Values'!$A$2:$BW$353,70,FALSE))</f>
        <v>87.4</v>
      </c>
      <c r="AH206" s="95">
        <f t="shared" si="124"/>
        <v>100.4</v>
      </c>
      <c r="AI206" s="95">
        <f>IF(ISNA(VLOOKUP($CZ206,'Audit Values'!$A$2:$BU$353,2,FALSE)),'Preliminary SO66'!AQ205,VLOOKUP($CZ206,'Audit Values'!$A$2:$BU$353,65,FALSE))</f>
        <v>0</v>
      </c>
      <c r="AJ206" s="95">
        <f>AI206*'Weighting Factors'!$Q$10</f>
        <v>0</v>
      </c>
      <c r="AK206" s="95">
        <f>IF(ISNA(VLOOKUP($CZ206,'Audit Values'!$A$2:$BU$353,2,FALSE)),'Preliminary SO66'!AR205,VLOOKUP($CZ206,'Audit Values'!$A$2:$BU$353,66,FALSE))</f>
        <v>592</v>
      </c>
      <c r="AL206" s="95"/>
      <c r="AM206" s="99">
        <f t="shared" si="125"/>
        <v>420320</v>
      </c>
      <c r="AN206" s="99">
        <v>439513</v>
      </c>
      <c r="AO206" s="95">
        <f>MAX(AN206, AM206)/'Weighting Factors'!$Q$5</f>
        <v>105.5</v>
      </c>
      <c r="AP206" s="95">
        <f>CN206/'Weighting Factors'!$Q$5</f>
        <v>0</v>
      </c>
      <c r="AQ206" s="95">
        <v>0</v>
      </c>
      <c r="AR206" s="95">
        <f>CS206/'Weighting Factors'!$Q$5</f>
        <v>0</v>
      </c>
      <c r="AS206" s="99">
        <v>2374106</v>
      </c>
      <c r="AT206" s="95">
        <f>AS206/'Weighting Factors'!$Q$5</f>
        <v>570</v>
      </c>
      <c r="AU206" s="95">
        <f>IF(ISNA(VLOOKUP($CZ206,'Audit Values'!$A$2:$BU$353,2,FALSE)),'Preliminary SO66'!X205,VLOOKUP($CZ206,'Audit Values'!$A$2:$BU$353,47,FALSE))</f>
        <v>0</v>
      </c>
      <c r="AV206" s="95">
        <f t="shared" si="126"/>
        <v>3189.4</v>
      </c>
      <c r="AW206" s="95">
        <f t="shared" si="127"/>
        <v>2619.4</v>
      </c>
      <c r="AX206" s="95">
        <f>IF(ISNA(VLOOKUP($CZ206,'Audit Values'!$A$2:$BU$353,2,FALSE)),'Preliminary SO66'!AA205,VLOOKUP($CZ206,'Audit Values'!$A$2:$BU$353,41,FALSE))</f>
        <v>1</v>
      </c>
      <c r="AY206" s="95">
        <f>IF(ISNA(VLOOKUP($CZ206,'Audit Values'!$A$2:$BU$353,2,FALSE)),'Preliminary SO66'!AB205,VLOOKUP($CZ206,'Audit Values'!$A$2:$BU$353,42,FALSE))</f>
        <v>0.8</v>
      </c>
      <c r="AZ206" s="114">
        <v>0</v>
      </c>
      <c r="BA206" s="99">
        <f>SUM(AX206*'Weighting Factors'!$T$10)+('2019 Legal Max'!AY206*'Weighting Factors'!$T$11)+('2019 Legal Max'!AZ206*'Weighting Factors'!$T$12)</f>
        <v>6360</v>
      </c>
      <c r="BB206" s="158">
        <v>0</v>
      </c>
      <c r="BC206" s="88">
        <f>IF(ISNA(VLOOKUP($CZ206,'Audit Values'!$A$2:$BU$353,2,FALSE)),"",IF(AND('Weighting Factors'!H206&gt;0,VLOOKUP($CZ206,'Audit Values'!$A$2:$BU$353,51,FALSE)&lt;'Weighting Factors'!H206),'Weighting Factors'!H206,VLOOKUP($CZ206,'Audit Values'!$A$2:$BU$353,50,FALSE)))</f>
        <v>25</v>
      </c>
      <c r="BD206" s="88" t="str">
        <f>IF(ISNA(VLOOKUP($CZ206,'Audit Values'!$A$2:$BV$353,2,FALSE)),"",VLOOKUP($CZ206,'Audit Values'!$A$2:$BV$353,51,FALSE))</f>
        <v>A</v>
      </c>
      <c r="BE206" s="88" t="str">
        <f>IF('Weighting Factors'!H206="","",IF('Weighting Factors'!J206="Pending","PX","R"))</f>
        <v>R</v>
      </c>
      <c r="BF206" s="97">
        <f>SUM((S206+T206+Y206+AA206+AE206+AH206+AJ206++AO206+AP206+AQ206+AU206+AR206)*'Weighting Factors'!$Q$5)+'2019 Legal Max'!BA206+'2019 Legal Max'!BB206</f>
        <v>10916161</v>
      </c>
      <c r="BG206" s="99">
        <f>SUM((AV206+AR206)*'Weighting Factors'!$Q$5)+BA206+'2019 Legal Max'!BB206</f>
        <v>13290211</v>
      </c>
      <c r="BH206" s="108">
        <f>IF('Weighting Factors'!H206&gt;0,'Weighting Factors'!H206,'Preliminary SO66'!AV205)</f>
        <v>13292510</v>
      </c>
      <c r="BI206" s="99">
        <f t="shared" si="151"/>
        <v>13290211</v>
      </c>
      <c r="BJ206" s="112"/>
      <c r="BK206" s="112">
        <f>'Weighting Factors'!F206</f>
        <v>-18885</v>
      </c>
      <c r="BL206" s="112">
        <f>'Weighting Factors'!E206</f>
        <v>-709</v>
      </c>
      <c r="BM206" s="99">
        <f t="shared" si="128"/>
        <v>-19594</v>
      </c>
      <c r="BN206" s="99">
        <f t="shared" si="129"/>
        <v>13270617</v>
      </c>
      <c r="BO206" s="99">
        <f>SUM((S206+T206+Y206+AA206+AE206+AH206+AJ206++AO206+AP206+AQ206+AR206)*'Weighting Factors'!Q$12)+(MAX(AS206,'Weighting Factors'!B206))</f>
        <v>14135212</v>
      </c>
      <c r="BP206" s="122">
        <v>0.3</v>
      </c>
      <c r="BQ206" s="99">
        <f t="shared" si="130"/>
        <v>4240564</v>
      </c>
      <c r="BR206" s="108">
        <v>4213188</v>
      </c>
      <c r="BS206" s="99">
        <f t="shared" si="131"/>
        <v>4213188</v>
      </c>
      <c r="BT206" s="167">
        <f t="shared" si="132"/>
        <v>0.29809999999999998</v>
      </c>
      <c r="BU206" s="95">
        <f t="shared" si="133"/>
        <v>0</v>
      </c>
      <c r="BV206" s="87" t="b">
        <f t="shared" si="134"/>
        <v>0</v>
      </c>
      <c r="BW206" s="117">
        <f t="shared" si="135"/>
        <v>0</v>
      </c>
      <c r="BX206" s="116">
        <f t="shared" si="136"/>
        <v>0</v>
      </c>
      <c r="BY206" s="95">
        <f t="shared" si="137"/>
        <v>0</v>
      </c>
      <c r="BZ206" s="87" t="b">
        <f t="shared" si="138"/>
        <v>0</v>
      </c>
      <c r="CA206" s="87">
        <f t="shared" si="139"/>
        <v>0</v>
      </c>
      <c r="CB206" s="116">
        <f t="shared" si="140"/>
        <v>0</v>
      </c>
      <c r="CC206" s="95">
        <f t="shared" si="141"/>
        <v>0</v>
      </c>
      <c r="CD206" s="95">
        <f t="shared" si="142"/>
        <v>64.2</v>
      </c>
      <c r="CE206" s="98">
        <v>125</v>
      </c>
      <c r="CF206" s="250">
        <f t="shared" si="143"/>
        <v>4.7359999999999998</v>
      </c>
      <c r="CG206" s="274">
        <f>IF(CF206&lt;0.06,1,IF(CF206&gt;=18.29,52,MATCH(CF206-0.001,'Weighting Factors'!$Y$5:$Y$156)+1))</f>
        <v>44</v>
      </c>
      <c r="CH206" s="243">
        <f>VLOOKUP(CG206, 'Weighting Factors'!$W$5:$Z$56,4)</f>
        <v>710</v>
      </c>
      <c r="CI206" s="118">
        <f>('Weighting Factors'!$Q$5/'Weighting Factors'!$Q$14)</f>
        <v>1</v>
      </c>
      <c r="CJ206" s="245">
        <f t="shared" si="144"/>
        <v>420320</v>
      </c>
      <c r="CK206" s="245">
        <f>CJ206*'Weighting Factors'!$S$7</f>
        <v>420320</v>
      </c>
      <c r="CL206" s="245">
        <f t="shared" si="145"/>
        <v>420320</v>
      </c>
      <c r="CM206" s="95">
        <f>AM206/'Weighting Factors'!$Q$5</f>
        <v>100.9</v>
      </c>
      <c r="CN206" s="148">
        <v>0</v>
      </c>
      <c r="CO206" s="148">
        <v>0</v>
      </c>
      <c r="CP206" s="149">
        <v>0</v>
      </c>
      <c r="CQ206" s="151">
        <v>0</v>
      </c>
      <c r="CR206" s="99">
        <f>SUM((AV206*'Weighting Factors'!$Q$5)+'2019 Legal Max'!BA206)*CQ206</f>
        <v>0</v>
      </c>
      <c r="CS206" s="99">
        <f t="shared" si="146"/>
        <v>0</v>
      </c>
      <c r="CT206" s="106">
        <f t="shared" si="147"/>
        <v>0.50739999999999996</v>
      </c>
      <c r="CU206" s="95">
        <f t="shared" si="148"/>
        <v>100.4</v>
      </c>
      <c r="CV206" s="95">
        <f t="shared" si="149"/>
        <v>0</v>
      </c>
      <c r="CW206" s="95">
        <f t="shared" si="150"/>
        <v>3189.4</v>
      </c>
      <c r="CX206" s="99">
        <f>'LOB Transfers'!G205</f>
        <v>615125</v>
      </c>
      <c r="CY206" s="99">
        <f>'LOB Transfers'!J205</f>
        <v>10533</v>
      </c>
      <c r="CZ206" s="87" t="s">
        <v>398</v>
      </c>
    </row>
    <row r="207" spans="1:104" ht="15" customHeight="1">
      <c r="A207" s="88">
        <v>415</v>
      </c>
      <c r="B207" s="87" t="s">
        <v>94</v>
      </c>
      <c r="C207" s="87" t="s">
        <v>719</v>
      </c>
      <c r="D207" s="95">
        <v>852</v>
      </c>
      <c r="E207" s="95">
        <v>0</v>
      </c>
      <c r="F207" s="95">
        <f t="shared" si="117"/>
        <v>852</v>
      </c>
      <c r="G207" s="95">
        <v>914.6</v>
      </c>
      <c r="H207" s="95">
        <v>0</v>
      </c>
      <c r="I207" s="95">
        <f t="shared" si="118"/>
        <v>914.6</v>
      </c>
      <c r="J207" s="95">
        <v>912</v>
      </c>
      <c r="K207" s="95">
        <v>0</v>
      </c>
      <c r="L207" s="95">
        <f t="shared" si="119"/>
        <v>912</v>
      </c>
      <c r="M207" s="95">
        <f>IF(ISNA(VLOOKUP($CZ207,'Audit Values'!$A$2:$BW$365,2,FALSE)),'Preliminary SO66'!C206,VLOOKUP($CZ207,'Audit Values'!$A$2:$BW$365,73,FALSE))</f>
        <v>950.7</v>
      </c>
      <c r="N207" s="95">
        <f>IF(ISNA(VLOOKUP($CZ207,'Audit Values'!$A$2:$BW$365,2,FALSE)),'Preliminary SO66'!F206,VLOOKUP($CZ207,'Audit Values'!$A$2:$BW$365,4,FALSE))</f>
        <v>0</v>
      </c>
      <c r="O207" s="95">
        <f t="shared" si="120"/>
        <v>950.7</v>
      </c>
      <c r="P207" s="95">
        <f>IF('Military Provision'!J208="YES", MAX('2019 Legal Max'!L207,'2019 Legal Max'!I207,AVERAGE('2019 Legal Max'!F207,'2019 Legal Max'!I207,'2019 Legal Max'!L207)), MAX(L207, I207))</f>
        <v>914.6</v>
      </c>
      <c r="Q207" s="95">
        <f>IF(ISNA(VLOOKUP($CZ207,'Audit Values'!$A$2:$BU$353,2,FALSE)),'Preliminary SO66'!AL206,VLOOKUP($CZ207,'Audit Values'!$A$2:$BU$3955,58,FALSE))</f>
        <v>7.5</v>
      </c>
      <c r="R207" s="95">
        <v>0</v>
      </c>
      <c r="S207" s="95">
        <f t="shared" si="116"/>
        <v>922.1</v>
      </c>
      <c r="T207" s="95">
        <f t="shared" si="121"/>
        <v>251.6</v>
      </c>
      <c r="U207" s="95">
        <f>IF(ISNA(VLOOKUP($CZ207,'Audit Values'!$A$2:$BW$317,2,FALSE)),'Preliminary SO66'!AM206,VLOOKUP($CZ207,'Audit Values'!$A$2:$BW$317,62,FALSE))</f>
        <v>0.5</v>
      </c>
      <c r="V207" s="95">
        <f>(U207/6)*'Weighting Factors'!$Q$7</f>
        <v>0</v>
      </c>
      <c r="W207" s="132">
        <f>IF(ISNA(VLOOKUP($CZ207,'Audit Values'!$A$2:$BW$353,2,FALSE)),'Preliminary SO66'!AN206,VLOOKUP($CZ207,'Audit Values'!$A$2:$BW$353,61,FALSE))</f>
        <v>1</v>
      </c>
      <c r="X207" s="95">
        <f>W207*'Weighting Factors'!$Q$8</f>
        <v>0.2</v>
      </c>
      <c r="Y207" s="95">
        <f t="shared" si="122"/>
        <v>0.2</v>
      </c>
      <c r="Z207" s="276">
        <f>IF(ISNA(VLOOKUP($CZ207,'Audit Values'!$A$2:$BW$317,2,FALSE)),'Preliminary SO66'!AO206,VLOOKUP($CZ207,'Audit Values'!$A$2:$BW$317,60,FALSE))</f>
        <v>240.8</v>
      </c>
      <c r="AA207" s="95">
        <f>Z207/6*'Weighting Factors'!$Q$6</f>
        <v>20.100000000000001</v>
      </c>
      <c r="AB207" s="99">
        <f>IF(ISNA(VLOOKUP($CZ207,'Audit Values'!$A$2:$BU$353,2,FALSE)),'Preliminary SO66'!AS206,VLOOKUP($CZ207,'Audit Values'!$A$2:$BU$353,63,FALSE))</f>
        <v>977</v>
      </c>
      <c r="AC207" s="99">
        <v>0</v>
      </c>
      <c r="AD207" s="99">
        <f>IF(ISNA(VLOOKUP($CZ207,'Audit Values'!$A$2:$BU$353,2,FALSE)),'Preliminary SO66'!AP206,VLOOKUP($CZ207,'Audit Values'!$A$2:$BU$353,64,FALSE))</f>
        <v>394</v>
      </c>
      <c r="AE207" s="95">
        <f>IF(A207=207, AD207,MAX(AC207,AD207))*'Weighting Factors'!$Q$9</f>
        <v>190.7</v>
      </c>
      <c r="AF207" s="95">
        <f t="shared" si="123"/>
        <v>14.7</v>
      </c>
      <c r="AG207" s="95">
        <f>IF(ISNA(VLOOKUP($CZ207,'Audit Values'!$A$2:$BW$353,2,FALSE)),'Preliminary SO66'!AG206,VLOOKUP($CZ207,'Audit Values'!$A$2:$BW$353,70,FALSE))</f>
        <v>19.7</v>
      </c>
      <c r="AH207" s="95">
        <f t="shared" si="124"/>
        <v>19.7</v>
      </c>
      <c r="AI207" s="95">
        <f>IF(ISNA(VLOOKUP($CZ207,'Audit Values'!$A$2:$BU$353,2,FALSE)),'Preliminary SO66'!AQ206,VLOOKUP($CZ207,'Audit Values'!$A$2:$BU$353,65,FALSE))</f>
        <v>0</v>
      </c>
      <c r="AJ207" s="95">
        <f>AI207*'Weighting Factors'!$Q$10</f>
        <v>0</v>
      </c>
      <c r="AK207" s="95">
        <f>IF(ISNA(VLOOKUP($CZ207,'Audit Values'!$A$2:$BU$353,2,FALSE)),'Preliminary SO66'!AR206,VLOOKUP($CZ207,'Audit Values'!$A$2:$BU$353,66,FALSE))</f>
        <v>266</v>
      </c>
      <c r="AL207" s="95"/>
      <c r="AM207" s="99">
        <f t="shared" si="125"/>
        <v>263340</v>
      </c>
      <c r="AN207" s="99">
        <v>292752</v>
      </c>
      <c r="AO207" s="95">
        <f>MAX(AN207, AM207)/'Weighting Factors'!$Q$5</f>
        <v>70.3</v>
      </c>
      <c r="AP207" s="95">
        <f>CN207/'Weighting Factors'!$Q$5</f>
        <v>0</v>
      </c>
      <c r="AQ207" s="95">
        <v>0</v>
      </c>
      <c r="AR207" s="95">
        <f>CS207/'Weighting Factors'!$Q$5</f>
        <v>0</v>
      </c>
      <c r="AS207" s="99">
        <v>1045865</v>
      </c>
      <c r="AT207" s="95">
        <f>AS207/'Weighting Factors'!$Q$5</f>
        <v>251.1</v>
      </c>
      <c r="AU207" s="95">
        <f>IF(ISNA(VLOOKUP($CZ207,'Audit Values'!$A$2:$BU$353,2,FALSE)),'Preliminary SO66'!X206,VLOOKUP($CZ207,'Audit Values'!$A$2:$BU$353,47,FALSE))</f>
        <v>1</v>
      </c>
      <c r="AV207" s="95">
        <f t="shared" si="126"/>
        <v>1726.8</v>
      </c>
      <c r="AW207" s="95">
        <f t="shared" si="127"/>
        <v>1475.7</v>
      </c>
      <c r="AX207" s="95">
        <f>IF(ISNA(VLOOKUP($CZ207,'Audit Values'!$A$2:$BU$353,2,FALSE)),'Preliminary SO66'!AA206,VLOOKUP($CZ207,'Audit Values'!$A$2:$BU$353,41,FALSE))</f>
        <v>1</v>
      </c>
      <c r="AY207" s="95">
        <f>IF(ISNA(VLOOKUP($CZ207,'Audit Values'!$A$2:$BU$353,2,FALSE)),'Preliminary SO66'!AB206,VLOOKUP($CZ207,'Audit Values'!$A$2:$BU$353,42,FALSE))</f>
        <v>0</v>
      </c>
      <c r="AZ207" s="114">
        <v>10.5</v>
      </c>
      <c r="BA207" s="99">
        <f>SUM(AX207*'Weighting Factors'!$T$10)+('2019 Legal Max'!AY207*'Weighting Factors'!$T$11)+('2019 Legal Max'!AZ207*'Weighting Factors'!$T$12)</f>
        <v>12445</v>
      </c>
      <c r="BB207" s="158">
        <v>0</v>
      </c>
      <c r="BC207" s="88">
        <f>IF(ISNA(VLOOKUP($CZ207,'Audit Values'!$A$2:$BU$353,2,FALSE)),"",IF(AND('Weighting Factors'!H207&gt;0,VLOOKUP($CZ207,'Audit Values'!$A$2:$BU$353,51,FALSE)&lt;'Weighting Factors'!H207),'Weighting Factors'!H207,VLOOKUP($CZ207,'Audit Values'!$A$2:$BU$353,50,FALSE)))</f>
        <v>5</v>
      </c>
      <c r="BD207" s="88" t="str">
        <f>IF(ISNA(VLOOKUP($CZ207,'Audit Values'!$A$2:$BV$353,2,FALSE)),"",VLOOKUP($CZ207,'Audit Values'!$A$2:$BV$353,51,FALSE))</f>
        <v>A</v>
      </c>
      <c r="BE207" s="88" t="str">
        <f>IF('Weighting Factors'!H207="","",IF('Weighting Factors'!J207="Pending","PX","R"))</f>
        <v>R</v>
      </c>
      <c r="BF207" s="97">
        <f>SUM((S207+T207+Y207+AA207+AE207+AH207+AJ207++AO207+AP207+AQ207+AU207+AR207)*'Weighting Factors'!$Q$5)+'2019 Legal Max'!BA207+'2019 Legal Max'!BB207</f>
        <v>6158736</v>
      </c>
      <c r="BG207" s="99">
        <f>SUM((AV207+AR207)*'Weighting Factors'!$Q$5)+BA207+'2019 Legal Max'!BB207</f>
        <v>7204567</v>
      </c>
      <c r="BH207" s="108">
        <f>IF('Weighting Factors'!H207&gt;0,'Weighting Factors'!H207,'Preliminary SO66'!AV206)</f>
        <v>7204567</v>
      </c>
      <c r="BI207" s="99">
        <f t="shared" si="151"/>
        <v>7204567</v>
      </c>
      <c r="BJ207" s="112"/>
      <c r="BK207" s="112">
        <f>'Weighting Factors'!F207</f>
        <v>0</v>
      </c>
      <c r="BL207" s="112">
        <f>'Weighting Factors'!E207</f>
        <v>0</v>
      </c>
      <c r="BM207" s="99">
        <f t="shared" si="128"/>
        <v>0</v>
      </c>
      <c r="BN207" s="99">
        <f t="shared" si="129"/>
        <v>7204567</v>
      </c>
      <c r="BO207" s="99">
        <f>SUM((S207+T207+Y207+AA207+AE207+AH207+AJ207++AO207+AP207+AQ207+AR207)*'Weighting Factors'!Q$12)+(MAX(AS207,'Weighting Factors'!B207))</f>
        <v>7667268</v>
      </c>
      <c r="BP207" s="122">
        <v>0.3</v>
      </c>
      <c r="BQ207" s="99">
        <f t="shared" si="130"/>
        <v>2300180</v>
      </c>
      <c r="BR207" s="108">
        <v>2302575</v>
      </c>
      <c r="BS207" s="99">
        <f t="shared" si="131"/>
        <v>2300180</v>
      </c>
      <c r="BT207" s="167">
        <f t="shared" si="132"/>
        <v>0.3</v>
      </c>
      <c r="BU207" s="95">
        <f t="shared" si="133"/>
        <v>0</v>
      </c>
      <c r="BV207" s="87" t="b">
        <f t="shared" si="134"/>
        <v>0</v>
      </c>
      <c r="BW207" s="117">
        <f t="shared" si="135"/>
        <v>0</v>
      </c>
      <c r="BX207" s="116">
        <f t="shared" si="136"/>
        <v>0</v>
      </c>
      <c r="BY207" s="95">
        <f t="shared" si="137"/>
        <v>0</v>
      </c>
      <c r="BZ207" s="87" t="b">
        <f t="shared" si="138"/>
        <v>1</v>
      </c>
      <c r="CA207" s="87">
        <f t="shared" si="139"/>
        <v>769.84879999999998</v>
      </c>
      <c r="CB207" s="116">
        <f t="shared" si="140"/>
        <v>0.27282899999999999</v>
      </c>
      <c r="CC207" s="95">
        <f t="shared" si="141"/>
        <v>251.6</v>
      </c>
      <c r="CD207" s="95">
        <f t="shared" si="142"/>
        <v>0</v>
      </c>
      <c r="CE207" s="98">
        <v>331</v>
      </c>
      <c r="CF207" s="250">
        <f t="shared" si="143"/>
        <v>0.80400000000000005</v>
      </c>
      <c r="CG207" s="274">
        <f>IF(CF207&lt;0.06,1,IF(CF207&gt;=18.29,52,MATCH(CF207-0.001,'Weighting Factors'!$Y$5:$Y$156)+1))</f>
        <v>30</v>
      </c>
      <c r="CH207" s="243">
        <f>VLOOKUP(CG207, 'Weighting Factors'!$W$5:$Z$56,4)</f>
        <v>990</v>
      </c>
      <c r="CI207" s="118">
        <f>('Weighting Factors'!$Q$5/'Weighting Factors'!$Q$14)</f>
        <v>1</v>
      </c>
      <c r="CJ207" s="245">
        <f t="shared" si="144"/>
        <v>263340</v>
      </c>
      <c r="CK207" s="245">
        <f>CJ207*'Weighting Factors'!$S$7</f>
        <v>263340</v>
      </c>
      <c r="CL207" s="245">
        <f t="shared" si="145"/>
        <v>263340</v>
      </c>
      <c r="CM207" s="95">
        <f>AM207/'Weighting Factors'!$Q$5</f>
        <v>63.2</v>
      </c>
      <c r="CN207" s="148">
        <v>0</v>
      </c>
      <c r="CO207" s="148">
        <v>0</v>
      </c>
      <c r="CP207" s="149">
        <v>0</v>
      </c>
      <c r="CQ207" s="151">
        <v>0</v>
      </c>
      <c r="CR207" s="99">
        <f>SUM((AV207*'Weighting Factors'!$Q$5)+'2019 Legal Max'!BA207)*CQ207</f>
        <v>0</v>
      </c>
      <c r="CS207" s="99">
        <f t="shared" si="146"/>
        <v>0</v>
      </c>
      <c r="CT207" s="106">
        <f t="shared" si="147"/>
        <v>0.40329999999999999</v>
      </c>
      <c r="CU207" s="95">
        <f t="shared" si="148"/>
        <v>0</v>
      </c>
      <c r="CV207" s="95">
        <f t="shared" si="149"/>
        <v>14.7</v>
      </c>
      <c r="CW207" s="95">
        <f t="shared" si="150"/>
        <v>1726.8</v>
      </c>
      <c r="CX207" s="99">
        <f>'LOB Transfers'!G206</f>
        <v>255320</v>
      </c>
      <c r="CY207" s="99">
        <f>'LOB Transfers'!J206</f>
        <v>230</v>
      </c>
      <c r="CZ207" s="87" t="s">
        <v>399</v>
      </c>
    </row>
    <row r="208" spans="1:104" ht="15" customHeight="1">
      <c r="A208" s="88">
        <v>416</v>
      </c>
      <c r="B208" s="87" t="s">
        <v>73</v>
      </c>
      <c r="C208" s="87" t="s">
        <v>720</v>
      </c>
      <c r="D208" s="95">
        <v>1662.4</v>
      </c>
      <c r="E208" s="95">
        <v>0</v>
      </c>
      <c r="F208" s="95">
        <f t="shared" si="117"/>
        <v>1662.4</v>
      </c>
      <c r="G208" s="95">
        <v>1656.9</v>
      </c>
      <c r="H208" s="95">
        <v>0</v>
      </c>
      <c r="I208" s="95">
        <f t="shared" si="118"/>
        <v>1656.9</v>
      </c>
      <c r="J208" s="95">
        <v>1688.5</v>
      </c>
      <c r="K208" s="95">
        <v>0</v>
      </c>
      <c r="L208" s="95">
        <f t="shared" si="119"/>
        <v>1688.5</v>
      </c>
      <c r="M208" s="95">
        <f>IF(ISNA(VLOOKUP($CZ208,'Audit Values'!$A$2:$BW$365,2,FALSE)),'Preliminary SO66'!C207,VLOOKUP($CZ208,'Audit Values'!$A$2:$BW$365,73,FALSE))</f>
        <v>1681.8</v>
      </c>
      <c r="N208" s="95">
        <f>IF(ISNA(VLOOKUP($CZ208,'Audit Values'!$A$2:$BW$365,2,FALSE)),'Preliminary SO66'!F207,VLOOKUP($CZ208,'Audit Values'!$A$2:$BW$365,4,FALSE))</f>
        <v>0</v>
      </c>
      <c r="O208" s="95">
        <f t="shared" si="120"/>
        <v>1681.8</v>
      </c>
      <c r="P208" s="95">
        <f>IF('Military Provision'!J209="YES", MAX('2019 Legal Max'!L208,'2019 Legal Max'!I208,AVERAGE('2019 Legal Max'!F208,'2019 Legal Max'!I208,'2019 Legal Max'!L208)), MAX(L208, I208))</f>
        <v>1688.5</v>
      </c>
      <c r="Q208" s="95">
        <f>IF(ISNA(VLOOKUP($CZ208,'Audit Values'!$A$2:$BU$353,2,FALSE)),'Preliminary SO66'!AL207,VLOOKUP($CZ208,'Audit Values'!$A$2:$BU$3955,58,FALSE))</f>
        <v>0</v>
      </c>
      <c r="R208" s="95">
        <v>0</v>
      </c>
      <c r="S208" s="95">
        <f t="shared" si="116"/>
        <v>1688.5</v>
      </c>
      <c r="T208" s="95">
        <f t="shared" si="121"/>
        <v>59.2</v>
      </c>
      <c r="U208" s="95">
        <f>IF(ISNA(VLOOKUP($CZ208,'Audit Values'!$A$2:$BW$317,2,FALSE)),'Preliminary SO66'!AM207,VLOOKUP($CZ208,'Audit Values'!$A$2:$BW$317,62,FALSE))</f>
        <v>62.4</v>
      </c>
      <c r="V208" s="95">
        <f>(U208/6)*'Weighting Factors'!$Q$7</f>
        <v>4.0999999999999996</v>
      </c>
      <c r="W208" s="132">
        <f>IF(ISNA(VLOOKUP($CZ208,'Audit Values'!$A$2:$BW$353,2,FALSE)),'Preliminary SO66'!AN207,VLOOKUP($CZ208,'Audit Values'!$A$2:$BW$353,61,FALSE))</f>
        <v>29</v>
      </c>
      <c r="X208" s="95">
        <f>W208*'Weighting Factors'!$Q$8</f>
        <v>5.4</v>
      </c>
      <c r="Y208" s="95">
        <f t="shared" si="122"/>
        <v>5.4</v>
      </c>
      <c r="Z208" s="276">
        <f>IF(ISNA(VLOOKUP($CZ208,'Audit Values'!$A$2:$BW$317,2,FALSE)),'Preliminary SO66'!AO207,VLOOKUP($CZ208,'Audit Values'!$A$2:$BW$317,60,FALSE))</f>
        <v>401.6</v>
      </c>
      <c r="AA208" s="95">
        <f>Z208/6*'Weighting Factors'!$Q$6</f>
        <v>33.5</v>
      </c>
      <c r="AB208" s="99">
        <f>IF(ISNA(VLOOKUP($CZ208,'Audit Values'!$A$2:$BU$353,2,FALSE)),'Preliminary SO66'!AS207,VLOOKUP($CZ208,'Audit Values'!$A$2:$BU$353,63,FALSE))</f>
        <v>1699</v>
      </c>
      <c r="AC208" s="99">
        <v>0</v>
      </c>
      <c r="AD208" s="99">
        <f>IF(ISNA(VLOOKUP($CZ208,'Audit Values'!$A$2:$BU$353,2,FALSE)),'Preliminary SO66'!AP207,VLOOKUP($CZ208,'Audit Values'!$A$2:$BU$353,64,FALSE))</f>
        <v>265</v>
      </c>
      <c r="AE208" s="95">
        <f>IF(A208=207, AD208,MAX(AC208,AD208))*'Weighting Factors'!$Q$9</f>
        <v>128.30000000000001</v>
      </c>
      <c r="AF208" s="95">
        <f t="shared" si="123"/>
        <v>0</v>
      </c>
      <c r="AG208" s="95">
        <f>IF(ISNA(VLOOKUP($CZ208,'Audit Values'!$A$2:$BW$353,2,FALSE)),'Preliminary SO66'!AG207,VLOOKUP($CZ208,'Audit Values'!$A$2:$BW$353,70,FALSE))</f>
        <v>0</v>
      </c>
      <c r="AH208" s="95">
        <f t="shared" si="124"/>
        <v>0</v>
      </c>
      <c r="AI208" s="95">
        <f>IF(ISNA(VLOOKUP($CZ208,'Audit Values'!$A$2:$BU$353,2,FALSE)),'Preliminary SO66'!AQ207,VLOOKUP($CZ208,'Audit Values'!$A$2:$BU$353,65,FALSE))</f>
        <v>0</v>
      </c>
      <c r="AJ208" s="95">
        <f>AI208*'Weighting Factors'!$Q$10</f>
        <v>0</v>
      </c>
      <c r="AK208" s="95">
        <f>IF(ISNA(VLOOKUP($CZ208,'Audit Values'!$A$2:$BU$353,2,FALSE)),'Preliminary SO66'!AR207,VLOOKUP($CZ208,'Audit Values'!$A$2:$BU$353,66,FALSE))</f>
        <v>667</v>
      </c>
      <c r="AL208" s="95"/>
      <c r="AM208" s="99">
        <f t="shared" si="125"/>
        <v>486910</v>
      </c>
      <c r="AN208" s="99">
        <v>531191</v>
      </c>
      <c r="AO208" s="95">
        <f>MAX(AN208, AM208)/'Weighting Factors'!$Q$5</f>
        <v>127.5</v>
      </c>
      <c r="AP208" s="95">
        <f>CN208/'Weighting Factors'!$Q$5</f>
        <v>0</v>
      </c>
      <c r="AQ208" s="95">
        <v>0</v>
      </c>
      <c r="AR208" s="95">
        <f>CS208/'Weighting Factors'!$Q$5</f>
        <v>55</v>
      </c>
      <c r="AS208" s="99">
        <v>1286923</v>
      </c>
      <c r="AT208" s="95">
        <f>AS208/'Weighting Factors'!$Q$5</f>
        <v>309</v>
      </c>
      <c r="AU208" s="95">
        <f>IF(ISNA(VLOOKUP($CZ208,'Audit Values'!$A$2:$BU$353,2,FALSE)),'Preliminary SO66'!X207,VLOOKUP($CZ208,'Audit Values'!$A$2:$BU$353,47,FALSE))</f>
        <v>0</v>
      </c>
      <c r="AV208" s="95">
        <f t="shared" si="126"/>
        <v>2351.4</v>
      </c>
      <c r="AW208" s="95">
        <f t="shared" si="127"/>
        <v>2097.4</v>
      </c>
      <c r="AX208" s="95">
        <f>IF(ISNA(VLOOKUP($CZ208,'Audit Values'!$A$2:$BU$353,2,FALSE)),'Preliminary SO66'!AA207,VLOOKUP($CZ208,'Audit Values'!$A$2:$BU$353,41,FALSE))</f>
        <v>14</v>
      </c>
      <c r="AY208" s="95">
        <f>IF(ISNA(VLOOKUP($CZ208,'Audit Values'!$A$2:$BU$353,2,FALSE)),'Preliminary SO66'!AB207,VLOOKUP($CZ208,'Audit Values'!$A$2:$BU$353,42,FALSE))</f>
        <v>2.7</v>
      </c>
      <c r="AZ208" s="114">
        <v>0</v>
      </c>
      <c r="BA208" s="99">
        <f>SUM(AX208*'Weighting Factors'!$T$10)+('2019 Legal Max'!AY208*'Weighting Factors'!$T$11)+('2019 Legal Max'!AZ208*'Weighting Factors'!$T$12)</f>
        <v>74590</v>
      </c>
      <c r="BB208" s="158">
        <v>0</v>
      </c>
      <c r="BC208" s="88">
        <f>IF(ISNA(VLOOKUP($CZ208,'Audit Values'!$A$2:$BU$353,2,FALSE)),"",IF(AND('Weighting Factors'!H208&gt;0,VLOOKUP($CZ208,'Audit Values'!$A$2:$BU$353,51,FALSE)&lt;'Weighting Factors'!H208),'Weighting Factors'!H208,VLOOKUP($CZ208,'Audit Values'!$A$2:$BU$353,50,FALSE)))</f>
        <v>11</v>
      </c>
      <c r="BD208" s="88" t="str">
        <f>IF(ISNA(VLOOKUP($CZ208,'Audit Values'!$A$2:$BV$353,2,FALSE)),"",VLOOKUP($CZ208,'Audit Values'!$A$2:$BV$353,51,FALSE))</f>
        <v>A</v>
      </c>
      <c r="BE208" s="88" t="str">
        <f>IF('Weighting Factors'!H208="","",IF('Weighting Factors'!J208="Pending","PX","R"))</f>
        <v/>
      </c>
      <c r="BF208" s="97">
        <f>SUM((S208+T208+Y208+AA208+AE208+AH208+AJ208++AO208+AP208+AQ208+AU208+AR208)*'Weighting Factors'!$Q$5)+'2019 Legal Max'!BA208+'2019 Legal Max'!BB208</f>
        <v>8810261</v>
      </c>
      <c r="BG208" s="99">
        <f>SUM((AV208+AR208)*'Weighting Factors'!$Q$5)+BA208+'2019 Legal Max'!BB208</f>
        <v>10097246</v>
      </c>
      <c r="BH208" s="148">
        <f>IF('Weighting Factors'!H208&gt;0,'Weighting Factors'!H208,'Preliminary SO66'!AV207)</f>
        <v>10467607</v>
      </c>
      <c r="BI208" s="99">
        <f t="shared" si="151"/>
        <v>10097246</v>
      </c>
      <c r="BJ208" s="112"/>
      <c r="BK208" s="112">
        <f>'Weighting Factors'!F208</f>
        <v>-176453</v>
      </c>
      <c r="BL208" s="112">
        <f>'Weighting Factors'!E208</f>
        <v>-1418</v>
      </c>
      <c r="BM208" s="99">
        <f t="shared" si="128"/>
        <v>-177871</v>
      </c>
      <c r="BN208" s="99">
        <f t="shared" si="129"/>
        <v>9919375</v>
      </c>
      <c r="BO208" s="99">
        <f>SUM((S208+T208+Y208+AA208+AE208+AH208+AJ208++AO208+AP208+AQ208+AR208)*'Weighting Factors'!Q$12)+(MAX(AS208,'Weighting Factors'!B208))</f>
        <v>10704249</v>
      </c>
      <c r="BP208" s="122">
        <v>0.33</v>
      </c>
      <c r="BQ208" s="99">
        <f t="shared" si="130"/>
        <v>3532402</v>
      </c>
      <c r="BR208" s="148">
        <v>3626914</v>
      </c>
      <c r="BS208" s="99">
        <f t="shared" si="131"/>
        <v>3532402</v>
      </c>
      <c r="BT208" s="167">
        <f t="shared" si="132"/>
        <v>0.33</v>
      </c>
      <c r="BU208" s="95">
        <f t="shared" si="133"/>
        <v>0</v>
      </c>
      <c r="BV208" s="87" t="b">
        <f t="shared" si="134"/>
        <v>0</v>
      </c>
      <c r="BW208" s="117">
        <f t="shared" si="135"/>
        <v>0</v>
      </c>
      <c r="BX208" s="116">
        <f t="shared" si="136"/>
        <v>0</v>
      </c>
      <c r="BY208" s="95">
        <f t="shared" si="137"/>
        <v>0</v>
      </c>
      <c r="BZ208" s="87" t="b">
        <f t="shared" si="138"/>
        <v>0</v>
      </c>
      <c r="CA208" s="87">
        <f t="shared" si="139"/>
        <v>0</v>
      </c>
      <c r="CB208" s="116">
        <f t="shared" si="140"/>
        <v>0</v>
      </c>
      <c r="CC208" s="95">
        <f t="shared" si="141"/>
        <v>0</v>
      </c>
      <c r="CD208" s="95">
        <f t="shared" si="142"/>
        <v>59.2</v>
      </c>
      <c r="CE208" s="98">
        <v>156</v>
      </c>
      <c r="CF208" s="250">
        <f t="shared" si="143"/>
        <v>4.2759999999999998</v>
      </c>
      <c r="CG208" s="281">
        <f>IF(CF208&lt;0.06,1,IF(CF208&gt;=18.29,52,MATCH(CF208-0.001,'Weighting Factors'!$Y$5:$Y$156)+1))</f>
        <v>43</v>
      </c>
      <c r="CH208" s="243">
        <f>VLOOKUP(CG208, 'Weighting Factors'!$W$5:$Z$56,4)</f>
        <v>730</v>
      </c>
      <c r="CI208" s="118">
        <f>('Weighting Factors'!$Q$5/'Weighting Factors'!$Q$14)</f>
        <v>1</v>
      </c>
      <c r="CJ208" s="245">
        <f t="shared" si="144"/>
        <v>486910</v>
      </c>
      <c r="CK208" s="245">
        <f>CJ208*'Weighting Factors'!$S$7</f>
        <v>486910</v>
      </c>
      <c r="CL208" s="245">
        <f t="shared" si="145"/>
        <v>486910</v>
      </c>
      <c r="CM208" s="95">
        <f>AM208/'Weighting Factors'!$Q$5</f>
        <v>116.9</v>
      </c>
      <c r="CN208" s="148">
        <v>0</v>
      </c>
      <c r="CO208" s="148">
        <v>0</v>
      </c>
      <c r="CP208" s="149">
        <v>237341</v>
      </c>
      <c r="CQ208" s="152">
        <v>2.3199999999999998E-2</v>
      </c>
      <c r="CR208" s="99">
        <f>SUM((AV208*'Weighting Factors'!$Q$5)+'2019 Legal Max'!BA208)*CQ208</f>
        <v>228942</v>
      </c>
      <c r="CS208" s="99">
        <f t="shared" si="146"/>
        <v>228942</v>
      </c>
      <c r="CT208" s="106">
        <f t="shared" si="147"/>
        <v>0.156</v>
      </c>
      <c r="CU208" s="95">
        <f t="shared" si="148"/>
        <v>0</v>
      </c>
      <c r="CV208" s="95">
        <f t="shared" si="149"/>
        <v>0</v>
      </c>
      <c r="CW208" s="95">
        <f t="shared" si="150"/>
        <v>2406.4</v>
      </c>
      <c r="CX208" s="99">
        <f>'LOB Transfers'!G207</f>
        <v>188277</v>
      </c>
      <c r="CY208" s="99">
        <f>'LOB Transfers'!J207</f>
        <v>7771</v>
      </c>
      <c r="CZ208" s="87" t="s">
        <v>400</v>
      </c>
    </row>
    <row r="209" spans="1:104" ht="15" customHeight="1">
      <c r="A209" s="88">
        <v>417</v>
      </c>
      <c r="B209" s="87" t="s">
        <v>95</v>
      </c>
      <c r="C209" s="87" t="s">
        <v>721</v>
      </c>
      <c r="D209" s="95">
        <v>708.7</v>
      </c>
      <c r="E209" s="95">
        <v>0</v>
      </c>
      <c r="F209" s="95">
        <f t="shared" si="117"/>
        <v>708.7</v>
      </c>
      <c r="G209" s="95">
        <v>715.8</v>
      </c>
      <c r="H209" s="95">
        <v>0</v>
      </c>
      <c r="I209" s="95">
        <f t="shared" si="118"/>
        <v>715.8</v>
      </c>
      <c r="J209" s="95">
        <v>744.5</v>
      </c>
      <c r="K209" s="95">
        <v>0</v>
      </c>
      <c r="L209" s="95">
        <f t="shared" si="119"/>
        <v>744.5</v>
      </c>
      <c r="M209" s="95">
        <f>IF(ISNA(VLOOKUP($CZ209,'Audit Values'!$A$2:$BW$365,2,FALSE)),'Preliminary SO66'!C208,VLOOKUP($CZ209,'Audit Values'!$A$2:$BW$365,73,FALSE))</f>
        <v>770.2</v>
      </c>
      <c r="N209" s="95">
        <f>IF(ISNA(VLOOKUP($CZ209,'Audit Values'!$A$2:$BW$365,2,FALSE)),'Preliminary SO66'!F208,VLOOKUP($CZ209,'Audit Values'!$A$2:$BW$365,4,FALSE))</f>
        <v>0</v>
      </c>
      <c r="O209" s="95">
        <f t="shared" si="120"/>
        <v>770.2</v>
      </c>
      <c r="P209" s="95">
        <f>IF('Military Provision'!J210="YES", MAX('2019 Legal Max'!L209,'2019 Legal Max'!I209,AVERAGE('2019 Legal Max'!F209,'2019 Legal Max'!I209,'2019 Legal Max'!L209)), MAX(L209, I209))</f>
        <v>744.5</v>
      </c>
      <c r="Q209" s="95">
        <f>IF(ISNA(VLOOKUP($CZ209,'Audit Values'!$A$2:$BU$353,2,FALSE)),'Preliminary SO66'!AL208,VLOOKUP($CZ209,'Audit Values'!$A$2:$BU$3955,58,FALSE))</f>
        <v>15.5</v>
      </c>
      <c r="R209" s="95">
        <v>0</v>
      </c>
      <c r="S209" s="95">
        <f t="shared" si="116"/>
        <v>760</v>
      </c>
      <c r="T209" s="95">
        <f t="shared" si="121"/>
        <v>249.2</v>
      </c>
      <c r="U209" s="95">
        <f>IF(ISNA(VLOOKUP($CZ209,'Audit Values'!$A$2:$BW$317,2,FALSE)),'Preliminary SO66'!AM208,VLOOKUP($CZ209,'Audit Values'!$A$2:$BW$317,62,FALSE))</f>
        <v>17.100000000000001</v>
      </c>
      <c r="V209" s="95">
        <f>(U209/6)*'Weighting Factors'!$Q$7</f>
        <v>1.1000000000000001</v>
      </c>
      <c r="W209" s="132">
        <f>IF(ISNA(VLOOKUP($CZ209,'Audit Values'!$A$2:$BW$353,2,FALSE)),'Preliminary SO66'!AN208,VLOOKUP($CZ209,'Audit Values'!$A$2:$BW$353,61,FALSE))</f>
        <v>17</v>
      </c>
      <c r="X209" s="95">
        <f>W209*'Weighting Factors'!$Q$8</f>
        <v>3.1</v>
      </c>
      <c r="Y209" s="95">
        <f t="shared" si="122"/>
        <v>3.1</v>
      </c>
      <c r="Z209" s="276">
        <f>IF(ISNA(VLOOKUP($CZ209,'Audit Values'!$A$2:$BW$317,2,FALSE)),'Preliminary SO66'!AO208,VLOOKUP($CZ209,'Audit Values'!$A$2:$BW$317,60,FALSE))</f>
        <v>173.9</v>
      </c>
      <c r="AA209" s="95">
        <f>Z209/6*'Weighting Factors'!$Q$6</f>
        <v>14.5</v>
      </c>
      <c r="AB209" s="99">
        <f>IF(ISNA(VLOOKUP($CZ209,'Audit Values'!$A$2:$BU$353,2,FALSE)),'Preliminary SO66'!AS208,VLOOKUP($CZ209,'Audit Values'!$A$2:$BU$353,63,FALSE))</f>
        <v>804</v>
      </c>
      <c r="AC209" s="99">
        <v>0</v>
      </c>
      <c r="AD209" s="99">
        <f>IF(ISNA(VLOOKUP($CZ209,'Audit Values'!$A$2:$BU$353,2,FALSE)),'Preliminary SO66'!AP208,VLOOKUP($CZ209,'Audit Values'!$A$2:$BU$353,64,FALSE))</f>
        <v>286</v>
      </c>
      <c r="AE209" s="95">
        <f>IF(A209=207, AD209,MAX(AC209,AD209))*'Weighting Factors'!$Q$9</f>
        <v>138.4</v>
      </c>
      <c r="AF209" s="95">
        <f t="shared" si="123"/>
        <v>1.1000000000000001</v>
      </c>
      <c r="AG209" s="95">
        <f>IF(ISNA(VLOOKUP($CZ209,'Audit Values'!$A$2:$BW$353,2,FALSE)),'Preliminary SO66'!AG208,VLOOKUP($CZ209,'Audit Values'!$A$2:$BW$353,70,FALSE))</f>
        <v>5.7</v>
      </c>
      <c r="AH209" s="95">
        <f t="shared" si="124"/>
        <v>5.7</v>
      </c>
      <c r="AI209" s="95">
        <f>IF(ISNA(VLOOKUP($CZ209,'Audit Values'!$A$2:$BU$353,2,FALSE)),'Preliminary SO66'!AQ208,VLOOKUP($CZ209,'Audit Values'!$A$2:$BU$353,65,FALSE))</f>
        <v>0</v>
      </c>
      <c r="AJ209" s="95">
        <f>AI209*'Weighting Factors'!$Q$10</f>
        <v>0</v>
      </c>
      <c r="AK209" s="95">
        <f>IF(ISNA(VLOOKUP($CZ209,'Audit Values'!$A$2:$BU$353,2,FALSE)),'Preliminary SO66'!AR208,VLOOKUP($CZ209,'Audit Values'!$A$2:$BU$353,66,FALSE))</f>
        <v>248</v>
      </c>
      <c r="AL209" s="95"/>
      <c r="AM209" s="99">
        <f t="shared" si="125"/>
        <v>275280</v>
      </c>
      <c r="AN209" s="99">
        <v>336280</v>
      </c>
      <c r="AO209" s="95">
        <f>MAX(AN209, AM209)/'Weighting Factors'!$Q$5</f>
        <v>80.7</v>
      </c>
      <c r="AP209" s="95">
        <f>CN209/'Weighting Factors'!$Q$5</f>
        <v>0</v>
      </c>
      <c r="AQ209" s="95">
        <v>0</v>
      </c>
      <c r="AR209" s="95">
        <f>CS209/'Weighting Factors'!$Q$5</f>
        <v>0</v>
      </c>
      <c r="AS209" s="99">
        <v>844159</v>
      </c>
      <c r="AT209" s="95">
        <f>AS209/'Weighting Factors'!$Q$5</f>
        <v>202.7</v>
      </c>
      <c r="AU209" s="95">
        <f>IF(ISNA(VLOOKUP($CZ209,'Audit Values'!$A$2:$BU$353,2,FALSE)),'Preliminary SO66'!X208,VLOOKUP($CZ209,'Audit Values'!$A$2:$BU$353,47,FALSE))</f>
        <v>0</v>
      </c>
      <c r="AV209" s="95">
        <f t="shared" si="126"/>
        <v>1454.3</v>
      </c>
      <c r="AW209" s="95">
        <f t="shared" si="127"/>
        <v>1251.5999999999999</v>
      </c>
      <c r="AX209" s="95">
        <f>IF(ISNA(VLOOKUP($CZ209,'Audit Values'!$A$2:$BU$353,2,FALSE)),'Preliminary SO66'!AA208,VLOOKUP($CZ209,'Audit Values'!$A$2:$BU$353,41,FALSE))</f>
        <v>0</v>
      </c>
      <c r="AY209" s="95">
        <f>IF(ISNA(VLOOKUP($CZ209,'Audit Values'!$A$2:$BU$353,2,FALSE)),'Preliminary SO66'!AB208,VLOOKUP($CZ209,'Audit Values'!$A$2:$BU$353,42,FALSE))</f>
        <v>0</v>
      </c>
      <c r="AZ209" s="114">
        <v>0</v>
      </c>
      <c r="BA209" s="99">
        <f>SUM(AX209*'Weighting Factors'!$T$10)+('2019 Legal Max'!AY209*'Weighting Factors'!$T$11)+('2019 Legal Max'!AZ209*'Weighting Factors'!$T$12)</f>
        <v>0</v>
      </c>
      <c r="BB209" s="158">
        <v>0</v>
      </c>
      <c r="BC209" s="88">
        <f>IF(ISNA(VLOOKUP($CZ209,'Audit Values'!$A$2:$BU$353,2,FALSE)),"",IF(AND('Weighting Factors'!H209&gt;0,VLOOKUP($CZ209,'Audit Values'!$A$2:$BU$353,51,FALSE)&lt;'Weighting Factors'!H209),'Weighting Factors'!H209,VLOOKUP($CZ209,'Audit Values'!$A$2:$BU$353,50,FALSE)))</f>
        <v>3</v>
      </c>
      <c r="BD209" s="88" t="str">
        <f>IF(ISNA(VLOOKUP($CZ209,'Audit Values'!$A$2:$BV$353,2,FALSE)),"",VLOOKUP($CZ209,'Audit Values'!$A$2:$BV$353,51,FALSE))</f>
        <v>A</v>
      </c>
      <c r="BE209" s="88" t="str">
        <f>IF('Weighting Factors'!H209="","",IF('Weighting Factors'!J209="Pending","PX","R"))</f>
        <v>R</v>
      </c>
      <c r="BF209" s="97">
        <f>SUM((S209+T209+Y209+AA209+AE209+AH209+AJ209++AO209+AP209+AQ209+AU209+AR209)*'Weighting Factors'!$Q$5)+'2019 Legal Max'!BA209+'2019 Legal Max'!BB209</f>
        <v>5212914</v>
      </c>
      <c r="BG209" s="99">
        <f>SUM((AV209+AR209)*'Weighting Factors'!$Q$5)+BA209+'2019 Legal Max'!BB209</f>
        <v>6057160</v>
      </c>
      <c r="BH209" s="108">
        <f>IF('Weighting Factors'!H209&gt;0,'Weighting Factors'!H209,'Preliminary SO66'!AV208)</f>
        <v>6057160</v>
      </c>
      <c r="BI209" s="99">
        <f t="shared" si="151"/>
        <v>6057160</v>
      </c>
      <c r="BJ209" s="112"/>
      <c r="BK209" s="112">
        <f>'Weighting Factors'!F209</f>
        <v>0</v>
      </c>
      <c r="BL209" s="112">
        <f>'Weighting Factors'!E209</f>
        <v>0</v>
      </c>
      <c r="BM209" s="99">
        <f t="shared" si="128"/>
        <v>0</v>
      </c>
      <c r="BN209" s="99">
        <f t="shared" si="129"/>
        <v>6057160</v>
      </c>
      <c r="BO209" s="99">
        <f>SUM((S209+T209+Y209+AA209+AE209+AH209+AJ209++AO209+AP209+AQ209+AR209)*'Weighting Factors'!Q$12)+(MAX(AS209,'Weighting Factors'!B209))</f>
        <v>6463843</v>
      </c>
      <c r="BP209" s="122">
        <v>0.3</v>
      </c>
      <c r="BQ209" s="99">
        <f t="shared" si="130"/>
        <v>1939153</v>
      </c>
      <c r="BR209" s="108">
        <v>1891389</v>
      </c>
      <c r="BS209" s="99">
        <f t="shared" si="131"/>
        <v>1891389</v>
      </c>
      <c r="BT209" s="167">
        <f t="shared" si="132"/>
        <v>0.29260000000000003</v>
      </c>
      <c r="BU209" s="95">
        <f t="shared" si="133"/>
        <v>0</v>
      </c>
      <c r="BV209" s="87" t="b">
        <f t="shared" si="134"/>
        <v>0</v>
      </c>
      <c r="BW209" s="117">
        <f t="shared" si="135"/>
        <v>0</v>
      </c>
      <c r="BX209" s="116">
        <f t="shared" si="136"/>
        <v>0</v>
      </c>
      <c r="BY209" s="95">
        <f t="shared" si="137"/>
        <v>0</v>
      </c>
      <c r="BZ209" s="87" t="b">
        <f t="shared" si="138"/>
        <v>1</v>
      </c>
      <c r="CA209" s="87">
        <f t="shared" si="139"/>
        <v>569.25</v>
      </c>
      <c r="CB209" s="116">
        <f t="shared" si="140"/>
        <v>0.32790200000000003</v>
      </c>
      <c r="CC209" s="95">
        <f t="shared" si="141"/>
        <v>249.2</v>
      </c>
      <c r="CD209" s="95">
        <f t="shared" si="142"/>
        <v>0</v>
      </c>
      <c r="CE209" s="98">
        <v>537</v>
      </c>
      <c r="CF209" s="250">
        <f t="shared" si="143"/>
        <v>0.46200000000000002</v>
      </c>
      <c r="CG209" s="274">
        <f>IF(CF209&lt;0.06,1,IF(CF209&gt;=18.29,52,MATCH(CF209-0.001,'Weighting Factors'!$Y$5:$Y$156)+1))</f>
        <v>24</v>
      </c>
      <c r="CH209" s="243">
        <f>VLOOKUP(CG209, 'Weighting Factors'!$W$5:$Z$56,4)</f>
        <v>1110</v>
      </c>
      <c r="CI209" s="118">
        <f>('Weighting Factors'!$Q$5/'Weighting Factors'!$Q$14)</f>
        <v>1</v>
      </c>
      <c r="CJ209" s="245">
        <f t="shared" si="144"/>
        <v>275280</v>
      </c>
      <c r="CK209" s="245">
        <f>CJ209*'Weighting Factors'!$S$7</f>
        <v>275280</v>
      </c>
      <c r="CL209" s="245">
        <f t="shared" si="145"/>
        <v>275280</v>
      </c>
      <c r="CM209" s="95">
        <f>AM209/'Weighting Factors'!$Q$5</f>
        <v>66.099999999999994</v>
      </c>
      <c r="CN209" s="148">
        <v>0</v>
      </c>
      <c r="CO209" s="148">
        <v>0</v>
      </c>
      <c r="CP209" s="149">
        <v>0</v>
      </c>
      <c r="CQ209" s="151">
        <v>0</v>
      </c>
      <c r="CR209" s="99">
        <f>SUM((AV209*'Weighting Factors'!$Q$5)+'2019 Legal Max'!BA209)*CQ209</f>
        <v>0</v>
      </c>
      <c r="CS209" s="99">
        <f t="shared" si="146"/>
        <v>0</v>
      </c>
      <c r="CT209" s="106">
        <f t="shared" si="147"/>
        <v>0.35570000000000002</v>
      </c>
      <c r="CU209" s="95">
        <f t="shared" si="148"/>
        <v>0</v>
      </c>
      <c r="CV209" s="95">
        <f t="shared" si="149"/>
        <v>1.1000000000000001</v>
      </c>
      <c r="CW209" s="95">
        <f t="shared" si="150"/>
        <v>1454.3</v>
      </c>
      <c r="CX209" s="99">
        <f>'LOB Transfers'!G208</f>
        <v>181952</v>
      </c>
      <c r="CY209" s="99">
        <f>'LOB Transfers'!J208</f>
        <v>4161</v>
      </c>
      <c r="CZ209" s="87" t="s">
        <v>401</v>
      </c>
    </row>
    <row r="210" spans="1:104" ht="15" customHeight="1">
      <c r="A210" s="88">
        <v>418</v>
      </c>
      <c r="B210" s="87" t="s">
        <v>91</v>
      </c>
      <c r="C210" s="87" t="s">
        <v>722</v>
      </c>
      <c r="D210" s="95">
        <v>2287.4</v>
      </c>
      <c r="E210" s="95">
        <v>0</v>
      </c>
      <c r="F210" s="95">
        <f t="shared" si="117"/>
        <v>2287.4</v>
      </c>
      <c r="G210" s="95">
        <v>2299.6999999999998</v>
      </c>
      <c r="H210" s="95">
        <v>0</v>
      </c>
      <c r="I210" s="95">
        <f t="shared" si="118"/>
        <v>2299.6999999999998</v>
      </c>
      <c r="J210" s="95">
        <v>2360.6</v>
      </c>
      <c r="K210" s="95">
        <v>0</v>
      </c>
      <c r="L210" s="95">
        <f t="shared" si="119"/>
        <v>2360.6</v>
      </c>
      <c r="M210" s="95">
        <f>IF(ISNA(VLOOKUP($CZ210,'Audit Values'!$A$2:$BW$365,2,FALSE)),'Preliminary SO66'!C209,VLOOKUP($CZ210,'Audit Values'!$A$2:$BW$365,73,FALSE))</f>
        <v>2354.6</v>
      </c>
      <c r="N210" s="95">
        <f>IF(ISNA(VLOOKUP($CZ210,'Audit Values'!$A$2:$BW$365,2,FALSE)),'Preliminary SO66'!F209,VLOOKUP($CZ210,'Audit Values'!$A$2:$BW$365,4,FALSE))</f>
        <v>0</v>
      </c>
      <c r="O210" s="95">
        <f t="shared" si="120"/>
        <v>2354.6</v>
      </c>
      <c r="P210" s="95">
        <f>IF('Military Provision'!J211="YES", MAX('2019 Legal Max'!L210,'2019 Legal Max'!I210,AVERAGE('2019 Legal Max'!F210,'2019 Legal Max'!I210,'2019 Legal Max'!L210)), MAX(L210, I210))</f>
        <v>2360.6</v>
      </c>
      <c r="Q210" s="95">
        <f>IF(ISNA(VLOOKUP($CZ210,'Audit Values'!$A$2:$BU$353,2,FALSE)),'Preliminary SO66'!AL209,VLOOKUP($CZ210,'Audit Values'!$A$2:$BU$3955,58,FALSE))</f>
        <v>12</v>
      </c>
      <c r="R210" s="95">
        <v>0</v>
      </c>
      <c r="S210" s="95">
        <f t="shared" si="116"/>
        <v>2372.6</v>
      </c>
      <c r="T210" s="95">
        <f t="shared" si="121"/>
        <v>83.1</v>
      </c>
      <c r="U210" s="95">
        <f>IF(ISNA(VLOOKUP($CZ210,'Audit Values'!$A$2:$BW$317,2,FALSE)),'Preliminary SO66'!AM209,VLOOKUP($CZ210,'Audit Values'!$A$2:$BW$317,62,FALSE))</f>
        <v>102.6</v>
      </c>
      <c r="V210" s="95">
        <f>(U210/6)*'Weighting Factors'!$Q$7</f>
        <v>6.8</v>
      </c>
      <c r="W210" s="132">
        <f>IF(ISNA(VLOOKUP($CZ210,'Audit Values'!$A$2:$BW$353,2,FALSE)),'Preliminary SO66'!AN209,VLOOKUP($CZ210,'Audit Values'!$A$2:$BW$353,61,FALSE))</f>
        <v>57</v>
      </c>
      <c r="X210" s="95">
        <f>W210*'Weighting Factors'!$Q$8</f>
        <v>10.5</v>
      </c>
      <c r="Y210" s="95">
        <f t="shared" si="122"/>
        <v>10.5</v>
      </c>
      <c r="Z210" s="276">
        <f>IF(ISNA(VLOOKUP($CZ210,'Audit Values'!$A$2:$BW$317,2,FALSE)),'Preliminary SO66'!AO209,VLOOKUP($CZ210,'Audit Values'!$A$2:$BW$317,60,FALSE))</f>
        <v>683.4</v>
      </c>
      <c r="AA210" s="95">
        <f>Z210/6*'Weighting Factors'!$Q$6</f>
        <v>57</v>
      </c>
      <c r="AB210" s="99">
        <f>IF(ISNA(VLOOKUP($CZ210,'Audit Values'!$A$2:$BU$353,2,FALSE)),'Preliminary SO66'!AS209,VLOOKUP($CZ210,'Audit Values'!$A$2:$BU$353,63,FALSE))</f>
        <v>2402</v>
      </c>
      <c r="AC210" s="99">
        <v>0</v>
      </c>
      <c r="AD210" s="99">
        <f>IF(ISNA(VLOOKUP($CZ210,'Audit Values'!$A$2:$BU$353,2,FALSE)),'Preliminary SO66'!AP209,VLOOKUP($CZ210,'Audit Values'!$A$2:$BU$353,64,FALSE))</f>
        <v>738</v>
      </c>
      <c r="AE210" s="95">
        <f>IF(A210=207, AD210,MAX(AC210,AD210))*'Weighting Factors'!$Q$9</f>
        <v>357.2</v>
      </c>
      <c r="AF210" s="95">
        <f t="shared" si="123"/>
        <v>0</v>
      </c>
      <c r="AG210" s="95">
        <f>IF(ISNA(VLOOKUP($CZ210,'Audit Values'!$A$2:$BW$353,2,FALSE)),'Preliminary SO66'!AG209,VLOOKUP($CZ210,'Audit Values'!$A$2:$BW$353,70,FALSE))</f>
        <v>15.3</v>
      </c>
      <c r="AH210" s="95">
        <f t="shared" si="124"/>
        <v>15.3</v>
      </c>
      <c r="AI210" s="95">
        <f>IF(ISNA(VLOOKUP($CZ210,'Audit Values'!$A$2:$BU$353,2,FALSE)),'Preliminary SO66'!AQ209,VLOOKUP($CZ210,'Audit Values'!$A$2:$BU$353,65,FALSE))</f>
        <v>0</v>
      </c>
      <c r="AJ210" s="95">
        <f>AI210*'Weighting Factors'!$Q$10</f>
        <v>0</v>
      </c>
      <c r="AK210" s="95">
        <f>IF(ISNA(VLOOKUP($CZ210,'Audit Values'!$A$2:$BU$353,2,FALSE)),'Preliminary SO66'!AR209,VLOOKUP($CZ210,'Audit Values'!$A$2:$BU$353,66,FALSE))</f>
        <v>155</v>
      </c>
      <c r="AL210" s="95"/>
      <c r="AM210" s="99">
        <f t="shared" si="125"/>
        <v>147250</v>
      </c>
      <c r="AN210" s="99">
        <v>149843</v>
      </c>
      <c r="AO210" s="95">
        <f>MAX(AN210, AM210)/'Weighting Factors'!$Q$5</f>
        <v>36</v>
      </c>
      <c r="AP210" s="95">
        <f>CN210/'Weighting Factors'!$Q$5</f>
        <v>0</v>
      </c>
      <c r="AQ210" s="95">
        <v>0</v>
      </c>
      <c r="AR210" s="95">
        <f>CS210/'Weighting Factors'!$Q$5</f>
        <v>0</v>
      </c>
      <c r="AS210" s="99">
        <v>2979285</v>
      </c>
      <c r="AT210" s="95">
        <f>AS210/'Weighting Factors'!$Q$5</f>
        <v>715.3</v>
      </c>
      <c r="AU210" s="95">
        <f>IF(ISNA(VLOOKUP($CZ210,'Audit Values'!$A$2:$BU$353,2,FALSE)),'Preliminary SO66'!X209,VLOOKUP($CZ210,'Audit Values'!$A$2:$BU$353,47,FALSE))</f>
        <v>1</v>
      </c>
      <c r="AV210" s="95">
        <f t="shared" si="126"/>
        <v>3648</v>
      </c>
      <c r="AW210" s="95">
        <f t="shared" si="127"/>
        <v>2932.7</v>
      </c>
      <c r="AX210" s="95">
        <f>IF(ISNA(VLOOKUP($CZ210,'Audit Values'!$A$2:$BU$353,2,FALSE)),'Preliminary SO66'!AA209,VLOOKUP($CZ210,'Audit Values'!$A$2:$BU$353,41,FALSE))</f>
        <v>5</v>
      </c>
      <c r="AY210" s="95">
        <f>IF(ISNA(VLOOKUP($CZ210,'Audit Values'!$A$2:$BU$353,2,FALSE)),'Preliminary SO66'!AB209,VLOOKUP($CZ210,'Audit Values'!$A$2:$BU$353,42,FALSE))</f>
        <v>0</v>
      </c>
      <c r="AZ210" s="114">
        <v>0</v>
      </c>
      <c r="BA210" s="99">
        <f>SUM(AX210*'Weighting Factors'!$T$10)+('2019 Legal Max'!AY210*'Weighting Factors'!$T$11)+('2019 Legal Max'!AZ210*'Weighting Factors'!$T$12)</f>
        <v>25000</v>
      </c>
      <c r="BB210" s="158">
        <v>0</v>
      </c>
      <c r="BC210" s="88">
        <f>IF(ISNA(VLOOKUP($CZ210,'Audit Values'!$A$2:$BU$353,2,FALSE)),"",IF(AND('Weighting Factors'!H210&gt;0,VLOOKUP($CZ210,'Audit Values'!$A$2:$BU$353,51,FALSE)&lt;'Weighting Factors'!H210),'Weighting Factors'!H210,VLOOKUP($CZ210,'Audit Values'!$A$2:$BU$353,50,FALSE)))</f>
        <v>22</v>
      </c>
      <c r="BD210" s="88" t="str">
        <f>IF(ISNA(VLOOKUP($CZ210,'Audit Values'!$A$2:$BV$353,2,FALSE)),"",VLOOKUP($CZ210,'Audit Values'!$A$2:$BV$353,51,FALSE))</f>
        <v>A</v>
      </c>
      <c r="BE210" s="88" t="str">
        <f>IF('Weighting Factors'!H210="","",IF('Weighting Factors'!J210="Pending","PX","R"))</f>
        <v/>
      </c>
      <c r="BF210" s="97">
        <f>SUM((S210+T210+Y210+AA210+AE210+AH210+AJ210++AO210+AP210+AQ210+AU210+AR210)*'Weighting Factors'!$Q$5)+'2019 Legal Max'!BA210+'2019 Legal Max'!BB210</f>
        <v>12239696</v>
      </c>
      <c r="BG210" s="99">
        <f>SUM((AV210+AR210)*'Weighting Factors'!$Q$5)+BA210+'2019 Legal Max'!BB210</f>
        <v>15218920</v>
      </c>
      <c r="BH210" s="108">
        <f>IF('Weighting Factors'!H210&gt;0,'Weighting Factors'!H210,'Preliminary SO66'!AV209)</f>
        <v>16098795</v>
      </c>
      <c r="BI210" s="99">
        <f t="shared" si="151"/>
        <v>15218920</v>
      </c>
      <c r="BJ210" s="112"/>
      <c r="BK210" s="112">
        <f>'Weighting Factors'!F210</f>
        <v>0</v>
      </c>
      <c r="BL210" s="112">
        <f>'Weighting Factors'!E210</f>
        <v>0</v>
      </c>
      <c r="BM210" s="99">
        <f t="shared" si="128"/>
        <v>0</v>
      </c>
      <c r="BN210" s="99">
        <f t="shared" si="129"/>
        <v>15218920</v>
      </c>
      <c r="BO210" s="99">
        <f>SUM((S210+T210+Y210+AA210+AE210+AH210+AJ210++AO210+AP210+AQ210+AR210)*'Weighting Factors'!Q$12)+(MAX(AS210,'Weighting Factors'!B210))</f>
        <v>16142618</v>
      </c>
      <c r="BP210" s="122">
        <v>0.33</v>
      </c>
      <c r="BQ210" s="99">
        <f t="shared" si="130"/>
        <v>5327064</v>
      </c>
      <c r="BR210" s="108">
        <v>5605217</v>
      </c>
      <c r="BS210" s="99">
        <f t="shared" si="131"/>
        <v>5327064</v>
      </c>
      <c r="BT210" s="167">
        <f t="shared" si="132"/>
        <v>0.33</v>
      </c>
      <c r="BU210" s="95">
        <f t="shared" si="133"/>
        <v>0</v>
      </c>
      <c r="BV210" s="87" t="b">
        <f t="shared" si="134"/>
        <v>0</v>
      </c>
      <c r="BW210" s="117">
        <f t="shared" si="135"/>
        <v>0</v>
      </c>
      <c r="BX210" s="116">
        <f t="shared" si="136"/>
        <v>0</v>
      </c>
      <c r="BY210" s="95">
        <f t="shared" si="137"/>
        <v>0</v>
      </c>
      <c r="BZ210" s="87" t="b">
        <f t="shared" si="138"/>
        <v>0</v>
      </c>
      <c r="CA210" s="87">
        <f t="shared" si="139"/>
        <v>0</v>
      </c>
      <c r="CB210" s="116">
        <f t="shared" si="140"/>
        <v>0</v>
      </c>
      <c r="CC210" s="95">
        <f t="shared" si="141"/>
        <v>0</v>
      </c>
      <c r="CD210" s="95">
        <f t="shared" si="142"/>
        <v>83.1</v>
      </c>
      <c r="CE210" s="98">
        <v>156.30000000000001</v>
      </c>
      <c r="CF210" s="250">
        <f t="shared" si="143"/>
        <v>0.99199999999999999</v>
      </c>
      <c r="CG210" s="274">
        <f>IF(CF210&lt;0.06,1,IF(CF210&gt;=18.29,52,MATCH(CF210-0.001,'Weighting Factors'!$Y$5:$Y$156)+1))</f>
        <v>32</v>
      </c>
      <c r="CH210" s="243">
        <f>VLOOKUP(CG210, 'Weighting Factors'!$W$5:$Z$56,4)</f>
        <v>950</v>
      </c>
      <c r="CI210" s="118">
        <f>('Weighting Factors'!$Q$5/'Weighting Factors'!$Q$14)</f>
        <v>1</v>
      </c>
      <c r="CJ210" s="245">
        <f t="shared" si="144"/>
        <v>147250</v>
      </c>
      <c r="CK210" s="245">
        <f>CJ210*'Weighting Factors'!$S$7</f>
        <v>147250</v>
      </c>
      <c r="CL210" s="245">
        <f t="shared" si="145"/>
        <v>147250</v>
      </c>
      <c r="CM210" s="95">
        <f>AM210/'Weighting Factors'!$Q$5</f>
        <v>35.4</v>
      </c>
      <c r="CN210" s="148">
        <v>0</v>
      </c>
      <c r="CO210" s="148">
        <v>0</v>
      </c>
      <c r="CP210" s="149">
        <v>0</v>
      </c>
      <c r="CQ210" s="151">
        <v>0</v>
      </c>
      <c r="CR210" s="99">
        <f>SUM((AV210*'Weighting Factors'!$Q$5)+'2019 Legal Max'!BA210)*CQ210</f>
        <v>0</v>
      </c>
      <c r="CS210" s="99">
        <f t="shared" si="146"/>
        <v>0</v>
      </c>
      <c r="CT210" s="106">
        <f t="shared" si="147"/>
        <v>0.30719999999999997</v>
      </c>
      <c r="CU210" s="95">
        <f t="shared" si="148"/>
        <v>0</v>
      </c>
      <c r="CV210" s="95">
        <f t="shared" si="149"/>
        <v>0</v>
      </c>
      <c r="CW210" s="95">
        <f t="shared" si="150"/>
        <v>3648</v>
      </c>
      <c r="CX210" s="99">
        <f>'LOB Transfers'!G209</f>
        <v>523650</v>
      </c>
      <c r="CY210" s="99">
        <f>'LOB Transfers'!J209</f>
        <v>15448</v>
      </c>
      <c r="CZ210" s="87" t="s">
        <v>402</v>
      </c>
    </row>
    <row r="211" spans="1:104" ht="15" customHeight="1">
      <c r="A211" s="88">
        <v>419</v>
      </c>
      <c r="B211" s="87" t="s">
        <v>91</v>
      </c>
      <c r="C211" s="87" t="s">
        <v>723</v>
      </c>
      <c r="D211" s="95">
        <v>357.4</v>
      </c>
      <c r="E211" s="95">
        <v>0</v>
      </c>
      <c r="F211" s="95">
        <f t="shared" si="117"/>
        <v>357.4</v>
      </c>
      <c r="G211" s="95">
        <v>338.2</v>
      </c>
      <c r="H211" s="95">
        <v>0</v>
      </c>
      <c r="I211" s="95">
        <f t="shared" si="118"/>
        <v>338.2</v>
      </c>
      <c r="J211" s="95">
        <v>333.9</v>
      </c>
      <c r="K211" s="95">
        <v>0</v>
      </c>
      <c r="L211" s="95">
        <f t="shared" si="119"/>
        <v>333.9</v>
      </c>
      <c r="M211" s="95">
        <f>IF(ISNA(VLOOKUP($CZ211,'Audit Values'!$A$2:$BW$365,2,FALSE)),'Preliminary SO66'!C210,VLOOKUP($CZ211,'Audit Values'!$A$2:$BW$365,73,FALSE))</f>
        <v>319.89999999999998</v>
      </c>
      <c r="N211" s="95">
        <f>IF(ISNA(VLOOKUP($CZ211,'Audit Values'!$A$2:$BW$365,2,FALSE)),'Preliminary SO66'!F210,VLOOKUP($CZ211,'Audit Values'!$A$2:$BW$365,4,FALSE))</f>
        <v>0</v>
      </c>
      <c r="O211" s="95">
        <f t="shared" si="120"/>
        <v>319.89999999999998</v>
      </c>
      <c r="P211" s="95">
        <f>IF('Military Provision'!J212="YES", MAX('2019 Legal Max'!L211,'2019 Legal Max'!I211,AVERAGE('2019 Legal Max'!F211,'2019 Legal Max'!I211,'2019 Legal Max'!L211)), MAX(L211, I211))</f>
        <v>338.2</v>
      </c>
      <c r="Q211" s="95">
        <f>IF(ISNA(VLOOKUP($CZ211,'Audit Values'!$A$2:$BU$353,2,FALSE)),'Preliminary SO66'!AL210,VLOOKUP($CZ211,'Audit Values'!$A$2:$BU$3955,58,FALSE))</f>
        <v>3.5</v>
      </c>
      <c r="R211" s="95">
        <v>0</v>
      </c>
      <c r="S211" s="95">
        <f t="shared" si="116"/>
        <v>341.7</v>
      </c>
      <c r="T211" s="95">
        <f t="shared" si="121"/>
        <v>160.6</v>
      </c>
      <c r="U211" s="95">
        <f>IF(ISNA(VLOOKUP($CZ211,'Audit Values'!$A$2:$BW$317,2,FALSE)),'Preliminary SO66'!AM210,VLOOKUP($CZ211,'Audit Values'!$A$2:$BW$317,62,FALSE))</f>
        <v>0</v>
      </c>
      <c r="V211" s="95">
        <f>(U211/6)*'Weighting Factors'!$Q$7</f>
        <v>0</v>
      </c>
      <c r="W211" s="132">
        <f>IF(ISNA(VLOOKUP($CZ211,'Audit Values'!$A$2:$BW$353,2,FALSE)),'Preliminary SO66'!AN210,VLOOKUP($CZ211,'Audit Values'!$A$2:$BW$353,61,FALSE))</f>
        <v>1</v>
      </c>
      <c r="X211" s="95">
        <f>W211*'Weighting Factors'!$Q$8</f>
        <v>0.2</v>
      </c>
      <c r="Y211" s="95">
        <f t="shared" si="122"/>
        <v>0.2</v>
      </c>
      <c r="Z211" s="276">
        <f>IF(ISNA(VLOOKUP($CZ211,'Audit Values'!$A$2:$BW$317,2,FALSE)),'Preliminary SO66'!AO210,VLOOKUP($CZ211,'Audit Values'!$A$2:$BW$317,60,FALSE))</f>
        <v>60.5</v>
      </c>
      <c r="AA211" s="95">
        <f>Z211/6*'Weighting Factors'!$Q$6</f>
        <v>5</v>
      </c>
      <c r="AB211" s="99">
        <f>IF(ISNA(VLOOKUP($CZ211,'Audit Values'!$A$2:$BU$353,2,FALSE)),'Preliminary SO66'!AS210,VLOOKUP($CZ211,'Audit Values'!$A$2:$BU$353,63,FALSE))</f>
        <v>329</v>
      </c>
      <c r="AC211" s="99">
        <v>0</v>
      </c>
      <c r="AD211" s="99">
        <f>IF(ISNA(VLOOKUP($CZ211,'Audit Values'!$A$2:$BU$353,2,FALSE)),'Preliminary SO66'!AP210,VLOOKUP($CZ211,'Audit Values'!$A$2:$BU$353,64,FALSE))</f>
        <v>101</v>
      </c>
      <c r="AE211" s="95">
        <f>IF(A211=207, AD211,MAX(AC211,AD211))*'Weighting Factors'!$Q$9</f>
        <v>48.9</v>
      </c>
      <c r="AF211" s="95">
        <f t="shared" si="123"/>
        <v>0</v>
      </c>
      <c r="AG211" s="95">
        <f>IF(ISNA(VLOOKUP($CZ211,'Audit Values'!$A$2:$BW$353,2,FALSE)),'Preliminary SO66'!AG210,VLOOKUP($CZ211,'Audit Values'!$A$2:$BW$353,70,FALSE))</f>
        <v>0.8</v>
      </c>
      <c r="AH211" s="95">
        <f t="shared" si="124"/>
        <v>0.8</v>
      </c>
      <c r="AI211" s="95">
        <f>IF(ISNA(VLOOKUP($CZ211,'Audit Values'!$A$2:$BU$353,2,FALSE)),'Preliminary SO66'!AQ210,VLOOKUP($CZ211,'Audit Values'!$A$2:$BU$353,65,FALSE))</f>
        <v>0</v>
      </c>
      <c r="AJ211" s="95">
        <f>AI211*'Weighting Factors'!$Q$10</f>
        <v>0</v>
      </c>
      <c r="AK211" s="95">
        <f>IF(ISNA(VLOOKUP($CZ211,'Audit Values'!$A$2:$BU$353,2,FALSE)),'Preliminary SO66'!AR210,VLOOKUP($CZ211,'Audit Values'!$A$2:$BU$353,66,FALSE))</f>
        <v>184</v>
      </c>
      <c r="AL211" s="95"/>
      <c r="AM211" s="99">
        <f t="shared" si="125"/>
        <v>174800</v>
      </c>
      <c r="AN211" s="99">
        <v>193756</v>
      </c>
      <c r="AO211" s="95">
        <f>MAX(AN211, AM211)/'Weighting Factors'!$Q$5</f>
        <v>46.5</v>
      </c>
      <c r="AP211" s="95">
        <f>CN211/'Weighting Factors'!$Q$5</f>
        <v>0</v>
      </c>
      <c r="AQ211" s="95">
        <v>0</v>
      </c>
      <c r="AR211" s="95">
        <f>CS211/'Weighting Factors'!$Q$5</f>
        <v>0</v>
      </c>
      <c r="AS211" s="99">
        <v>448818</v>
      </c>
      <c r="AT211" s="95">
        <f>AS211/'Weighting Factors'!$Q$5</f>
        <v>107.8</v>
      </c>
      <c r="AU211" s="95">
        <f>IF(ISNA(VLOOKUP($CZ211,'Audit Values'!$A$2:$BU$353,2,FALSE)),'Preliminary SO66'!X210,VLOOKUP($CZ211,'Audit Values'!$A$2:$BU$353,47,FALSE))</f>
        <v>0</v>
      </c>
      <c r="AV211" s="95">
        <f t="shared" si="126"/>
        <v>711.5</v>
      </c>
      <c r="AW211" s="95">
        <f t="shared" si="127"/>
        <v>603.70000000000005</v>
      </c>
      <c r="AX211" s="95">
        <f>IF(ISNA(VLOOKUP($CZ211,'Audit Values'!$A$2:$BU$353,2,FALSE)),'Preliminary SO66'!AA210,VLOOKUP($CZ211,'Audit Values'!$A$2:$BU$353,41,FALSE))</f>
        <v>1</v>
      </c>
      <c r="AY211" s="95">
        <f>IF(ISNA(VLOOKUP($CZ211,'Audit Values'!$A$2:$BU$353,2,FALSE)),'Preliminary SO66'!AB210,VLOOKUP($CZ211,'Audit Values'!$A$2:$BU$353,42,FALSE))</f>
        <v>0</v>
      </c>
      <c r="AZ211" s="114">
        <v>0</v>
      </c>
      <c r="BA211" s="99">
        <f>SUM(AX211*'Weighting Factors'!$T$10)+('2019 Legal Max'!AY211*'Weighting Factors'!$T$11)+('2019 Legal Max'!AZ211*'Weighting Factors'!$T$12)</f>
        <v>5000</v>
      </c>
      <c r="BB211" s="158">
        <v>0</v>
      </c>
      <c r="BC211" s="88">
        <f>IF(ISNA(VLOOKUP($CZ211,'Audit Values'!$A$2:$BU$353,2,FALSE)),"",IF(AND('Weighting Factors'!H211&gt;0,VLOOKUP($CZ211,'Audit Values'!$A$2:$BU$353,51,FALSE)&lt;'Weighting Factors'!H211),'Weighting Factors'!H211,VLOOKUP($CZ211,'Audit Values'!$A$2:$BU$353,50,FALSE)))</f>
        <v>6</v>
      </c>
      <c r="BD211" s="88" t="str">
        <f>IF(ISNA(VLOOKUP($CZ211,'Audit Values'!$A$2:$BV$353,2,FALSE)),"",VLOOKUP($CZ211,'Audit Values'!$A$2:$BV$353,51,FALSE))</f>
        <v>A</v>
      </c>
      <c r="BE211" s="88" t="str">
        <f>IF('Weighting Factors'!H211="","",IF('Weighting Factors'!J211="Pending","PX","R"))</f>
        <v/>
      </c>
      <c r="BF211" s="97">
        <f>SUM((S211+T211+Y211+AA211+AE211+AH211+AJ211++AO211+AP211+AQ211+AU211+AR211)*'Weighting Factors'!$Q$5)+'2019 Legal Max'!BA211+'2019 Legal Max'!BB211</f>
        <v>2519411</v>
      </c>
      <c r="BG211" s="99">
        <f>SUM((AV211+AR211)*'Weighting Factors'!$Q$5)+BA211+'2019 Legal Max'!BB211</f>
        <v>2968398</v>
      </c>
      <c r="BH211" s="108">
        <f>IF('Weighting Factors'!H211&gt;0,'Weighting Factors'!H211,'Preliminary SO66'!AV210)</f>
        <v>3131247</v>
      </c>
      <c r="BI211" s="99">
        <f t="shared" si="151"/>
        <v>2968398</v>
      </c>
      <c r="BJ211" s="112"/>
      <c r="BK211" s="112">
        <f>'Weighting Factors'!F211</f>
        <v>-55407</v>
      </c>
      <c r="BL211" s="112">
        <f>'Weighting Factors'!E211</f>
        <v>0</v>
      </c>
      <c r="BM211" s="99">
        <f t="shared" si="128"/>
        <v>-55407</v>
      </c>
      <c r="BN211" s="99">
        <f t="shared" si="129"/>
        <v>2912991</v>
      </c>
      <c r="BO211" s="99">
        <f>SUM((S211+T211+Y211+AA211+AE211+AH211+AJ211++AO211+AP211+AQ211+AR211)*'Weighting Factors'!Q$12)+(MAX(AS211,'Weighting Factors'!B211))</f>
        <v>3159431</v>
      </c>
      <c r="BP211" s="122">
        <v>0.33</v>
      </c>
      <c r="BQ211" s="99">
        <f t="shared" si="130"/>
        <v>1042612</v>
      </c>
      <c r="BR211" s="108">
        <v>1099720</v>
      </c>
      <c r="BS211" s="99">
        <f t="shared" si="131"/>
        <v>1042612</v>
      </c>
      <c r="BT211" s="167">
        <f t="shared" si="132"/>
        <v>0.33</v>
      </c>
      <c r="BU211" s="95">
        <f t="shared" si="133"/>
        <v>0</v>
      </c>
      <c r="BV211" s="87" t="b">
        <f t="shared" si="134"/>
        <v>0</v>
      </c>
      <c r="BW211" s="117">
        <f t="shared" si="135"/>
        <v>0</v>
      </c>
      <c r="BX211" s="116">
        <f t="shared" si="136"/>
        <v>0</v>
      </c>
      <c r="BY211" s="95">
        <f t="shared" si="137"/>
        <v>0</v>
      </c>
      <c r="BZ211" s="87" t="b">
        <f t="shared" si="138"/>
        <v>1</v>
      </c>
      <c r="CA211" s="87">
        <f t="shared" si="139"/>
        <v>51.6038</v>
      </c>
      <c r="CB211" s="116">
        <f t="shared" si="140"/>
        <v>0.47001900000000002</v>
      </c>
      <c r="CC211" s="95">
        <f t="shared" si="141"/>
        <v>160.6</v>
      </c>
      <c r="CD211" s="95">
        <f t="shared" si="142"/>
        <v>0</v>
      </c>
      <c r="CE211" s="98">
        <v>167.5</v>
      </c>
      <c r="CF211" s="250">
        <f t="shared" si="143"/>
        <v>1.099</v>
      </c>
      <c r="CG211" s="274">
        <f>IF(CF211&lt;0.06,1,IF(CF211&gt;=18.29,52,MATCH(CF211-0.001,'Weighting Factors'!$Y$5:$Y$156)+1))</f>
        <v>32</v>
      </c>
      <c r="CH211" s="243">
        <f>VLOOKUP(CG211, 'Weighting Factors'!$W$5:$Z$56,4)</f>
        <v>950</v>
      </c>
      <c r="CI211" s="118">
        <f>('Weighting Factors'!$Q$5/'Weighting Factors'!$Q$14)</f>
        <v>1</v>
      </c>
      <c r="CJ211" s="245">
        <f t="shared" si="144"/>
        <v>174800</v>
      </c>
      <c r="CK211" s="245">
        <f>CJ211*'Weighting Factors'!$S$7</f>
        <v>174800</v>
      </c>
      <c r="CL211" s="245">
        <f t="shared" si="145"/>
        <v>174800</v>
      </c>
      <c r="CM211" s="95">
        <f>AM211/'Weighting Factors'!$Q$5</f>
        <v>42</v>
      </c>
      <c r="CN211" s="148">
        <v>0</v>
      </c>
      <c r="CO211" s="148">
        <v>0</v>
      </c>
      <c r="CP211" s="149">
        <v>0</v>
      </c>
      <c r="CQ211" s="151">
        <v>0</v>
      </c>
      <c r="CR211" s="99">
        <f>SUM((AV211*'Weighting Factors'!$Q$5)+'2019 Legal Max'!BA211)*CQ211</f>
        <v>0</v>
      </c>
      <c r="CS211" s="99">
        <f t="shared" si="146"/>
        <v>0</v>
      </c>
      <c r="CT211" s="106">
        <f t="shared" si="147"/>
        <v>0.307</v>
      </c>
      <c r="CU211" s="95">
        <f t="shared" si="148"/>
        <v>0</v>
      </c>
      <c r="CV211" s="95">
        <f t="shared" si="149"/>
        <v>0</v>
      </c>
      <c r="CW211" s="95">
        <f t="shared" si="150"/>
        <v>711.5</v>
      </c>
      <c r="CX211" s="99">
        <f>'LOB Transfers'!G210</f>
        <v>72044</v>
      </c>
      <c r="CY211" s="99">
        <f>'LOB Transfers'!J210</f>
        <v>313</v>
      </c>
      <c r="CZ211" s="87" t="s">
        <v>403</v>
      </c>
    </row>
    <row r="212" spans="1:104" ht="15" customHeight="1">
      <c r="A212" s="88">
        <v>420</v>
      </c>
      <c r="B212" s="87" t="s">
        <v>96</v>
      </c>
      <c r="C212" s="87" t="s">
        <v>724</v>
      </c>
      <c r="D212" s="95">
        <v>634.5</v>
      </c>
      <c r="E212" s="95">
        <v>0</v>
      </c>
      <c r="F212" s="95">
        <f t="shared" si="117"/>
        <v>634.5</v>
      </c>
      <c r="G212" s="95">
        <v>666.5</v>
      </c>
      <c r="H212" s="95">
        <v>0</v>
      </c>
      <c r="I212" s="95">
        <f t="shared" si="118"/>
        <v>666.5</v>
      </c>
      <c r="J212" s="95">
        <v>663.8</v>
      </c>
      <c r="K212" s="95">
        <v>0</v>
      </c>
      <c r="L212" s="95">
        <f t="shared" si="119"/>
        <v>663.8</v>
      </c>
      <c r="M212" s="95">
        <f>IF(ISNA(VLOOKUP($CZ212,'Audit Values'!$A$2:$BW$365,2,FALSE)),'Preliminary SO66'!C211,VLOOKUP($CZ212,'Audit Values'!$A$2:$BW$365,73,FALSE))</f>
        <v>673.5</v>
      </c>
      <c r="N212" s="95">
        <f>IF(ISNA(VLOOKUP($CZ212,'Audit Values'!$A$2:$BW$365,2,FALSE)),'Preliminary SO66'!F211,VLOOKUP($CZ212,'Audit Values'!$A$2:$BW$365,4,FALSE))</f>
        <v>0</v>
      </c>
      <c r="O212" s="95">
        <f t="shared" si="120"/>
        <v>673.5</v>
      </c>
      <c r="P212" s="95">
        <f>IF('Military Provision'!J213="YES", MAX('2019 Legal Max'!L212,'2019 Legal Max'!I212,AVERAGE('2019 Legal Max'!F212,'2019 Legal Max'!I212,'2019 Legal Max'!L212)), MAX(L212, I212))</f>
        <v>666.5</v>
      </c>
      <c r="Q212" s="95">
        <f>IF(ISNA(VLOOKUP($CZ212,'Audit Values'!$A$2:$BU$353,2,FALSE)),'Preliminary SO66'!AL211,VLOOKUP($CZ212,'Audit Values'!$A$2:$BU$3955,58,FALSE))</f>
        <v>4</v>
      </c>
      <c r="R212" s="95">
        <v>0</v>
      </c>
      <c r="S212" s="95">
        <f t="shared" si="116"/>
        <v>670.5</v>
      </c>
      <c r="T212" s="95">
        <f t="shared" si="121"/>
        <v>240.2</v>
      </c>
      <c r="U212" s="95">
        <f>IF(ISNA(VLOOKUP($CZ212,'Audit Values'!$A$2:$BW$317,2,FALSE)),'Preliminary SO66'!AM211,VLOOKUP($CZ212,'Audit Values'!$A$2:$BW$317,62,FALSE))</f>
        <v>1.5</v>
      </c>
      <c r="V212" s="95">
        <f>(U212/6)*'Weighting Factors'!$Q$7</f>
        <v>0.1</v>
      </c>
      <c r="W212" s="132">
        <f>IF(ISNA(VLOOKUP($CZ212,'Audit Values'!$A$2:$BW$353,2,FALSE)),'Preliminary SO66'!AN211,VLOOKUP($CZ212,'Audit Values'!$A$2:$BW$353,61,FALSE))</f>
        <v>2</v>
      </c>
      <c r="X212" s="95">
        <f>W212*'Weighting Factors'!$Q$8</f>
        <v>0.4</v>
      </c>
      <c r="Y212" s="95">
        <f t="shared" si="122"/>
        <v>0.4</v>
      </c>
      <c r="Z212" s="276">
        <f>IF(ISNA(VLOOKUP($CZ212,'Audit Values'!$A$2:$BW$317,2,FALSE)),'Preliminary SO66'!AO211,VLOOKUP($CZ212,'Audit Values'!$A$2:$BW$317,60,FALSE))</f>
        <v>120.9</v>
      </c>
      <c r="AA212" s="95">
        <f>Z212/6*'Weighting Factors'!$Q$6</f>
        <v>10.1</v>
      </c>
      <c r="AB212" s="99">
        <f>IF(ISNA(VLOOKUP($CZ212,'Audit Values'!$A$2:$BU$353,2,FALSE)),'Preliminary SO66'!AS211,VLOOKUP($CZ212,'Audit Values'!$A$2:$BU$353,63,FALSE))</f>
        <v>693</v>
      </c>
      <c r="AC212" s="99">
        <v>0</v>
      </c>
      <c r="AD212" s="99">
        <f>IF(ISNA(VLOOKUP($CZ212,'Audit Values'!$A$2:$BU$353,2,FALSE)),'Preliminary SO66'!AP211,VLOOKUP($CZ212,'Audit Values'!$A$2:$BU$353,64,FALSE))</f>
        <v>228</v>
      </c>
      <c r="AE212" s="95">
        <f>IF(A212=207, AD212,MAX(AC212,AD212))*'Weighting Factors'!$Q$9</f>
        <v>110.4</v>
      </c>
      <c r="AF212" s="95">
        <f t="shared" si="123"/>
        <v>0</v>
      </c>
      <c r="AG212" s="95">
        <f>IF(ISNA(VLOOKUP($CZ212,'Audit Values'!$A$2:$BW$353,2,FALSE)),'Preliminary SO66'!AG211,VLOOKUP($CZ212,'Audit Values'!$A$2:$BW$353,70,FALSE))</f>
        <v>0.3</v>
      </c>
      <c r="AH212" s="95">
        <f t="shared" si="124"/>
        <v>0.3</v>
      </c>
      <c r="AI212" s="95">
        <f>IF(ISNA(VLOOKUP($CZ212,'Audit Values'!$A$2:$BU$353,2,FALSE)),'Preliminary SO66'!AQ211,VLOOKUP($CZ212,'Audit Values'!$A$2:$BU$353,65,FALSE))</f>
        <v>0</v>
      </c>
      <c r="AJ212" s="95">
        <f>AI212*'Weighting Factors'!$Q$10</f>
        <v>0</v>
      </c>
      <c r="AK212" s="95">
        <f>IF(ISNA(VLOOKUP($CZ212,'Audit Values'!$A$2:$BU$353,2,FALSE)),'Preliminary SO66'!AR211,VLOOKUP($CZ212,'Audit Values'!$A$2:$BU$353,66,FALSE))</f>
        <v>73</v>
      </c>
      <c r="AL212" s="95"/>
      <c r="AM212" s="99">
        <f t="shared" si="125"/>
        <v>78110</v>
      </c>
      <c r="AN212" s="99">
        <v>86285</v>
      </c>
      <c r="AO212" s="95">
        <f>MAX(AN212, AM212)/'Weighting Factors'!$Q$5</f>
        <v>20.7</v>
      </c>
      <c r="AP212" s="95">
        <f>CN212/'Weighting Factors'!$Q$5</f>
        <v>0</v>
      </c>
      <c r="AQ212" s="95">
        <v>0</v>
      </c>
      <c r="AR212" s="95">
        <f>CS212/'Weighting Factors'!$Q$5</f>
        <v>0</v>
      </c>
      <c r="AS212" s="99">
        <v>865710</v>
      </c>
      <c r="AT212" s="95">
        <f>AS212/'Weighting Factors'!$Q$5</f>
        <v>207.9</v>
      </c>
      <c r="AU212" s="95">
        <f>IF(ISNA(VLOOKUP($CZ212,'Audit Values'!$A$2:$BU$353,2,FALSE)),'Preliminary SO66'!X211,VLOOKUP($CZ212,'Audit Values'!$A$2:$BU$353,47,FALSE))</f>
        <v>0</v>
      </c>
      <c r="AV212" s="95">
        <f t="shared" si="126"/>
        <v>1260.5</v>
      </c>
      <c r="AW212" s="95">
        <f t="shared" si="127"/>
        <v>1052.5999999999999</v>
      </c>
      <c r="AX212" s="95">
        <f>IF(ISNA(VLOOKUP($CZ212,'Audit Values'!$A$2:$BU$353,2,FALSE)),'Preliminary SO66'!AA211,VLOOKUP($CZ212,'Audit Values'!$A$2:$BU$353,41,FALSE))</f>
        <v>2</v>
      </c>
      <c r="AY212" s="95">
        <f>IF(ISNA(VLOOKUP($CZ212,'Audit Values'!$A$2:$BU$353,2,FALSE)),'Preliminary SO66'!AB211,VLOOKUP($CZ212,'Audit Values'!$A$2:$BU$353,42,FALSE))</f>
        <v>0</v>
      </c>
      <c r="AZ212" s="114">
        <v>3</v>
      </c>
      <c r="BA212" s="99">
        <f>SUM(AX212*'Weighting Factors'!$T$10)+('2019 Legal Max'!AY212*'Weighting Factors'!$T$11)+('2019 Legal Max'!AZ212*'Weighting Factors'!$T$12)</f>
        <v>12127</v>
      </c>
      <c r="BB212" s="158">
        <v>0</v>
      </c>
      <c r="BC212" s="88">
        <f>IF(ISNA(VLOOKUP($CZ212,'Audit Values'!$A$2:$BU$353,2,FALSE)),"",IF(AND('Weighting Factors'!H212&gt;0,VLOOKUP($CZ212,'Audit Values'!$A$2:$BU$353,51,FALSE)&lt;'Weighting Factors'!H212),'Weighting Factors'!H212,VLOOKUP($CZ212,'Audit Values'!$A$2:$BU$353,50,FALSE)))</f>
        <v>17</v>
      </c>
      <c r="BD212" s="88" t="str">
        <f>IF(ISNA(VLOOKUP($CZ212,'Audit Values'!$A$2:$BV$353,2,FALSE)),"",VLOOKUP($CZ212,'Audit Values'!$A$2:$BV$353,51,FALSE))</f>
        <v>A</v>
      </c>
      <c r="BE212" s="88" t="str">
        <f>IF('Weighting Factors'!H212="","",IF('Weighting Factors'!J212="Pending","PX","R"))</f>
        <v/>
      </c>
      <c r="BF212" s="97">
        <f>SUM((S212+T212+Y212+AA212+AE212+AH212+AJ212++AO212+AP212+AQ212+AU212+AR212)*'Weighting Factors'!$Q$5)+'2019 Legal Max'!BA212+'2019 Legal Max'!BB212</f>
        <v>4396206</v>
      </c>
      <c r="BG212" s="99">
        <f>SUM((AV212+AR212)*'Weighting Factors'!$Q$5)+BA212+'2019 Legal Max'!BB212</f>
        <v>5262110</v>
      </c>
      <c r="BH212" s="108">
        <f>IF('Weighting Factors'!H212&gt;0,'Weighting Factors'!H212,'Preliminary SO66'!AV211)</f>
        <v>5476117</v>
      </c>
      <c r="BI212" s="99">
        <f t="shared" si="151"/>
        <v>5262110</v>
      </c>
      <c r="BJ212" s="112"/>
      <c r="BK212" s="112">
        <f>'Weighting Factors'!F212</f>
        <v>0</v>
      </c>
      <c r="BL212" s="112">
        <f>'Weighting Factors'!E212</f>
        <v>-4963</v>
      </c>
      <c r="BM212" s="99">
        <f t="shared" si="128"/>
        <v>-4963</v>
      </c>
      <c r="BN212" s="99">
        <f t="shared" si="129"/>
        <v>5257147</v>
      </c>
      <c r="BO212" s="99">
        <f>SUM((S212+T212+Y212+AA212+AE212+AH212+AJ212++AO212+AP212+AQ212+AR212)*'Weighting Factors'!Q$12)+(MAX(AS212,'Weighting Factors'!B212))</f>
        <v>5591884</v>
      </c>
      <c r="BP212" s="122">
        <v>0.3</v>
      </c>
      <c r="BQ212" s="99">
        <f t="shared" si="130"/>
        <v>1677565</v>
      </c>
      <c r="BR212" s="108">
        <v>1740040</v>
      </c>
      <c r="BS212" s="99">
        <f t="shared" si="131"/>
        <v>1677565</v>
      </c>
      <c r="BT212" s="167">
        <f t="shared" si="132"/>
        <v>0.3</v>
      </c>
      <c r="BU212" s="95">
        <f t="shared" si="133"/>
        <v>0</v>
      </c>
      <c r="BV212" s="87" t="b">
        <f t="shared" si="134"/>
        <v>0</v>
      </c>
      <c r="BW212" s="117">
        <f t="shared" si="135"/>
        <v>0</v>
      </c>
      <c r="BX212" s="116">
        <f t="shared" si="136"/>
        <v>0</v>
      </c>
      <c r="BY212" s="95">
        <f t="shared" si="137"/>
        <v>0</v>
      </c>
      <c r="BZ212" s="87" t="b">
        <f t="shared" si="138"/>
        <v>1</v>
      </c>
      <c r="CA212" s="87">
        <f t="shared" si="139"/>
        <v>458.49380000000002</v>
      </c>
      <c r="CB212" s="116">
        <f t="shared" si="140"/>
        <v>0.35830899999999999</v>
      </c>
      <c r="CC212" s="95">
        <f t="shared" si="141"/>
        <v>240.2</v>
      </c>
      <c r="CD212" s="95">
        <f t="shared" si="142"/>
        <v>0</v>
      </c>
      <c r="CE212" s="98">
        <v>127.3</v>
      </c>
      <c r="CF212" s="250">
        <f t="shared" si="143"/>
        <v>0.57299999999999995</v>
      </c>
      <c r="CG212" s="274">
        <f>IF(CF212&lt;0.06,1,IF(CF212&gt;=18.29,52,MATCH(CF212-0.001,'Weighting Factors'!$Y$5:$Y$156)+1))</f>
        <v>26</v>
      </c>
      <c r="CH212" s="243">
        <f>VLOOKUP(CG212, 'Weighting Factors'!$W$5:$Z$56,4)</f>
        <v>1070</v>
      </c>
      <c r="CI212" s="118">
        <f>('Weighting Factors'!$Q$5/'Weighting Factors'!$Q$14)</f>
        <v>1</v>
      </c>
      <c r="CJ212" s="245">
        <f t="shared" si="144"/>
        <v>78110</v>
      </c>
      <c r="CK212" s="245">
        <f>CJ212*'Weighting Factors'!$S$7</f>
        <v>78110</v>
      </c>
      <c r="CL212" s="245">
        <f t="shared" si="145"/>
        <v>78110</v>
      </c>
      <c r="CM212" s="95">
        <f>AM212/'Weighting Factors'!$Q$5</f>
        <v>18.8</v>
      </c>
      <c r="CN212" s="148">
        <v>0</v>
      </c>
      <c r="CO212" s="148">
        <v>0</v>
      </c>
      <c r="CP212" s="149">
        <v>0</v>
      </c>
      <c r="CQ212" s="151">
        <v>0</v>
      </c>
      <c r="CR212" s="99">
        <f>SUM((AV212*'Weighting Factors'!$Q$5)+'2019 Legal Max'!BA212)*CQ212</f>
        <v>0</v>
      </c>
      <c r="CS212" s="99">
        <f t="shared" si="146"/>
        <v>0</v>
      </c>
      <c r="CT212" s="106">
        <f t="shared" si="147"/>
        <v>0.32900000000000001</v>
      </c>
      <c r="CU212" s="95">
        <f t="shared" si="148"/>
        <v>0</v>
      </c>
      <c r="CV212" s="95">
        <f t="shared" si="149"/>
        <v>0</v>
      </c>
      <c r="CW212" s="95">
        <f t="shared" si="150"/>
        <v>1260.5</v>
      </c>
      <c r="CX212" s="99">
        <f>'LOB Transfers'!G211</f>
        <v>147458</v>
      </c>
      <c r="CY212" s="99">
        <f>'LOB Transfers'!J211</f>
        <v>503</v>
      </c>
      <c r="CZ212" s="87" t="s">
        <v>404</v>
      </c>
    </row>
    <row r="213" spans="1:104" ht="15" customHeight="1">
      <c r="A213" s="88">
        <v>421</v>
      </c>
      <c r="B213" s="87" t="s">
        <v>96</v>
      </c>
      <c r="C213" s="87" t="s">
        <v>725</v>
      </c>
      <c r="D213" s="95">
        <v>396.5</v>
      </c>
      <c r="E213" s="95">
        <v>0</v>
      </c>
      <c r="F213" s="95">
        <f t="shared" si="117"/>
        <v>396.5</v>
      </c>
      <c r="G213" s="95">
        <v>429.5</v>
      </c>
      <c r="H213" s="95">
        <v>0</v>
      </c>
      <c r="I213" s="95">
        <f t="shared" si="118"/>
        <v>429.5</v>
      </c>
      <c r="J213" s="95">
        <v>430</v>
      </c>
      <c r="K213" s="95">
        <v>0</v>
      </c>
      <c r="L213" s="95">
        <f t="shared" si="119"/>
        <v>430</v>
      </c>
      <c r="M213" s="95">
        <f>IF(ISNA(VLOOKUP($CZ213,'Audit Values'!$A$2:$BW$365,2,FALSE)),'Preliminary SO66'!C212,VLOOKUP($CZ213,'Audit Values'!$A$2:$BW$365,73,FALSE))</f>
        <v>418</v>
      </c>
      <c r="N213" s="95">
        <f>IF(ISNA(VLOOKUP($CZ213,'Audit Values'!$A$2:$BW$365,2,FALSE)),'Preliminary SO66'!F212,VLOOKUP($CZ213,'Audit Values'!$A$2:$BW$365,4,FALSE))</f>
        <v>0</v>
      </c>
      <c r="O213" s="95">
        <f t="shared" si="120"/>
        <v>418</v>
      </c>
      <c r="P213" s="95">
        <f>IF('Military Provision'!J214="YES", MAX('2019 Legal Max'!L213,'2019 Legal Max'!I213,AVERAGE('2019 Legal Max'!F213,'2019 Legal Max'!I213,'2019 Legal Max'!L213)), MAX(L213, I213))</f>
        <v>430</v>
      </c>
      <c r="Q213" s="95">
        <f>IF(ISNA(VLOOKUP($CZ213,'Audit Values'!$A$2:$BU$353,2,FALSE)),'Preliminary SO66'!AL212,VLOOKUP($CZ213,'Audit Values'!$A$2:$BU$3955,58,FALSE))</f>
        <v>1</v>
      </c>
      <c r="R213" s="95">
        <v>0</v>
      </c>
      <c r="S213" s="95">
        <f t="shared" ref="S213:S244" si="152">P213+Q213</f>
        <v>431</v>
      </c>
      <c r="T213" s="95">
        <f t="shared" si="121"/>
        <v>189.5</v>
      </c>
      <c r="U213" s="95">
        <f>IF(ISNA(VLOOKUP($CZ213,'Audit Values'!$A$2:$BW$317,2,FALSE)),'Preliminary SO66'!AM212,VLOOKUP($CZ213,'Audit Values'!$A$2:$BW$317,62,FALSE))</f>
        <v>0</v>
      </c>
      <c r="V213" s="95">
        <f>(U213/6)*'Weighting Factors'!$Q$7</f>
        <v>0</v>
      </c>
      <c r="W213" s="132">
        <f>IF(ISNA(VLOOKUP($CZ213,'Audit Values'!$A$2:$BW$353,2,FALSE)),'Preliminary SO66'!AN212,VLOOKUP($CZ213,'Audit Values'!$A$2:$BW$353,61,FALSE))</f>
        <v>0</v>
      </c>
      <c r="X213" s="95">
        <f>W213*'Weighting Factors'!$Q$8</f>
        <v>0</v>
      </c>
      <c r="Y213" s="95">
        <f t="shared" si="122"/>
        <v>0</v>
      </c>
      <c r="Z213" s="276">
        <f>IF(ISNA(VLOOKUP($CZ213,'Audit Values'!$A$2:$BW$317,2,FALSE)),'Preliminary SO66'!AO212,VLOOKUP($CZ213,'Audit Values'!$A$2:$BW$317,60,FALSE))</f>
        <v>65.599999999999994</v>
      </c>
      <c r="AA213" s="95">
        <f>Z213/6*'Weighting Factors'!$Q$6</f>
        <v>5.5</v>
      </c>
      <c r="AB213" s="99">
        <f>IF(ISNA(VLOOKUP($CZ213,'Audit Values'!$A$2:$BU$353,2,FALSE)),'Preliminary SO66'!AS212,VLOOKUP($CZ213,'Audit Values'!$A$2:$BU$353,63,FALSE))</f>
        <v>431</v>
      </c>
      <c r="AC213" s="99">
        <v>0</v>
      </c>
      <c r="AD213" s="99">
        <f>IF(ISNA(VLOOKUP($CZ213,'Audit Values'!$A$2:$BU$353,2,FALSE)),'Preliminary SO66'!AP212,VLOOKUP($CZ213,'Audit Values'!$A$2:$BU$353,64,FALSE))</f>
        <v>88</v>
      </c>
      <c r="AE213" s="95">
        <f>IF(A213=207, AD213,MAX(AC213,AD213))*'Weighting Factors'!$Q$9</f>
        <v>42.6</v>
      </c>
      <c r="AF213" s="95">
        <f t="shared" si="123"/>
        <v>0</v>
      </c>
      <c r="AG213" s="95">
        <f>IF(ISNA(VLOOKUP($CZ213,'Audit Values'!$A$2:$BW$353,2,FALSE)),'Preliminary SO66'!AG212,VLOOKUP($CZ213,'Audit Values'!$A$2:$BW$353,70,FALSE))</f>
        <v>0</v>
      </c>
      <c r="AH213" s="95">
        <f t="shared" si="124"/>
        <v>0</v>
      </c>
      <c r="AI213" s="95">
        <f>IF(ISNA(VLOOKUP($CZ213,'Audit Values'!$A$2:$BU$353,2,FALSE)),'Preliminary SO66'!AQ212,VLOOKUP($CZ213,'Audit Values'!$A$2:$BU$353,65,FALSE))</f>
        <v>0</v>
      </c>
      <c r="AJ213" s="95">
        <f>AI213*'Weighting Factors'!$Q$10</f>
        <v>0</v>
      </c>
      <c r="AK213" s="95">
        <f>IF(ISNA(VLOOKUP($CZ213,'Audit Values'!$A$2:$BU$353,2,FALSE)),'Preliminary SO66'!AR212,VLOOKUP($CZ213,'Audit Values'!$A$2:$BU$353,66,FALSE))</f>
        <v>163</v>
      </c>
      <c r="AL213" s="95"/>
      <c r="AM213" s="99">
        <f t="shared" si="125"/>
        <v>145070</v>
      </c>
      <c r="AN213" s="99">
        <v>160628</v>
      </c>
      <c r="AO213" s="95">
        <f>MAX(AN213, AM213)/'Weighting Factors'!$Q$5</f>
        <v>38.6</v>
      </c>
      <c r="AP213" s="95">
        <f>CN213/'Weighting Factors'!$Q$5</f>
        <v>0</v>
      </c>
      <c r="AQ213" s="95">
        <v>0</v>
      </c>
      <c r="AR213" s="95">
        <f>CS213/'Weighting Factors'!$Q$5</f>
        <v>0</v>
      </c>
      <c r="AS213" s="99">
        <v>551731</v>
      </c>
      <c r="AT213" s="95">
        <f>AS213/'Weighting Factors'!$Q$5</f>
        <v>132.5</v>
      </c>
      <c r="AU213" s="95">
        <f>IF(ISNA(VLOOKUP($CZ213,'Audit Values'!$A$2:$BU$353,2,FALSE)),'Preliminary SO66'!X212,VLOOKUP($CZ213,'Audit Values'!$A$2:$BU$353,47,FALSE))</f>
        <v>0</v>
      </c>
      <c r="AV213" s="95">
        <f t="shared" si="126"/>
        <v>839.7</v>
      </c>
      <c r="AW213" s="95">
        <f t="shared" si="127"/>
        <v>707.2</v>
      </c>
      <c r="AX213" s="95">
        <f>IF(ISNA(VLOOKUP($CZ213,'Audit Values'!$A$2:$BU$353,2,FALSE)),'Preliminary SO66'!AA212,VLOOKUP($CZ213,'Audit Values'!$A$2:$BU$353,41,FALSE))</f>
        <v>0</v>
      </c>
      <c r="AY213" s="95">
        <f>IF(ISNA(VLOOKUP($CZ213,'Audit Values'!$A$2:$BU$353,2,FALSE)),'Preliminary SO66'!AB212,VLOOKUP($CZ213,'Audit Values'!$A$2:$BU$353,42,FALSE))</f>
        <v>0</v>
      </c>
      <c r="AZ213" s="114">
        <v>2</v>
      </c>
      <c r="BA213" s="99">
        <f>SUM(AX213*'Weighting Factors'!$T$10)+('2019 Legal Max'!AY213*'Weighting Factors'!$T$11)+('2019 Legal Max'!AZ213*'Weighting Factors'!$T$12)</f>
        <v>1418</v>
      </c>
      <c r="BB213" s="158">
        <v>0</v>
      </c>
      <c r="BC213" s="88">
        <f>IF(ISNA(VLOOKUP($CZ213,'Audit Values'!$A$2:$BU$353,2,FALSE)),"",IF(AND('Weighting Factors'!H213&gt;0,VLOOKUP($CZ213,'Audit Values'!$A$2:$BU$353,51,FALSE)&lt;'Weighting Factors'!H213),'Weighting Factors'!H213,VLOOKUP($CZ213,'Audit Values'!$A$2:$BU$353,50,FALSE)))</f>
        <v>17</v>
      </c>
      <c r="BD213" s="88" t="str">
        <f>IF(ISNA(VLOOKUP($CZ213,'Audit Values'!$A$2:$BV$353,2,FALSE)),"",VLOOKUP($CZ213,'Audit Values'!$A$2:$BV$353,51,FALSE))</f>
        <v>A</v>
      </c>
      <c r="BE213" s="88" t="str">
        <f>IF('Weighting Factors'!H213="","",IF('Weighting Factors'!J213="Pending","PX","R"))</f>
        <v/>
      </c>
      <c r="BF213" s="97">
        <f>SUM((S213+T213+Y213+AA213+AE213+AH213+AJ213++AO213+AP213+AQ213+AU213+AR213)*'Weighting Factors'!$Q$5)+'2019 Legal Max'!BA213+'2019 Legal Max'!BB213</f>
        <v>2946906</v>
      </c>
      <c r="BG213" s="99">
        <f>SUM((AV213+AR213)*'Weighting Factors'!$Q$5)+BA213+'2019 Legal Max'!BB213</f>
        <v>3498769</v>
      </c>
      <c r="BH213" s="108">
        <f>IF('Weighting Factors'!H213&gt;0,'Weighting Factors'!H213,'Preliminary SO66'!AV212)</f>
        <v>3721218</v>
      </c>
      <c r="BI213" s="99">
        <f t="shared" si="151"/>
        <v>3498769</v>
      </c>
      <c r="BJ213" s="112"/>
      <c r="BK213" s="112">
        <f>'Weighting Factors'!F213</f>
        <v>0</v>
      </c>
      <c r="BL213" s="112">
        <f>'Weighting Factors'!E213</f>
        <v>-1418</v>
      </c>
      <c r="BM213" s="99">
        <f t="shared" si="128"/>
        <v>-1418</v>
      </c>
      <c r="BN213" s="99">
        <f t="shared" si="129"/>
        <v>3497351</v>
      </c>
      <c r="BO213" s="99">
        <f>SUM((S213+T213+Y213+AA213+AE213+AH213+AJ213++AO213+AP213+AQ213+AR213)*'Weighting Factors'!Q$12)+(MAX(AS213,'Weighting Factors'!B213))</f>
        <v>3727059</v>
      </c>
      <c r="BP213" s="122">
        <v>0.3</v>
      </c>
      <c r="BQ213" s="99">
        <f t="shared" si="130"/>
        <v>1118118</v>
      </c>
      <c r="BR213" s="108">
        <v>1185149</v>
      </c>
      <c r="BS213" s="99">
        <f t="shared" si="131"/>
        <v>1118118</v>
      </c>
      <c r="BT213" s="167">
        <f t="shared" si="132"/>
        <v>0.3</v>
      </c>
      <c r="BU213" s="95">
        <f t="shared" si="133"/>
        <v>0</v>
      </c>
      <c r="BV213" s="87" t="b">
        <f t="shared" si="134"/>
        <v>0</v>
      </c>
      <c r="BW213" s="117">
        <f t="shared" si="135"/>
        <v>0</v>
      </c>
      <c r="BX213" s="116">
        <f t="shared" si="136"/>
        <v>0</v>
      </c>
      <c r="BY213" s="95">
        <f t="shared" si="137"/>
        <v>0</v>
      </c>
      <c r="BZ213" s="87" t="b">
        <f t="shared" si="138"/>
        <v>1</v>
      </c>
      <c r="CA213" s="87">
        <f t="shared" si="139"/>
        <v>162.11250000000001</v>
      </c>
      <c r="CB213" s="116">
        <f t="shared" si="140"/>
        <v>0.43967899999999999</v>
      </c>
      <c r="CC213" s="95">
        <f t="shared" si="141"/>
        <v>189.5</v>
      </c>
      <c r="CD213" s="95">
        <f t="shared" si="142"/>
        <v>0</v>
      </c>
      <c r="CE213" s="98">
        <v>109</v>
      </c>
      <c r="CF213" s="250">
        <f t="shared" si="143"/>
        <v>1.4950000000000001</v>
      </c>
      <c r="CG213" s="274">
        <f>IF(CF213&lt;0.06,1,IF(CF213&gt;=18.29,52,MATCH(CF213-0.001,'Weighting Factors'!$Y$5:$Y$156)+1))</f>
        <v>35</v>
      </c>
      <c r="CH213" s="243">
        <f>VLOOKUP(CG213, 'Weighting Factors'!$W$5:$Z$56,4)</f>
        <v>890</v>
      </c>
      <c r="CI213" s="118">
        <f>('Weighting Factors'!$Q$5/'Weighting Factors'!$Q$14)</f>
        <v>1</v>
      </c>
      <c r="CJ213" s="245">
        <f t="shared" si="144"/>
        <v>145070</v>
      </c>
      <c r="CK213" s="245">
        <f>CJ213*'Weighting Factors'!$S$7</f>
        <v>145070</v>
      </c>
      <c r="CL213" s="245">
        <f t="shared" si="145"/>
        <v>145070</v>
      </c>
      <c r="CM213" s="95">
        <f>AM213/'Weighting Factors'!$Q$5</f>
        <v>34.799999999999997</v>
      </c>
      <c r="CN213" s="148">
        <v>0</v>
      </c>
      <c r="CO213" s="148">
        <v>0</v>
      </c>
      <c r="CP213" s="149">
        <v>0</v>
      </c>
      <c r="CQ213" s="151">
        <v>0</v>
      </c>
      <c r="CR213" s="99">
        <f>SUM((AV213*'Weighting Factors'!$Q$5)+'2019 Legal Max'!BA213)*CQ213</f>
        <v>0</v>
      </c>
      <c r="CS213" s="99">
        <f t="shared" si="146"/>
        <v>0</v>
      </c>
      <c r="CT213" s="106">
        <f t="shared" si="147"/>
        <v>0.20419999999999999</v>
      </c>
      <c r="CU213" s="95">
        <f t="shared" si="148"/>
        <v>0</v>
      </c>
      <c r="CV213" s="95">
        <f t="shared" si="149"/>
        <v>0</v>
      </c>
      <c r="CW213" s="95">
        <f t="shared" si="150"/>
        <v>839.7</v>
      </c>
      <c r="CX213" s="99">
        <f>'LOB Transfers'!G212</f>
        <v>56800</v>
      </c>
      <c r="CY213" s="99">
        <f>'LOB Transfers'!J212</f>
        <v>0</v>
      </c>
      <c r="CZ213" s="87" t="s">
        <v>405</v>
      </c>
    </row>
    <row r="214" spans="1:104" ht="15" customHeight="1">
      <c r="A214" s="88">
        <v>422</v>
      </c>
      <c r="B214" s="87" t="s">
        <v>97</v>
      </c>
      <c r="C214" s="87" t="s">
        <v>726</v>
      </c>
      <c r="D214" s="95">
        <v>232.5</v>
      </c>
      <c r="E214" s="95">
        <v>0</v>
      </c>
      <c r="F214" s="95">
        <f t="shared" si="117"/>
        <v>232.5</v>
      </c>
      <c r="G214" s="95">
        <v>242.5</v>
      </c>
      <c r="H214" s="95">
        <v>0</v>
      </c>
      <c r="I214" s="95">
        <f t="shared" si="118"/>
        <v>242.5</v>
      </c>
      <c r="J214" s="95">
        <v>239</v>
      </c>
      <c r="K214" s="95">
        <v>0</v>
      </c>
      <c r="L214" s="95">
        <f t="shared" si="119"/>
        <v>239</v>
      </c>
      <c r="M214" s="95">
        <f>IF(ISNA(VLOOKUP($CZ214,'Audit Values'!$A$2:$BW$365,2,FALSE)),'Preliminary SO66'!C213,VLOOKUP($CZ214,'Audit Values'!$A$2:$BW$365,73,FALSE))</f>
        <v>252</v>
      </c>
      <c r="N214" s="95">
        <f>IF(ISNA(VLOOKUP($CZ214,'Audit Values'!$A$2:$BW$365,2,FALSE)),'Preliminary SO66'!F213,VLOOKUP($CZ214,'Audit Values'!$A$2:$BW$365,4,FALSE))</f>
        <v>0</v>
      </c>
      <c r="O214" s="95">
        <f t="shared" si="120"/>
        <v>252</v>
      </c>
      <c r="P214" s="95">
        <f>IF('Military Provision'!J215="YES", MAX('2019 Legal Max'!L214,'2019 Legal Max'!I214,AVERAGE('2019 Legal Max'!F214,'2019 Legal Max'!I214,'2019 Legal Max'!L214)), MAX(L214, I214))</f>
        <v>242.5</v>
      </c>
      <c r="Q214" s="95">
        <f>IF(ISNA(VLOOKUP($CZ214,'Audit Values'!$A$2:$BU$353,2,FALSE)),'Preliminary SO66'!AL213,VLOOKUP($CZ214,'Audit Values'!$A$2:$BU$3955,58,FALSE))</f>
        <v>0</v>
      </c>
      <c r="R214" s="95">
        <v>0</v>
      </c>
      <c r="S214" s="95">
        <f t="shared" si="152"/>
        <v>242.5</v>
      </c>
      <c r="T214" s="95">
        <f t="shared" si="121"/>
        <v>154.4</v>
      </c>
      <c r="U214" s="95">
        <f>IF(ISNA(VLOOKUP($CZ214,'Audit Values'!$A$2:$BW$317,2,FALSE)),'Preliminary SO66'!AM213,VLOOKUP($CZ214,'Audit Values'!$A$2:$BW$317,62,FALSE))</f>
        <v>0</v>
      </c>
      <c r="V214" s="95">
        <f>(U214/6)*'Weighting Factors'!$Q$7</f>
        <v>0</v>
      </c>
      <c r="W214" s="132">
        <f>IF(ISNA(VLOOKUP($CZ214,'Audit Values'!$A$2:$BW$353,2,FALSE)),'Preliminary SO66'!AN213,VLOOKUP($CZ214,'Audit Values'!$A$2:$BW$353,61,FALSE))</f>
        <v>0</v>
      </c>
      <c r="X214" s="95">
        <f>W214*'Weighting Factors'!$Q$8</f>
        <v>0</v>
      </c>
      <c r="Y214" s="95">
        <f t="shared" si="122"/>
        <v>0</v>
      </c>
      <c r="Z214" s="276">
        <f>IF(ISNA(VLOOKUP($CZ214,'Audit Values'!$A$2:$BW$317,2,FALSE)),'Preliminary SO66'!AO213,VLOOKUP($CZ214,'Audit Values'!$A$2:$BW$317,60,FALSE))</f>
        <v>77</v>
      </c>
      <c r="AA214" s="95">
        <f>Z214/6*'Weighting Factors'!$Q$6</f>
        <v>6.4</v>
      </c>
      <c r="AB214" s="99">
        <f>IF(ISNA(VLOOKUP($CZ214,'Audit Values'!$A$2:$BU$353,2,FALSE)),'Preliminary SO66'!AS213,VLOOKUP($CZ214,'Audit Values'!$A$2:$BU$353,63,FALSE))</f>
        <v>255</v>
      </c>
      <c r="AC214" s="99">
        <v>0</v>
      </c>
      <c r="AD214" s="99">
        <f>IF(ISNA(VLOOKUP($CZ214,'Audit Values'!$A$2:$BU$353,2,FALSE)),'Preliminary SO66'!AP213,VLOOKUP($CZ214,'Audit Values'!$A$2:$BU$353,64,FALSE))</f>
        <v>68</v>
      </c>
      <c r="AE214" s="95">
        <f>IF(A214=207, AD214,MAX(AC214,AD214))*'Weighting Factors'!$Q$9</f>
        <v>32.9</v>
      </c>
      <c r="AF214" s="95">
        <f t="shared" si="123"/>
        <v>0</v>
      </c>
      <c r="AG214" s="95">
        <f>IF(ISNA(VLOOKUP($CZ214,'Audit Values'!$A$2:$BW$353,2,FALSE)),'Preliminary SO66'!AG213,VLOOKUP($CZ214,'Audit Values'!$A$2:$BW$353,70,FALSE))</f>
        <v>0</v>
      </c>
      <c r="AH214" s="95">
        <f t="shared" si="124"/>
        <v>0</v>
      </c>
      <c r="AI214" s="95">
        <f>IF(ISNA(VLOOKUP($CZ214,'Audit Values'!$A$2:$BU$353,2,FALSE)),'Preliminary SO66'!AQ213,VLOOKUP($CZ214,'Audit Values'!$A$2:$BU$353,65,FALSE))</f>
        <v>0</v>
      </c>
      <c r="AJ214" s="95">
        <f>AI214*'Weighting Factors'!$Q$10</f>
        <v>0</v>
      </c>
      <c r="AK214" s="95">
        <f>IF(ISNA(VLOOKUP($CZ214,'Audit Values'!$A$2:$BU$353,2,FALSE)),'Preliminary SO66'!AR213,VLOOKUP($CZ214,'Audit Values'!$A$2:$BU$353,66,FALSE))</f>
        <v>93</v>
      </c>
      <c r="AL214" s="95"/>
      <c r="AM214" s="99">
        <f t="shared" si="125"/>
        <v>119970</v>
      </c>
      <c r="AN214" s="99">
        <v>134820</v>
      </c>
      <c r="AO214" s="95">
        <f>MAX(AN214, AM214)/'Weighting Factors'!$Q$5</f>
        <v>32.4</v>
      </c>
      <c r="AP214" s="95">
        <f>CN214/'Weighting Factors'!$Q$5</f>
        <v>0</v>
      </c>
      <c r="AQ214" s="95">
        <v>0</v>
      </c>
      <c r="AR214" s="95">
        <f>CS214/'Weighting Factors'!$Q$5</f>
        <v>0</v>
      </c>
      <c r="AS214" s="99">
        <v>310445</v>
      </c>
      <c r="AT214" s="95">
        <f>AS214/'Weighting Factors'!$Q$5</f>
        <v>74.5</v>
      </c>
      <c r="AU214" s="95">
        <f>IF(ISNA(VLOOKUP($CZ214,'Audit Values'!$A$2:$BU$353,2,FALSE)),'Preliminary SO66'!X213,VLOOKUP($CZ214,'Audit Values'!$A$2:$BU$353,47,FALSE))</f>
        <v>0</v>
      </c>
      <c r="AV214" s="95">
        <f t="shared" si="126"/>
        <v>543.1</v>
      </c>
      <c r="AW214" s="95">
        <f t="shared" si="127"/>
        <v>468.6</v>
      </c>
      <c r="AX214" s="95">
        <f>IF(ISNA(VLOOKUP($CZ214,'Audit Values'!$A$2:$BU$353,2,FALSE)),'Preliminary SO66'!AA213,VLOOKUP($CZ214,'Audit Values'!$A$2:$BU$353,41,FALSE))</f>
        <v>127</v>
      </c>
      <c r="AY214" s="95">
        <f>IF(ISNA(VLOOKUP($CZ214,'Audit Values'!$A$2:$BU$353,2,FALSE)),'Preliminary SO66'!AB213,VLOOKUP($CZ214,'Audit Values'!$A$2:$BU$353,42,FALSE))</f>
        <v>2.8</v>
      </c>
      <c r="AZ214" s="114">
        <v>83</v>
      </c>
      <c r="BA214" s="99">
        <f>SUM(AX214*'Weighting Factors'!$T$10)+('2019 Legal Max'!AY214*'Weighting Factors'!$T$11)+('2019 Legal Max'!AZ214*'Weighting Factors'!$T$12)</f>
        <v>698607</v>
      </c>
      <c r="BB214" s="158">
        <v>0</v>
      </c>
      <c r="BC214" s="88">
        <f>IF(ISNA(VLOOKUP($CZ214,'Audit Values'!$A$2:$BU$353,2,FALSE)),"",IF(AND('Weighting Factors'!H214&gt;0,VLOOKUP($CZ214,'Audit Values'!$A$2:$BU$353,51,FALSE)&lt;'Weighting Factors'!H214),'Weighting Factors'!H214,VLOOKUP($CZ214,'Audit Values'!$A$2:$BU$353,50,FALSE)))</f>
        <v>25</v>
      </c>
      <c r="BD214" s="88" t="str">
        <f>IF(ISNA(VLOOKUP($CZ214,'Audit Values'!$A$2:$BV$353,2,FALSE)),"",VLOOKUP($CZ214,'Audit Values'!$A$2:$BV$353,51,FALSE))</f>
        <v>A</v>
      </c>
      <c r="BE214" s="88" t="str">
        <f>IF('Weighting Factors'!H214="","",IF('Weighting Factors'!J214="Pending","PX","R"))</f>
        <v>R</v>
      </c>
      <c r="BF214" s="97">
        <f>SUM((S214+T214+Y214+AA214+AE214+AH214+AJ214++AO214+AP214+AQ214+AU214+AR214)*'Weighting Factors'!$Q$5)+'2019 Legal Max'!BA214+'2019 Legal Max'!BB214</f>
        <v>2650326</v>
      </c>
      <c r="BG214" s="99">
        <f>SUM((AV214+AR214)*'Weighting Factors'!$Q$5)+BA214+'2019 Legal Max'!BB214</f>
        <v>2960619</v>
      </c>
      <c r="BH214" s="108">
        <f>IF('Weighting Factors'!H214&gt;0,'Weighting Factors'!H214,'Preliminary SO66'!AV213)</f>
        <v>2960619</v>
      </c>
      <c r="BI214" s="99">
        <f t="shared" si="151"/>
        <v>2960619</v>
      </c>
      <c r="BJ214" s="112"/>
      <c r="BK214" s="112">
        <f>'Weighting Factors'!F214</f>
        <v>0</v>
      </c>
      <c r="BL214" s="112">
        <f>'Weighting Factors'!E214</f>
        <v>0</v>
      </c>
      <c r="BM214" s="99">
        <f t="shared" si="128"/>
        <v>0</v>
      </c>
      <c r="BN214" s="99">
        <f t="shared" si="129"/>
        <v>2960619</v>
      </c>
      <c r="BO214" s="99">
        <f>SUM((S214+T214+Y214+AA214+AE214+AH214+AJ214++AO214+AP214+AQ214+AR214)*'Weighting Factors'!Q$12)+(MAX(AS214,'Weighting Factors'!B214))</f>
        <v>2414459</v>
      </c>
      <c r="BP214" s="122">
        <v>0.3</v>
      </c>
      <c r="BQ214" s="99">
        <f t="shared" si="130"/>
        <v>724338</v>
      </c>
      <c r="BR214" s="108">
        <v>753962</v>
      </c>
      <c r="BS214" s="99">
        <f t="shared" si="131"/>
        <v>724338</v>
      </c>
      <c r="BT214" s="167">
        <f t="shared" si="132"/>
        <v>0.3</v>
      </c>
      <c r="BU214" s="95">
        <f t="shared" si="133"/>
        <v>0</v>
      </c>
      <c r="BV214" s="87" t="b">
        <f t="shared" si="134"/>
        <v>1</v>
      </c>
      <c r="BW214" s="117">
        <f t="shared" si="135"/>
        <v>1375.838</v>
      </c>
      <c r="BX214" s="116">
        <f t="shared" si="136"/>
        <v>0.63660300000000003</v>
      </c>
      <c r="BY214" s="95">
        <f t="shared" si="137"/>
        <v>154.4</v>
      </c>
      <c r="BZ214" s="87" t="b">
        <f t="shared" si="138"/>
        <v>0</v>
      </c>
      <c r="CA214" s="87">
        <f t="shared" si="139"/>
        <v>0</v>
      </c>
      <c r="CB214" s="116">
        <f t="shared" si="140"/>
        <v>0</v>
      </c>
      <c r="CC214" s="95">
        <f t="shared" si="141"/>
        <v>0</v>
      </c>
      <c r="CD214" s="95">
        <f t="shared" si="142"/>
        <v>0</v>
      </c>
      <c r="CE214" s="98">
        <v>459.8</v>
      </c>
      <c r="CF214" s="250">
        <f t="shared" si="143"/>
        <v>0.20200000000000001</v>
      </c>
      <c r="CG214" s="274">
        <f>IF(CF214&lt;0.06,1,IF(CF214&gt;=18.29,52,MATCH(CF214-0.001,'Weighting Factors'!$Y$5:$Y$156)+1))</f>
        <v>15</v>
      </c>
      <c r="CH214" s="243">
        <f>VLOOKUP(CG214, 'Weighting Factors'!$W$5:$Z$56,4)</f>
        <v>1290</v>
      </c>
      <c r="CI214" s="118">
        <f>('Weighting Factors'!$Q$5/'Weighting Factors'!$Q$14)</f>
        <v>1</v>
      </c>
      <c r="CJ214" s="245">
        <f t="shared" si="144"/>
        <v>119970</v>
      </c>
      <c r="CK214" s="245">
        <f>CJ214*'Weighting Factors'!$S$7</f>
        <v>119970</v>
      </c>
      <c r="CL214" s="245">
        <f t="shared" si="145"/>
        <v>119970</v>
      </c>
      <c r="CM214" s="95">
        <f>AM214/'Weighting Factors'!$Q$5</f>
        <v>28.8</v>
      </c>
      <c r="CN214" s="148">
        <v>0</v>
      </c>
      <c r="CO214" s="148">
        <v>0</v>
      </c>
      <c r="CP214" s="149">
        <v>0</v>
      </c>
      <c r="CQ214" s="151">
        <v>0</v>
      </c>
      <c r="CR214" s="99">
        <f>SUM((AV214*'Weighting Factors'!$Q$5)+'2019 Legal Max'!BA214)*CQ214</f>
        <v>0</v>
      </c>
      <c r="CS214" s="99">
        <f t="shared" si="146"/>
        <v>0</v>
      </c>
      <c r="CT214" s="106">
        <f t="shared" si="147"/>
        <v>0.26669999999999999</v>
      </c>
      <c r="CU214" s="95">
        <f t="shared" si="148"/>
        <v>0</v>
      </c>
      <c r="CV214" s="95">
        <f t="shared" si="149"/>
        <v>0</v>
      </c>
      <c r="CW214" s="95">
        <f t="shared" si="150"/>
        <v>543.1</v>
      </c>
      <c r="CX214" s="99">
        <f>'LOB Transfers'!G213</f>
        <v>43895</v>
      </c>
      <c r="CY214" s="99">
        <f>'LOB Transfers'!J213</f>
        <v>0</v>
      </c>
      <c r="CZ214" s="87" t="s">
        <v>406</v>
      </c>
    </row>
    <row r="215" spans="1:104" ht="15" customHeight="1">
      <c r="A215" s="88">
        <v>423</v>
      </c>
      <c r="B215" s="87" t="s">
        <v>91</v>
      </c>
      <c r="C215" s="87" t="s">
        <v>727</v>
      </c>
      <c r="D215" s="95">
        <v>377.3</v>
      </c>
      <c r="E215" s="95">
        <v>0</v>
      </c>
      <c r="F215" s="95">
        <f t="shared" si="117"/>
        <v>377.3</v>
      </c>
      <c r="G215" s="95">
        <v>387.3</v>
      </c>
      <c r="H215" s="95">
        <v>0</v>
      </c>
      <c r="I215" s="95">
        <f t="shared" si="118"/>
        <v>387.3</v>
      </c>
      <c r="J215" s="95">
        <v>396.7</v>
      </c>
      <c r="K215" s="95">
        <v>0</v>
      </c>
      <c r="L215" s="95">
        <f t="shared" si="119"/>
        <v>396.7</v>
      </c>
      <c r="M215" s="95">
        <f>IF(ISNA(VLOOKUP($CZ215,'Audit Values'!$A$2:$BW$365,2,FALSE)),'Preliminary SO66'!C214,VLOOKUP($CZ215,'Audit Values'!$A$2:$BW$365,73,FALSE))</f>
        <v>394.1</v>
      </c>
      <c r="N215" s="95">
        <f>IF(ISNA(VLOOKUP($CZ215,'Audit Values'!$A$2:$BW$365,2,FALSE)),'Preliminary SO66'!F214,VLOOKUP($CZ215,'Audit Values'!$A$2:$BW$365,4,FALSE))</f>
        <v>0</v>
      </c>
      <c r="O215" s="95">
        <f t="shared" si="120"/>
        <v>394.1</v>
      </c>
      <c r="P215" s="95">
        <f>IF('Military Provision'!J216="YES", MAX('2019 Legal Max'!L215,'2019 Legal Max'!I215,AVERAGE('2019 Legal Max'!F215,'2019 Legal Max'!I215,'2019 Legal Max'!L215)), MAX(L215, I215))</f>
        <v>396.7</v>
      </c>
      <c r="Q215" s="95">
        <f>IF(ISNA(VLOOKUP($CZ215,'Audit Values'!$A$2:$BU$353,2,FALSE)),'Preliminary SO66'!AL214,VLOOKUP($CZ215,'Audit Values'!$A$2:$BU$3955,58,FALSE))</f>
        <v>7.5</v>
      </c>
      <c r="R215" s="95">
        <v>0</v>
      </c>
      <c r="S215" s="95">
        <f t="shared" si="152"/>
        <v>404.2</v>
      </c>
      <c r="T215" s="95">
        <f t="shared" si="121"/>
        <v>181.4</v>
      </c>
      <c r="U215" s="95">
        <f>IF(ISNA(VLOOKUP($CZ215,'Audit Values'!$A$2:$BW$317,2,FALSE)),'Preliminary SO66'!AM214,VLOOKUP($CZ215,'Audit Values'!$A$2:$BW$317,62,FALSE))</f>
        <v>0</v>
      </c>
      <c r="V215" s="95">
        <f>(U215/6)*'Weighting Factors'!$Q$7</f>
        <v>0</v>
      </c>
      <c r="W215" s="132">
        <f>IF(ISNA(VLOOKUP($CZ215,'Audit Values'!$A$2:$BW$353,2,FALSE)),'Preliminary SO66'!AN214,VLOOKUP($CZ215,'Audit Values'!$A$2:$BW$353,61,FALSE))</f>
        <v>0</v>
      </c>
      <c r="X215" s="95">
        <f>W215*'Weighting Factors'!$Q$8</f>
        <v>0</v>
      </c>
      <c r="Y215" s="95">
        <f t="shared" si="122"/>
        <v>0</v>
      </c>
      <c r="Z215" s="276">
        <f>IF(ISNA(VLOOKUP($CZ215,'Audit Values'!$A$2:$BW$317,2,FALSE)),'Preliminary SO66'!AO214,VLOOKUP($CZ215,'Audit Values'!$A$2:$BW$317,60,FALSE))</f>
        <v>185.7</v>
      </c>
      <c r="AA215" s="95">
        <f>Z215/6*'Weighting Factors'!$Q$6</f>
        <v>15.5</v>
      </c>
      <c r="AB215" s="99">
        <f>IF(ISNA(VLOOKUP($CZ215,'Audit Values'!$A$2:$BU$353,2,FALSE)),'Preliminary SO66'!AS214,VLOOKUP($CZ215,'Audit Values'!$A$2:$BU$353,63,FALSE))</f>
        <v>413</v>
      </c>
      <c r="AC215" s="99">
        <v>0</v>
      </c>
      <c r="AD215" s="99">
        <f>IF(ISNA(VLOOKUP($CZ215,'Audit Values'!$A$2:$BU$353,2,FALSE)),'Preliminary SO66'!AP214,VLOOKUP($CZ215,'Audit Values'!$A$2:$BU$353,64,FALSE))</f>
        <v>85</v>
      </c>
      <c r="AE215" s="95">
        <f>IF(A215=207, AD215,MAX(AC215,AD215))*'Weighting Factors'!$Q$9</f>
        <v>41.1</v>
      </c>
      <c r="AF215" s="95">
        <f t="shared" si="123"/>
        <v>0</v>
      </c>
      <c r="AG215" s="95">
        <f>IF(ISNA(VLOOKUP($CZ215,'Audit Values'!$A$2:$BW$353,2,FALSE)),'Preliminary SO66'!AG214,VLOOKUP($CZ215,'Audit Values'!$A$2:$BW$353,70,FALSE))</f>
        <v>0</v>
      </c>
      <c r="AH215" s="95">
        <f t="shared" si="124"/>
        <v>0</v>
      </c>
      <c r="AI215" s="95">
        <f>IF(ISNA(VLOOKUP($CZ215,'Audit Values'!$A$2:$BU$353,2,FALSE)),'Preliminary SO66'!AQ214,VLOOKUP($CZ215,'Audit Values'!$A$2:$BU$353,65,FALSE))</f>
        <v>0</v>
      </c>
      <c r="AJ215" s="95">
        <f>AI215*'Weighting Factors'!$Q$10</f>
        <v>0</v>
      </c>
      <c r="AK215" s="95">
        <f>IF(ISNA(VLOOKUP($CZ215,'Audit Values'!$A$2:$BU$353,2,FALSE)),'Preliminary SO66'!AR214,VLOOKUP($CZ215,'Audit Values'!$A$2:$BU$353,66,FALSE))</f>
        <v>71</v>
      </c>
      <c r="AL215" s="95"/>
      <c r="AM215" s="99">
        <f t="shared" si="125"/>
        <v>78810</v>
      </c>
      <c r="AN215" s="99">
        <v>104004</v>
      </c>
      <c r="AO215" s="95">
        <f>MAX(AN215, AM215)/'Weighting Factors'!$Q$5</f>
        <v>25</v>
      </c>
      <c r="AP215" s="95">
        <f>CN215/'Weighting Factors'!$Q$5</f>
        <v>0</v>
      </c>
      <c r="AQ215" s="95">
        <v>0</v>
      </c>
      <c r="AR215" s="95">
        <f>CS215/'Weighting Factors'!$Q$5</f>
        <v>0</v>
      </c>
      <c r="AS215" s="99">
        <v>478638</v>
      </c>
      <c r="AT215" s="95">
        <f>AS215/'Weighting Factors'!$Q$5</f>
        <v>114.9</v>
      </c>
      <c r="AU215" s="95">
        <f>IF(ISNA(VLOOKUP($CZ215,'Audit Values'!$A$2:$BU$353,2,FALSE)),'Preliminary SO66'!X214,VLOOKUP($CZ215,'Audit Values'!$A$2:$BU$353,47,FALSE))</f>
        <v>0</v>
      </c>
      <c r="AV215" s="95">
        <f t="shared" si="126"/>
        <v>782.1</v>
      </c>
      <c r="AW215" s="95">
        <f t="shared" si="127"/>
        <v>667.2</v>
      </c>
      <c r="AX215" s="95">
        <f>IF(ISNA(VLOOKUP($CZ215,'Audit Values'!$A$2:$BU$353,2,FALSE)),'Preliminary SO66'!AA214,VLOOKUP($CZ215,'Audit Values'!$A$2:$BU$353,41,FALSE))</f>
        <v>0</v>
      </c>
      <c r="AY215" s="95">
        <f>IF(ISNA(VLOOKUP($CZ215,'Audit Values'!$A$2:$BU$353,2,FALSE)),'Preliminary SO66'!AB214,VLOOKUP($CZ215,'Audit Values'!$A$2:$BU$353,42,FALSE))</f>
        <v>0</v>
      </c>
      <c r="AZ215" s="114">
        <v>0</v>
      </c>
      <c r="BA215" s="99">
        <f>SUM(AX215*'Weighting Factors'!$T$10)+('2019 Legal Max'!AY215*'Weighting Factors'!$T$11)+('2019 Legal Max'!AZ215*'Weighting Factors'!$T$12)</f>
        <v>0</v>
      </c>
      <c r="BB215" s="158">
        <v>0</v>
      </c>
      <c r="BC215" s="88">
        <f>IF(ISNA(VLOOKUP($CZ215,'Audit Values'!$A$2:$BU$353,2,FALSE)),"",IF(AND('Weighting Factors'!H215&gt;0,VLOOKUP($CZ215,'Audit Values'!$A$2:$BU$353,51,FALSE)&lt;'Weighting Factors'!H215),'Weighting Factors'!H215,VLOOKUP($CZ215,'Audit Values'!$A$2:$BU$353,50,FALSE)))</f>
        <v>18</v>
      </c>
      <c r="BD215" s="88" t="str">
        <f>IF(ISNA(VLOOKUP($CZ215,'Audit Values'!$A$2:$BV$353,2,FALSE)),"",VLOOKUP($CZ215,'Audit Values'!$A$2:$BV$353,51,FALSE))</f>
        <v>A</v>
      </c>
      <c r="BE215" s="88" t="str">
        <f>IF('Weighting Factors'!H215="","",IF('Weighting Factors'!J215="Pending","PX","R"))</f>
        <v/>
      </c>
      <c r="BF215" s="97">
        <f>SUM((S215+T215+Y215+AA215+AE215+AH215+AJ215++AO215+AP215+AQ215+AU215+AR215)*'Weighting Factors'!$Q$5)+'2019 Legal Max'!BA215+'2019 Legal Max'!BB215</f>
        <v>2778888</v>
      </c>
      <c r="BG215" s="99">
        <f>SUM((AV215+AR215)*'Weighting Factors'!$Q$5)+BA215+'2019 Legal Max'!BB215</f>
        <v>3257447</v>
      </c>
      <c r="BH215" s="108">
        <f>IF('Weighting Factors'!H215&gt;0,'Weighting Factors'!H215,'Preliminary SO66'!AV214)</f>
        <v>3419049</v>
      </c>
      <c r="BI215" s="99">
        <f t="shared" si="151"/>
        <v>3257447</v>
      </c>
      <c r="BJ215" s="112"/>
      <c r="BK215" s="112">
        <f>'Weighting Factors'!F215</f>
        <v>0</v>
      </c>
      <c r="BL215" s="112">
        <f>'Weighting Factors'!E215</f>
        <v>0</v>
      </c>
      <c r="BM215" s="99">
        <f t="shared" si="128"/>
        <v>0</v>
      </c>
      <c r="BN215" s="99">
        <f t="shared" si="129"/>
        <v>3257447</v>
      </c>
      <c r="BO215" s="99">
        <f>SUM((S215+T215+Y215+AA215+AE215+AH215+AJ215++AO215+AP215+AQ215+AR215)*'Weighting Factors'!Q$12)+(MAX(AS215,'Weighting Factors'!B215))</f>
        <v>3474366</v>
      </c>
      <c r="BP215" s="122">
        <v>0.33</v>
      </c>
      <c r="BQ215" s="99">
        <f t="shared" si="130"/>
        <v>1146541</v>
      </c>
      <c r="BR215" s="108">
        <v>1200355</v>
      </c>
      <c r="BS215" s="99">
        <f t="shared" si="131"/>
        <v>1146541</v>
      </c>
      <c r="BT215" s="167">
        <f t="shared" si="132"/>
        <v>0.33</v>
      </c>
      <c r="BU215" s="95">
        <f t="shared" si="133"/>
        <v>0</v>
      </c>
      <c r="BV215" s="87" t="b">
        <f t="shared" si="134"/>
        <v>0</v>
      </c>
      <c r="BW215" s="117">
        <f t="shared" si="135"/>
        <v>0</v>
      </c>
      <c r="BX215" s="116">
        <f t="shared" si="136"/>
        <v>0</v>
      </c>
      <c r="BY215" s="95">
        <f t="shared" si="137"/>
        <v>0</v>
      </c>
      <c r="BZ215" s="87" t="b">
        <f t="shared" si="138"/>
        <v>1</v>
      </c>
      <c r="CA215" s="87">
        <f t="shared" si="139"/>
        <v>128.94749999999999</v>
      </c>
      <c r="CB215" s="116">
        <f t="shared" si="140"/>
        <v>0.44878400000000002</v>
      </c>
      <c r="CC215" s="95">
        <f t="shared" si="141"/>
        <v>181.4</v>
      </c>
      <c r="CD215" s="95">
        <f t="shared" si="142"/>
        <v>0</v>
      </c>
      <c r="CE215" s="98">
        <v>156</v>
      </c>
      <c r="CF215" s="250">
        <f t="shared" si="143"/>
        <v>0.45500000000000002</v>
      </c>
      <c r="CG215" s="274">
        <f>IF(CF215&lt;0.06,1,IF(CF215&gt;=18.29,52,MATCH(CF215-0.001,'Weighting Factors'!$Y$5:$Y$156)+1))</f>
        <v>24</v>
      </c>
      <c r="CH215" s="243">
        <f>VLOOKUP(CG215, 'Weighting Factors'!$W$5:$Z$56,4)</f>
        <v>1110</v>
      </c>
      <c r="CI215" s="118">
        <f>('Weighting Factors'!$Q$5/'Weighting Factors'!$Q$14)</f>
        <v>1</v>
      </c>
      <c r="CJ215" s="245">
        <f t="shared" si="144"/>
        <v>78810</v>
      </c>
      <c r="CK215" s="245">
        <f>CJ215*'Weighting Factors'!$S$7</f>
        <v>78810</v>
      </c>
      <c r="CL215" s="245">
        <f t="shared" si="145"/>
        <v>78810</v>
      </c>
      <c r="CM215" s="95">
        <f>AM215/'Weighting Factors'!$Q$5</f>
        <v>18.899999999999999</v>
      </c>
      <c r="CN215" s="148">
        <v>0</v>
      </c>
      <c r="CO215" s="148">
        <v>0</v>
      </c>
      <c r="CP215" s="149">
        <v>0</v>
      </c>
      <c r="CQ215" s="151">
        <v>0</v>
      </c>
      <c r="CR215" s="99">
        <f>SUM((AV215*'Weighting Factors'!$Q$5)+'2019 Legal Max'!BA215)*CQ215</f>
        <v>0</v>
      </c>
      <c r="CS215" s="99">
        <f t="shared" si="146"/>
        <v>0</v>
      </c>
      <c r="CT215" s="106">
        <f t="shared" si="147"/>
        <v>0.20580000000000001</v>
      </c>
      <c r="CU215" s="95">
        <f t="shared" si="148"/>
        <v>0</v>
      </c>
      <c r="CV215" s="95">
        <f t="shared" si="149"/>
        <v>0</v>
      </c>
      <c r="CW215" s="95">
        <f t="shared" si="150"/>
        <v>782.1</v>
      </c>
      <c r="CX215" s="99">
        <f>'LOB Transfers'!G214</f>
        <v>60881</v>
      </c>
      <c r="CY215" s="99">
        <f>'LOB Transfers'!J214</f>
        <v>0</v>
      </c>
      <c r="CZ215" s="87" t="s">
        <v>407</v>
      </c>
    </row>
    <row r="216" spans="1:104" ht="15" customHeight="1">
      <c r="A216" s="88">
        <v>426</v>
      </c>
      <c r="B216" s="87" t="s">
        <v>98</v>
      </c>
      <c r="C216" s="87" t="s">
        <v>728</v>
      </c>
      <c r="D216" s="95">
        <v>211.5</v>
      </c>
      <c r="E216" s="95">
        <v>0</v>
      </c>
      <c r="F216" s="95">
        <f t="shared" si="117"/>
        <v>211.5</v>
      </c>
      <c r="G216" s="95">
        <v>221</v>
      </c>
      <c r="H216" s="95">
        <v>0</v>
      </c>
      <c r="I216" s="95">
        <f t="shared" si="118"/>
        <v>221</v>
      </c>
      <c r="J216" s="95">
        <v>204.5</v>
      </c>
      <c r="K216" s="95">
        <v>0</v>
      </c>
      <c r="L216" s="95">
        <f t="shared" si="119"/>
        <v>204.5</v>
      </c>
      <c r="M216" s="95">
        <f>IF(ISNA(VLOOKUP($CZ216,'Audit Values'!$A$2:$BW$365,2,FALSE)),'Preliminary SO66'!C215,VLOOKUP($CZ216,'Audit Values'!$A$2:$BW$365,73,FALSE))</f>
        <v>200</v>
      </c>
      <c r="N216" s="95">
        <f>IF(ISNA(VLOOKUP($CZ216,'Audit Values'!$A$2:$BW$365,2,FALSE)),'Preliminary SO66'!F215,VLOOKUP($CZ216,'Audit Values'!$A$2:$BW$365,4,FALSE))</f>
        <v>0</v>
      </c>
      <c r="O216" s="95">
        <f t="shared" si="120"/>
        <v>200</v>
      </c>
      <c r="P216" s="95">
        <f>IF('Military Provision'!J217="YES", MAX('2019 Legal Max'!L216,'2019 Legal Max'!I216,AVERAGE('2019 Legal Max'!F216,'2019 Legal Max'!I216,'2019 Legal Max'!L216)), MAX(L216, I216))</f>
        <v>221</v>
      </c>
      <c r="Q216" s="95">
        <f>IF(ISNA(VLOOKUP($CZ216,'Audit Values'!$A$2:$BU$353,2,FALSE)),'Preliminary SO66'!AL215,VLOOKUP($CZ216,'Audit Values'!$A$2:$BU$3955,58,FALSE))</f>
        <v>2.5</v>
      </c>
      <c r="R216" s="95">
        <v>0</v>
      </c>
      <c r="S216" s="95">
        <f t="shared" si="152"/>
        <v>223.5</v>
      </c>
      <c r="T216" s="95">
        <f t="shared" si="121"/>
        <v>153.5</v>
      </c>
      <c r="U216" s="95">
        <f>IF(ISNA(VLOOKUP($CZ216,'Audit Values'!$A$2:$BW$317,2,FALSE)),'Preliminary SO66'!AM215,VLOOKUP($CZ216,'Audit Values'!$A$2:$BW$317,62,FALSE))</f>
        <v>0</v>
      </c>
      <c r="V216" s="95">
        <f>(U216/6)*'Weighting Factors'!$Q$7</f>
        <v>0</v>
      </c>
      <c r="W216" s="132">
        <f>IF(ISNA(VLOOKUP($CZ216,'Audit Values'!$A$2:$BW$353,2,FALSE)),'Preliminary SO66'!AN215,VLOOKUP($CZ216,'Audit Values'!$A$2:$BW$353,61,FALSE))</f>
        <v>0</v>
      </c>
      <c r="X216" s="95">
        <f>W216*'Weighting Factors'!$Q$8</f>
        <v>0</v>
      </c>
      <c r="Y216" s="95">
        <f t="shared" si="122"/>
        <v>0</v>
      </c>
      <c r="Z216" s="276">
        <f>IF(ISNA(VLOOKUP($CZ216,'Audit Values'!$A$2:$BW$317,2,FALSE)),'Preliminary SO66'!AO215,VLOOKUP($CZ216,'Audit Values'!$A$2:$BW$317,60,FALSE))</f>
        <v>38.700000000000003</v>
      </c>
      <c r="AA216" s="95">
        <f>Z216/6*'Weighting Factors'!$Q$6</f>
        <v>3.2</v>
      </c>
      <c r="AB216" s="99">
        <f>IF(ISNA(VLOOKUP($CZ216,'Audit Values'!$A$2:$BU$353,2,FALSE)),'Preliminary SO66'!AS215,VLOOKUP($CZ216,'Audit Values'!$A$2:$BU$353,63,FALSE))</f>
        <v>206</v>
      </c>
      <c r="AC216" s="99">
        <v>0</v>
      </c>
      <c r="AD216" s="99">
        <f>IF(ISNA(VLOOKUP($CZ216,'Audit Values'!$A$2:$BU$353,2,FALSE)),'Preliminary SO66'!AP215,VLOOKUP($CZ216,'Audit Values'!$A$2:$BU$353,64,FALSE))</f>
        <v>76</v>
      </c>
      <c r="AE216" s="95">
        <f>IF(A216=207, AD216,MAX(AC216,AD216))*'Weighting Factors'!$Q$9</f>
        <v>36.799999999999997</v>
      </c>
      <c r="AF216" s="95">
        <f t="shared" si="123"/>
        <v>1</v>
      </c>
      <c r="AG216" s="95">
        <f>IF(ISNA(VLOOKUP($CZ216,'Audit Values'!$A$2:$BW$353,2,FALSE)),'Preliminary SO66'!AG215,VLOOKUP($CZ216,'Audit Values'!$A$2:$BW$353,70,FALSE))</f>
        <v>2.6</v>
      </c>
      <c r="AH216" s="95">
        <f t="shared" si="124"/>
        <v>2.6</v>
      </c>
      <c r="AI216" s="95">
        <f>IF(ISNA(VLOOKUP($CZ216,'Audit Values'!$A$2:$BU$353,2,FALSE)),'Preliminary SO66'!AQ215,VLOOKUP($CZ216,'Audit Values'!$A$2:$BU$353,65,FALSE))</f>
        <v>0</v>
      </c>
      <c r="AJ216" s="95">
        <f>AI216*'Weighting Factors'!$Q$10</f>
        <v>0</v>
      </c>
      <c r="AK216" s="95">
        <f>IF(ISNA(VLOOKUP($CZ216,'Audit Values'!$A$2:$BU$353,2,FALSE)),'Preliminary SO66'!AR215,VLOOKUP($CZ216,'Audit Values'!$A$2:$BU$353,66,FALSE))</f>
        <v>91</v>
      </c>
      <c r="AL216" s="95"/>
      <c r="AM216" s="99">
        <f t="shared" si="125"/>
        <v>101010</v>
      </c>
      <c r="AN216" s="99">
        <v>112093</v>
      </c>
      <c r="AO216" s="95">
        <f>MAX(AN216, AM216)/'Weighting Factors'!$Q$5</f>
        <v>26.9</v>
      </c>
      <c r="AP216" s="95">
        <f>CN216/'Weighting Factors'!$Q$5</f>
        <v>0</v>
      </c>
      <c r="AQ216" s="95">
        <v>0</v>
      </c>
      <c r="AR216" s="95">
        <f>CS216/'Weighting Factors'!$Q$5</f>
        <v>0</v>
      </c>
      <c r="AS216" s="99">
        <v>225907</v>
      </c>
      <c r="AT216" s="95">
        <f>AS216/'Weighting Factors'!$Q$5</f>
        <v>54.2</v>
      </c>
      <c r="AU216" s="95">
        <f>IF(ISNA(VLOOKUP($CZ216,'Audit Values'!$A$2:$BU$353,2,FALSE)),'Preliminary SO66'!X215,VLOOKUP($CZ216,'Audit Values'!$A$2:$BU$353,47,FALSE))</f>
        <v>0</v>
      </c>
      <c r="AV216" s="95">
        <f t="shared" si="126"/>
        <v>500.7</v>
      </c>
      <c r="AW216" s="95">
        <f t="shared" si="127"/>
        <v>446.5</v>
      </c>
      <c r="AX216" s="95">
        <f>IF(ISNA(VLOOKUP($CZ216,'Audit Values'!$A$2:$BU$353,2,FALSE)),'Preliminary SO66'!AA215,VLOOKUP($CZ216,'Audit Values'!$A$2:$BU$353,41,FALSE))</f>
        <v>0</v>
      </c>
      <c r="AY216" s="95">
        <f>IF(ISNA(VLOOKUP($CZ216,'Audit Values'!$A$2:$BU$353,2,FALSE)),'Preliminary SO66'!AB215,VLOOKUP($CZ216,'Audit Values'!$A$2:$BU$353,42,FALSE))</f>
        <v>0</v>
      </c>
      <c r="AZ216" s="114">
        <v>0</v>
      </c>
      <c r="BA216" s="99">
        <f>SUM(AX216*'Weighting Factors'!$T$10)+('2019 Legal Max'!AY216*'Weighting Factors'!$T$11)+('2019 Legal Max'!AZ216*'Weighting Factors'!$T$12)</f>
        <v>0</v>
      </c>
      <c r="BB216" s="158">
        <v>0</v>
      </c>
      <c r="BC216" s="88">
        <f>IF(ISNA(VLOOKUP($CZ216,'Audit Values'!$A$2:$BU$353,2,FALSE)),"",IF(AND('Weighting Factors'!H216&gt;0,VLOOKUP($CZ216,'Audit Values'!$A$2:$BU$353,51,FALSE)&lt;'Weighting Factors'!H216),'Weighting Factors'!H216,VLOOKUP($CZ216,'Audit Values'!$A$2:$BU$353,50,FALSE)))</f>
        <v>4</v>
      </c>
      <c r="BD216" s="88" t="str">
        <f>IF(ISNA(VLOOKUP($CZ216,'Audit Values'!$A$2:$BV$353,2,FALSE)),"",VLOOKUP($CZ216,'Audit Values'!$A$2:$BV$353,51,FALSE))</f>
        <v>A</v>
      </c>
      <c r="BE216" s="88" t="str">
        <f>IF('Weighting Factors'!H216="","",IF('Weighting Factors'!J216="Pending","PX","R"))</f>
        <v/>
      </c>
      <c r="BF216" s="97">
        <f>SUM((S216+T216+Y216+AA216+AE216+AH216+AJ216++AO216+AP216+AQ216+AU216+AR216)*'Weighting Factors'!$Q$5)+'2019 Legal Max'!BA216+'2019 Legal Max'!BB216</f>
        <v>1859673</v>
      </c>
      <c r="BG216" s="99">
        <f>SUM((AV216+AR216)*'Weighting Factors'!$Q$5)+BA216+'2019 Legal Max'!BB216</f>
        <v>2085416</v>
      </c>
      <c r="BH216" s="108">
        <f>IF('Weighting Factors'!H216&gt;0,'Weighting Factors'!H216,'Preliminary SO66'!AV215)</f>
        <v>2084583</v>
      </c>
      <c r="BI216" s="99">
        <f t="shared" si="151"/>
        <v>2084583</v>
      </c>
      <c r="BJ216" s="112">
        <v>-26728</v>
      </c>
      <c r="BK216" s="112">
        <f>'Weighting Factors'!F216</f>
        <v>0</v>
      </c>
      <c r="BL216" s="112">
        <f>'Weighting Factors'!E216</f>
        <v>0</v>
      </c>
      <c r="BM216" s="99">
        <f t="shared" si="128"/>
        <v>-26728</v>
      </c>
      <c r="BN216" s="99">
        <f t="shared" si="129"/>
        <v>2057855</v>
      </c>
      <c r="BO216" s="99">
        <f>SUM((S216+T216+Y216+AA216+AE216+AH216+AJ216++AO216+AP216+AQ216+AR216)*'Weighting Factors'!Q$12)+(MAX(AS216,'Weighting Factors'!B216))</f>
        <v>2296143</v>
      </c>
      <c r="BP216" s="122">
        <v>0.3</v>
      </c>
      <c r="BQ216" s="99">
        <f t="shared" si="130"/>
        <v>688843</v>
      </c>
      <c r="BR216" s="108">
        <v>675000</v>
      </c>
      <c r="BS216" s="99">
        <f t="shared" si="131"/>
        <v>675000</v>
      </c>
      <c r="BT216" s="167">
        <f t="shared" si="132"/>
        <v>0.29399999999999998</v>
      </c>
      <c r="BU216" s="95">
        <f t="shared" si="133"/>
        <v>0</v>
      </c>
      <c r="BV216" s="87" t="b">
        <f t="shared" si="134"/>
        <v>1</v>
      </c>
      <c r="BW216" s="117">
        <f t="shared" si="135"/>
        <v>1192.393</v>
      </c>
      <c r="BX216" s="116">
        <f t="shared" si="136"/>
        <v>0.68696699999999999</v>
      </c>
      <c r="BY216" s="95">
        <f t="shared" si="137"/>
        <v>153.5</v>
      </c>
      <c r="BZ216" s="87" t="b">
        <f t="shared" si="138"/>
        <v>0</v>
      </c>
      <c r="CA216" s="87">
        <f t="shared" si="139"/>
        <v>0</v>
      </c>
      <c r="CB216" s="116">
        <f t="shared" si="140"/>
        <v>0</v>
      </c>
      <c r="CC216" s="95">
        <f t="shared" si="141"/>
        <v>0</v>
      </c>
      <c r="CD216" s="95">
        <f t="shared" si="142"/>
        <v>0</v>
      </c>
      <c r="CE216" s="98">
        <v>194.8</v>
      </c>
      <c r="CF216" s="250">
        <f t="shared" si="143"/>
        <v>0.46700000000000003</v>
      </c>
      <c r="CG216" s="274">
        <f>IF(CF216&lt;0.06,1,IF(CF216&gt;=18.29,52,MATCH(CF216-0.001,'Weighting Factors'!$Y$5:$Y$156)+1))</f>
        <v>24</v>
      </c>
      <c r="CH216" s="243">
        <f>VLOOKUP(CG216, 'Weighting Factors'!$W$5:$Z$56,4)</f>
        <v>1110</v>
      </c>
      <c r="CI216" s="118">
        <f>('Weighting Factors'!$Q$5/'Weighting Factors'!$Q$14)</f>
        <v>1</v>
      </c>
      <c r="CJ216" s="245">
        <f t="shared" si="144"/>
        <v>101010</v>
      </c>
      <c r="CK216" s="245">
        <f>CJ216*'Weighting Factors'!$S$7</f>
        <v>101010</v>
      </c>
      <c r="CL216" s="245">
        <f t="shared" si="145"/>
        <v>101010</v>
      </c>
      <c r="CM216" s="95">
        <f>AM216/'Weighting Factors'!$Q$5</f>
        <v>24.3</v>
      </c>
      <c r="CN216" s="148">
        <v>0</v>
      </c>
      <c r="CO216" s="148">
        <v>0</v>
      </c>
      <c r="CP216" s="149">
        <v>0</v>
      </c>
      <c r="CQ216" s="151">
        <v>0</v>
      </c>
      <c r="CR216" s="99">
        <f>SUM((AV216*'Weighting Factors'!$Q$5)+'2019 Legal Max'!BA216)*CQ216</f>
        <v>0</v>
      </c>
      <c r="CS216" s="99">
        <f t="shared" si="146"/>
        <v>0</v>
      </c>
      <c r="CT216" s="106">
        <f t="shared" si="147"/>
        <v>0.36890000000000001</v>
      </c>
      <c r="CU216" s="95">
        <f t="shared" si="148"/>
        <v>0</v>
      </c>
      <c r="CV216" s="95">
        <f t="shared" si="149"/>
        <v>1</v>
      </c>
      <c r="CW216" s="95">
        <f t="shared" si="150"/>
        <v>500.7</v>
      </c>
      <c r="CX216" s="99">
        <f>'LOB Transfers'!G215</f>
        <v>49883</v>
      </c>
      <c r="CY216" s="99">
        <f>'LOB Transfers'!J215</f>
        <v>0</v>
      </c>
      <c r="CZ216" s="87" t="s">
        <v>408</v>
      </c>
    </row>
    <row r="217" spans="1:104" ht="15" customHeight="1">
      <c r="A217" s="88">
        <v>428</v>
      </c>
      <c r="B217" s="87" t="s">
        <v>67</v>
      </c>
      <c r="C217" s="87" t="s">
        <v>729</v>
      </c>
      <c r="D217" s="95">
        <v>2924.5</v>
      </c>
      <c r="E217" s="95">
        <v>0</v>
      </c>
      <c r="F217" s="95">
        <f t="shared" si="117"/>
        <v>2924.5</v>
      </c>
      <c r="G217" s="95">
        <v>2845.5</v>
      </c>
      <c r="H217" s="95">
        <v>0</v>
      </c>
      <c r="I217" s="95">
        <f t="shared" si="118"/>
        <v>2845.5</v>
      </c>
      <c r="J217" s="95">
        <v>2836.8</v>
      </c>
      <c r="K217" s="95">
        <v>0</v>
      </c>
      <c r="L217" s="95">
        <f t="shared" si="119"/>
        <v>2836.8</v>
      </c>
      <c r="M217" s="95">
        <f>IF(ISNA(VLOOKUP($CZ217,'Audit Values'!$A$2:$BW$365,2,FALSE)),'Preliminary SO66'!C216,VLOOKUP($CZ217,'Audit Values'!$A$2:$BW$365,73,FALSE))</f>
        <v>2802.5</v>
      </c>
      <c r="N217" s="95">
        <f>IF(ISNA(VLOOKUP($CZ217,'Audit Values'!$A$2:$BW$365,2,FALSE)),'Preliminary SO66'!F216,VLOOKUP($CZ217,'Audit Values'!$A$2:$BW$365,4,FALSE))</f>
        <v>0</v>
      </c>
      <c r="O217" s="95">
        <f t="shared" si="120"/>
        <v>2802.5</v>
      </c>
      <c r="P217" s="95">
        <f>IF('Military Provision'!J218="YES", MAX('2019 Legal Max'!L217,'2019 Legal Max'!I217,AVERAGE('2019 Legal Max'!F217,'2019 Legal Max'!I217,'2019 Legal Max'!L217)), MAX(L217, I217))</f>
        <v>2845.5</v>
      </c>
      <c r="Q217" s="95">
        <f>IF(ISNA(VLOOKUP($CZ217,'Audit Values'!$A$2:$BU$353,2,FALSE)),'Preliminary SO66'!AL216,VLOOKUP($CZ217,'Audit Values'!$A$2:$BU$3955,58,FALSE))</f>
        <v>13.5</v>
      </c>
      <c r="R217" s="95">
        <v>0</v>
      </c>
      <c r="S217" s="95">
        <f t="shared" si="152"/>
        <v>2859</v>
      </c>
      <c r="T217" s="95">
        <f t="shared" si="121"/>
        <v>100.2</v>
      </c>
      <c r="U217" s="95">
        <f>IF(ISNA(VLOOKUP($CZ217,'Audit Values'!$A$2:$BW$317,2,FALSE)),'Preliminary SO66'!AM216,VLOOKUP($CZ217,'Audit Values'!$A$2:$BW$317,62,FALSE))</f>
        <v>1657.3</v>
      </c>
      <c r="V217" s="95">
        <f>(U217/6)*'Weighting Factors'!$Q$7</f>
        <v>109.1</v>
      </c>
      <c r="W217" s="132">
        <f>IF(ISNA(VLOOKUP($CZ217,'Audit Values'!$A$2:$BW$353,2,FALSE)),'Preliminary SO66'!AN216,VLOOKUP($CZ217,'Audit Values'!$A$2:$BW$353,61,FALSE))</f>
        <v>562</v>
      </c>
      <c r="X217" s="95">
        <f>W217*'Weighting Factors'!$Q$8</f>
        <v>104</v>
      </c>
      <c r="Y217" s="95">
        <f t="shared" si="122"/>
        <v>109.1</v>
      </c>
      <c r="Z217" s="276">
        <f>IF(ISNA(VLOOKUP($CZ217,'Audit Values'!$A$2:$BW$317,2,FALSE)),'Preliminary SO66'!AO216,VLOOKUP($CZ217,'Audit Values'!$A$2:$BW$317,60,FALSE))</f>
        <v>558.20000000000005</v>
      </c>
      <c r="AA217" s="95">
        <f>Z217/6*'Weighting Factors'!$Q$6</f>
        <v>46.5</v>
      </c>
      <c r="AB217" s="99">
        <f>IF(ISNA(VLOOKUP($CZ217,'Audit Values'!$A$2:$BU$353,2,FALSE)),'Preliminary SO66'!AS216,VLOOKUP($CZ217,'Audit Values'!$A$2:$BU$353,63,FALSE))</f>
        <v>2851</v>
      </c>
      <c r="AC217" s="99">
        <v>0</v>
      </c>
      <c r="AD217" s="99">
        <f>IF(ISNA(VLOOKUP($CZ217,'Audit Values'!$A$2:$BU$353,2,FALSE)),'Preliminary SO66'!AP216,VLOOKUP($CZ217,'Audit Values'!$A$2:$BU$353,64,FALSE))</f>
        <v>1574</v>
      </c>
      <c r="AE217" s="95">
        <f>IF(A217=207, AD217,MAX(AC217,AD217))*'Weighting Factors'!$Q$9</f>
        <v>761.8</v>
      </c>
      <c r="AF217" s="95">
        <f t="shared" si="123"/>
        <v>165.3</v>
      </c>
      <c r="AG217" s="95">
        <f>IF(ISNA(VLOOKUP($CZ217,'Audit Values'!$A$2:$BW$353,2,FALSE)),'Preliminary SO66'!AG216,VLOOKUP($CZ217,'Audit Values'!$A$2:$BW$353,70,FALSE))</f>
        <v>150.1</v>
      </c>
      <c r="AH217" s="95">
        <f t="shared" si="124"/>
        <v>165.3</v>
      </c>
      <c r="AI217" s="95">
        <f>IF(ISNA(VLOOKUP($CZ217,'Audit Values'!$A$2:$BU$353,2,FALSE)),'Preliminary SO66'!AQ216,VLOOKUP($CZ217,'Audit Values'!$A$2:$BU$353,65,FALSE))</f>
        <v>0</v>
      </c>
      <c r="AJ217" s="95">
        <f>AI217*'Weighting Factors'!$Q$10</f>
        <v>0</v>
      </c>
      <c r="AK217" s="95">
        <f>IF(ISNA(VLOOKUP($CZ217,'Audit Values'!$A$2:$BU$353,2,FALSE)),'Preliminary SO66'!AR216,VLOOKUP($CZ217,'Audit Values'!$A$2:$BU$353,66,FALSE))</f>
        <v>185</v>
      </c>
      <c r="AL217" s="95"/>
      <c r="AM217" s="99">
        <f t="shared" si="125"/>
        <v>179450</v>
      </c>
      <c r="AN217" s="99">
        <v>202615</v>
      </c>
      <c r="AO217" s="95">
        <f>MAX(AN217, AM217)/'Weighting Factors'!$Q$5</f>
        <v>48.6</v>
      </c>
      <c r="AP217" s="95">
        <f>CN217/'Weighting Factors'!$Q$5</f>
        <v>0</v>
      </c>
      <c r="AQ217" s="95">
        <v>0</v>
      </c>
      <c r="AR217" s="95">
        <f>CS217/'Weighting Factors'!$Q$5</f>
        <v>0</v>
      </c>
      <c r="AS217" s="99">
        <v>2310318</v>
      </c>
      <c r="AT217" s="95">
        <f>AS217/'Weighting Factors'!$Q$5</f>
        <v>554.70000000000005</v>
      </c>
      <c r="AU217" s="95">
        <f>IF(ISNA(VLOOKUP($CZ217,'Audit Values'!$A$2:$BU$353,2,FALSE)),'Preliminary SO66'!X216,VLOOKUP($CZ217,'Audit Values'!$A$2:$BU$353,47,FALSE))</f>
        <v>0</v>
      </c>
      <c r="AV217" s="95">
        <f t="shared" si="126"/>
        <v>4645.2</v>
      </c>
      <c r="AW217" s="95">
        <f t="shared" si="127"/>
        <v>4090.5</v>
      </c>
      <c r="AX217" s="95">
        <f>IF(ISNA(VLOOKUP($CZ217,'Audit Values'!$A$2:$BU$353,2,FALSE)),'Preliminary SO66'!AA216,VLOOKUP($CZ217,'Audit Values'!$A$2:$BU$353,41,FALSE))</f>
        <v>0</v>
      </c>
      <c r="AY217" s="95">
        <f>IF(ISNA(VLOOKUP($CZ217,'Audit Values'!$A$2:$BU$353,2,FALSE)),'Preliminary SO66'!AB216,VLOOKUP($CZ217,'Audit Values'!$A$2:$BU$353,42,FALSE))</f>
        <v>0</v>
      </c>
      <c r="AZ217" s="114">
        <v>0</v>
      </c>
      <c r="BA217" s="99">
        <f>SUM(AX217*'Weighting Factors'!$T$10)+('2019 Legal Max'!AY217*'Weighting Factors'!$T$11)+('2019 Legal Max'!AZ217*'Weighting Factors'!$T$12)</f>
        <v>0</v>
      </c>
      <c r="BB217" s="158">
        <v>0</v>
      </c>
      <c r="BC217" s="88">
        <f>IF(ISNA(VLOOKUP($CZ217,'Audit Values'!$A$2:$BU$353,2,FALSE)),"",IF(AND('Weighting Factors'!H217&gt;0,VLOOKUP($CZ217,'Audit Values'!$A$2:$BU$353,51,FALSE)&lt;'Weighting Factors'!H217),'Weighting Factors'!H217,VLOOKUP($CZ217,'Audit Values'!$A$2:$BU$353,50,FALSE)))</f>
        <v>14</v>
      </c>
      <c r="BD217" s="88" t="str">
        <f>IF(ISNA(VLOOKUP($CZ217,'Audit Values'!$A$2:$BV$353,2,FALSE)),"",VLOOKUP($CZ217,'Audit Values'!$A$2:$BV$353,51,FALSE))</f>
        <v>A</v>
      </c>
      <c r="BE217" s="88" t="str">
        <f>IF('Weighting Factors'!H217="","",IF('Weighting Factors'!J217="Pending","PX","R"))</f>
        <v/>
      </c>
      <c r="BF217" s="97">
        <f>SUM((S217+T217+Y217+AA217+AE217+AH217+AJ217++AO217+AP217+AQ217+AU217+AR217)*'Weighting Factors'!$Q$5)+'2019 Legal Max'!BA217+'2019 Legal Max'!BB217</f>
        <v>17036933</v>
      </c>
      <c r="BG217" s="99">
        <f>SUM((AV217+AR217)*'Weighting Factors'!$Q$5)+BA217+'2019 Legal Max'!BB217</f>
        <v>19347258</v>
      </c>
      <c r="BH217" s="108">
        <f>IF('Weighting Factors'!H217&gt;0,'Weighting Factors'!H217,'Preliminary SO66'!AV216)</f>
        <v>19914948</v>
      </c>
      <c r="BI217" s="99">
        <f t="shared" si="151"/>
        <v>19347258</v>
      </c>
      <c r="BJ217" s="112"/>
      <c r="BK217" s="112">
        <f>'Weighting Factors'!F217</f>
        <v>-117400</v>
      </c>
      <c r="BL217" s="112">
        <f>'Weighting Factors'!E217</f>
        <v>0</v>
      </c>
      <c r="BM217" s="99">
        <f t="shared" si="128"/>
        <v>-117400</v>
      </c>
      <c r="BN217" s="99">
        <f t="shared" si="129"/>
        <v>19229858</v>
      </c>
      <c r="BO217" s="99">
        <f>SUM((S217+T217+Y217+AA217+AE217+AH217+AJ217++AO217+AP217+AQ217+AR217)*'Weighting Factors'!Q$12)+(MAX(AS217,'Weighting Factors'!B217))</f>
        <v>20676663</v>
      </c>
      <c r="BP217" s="122">
        <v>0.3</v>
      </c>
      <c r="BQ217" s="99">
        <f t="shared" si="130"/>
        <v>6202999</v>
      </c>
      <c r="BR217" s="108">
        <v>6382015</v>
      </c>
      <c r="BS217" s="99">
        <f t="shared" si="131"/>
        <v>6202999</v>
      </c>
      <c r="BT217" s="167">
        <f t="shared" si="132"/>
        <v>0.3</v>
      </c>
      <c r="BU217" s="95">
        <f t="shared" si="133"/>
        <v>0</v>
      </c>
      <c r="BV217" s="87" t="b">
        <f t="shared" si="134"/>
        <v>0</v>
      </c>
      <c r="BW217" s="117">
        <f t="shared" si="135"/>
        <v>0</v>
      </c>
      <c r="BX217" s="116">
        <f t="shared" si="136"/>
        <v>0</v>
      </c>
      <c r="BY217" s="95">
        <f t="shared" si="137"/>
        <v>0</v>
      </c>
      <c r="BZ217" s="87" t="b">
        <f t="shared" si="138"/>
        <v>0</v>
      </c>
      <c r="CA217" s="87">
        <f t="shared" si="139"/>
        <v>0</v>
      </c>
      <c r="CB217" s="116">
        <f t="shared" si="140"/>
        <v>0</v>
      </c>
      <c r="CC217" s="95">
        <f t="shared" si="141"/>
        <v>0</v>
      </c>
      <c r="CD217" s="95">
        <f t="shared" si="142"/>
        <v>100.2</v>
      </c>
      <c r="CE217" s="98">
        <v>190</v>
      </c>
      <c r="CF217" s="250">
        <f t="shared" si="143"/>
        <v>0.97399999999999998</v>
      </c>
      <c r="CG217" s="274">
        <f>IF(CF217&lt;0.06,1,IF(CF217&gt;=18.29,52,MATCH(CF217-0.001,'Weighting Factors'!$Y$5:$Y$156)+1))</f>
        <v>31</v>
      </c>
      <c r="CH217" s="243">
        <f>VLOOKUP(CG217, 'Weighting Factors'!$W$5:$Z$56,4)</f>
        <v>970</v>
      </c>
      <c r="CI217" s="118">
        <f>('Weighting Factors'!$Q$5/'Weighting Factors'!$Q$14)</f>
        <v>1</v>
      </c>
      <c r="CJ217" s="245">
        <f t="shared" si="144"/>
        <v>179450</v>
      </c>
      <c r="CK217" s="245">
        <f>CJ217*'Weighting Factors'!$S$7</f>
        <v>179450</v>
      </c>
      <c r="CL217" s="245">
        <f t="shared" si="145"/>
        <v>179450</v>
      </c>
      <c r="CM217" s="95">
        <f>AM217/'Weighting Factors'!$Q$5</f>
        <v>43.1</v>
      </c>
      <c r="CN217" s="148">
        <v>0</v>
      </c>
      <c r="CO217" s="148">
        <v>0</v>
      </c>
      <c r="CP217" s="149">
        <v>0</v>
      </c>
      <c r="CQ217" s="151">
        <v>0</v>
      </c>
      <c r="CR217" s="99">
        <f>SUM((AV217*'Weighting Factors'!$Q$5)+'2019 Legal Max'!BA217)*CQ217</f>
        <v>0</v>
      </c>
      <c r="CS217" s="99">
        <f t="shared" si="146"/>
        <v>0</v>
      </c>
      <c r="CT217" s="106">
        <f t="shared" si="147"/>
        <v>0.55210000000000004</v>
      </c>
      <c r="CU217" s="95">
        <f t="shared" si="148"/>
        <v>165.3</v>
      </c>
      <c r="CV217" s="95">
        <f t="shared" si="149"/>
        <v>0</v>
      </c>
      <c r="CW217" s="95">
        <f t="shared" si="150"/>
        <v>4645.2</v>
      </c>
      <c r="CX217" s="99">
        <f>'LOB Transfers'!G216</f>
        <v>1020393</v>
      </c>
      <c r="CY217" s="99">
        <f>'LOB Transfers'!J216</f>
        <v>146391</v>
      </c>
      <c r="CZ217" s="87" t="s">
        <v>409</v>
      </c>
    </row>
    <row r="218" spans="1:104" ht="15" customHeight="1">
      <c r="A218" s="88">
        <v>429</v>
      </c>
      <c r="B218" s="87" t="s">
        <v>92</v>
      </c>
      <c r="C218" s="87" t="s">
        <v>730</v>
      </c>
      <c r="D218" s="95">
        <v>326.5</v>
      </c>
      <c r="E218" s="95">
        <v>0</v>
      </c>
      <c r="F218" s="95">
        <f t="shared" si="117"/>
        <v>326.5</v>
      </c>
      <c r="G218" s="95">
        <v>332.1</v>
      </c>
      <c r="H218" s="95">
        <v>0</v>
      </c>
      <c r="I218" s="95">
        <f t="shared" si="118"/>
        <v>332.1</v>
      </c>
      <c r="J218" s="95">
        <v>336</v>
      </c>
      <c r="K218" s="95">
        <v>0</v>
      </c>
      <c r="L218" s="95">
        <f t="shared" si="119"/>
        <v>336</v>
      </c>
      <c r="M218" s="95">
        <f>IF(ISNA(VLOOKUP($CZ218,'Audit Values'!$A$2:$BW$365,2,FALSE)),'Preliminary SO66'!C217,VLOOKUP($CZ218,'Audit Values'!$A$2:$BW$365,73,FALSE))</f>
        <v>349</v>
      </c>
      <c r="N218" s="95">
        <f>IF(ISNA(VLOOKUP($CZ218,'Audit Values'!$A$2:$BW$365,2,FALSE)),'Preliminary SO66'!F217,VLOOKUP($CZ218,'Audit Values'!$A$2:$BW$365,4,FALSE))</f>
        <v>0</v>
      </c>
      <c r="O218" s="95">
        <f t="shared" si="120"/>
        <v>349</v>
      </c>
      <c r="P218" s="95">
        <f>IF('Military Provision'!J219="YES", MAX('2019 Legal Max'!L218,'2019 Legal Max'!I218,AVERAGE('2019 Legal Max'!F218,'2019 Legal Max'!I218,'2019 Legal Max'!L218)), MAX(L218, I218))</f>
        <v>336</v>
      </c>
      <c r="Q218" s="95">
        <f>IF(ISNA(VLOOKUP($CZ218,'Audit Values'!$A$2:$BU$353,2,FALSE)),'Preliminary SO66'!AL217,VLOOKUP($CZ218,'Audit Values'!$A$2:$BU$3955,58,FALSE))</f>
        <v>0</v>
      </c>
      <c r="R218" s="95">
        <v>0</v>
      </c>
      <c r="S218" s="95">
        <f t="shared" si="152"/>
        <v>336</v>
      </c>
      <c r="T218" s="95">
        <f t="shared" si="121"/>
        <v>158.6</v>
      </c>
      <c r="U218" s="95">
        <f>IF(ISNA(VLOOKUP($CZ218,'Audit Values'!$A$2:$BW$317,2,FALSE)),'Preliminary SO66'!AM217,VLOOKUP($CZ218,'Audit Values'!$A$2:$BW$317,62,FALSE))</f>
        <v>0</v>
      </c>
      <c r="V218" s="95">
        <f>(U218/6)*'Weighting Factors'!$Q$7</f>
        <v>0</v>
      </c>
      <c r="W218" s="132">
        <f>IF(ISNA(VLOOKUP($CZ218,'Audit Values'!$A$2:$BW$353,2,FALSE)),'Preliminary SO66'!AN217,VLOOKUP($CZ218,'Audit Values'!$A$2:$BW$353,61,FALSE))</f>
        <v>0</v>
      </c>
      <c r="X218" s="95">
        <f>W218*'Weighting Factors'!$Q$8</f>
        <v>0</v>
      </c>
      <c r="Y218" s="95">
        <f t="shared" si="122"/>
        <v>0</v>
      </c>
      <c r="Z218" s="276">
        <f>IF(ISNA(VLOOKUP($CZ218,'Audit Values'!$A$2:$BW$317,2,FALSE)),'Preliminary SO66'!AO217,VLOOKUP($CZ218,'Audit Values'!$A$2:$BW$317,60,FALSE))</f>
        <v>83.1</v>
      </c>
      <c r="AA218" s="95">
        <f>Z218/6*'Weighting Factors'!$Q$6</f>
        <v>6.9</v>
      </c>
      <c r="AB218" s="99">
        <f>IF(ISNA(VLOOKUP($CZ218,'Audit Values'!$A$2:$BU$353,2,FALSE)),'Preliminary SO66'!AS217,VLOOKUP($CZ218,'Audit Values'!$A$2:$BU$353,63,FALSE))</f>
        <v>354</v>
      </c>
      <c r="AC218" s="99">
        <v>0</v>
      </c>
      <c r="AD218" s="99">
        <f>IF(ISNA(VLOOKUP($CZ218,'Audit Values'!$A$2:$BU$353,2,FALSE)),'Preliminary SO66'!AP217,VLOOKUP($CZ218,'Audit Values'!$A$2:$BU$353,64,FALSE))</f>
        <v>81</v>
      </c>
      <c r="AE218" s="95">
        <f>IF(A218=207, AD218,MAX(AC218,AD218))*'Weighting Factors'!$Q$9</f>
        <v>39.200000000000003</v>
      </c>
      <c r="AF218" s="95">
        <f t="shared" si="123"/>
        <v>0</v>
      </c>
      <c r="AG218" s="95">
        <f>IF(ISNA(VLOOKUP($CZ218,'Audit Values'!$A$2:$BW$353,2,FALSE)),'Preliminary SO66'!AG217,VLOOKUP($CZ218,'Audit Values'!$A$2:$BW$353,70,FALSE))</f>
        <v>0</v>
      </c>
      <c r="AH218" s="95">
        <f t="shared" si="124"/>
        <v>0</v>
      </c>
      <c r="AI218" s="95">
        <f>IF(ISNA(VLOOKUP($CZ218,'Audit Values'!$A$2:$BU$353,2,FALSE)),'Preliminary SO66'!AQ217,VLOOKUP($CZ218,'Audit Values'!$A$2:$BU$353,65,FALSE))</f>
        <v>0</v>
      </c>
      <c r="AJ218" s="95">
        <f>AI218*'Weighting Factors'!$Q$10</f>
        <v>0</v>
      </c>
      <c r="AK218" s="95">
        <f>IF(ISNA(VLOOKUP($CZ218,'Audit Values'!$A$2:$BU$353,2,FALSE)),'Preliminary SO66'!AR217,VLOOKUP($CZ218,'Audit Values'!$A$2:$BU$353,66,FALSE))</f>
        <v>80</v>
      </c>
      <c r="AL218" s="95"/>
      <c r="AM218" s="99">
        <f t="shared" si="125"/>
        <v>79200</v>
      </c>
      <c r="AN218" s="99">
        <v>88596</v>
      </c>
      <c r="AO218" s="95">
        <f>MAX(AN218, AM218)/'Weighting Factors'!$Q$5</f>
        <v>21.3</v>
      </c>
      <c r="AP218" s="95">
        <f>CN218/'Weighting Factors'!$Q$5</f>
        <v>0</v>
      </c>
      <c r="AQ218" s="95">
        <v>0</v>
      </c>
      <c r="AR218" s="95">
        <f>CS218/'Weighting Factors'!$Q$5</f>
        <v>0</v>
      </c>
      <c r="AS218" s="99">
        <v>329079</v>
      </c>
      <c r="AT218" s="95">
        <f>AS218/'Weighting Factors'!$Q$5</f>
        <v>79</v>
      </c>
      <c r="AU218" s="95">
        <f>IF(ISNA(VLOOKUP($CZ218,'Audit Values'!$A$2:$BU$353,2,FALSE)),'Preliminary SO66'!X217,VLOOKUP($CZ218,'Audit Values'!$A$2:$BU$353,47,FALSE))</f>
        <v>0</v>
      </c>
      <c r="AV218" s="95">
        <f t="shared" si="126"/>
        <v>641</v>
      </c>
      <c r="AW218" s="95">
        <f t="shared" si="127"/>
        <v>562</v>
      </c>
      <c r="AX218" s="95">
        <f>IF(ISNA(VLOOKUP($CZ218,'Audit Values'!$A$2:$BU$353,2,FALSE)),'Preliminary SO66'!AA217,VLOOKUP($CZ218,'Audit Values'!$A$2:$BU$353,41,FALSE))</f>
        <v>0</v>
      </c>
      <c r="AY218" s="95">
        <f>IF(ISNA(VLOOKUP($CZ218,'Audit Values'!$A$2:$BU$353,2,FALSE)),'Preliminary SO66'!AB217,VLOOKUP($CZ218,'Audit Values'!$A$2:$BU$353,42,FALSE))</f>
        <v>0</v>
      </c>
      <c r="AZ218" s="114">
        <v>0</v>
      </c>
      <c r="BA218" s="99">
        <f>SUM(AX218*'Weighting Factors'!$T$10)+('2019 Legal Max'!AY218*'Weighting Factors'!$T$11)+('2019 Legal Max'!AZ218*'Weighting Factors'!$T$12)</f>
        <v>0</v>
      </c>
      <c r="BB218" s="158">
        <v>0</v>
      </c>
      <c r="BC218" s="88">
        <f>IF(ISNA(VLOOKUP($CZ218,'Audit Values'!$A$2:$BU$353,2,FALSE)),"",IF(AND('Weighting Factors'!H218&gt;0,VLOOKUP($CZ218,'Audit Values'!$A$2:$BU$353,51,FALSE)&lt;'Weighting Factors'!H218),'Weighting Factors'!H218,VLOOKUP($CZ218,'Audit Values'!$A$2:$BU$353,50,FALSE)))</f>
        <v>15</v>
      </c>
      <c r="BD218" s="88" t="str">
        <f>IF(ISNA(VLOOKUP($CZ218,'Audit Values'!$A$2:$BV$353,2,FALSE)),"",VLOOKUP($CZ218,'Audit Values'!$A$2:$BV$353,51,FALSE))</f>
        <v>A</v>
      </c>
      <c r="BE218" s="88" t="str">
        <f>IF('Weighting Factors'!H218="","",IF('Weighting Factors'!J218="Pending","PX","R"))</f>
        <v/>
      </c>
      <c r="BF218" s="97">
        <f>SUM((S218+T218+Y218+AA218+AE218+AH218+AJ218++AO218+AP218+AQ218+AU218+AR218)*'Weighting Factors'!$Q$5)+'2019 Legal Max'!BA218+'2019 Legal Max'!BB218</f>
        <v>2340730</v>
      </c>
      <c r="BG218" s="99">
        <f>SUM((AV218+AR218)*'Weighting Factors'!$Q$5)+BA218+'2019 Legal Max'!BB218</f>
        <v>2669765</v>
      </c>
      <c r="BH218" s="108">
        <f>IF('Weighting Factors'!H218&gt;0,'Weighting Factors'!H218,'Preliminary SO66'!AV217)</f>
        <v>2755564</v>
      </c>
      <c r="BI218" s="99">
        <f t="shared" si="151"/>
        <v>2669765</v>
      </c>
      <c r="BJ218" s="112" t="s">
        <v>826</v>
      </c>
      <c r="BK218" s="112">
        <f>'Weighting Factors'!F218</f>
        <v>0</v>
      </c>
      <c r="BL218" s="112">
        <f>'Weighting Factors'!E218</f>
        <v>0</v>
      </c>
      <c r="BM218" s="99">
        <f t="shared" si="128"/>
        <v>0</v>
      </c>
      <c r="BN218" s="99">
        <f t="shared" si="129"/>
        <v>2669765</v>
      </c>
      <c r="BO218" s="99">
        <f>SUM((S218+T218+Y218+AA218+AE218+AH218+AJ218++AO218+AP218+AQ218+AR218)*'Weighting Factors'!Q$12)+(MAX(AS218,'Weighting Factors'!B218))</f>
        <v>2862051</v>
      </c>
      <c r="BP218" s="122">
        <v>0.3</v>
      </c>
      <c r="BQ218" s="99">
        <f t="shared" si="130"/>
        <v>858615</v>
      </c>
      <c r="BR218" s="108">
        <v>881692</v>
      </c>
      <c r="BS218" s="99">
        <f t="shared" si="131"/>
        <v>858615</v>
      </c>
      <c r="BT218" s="167">
        <f t="shared" si="132"/>
        <v>0.3</v>
      </c>
      <c r="BU218" s="95">
        <f t="shared" si="133"/>
        <v>0</v>
      </c>
      <c r="BV218" s="87" t="b">
        <f t="shared" si="134"/>
        <v>0</v>
      </c>
      <c r="BW218" s="117">
        <f t="shared" si="135"/>
        <v>0</v>
      </c>
      <c r="BX218" s="116">
        <f t="shared" si="136"/>
        <v>0</v>
      </c>
      <c r="BY218" s="95">
        <f t="shared" si="137"/>
        <v>0</v>
      </c>
      <c r="BZ218" s="87" t="b">
        <f t="shared" si="138"/>
        <v>1</v>
      </c>
      <c r="CA218" s="87">
        <f t="shared" si="139"/>
        <v>44.55</v>
      </c>
      <c r="CB218" s="116">
        <f t="shared" si="140"/>
        <v>0.47195500000000001</v>
      </c>
      <c r="CC218" s="95">
        <f t="shared" si="141"/>
        <v>158.6</v>
      </c>
      <c r="CD218" s="95">
        <f t="shared" si="142"/>
        <v>0</v>
      </c>
      <c r="CE218" s="98">
        <v>95</v>
      </c>
      <c r="CF218" s="250">
        <f t="shared" si="143"/>
        <v>0.84199999999999997</v>
      </c>
      <c r="CG218" s="274">
        <f>IF(CF218&lt;0.06,1,IF(CF218&gt;=18.29,52,MATCH(CF218-0.001,'Weighting Factors'!$Y$5:$Y$156)+1))</f>
        <v>30</v>
      </c>
      <c r="CH218" s="243">
        <f>VLOOKUP(CG218, 'Weighting Factors'!$W$5:$Z$56,4)</f>
        <v>990</v>
      </c>
      <c r="CI218" s="118">
        <f>('Weighting Factors'!$Q$5/'Weighting Factors'!$Q$14)</f>
        <v>1</v>
      </c>
      <c r="CJ218" s="245">
        <f t="shared" si="144"/>
        <v>79200</v>
      </c>
      <c r="CK218" s="245">
        <f>CJ218*'Weighting Factors'!$S$7</f>
        <v>79200</v>
      </c>
      <c r="CL218" s="245">
        <f t="shared" si="145"/>
        <v>79200</v>
      </c>
      <c r="CM218" s="95">
        <f>AM218/'Weighting Factors'!$Q$5</f>
        <v>19</v>
      </c>
      <c r="CN218" s="148">
        <v>0</v>
      </c>
      <c r="CO218" s="148">
        <v>0</v>
      </c>
      <c r="CP218" s="149">
        <v>0</v>
      </c>
      <c r="CQ218" s="151">
        <v>0</v>
      </c>
      <c r="CR218" s="99">
        <f>SUM((AV218*'Weighting Factors'!$Q$5)+'2019 Legal Max'!BA218)*CQ218</f>
        <v>0</v>
      </c>
      <c r="CS218" s="99">
        <f t="shared" si="146"/>
        <v>0</v>
      </c>
      <c r="CT218" s="106">
        <f t="shared" si="147"/>
        <v>0.2288</v>
      </c>
      <c r="CU218" s="95">
        <f t="shared" si="148"/>
        <v>0</v>
      </c>
      <c r="CV218" s="95">
        <f t="shared" si="149"/>
        <v>0</v>
      </c>
      <c r="CW218" s="95">
        <f t="shared" si="150"/>
        <v>641</v>
      </c>
      <c r="CX218" s="99">
        <f>'LOB Transfers'!G217</f>
        <v>52547</v>
      </c>
      <c r="CY218" s="99">
        <f>'LOB Transfers'!J217</f>
        <v>0</v>
      </c>
      <c r="CZ218" s="87" t="s">
        <v>410</v>
      </c>
    </row>
    <row r="219" spans="1:104" ht="15" customHeight="1">
      <c r="A219" s="88">
        <v>430</v>
      </c>
      <c r="B219" s="87" t="s">
        <v>94</v>
      </c>
      <c r="C219" s="87" t="s">
        <v>731</v>
      </c>
      <c r="D219" s="95">
        <v>548</v>
      </c>
      <c r="E219" s="95">
        <v>0</v>
      </c>
      <c r="F219" s="95">
        <f t="shared" si="117"/>
        <v>548</v>
      </c>
      <c r="G219" s="95">
        <v>570</v>
      </c>
      <c r="H219" s="95">
        <v>0</v>
      </c>
      <c r="I219" s="95">
        <f t="shared" si="118"/>
        <v>570</v>
      </c>
      <c r="J219" s="95">
        <v>564.5</v>
      </c>
      <c r="K219" s="95">
        <v>0</v>
      </c>
      <c r="L219" s="95">
        <f t="shared" si="119"/>
        <v>564.5</v>
      </c>
      <c r="M219" s="95">
        <f>IF(ISNA(VLOOKUP($CZ219,'Audit Values'!$A$2:$BW$365,2,FALSE)),'Preliminary SO66'!C218,VLOOKUP($CZ219,'Audit Values'!$A$2:$BW$365,73,FALSE))</f>
        <v>513.4</v>
      </c>
      <c r="N219" s="95">
        <f>IF(ISNA(VLOOKUP($CZ219,'Audit Values'!$A$2:$BW$365,2,FALSE)),'Preliminary SO66'!F218,VLOOKUP($CZ219,'Audit Values'!$A$2:$BW$365,4,FALSE))</f>
        <v>0</v>
      </c>
      <c r="O219" s="95">
        <f t="shared" si="120"/>
        <v>513.4</v>
      </c>
      <c r="P219" s="95">
        <f>IF('Military Provision'!J220="YES", MAX('2019 Legal Max'!L219,'2019 Legal Max'!I219,AVERAGE('2019 Legal Max'!F219,'2019 Legal Max'!I219,'2019 Legal Max'!L219)), MAX(L219, I219))</f>
        <v>570</v>
      </c>
      <c r="Q219" s="95">
        <f>IF(ISNA(VLOOKUP($CZ219,'Audit Values'!$A$2:$BU$353,2,FALSE)),'Preliminary SO66'!AL218,VLOOKUP($CZ219,'Audit Values'!$A$2:$BU$3955,58,FALSE))</f>
        <v>0</v>
      </c>
      <c r="R219" s="95">
        <v>0</v>
      </c>
      <c r="S219" s="95">
        <f t="shared" si="152"/>
        <v>570</v>
      </c>
      <c r="T219" s="95">
        <f t="shared" si="121"/>
        <v>223.7</v>
      </c>
      <c r="U219" s="95">
        <f>IF(ISNA(VLOOKUP($CZ219,'Audit Values'!$A$2:$BW$317,2,FALSE)),'Preliminary SO66'!AM218,VLOOKUP($CZ219,'Audit Values'!$A$2:$BW$317,62,FALSE))</f>
        <v>24.9</v>
      </c>
      <c r="V219" s="95">
        <f>(U219/6)*'Weighting Factors'!$Q$7</f>
        <v>1.6</v>
      </c>
      <c r="W219" s="132">
        <f>IF(ISNA(VLOOKUP($CZ219,'Audit Values'!$A$2:$BW$353,2,FALSE)),'Preliminary SO66'!AN218,VLOOKUP($CZ219,'Audit Values'!$A$2:$BW$353,61,FALSE))</f>
        <v>21</v>
      </c>
      <c r="X219" s="95">
        <f>W219*'Weighting Factors'!$Q$8</f>
        <v>3.9</v>
      </c>
      <c r="Y219" s="95">
        <f t="shared" si="122"/>
        <v>3.9</v>
      </c>
      <c r="Z219" s="276">
        <f>IF(ISNA(VLOOKUP($CZ219,'Audit Values'!$A$2:$BW$317,2,FALSE)),'Preliminary SO66'!AO218,VLOOKUP($CZ219,'Audit Values'!$A$2:$BW$317,60,FALSE))</f>
        <v>163</v>
      </c>
      <c r="AA219" s="95">
        <f>Z219/6*'Weighting Factors'!$Q$6</f>
        <v>13.6</v>
      </c>
      <c r="AB219" s="99">
        <f>IF(ISNA(VLOOKUP($CZ219,'Audit Values'!$A$2:$BU$353,2,FALSE)),'Preliminary SO66'!AS218,VLOOKUP($CZ219,'Audit Values'!$A$2:$BU$353,63,FALSE))</f>
        <v>517</v>
      </c>
      <c r="AC219" s="99">
        <v>0</v>
      </c>
      <c r="AD219" s="99">
        <f>IF(ISNA(VLOOKUP($CZ219,'Audit Values'!$A$2:$BU$353,2,FALSE)),'Preliminary SO66'!AP218,VLOOKUP($CZ219,'Audit Values'!$A$2:$BU$353,64,FALSE))</f>
        <v>287</v>
      </c>
      <c r="AE219" s="95">
        <f>IF(A219=207, AD219,MAX(AC219,AD219))*'Weighting Factors'!$Q$9</f>
        <v>138.9</v>
      </c>
      <c r="AF219" s="95">
        <f t="shared" si="123"/>
        <v>30.1</v>
      </c>
      <c r="AG219" s="95">
        <f>IF(ISNA(VLOOKUP($CZ219,'Audit Values'!$A$2:$BW$353,2,FALSE)),'Preliminary SO66'!AG218,VLOOKUP($CZ219,'Audit Values'!$A$2:$BW$353,70,FALSE))</f>
        <v>30.2</v>
      </c>
      <c r="AH219" s="95">
        <f t="shared" si="124"/>
        <v>30.2</v>
      </c>
      <c r="AI219" s="95">
        <f>IF(ISNA(VLOOKUP($CZ219,'Audit Values'!$A$2:$BU$353,2,FALSE)),'Preliminary SO66'!AQ218,VLOOKUP($CZ219,'Audit Values'!$A$2:$BU$353,65,FALSE))</f>
        <v>0</v>
      </c>
      <c r="AJ219" s="95">
        <f>AI219*'Weighting Factors'!$Q$10</f>
        <v>0</v>
      </c>
      <c r="AK219" s="95">
        <f>IF(ISNA(VLOOKUP($CZ219,'Audit Values'!$A$2:$BU$353,2,FALSE)),'Preliminary SO66'!AR218,VLOOKUP($CZ219,'Audit Values'!$A$2:$BU$353,66,FALSE))</f>
        <v>285.5</v>
      </c>
      <c r="AL219" s="95"/>
      <c r="AM219" s="99">
        <f t="shared" si="125"/>
        <v>242675</v>
      </c>
      <c r="AN219" s="99">
        <v>280040</v>
      </c>
      <c r="AO219" s="95">
        <f>MAX(AN219, AM219)/'Weighting Factors'!$Q$5</f>
        <v>67.2</v>
      </c>
      <c r="AP219" s="95">
        <f>CN219/'Weighting Factors'!$Q$5</f>
        <v>0</v>
      </c>
      <c r="AQ219" s="95">
        <v>0</v>
      </c>
      <c r="AR219" s="95">
        <f>CS219/'Weighting Factors'!$Q$5</f>
        <v>0</v>
      </c>
      <c r="AS219" s="99">
        <v>715158</v>
      </c>
      <c r="AT219" s="95">
        <f>AS219/'Weighting Factors'!$Q$5</f>
        <v>171.7</v>
      </c>
      <c r="AU219" s="95">
        <f>IF(ISNA(VLOOKUP($CZ219,'Audit Values'!$A$2:$BU$353,2,FALSE)),'Preliminary SO66'!X218,VLOOKUP($CZ219,'Audit Values'!$A$2:$BU$353,47,FALSE))</f>
        <v>0</v>
      </c>
      <c r="AV219" s="95">
        <f t="shared" si="126"/>
        <v>1219.2</v>
      </c>
      <c r="AW219" s="95">
        <f t="shared" si="127"/>
        <v>1047.5</v>
      </c>
      <c r="AX219" s="95">
        <f>IF(ISNA(VLOOKUP($CZ219,'Audit Values'!$A$2:$BU$353,2,FALSE)),'Preliminary SO66'!AA218,VLOOKUP($CZ219,'Audit Values'!$A$2:$BU$353,41,FALSE))</f>
        <v>0</v>
      </c>
      <c r="AY219" s="95">
        <f>IF(ISNA(VLOOKUP($CZ219,'Audit Values'!$A$2:$BU$353,2,FALSE)),'Preliminary SO66'!AB218,VLOOKUP($CZ219,'Audit Values'!$A$2:$BU$353,42,FALSE))</f>
        <v>0</v>
      </c>
      <c r="AZ219" s="114">
        <v>0</v>
      </c>
      <c r="BA219" s="99">
        <f>SUM(AX219*'Weighting Factors'!$T$10)+('2019 Legal Max'!AY219*'Weighting Factors'!$T$11)+('2019 Legal Max'!AZ219*'Weighting Factors'!$T$12)</f>
        <v>0</v>
      </c>
      <c r="BB219" s="158">
        <v>0</v>
      </c>
      <c r="BC219" s="88">
        <f>IF(ISNA(VLOOKUP($CZ219,'Audit Values'!$A$2:$BU$353,2,FALSE)),"",IF(AND('Weighting Factors'!H219&gt;0,VLOOKUP($CZ219,'Audit Values'!$A$2:$BU$353,51,FALSE)&lt;'Weighting Factors'!H219),'Weighting Factors'!H219,VLOOKUP($CZ219,'Audit Values'!$A$2:$BU$353,50,FALSE)))</f>
        <v>4</v>
      </c>
      <c r="BD219" s="88" t="str">
        <f>IF(ISNA(VLOOKUP($CZ219,'Audit Values'!$A$2:$BV$353,2,FALSE)),"",VLOOKUP($CZ219,'Audit Values'!$A$2:$BV$353,51,FALSE))</f>
        <v>A</v>
      </c>
      <c r="BE219" s="88" t="str">
        <f>IF('Weighting Factors'!H219="","",IF('Weighting Factors'!J219="Pending","PX","R"))</f>
        <v/>
      </c>
      <c r="BF219" s="97">
        <f>SUM((S219+T219+Y219+AA219+AE219+AH219+AJ219++AO219+AP219+AQ219+AU219+AR219)*'Weighting Factors'!$Q$5)+'2019 Legal Max'!BA219+'2019 Legal Max'!BB219</f>
        <v>4362838</v>
      </c>
      <c r="BG219" s="99">
        <f>SUM((AV219+AR219)*'Weighting Factors'!$Q$5)+BA219+'2019 Legal Max'!BB219</f>
        <v>5077968</v>
      </c>
      <c r="BH219" s="108">
        <f>IF('Weighting Factors'!H219&gt;0,'Weighting Factors'!H219,'Preliminary SO66'!AV218)</f>
        <v>5185425</v>
      </c>
      <c r="BI219" s="99">
        <f t="shared" si="151"/>
        <v>5077968</v>
      </c>
      <c r="BJ219" s="112"/>
      <c r="BK219" s="112">
        <f>'Weighting Factors'!F219</f>
        <v>-91180</v>
      </c>
      <c r="BL219" s="112">
        <f>'Weighting Factors'!E219</f>
        <v>0</v>
      </c>
      <c r="BM219" s="99">
        <f t="shared" si="128"/>
        <v>-91180</v>
      </c>
      <c r="BN219" s="99">
        <f t="shared" si="129"/>
        <v>4986788</v>
      </c>
      <c r="BO219" s="99">
        <f>SUM((S219+T219+Y219+AA219+AE219+AH219+AJ219++AO219+AP219+AQ219+AR219)*'Weighting Factors'!Q$12)+(MAX(AS219,'Weighting Factors'!B219))</f>
        <v>5533668</v>
      </c>
      <c r="BP219" s="122">
        <v>0.3</v>
      </c>
      <c r="BQ219" s="99">
        <f t="shared" si="130"/>
        <v>1660100</v>
      </c>
      <c r="BR219" s="108">
        <v>1688792</v>
      </c>
      <c r="BS219" s="99">
        <f t="shared" si="131"/>
        <v>1660100</v>
      </c>
      <c r="BT219" s="167">
        <f t="shared" si="132"/>
        <v>0.3</v>
      </c>
      <c r="BU219" s="95">
        <f t="shared" si="133"/>
        <v>0</v>
      </c>
      <c r="BV219" s="87" t="b">
        <f t="shared" si="134"/>
        <v>0</v>
      </c>
      <c r="BW219" s="117">
        <f t="shared" si="135"/>
        <v>0</v>
      </c>
      <c r="BX219" s="116">
        <f t="shared" si="136"/>
        <v>0</v>
      </c>
      <c r="BY219" s="95">
        <f t="shared" si="137"/>
        <v>0</v>
      </c>
      <c r="BZ219" s="87" t="b">
        <f t="shared" si="138"/>
        <v>1</v>
      </c>
      <c r="CA219" s="87">
        <f t="shared" si="139"/>
        <v>334.125</v>
      </c>
      <c r="CB219" s="116">
        <f t="shared" si="140"/>
        <v>0.39245400000000003</v>
      </c>
      <c r="CC219" s="95">
        <f t="shared" si="141"/>
        <v>223.7</v>
      </c>
      <c r="CD219" s="95">
        <f t="shared" si="142"/>
        <v>0</v>
      </c>
      <c r="CE219" s="98">
        <v>156.4</v>
      </c>
      <c r="CF219" s="250">
        <f t="shared" si="143"/>
        <v>1.825</v>
      </c>
      <c r="CG219" s="274">
        <f>IF(CF219&lt;0.06,1,IF(CF219&gt;=18.29,52,MATCH(CF219-0.001,'Weighting Factors'!$Y$5:$Y$156)+1))</f>
        <v>37</v>
      </c>
      <c r="CH219" s="243">
        <f>VLOOKUP(CG219, 'Weighting Factors'!$W$5:$Z$56,4)</f>
        <v>850</v>
      </c>
      <c r="CI219" s="118">
        <f>('Weighting Factors'!$Q$5/'Weighting Factors'!$Q$14)</f>
        <v>1</v>
      </c>
      <c r="CJ219" s="245">
        <f t="shared" si="144"/>
        <v>242675</v>
      </c>
      <c r="CK219" s="245">
        <f>CJ219*'Weighting Factors'!$S$7</f>
        <v>242675</v>
      </c>
      <c r="CL219" s="245">
        <f t="shared" si="145"/>
        <v>242675</v>
      </c>
      <c r="CM219" s="95">
        <f>AM219/'Weighting Factors'!$Q$5</f>
        <v>58.3</v>
      </c>
      <c r="CN219" s="148">
        <v>0</v>
      </c>
      <c r="CO219" s="148">
        <v>0</v>
      </c>
      <c r="CP219" s="149">
        <v>0</v>
      </c>
      <c r="CQ219" s="151">
        <v>0</v>
      </c>
      <c r="CR219" s="99">
        <f>SUM((AV219*'Weighting Factors'!$Q$5)+'2019 Legal Max'!BA219)*CQ219</f>
        <v>0</v>
      </c>
      <c r="CS219" s="99">
        <f t="shared" si="146"/>
        <v>0</v>
      </c>
      <c r="CT219" s="106">
        <f t="shared" si="147"/>
        <v>0.55510000000000004</v>
      </c>
      <c r="CU219" s="95">
        <f t="shared" si="148"/>
        <v>30.1</v>
      </c>
      <c r="CV219" s="95">
        <f t="shared" si="149"/>
        <v>0</v>
      </c>
      <c r="CW219" s="95">
        <f t="shared" si="150"/>
        <v>1219.2</v>
      </c>
      <c r="CX219" s="99">
        <f>'LOB Transfers'!G218</f>
        <v>189085</v>
      </c>
      <c r="CY219" s="99">
        <f>'LOB Transfers'!J218</f>
        <v>5312</v>
      </c>
      <c r="CZ219" s="87" t="s">
        <v>411</v>
      </c>
    </row>
    <row r="220" spans="1:104" ht="15" customHeight="1">
      <c r="A220" s="88">
        <v>431</v>
      </c>
      <c r="B220" s="87" t="s">
        <v>67</v>
      </c>
      <c r="C220" s="87" t="s">
        <v>732</v>
      </c>
      <c r="D220" s="95">
        <v>692.4</v>
      </c>
      <c r="E220" s="95">
        <v>0</v>
      </c>
      <c r="F220" s="95">
        <f t="shared" si="117"/>
        <v>692.4</v>
      </c>
      <c r="G220" s="95">
        <v>722.6</v>
      </c>
      <c r="H220" s="95">
        <v>0</v>
      </c>
      <c r="I220" s="95">
        <f t="shared" si="118"/>
        <v>722.6</v>
      </c>
      <c r="J220" s="95">
        <v>703.2</v>
      </c>
      <c r="K220" s="95">
        <v>0</v>
      </c>
      <c r="L220" s="95">
        <f t="shared" si="119"/>
        <v>703.2</v>
      </c>
      <c r="M220" s="95">
        <f>IF(ISNA(VLOOKUP($CZ220,'Audit Values'!$A$2:$BW$365,2,FALSE)),'Preliminary SO66'!C219,VLOOKUP($CZ220,'Audit Values'!$A$2:$BW$365,73,FALSE))</f>
        <v>708.9</v>
      </c>
      <c r="N220" s="95">
        <f>IF(ISNA(VLOOKUP($CZ220,'Audit Values'!$A$2:$BW$365,2,FALSE)),'Preliminary SO66'!F219,VLOOKUP($CZ220,'Audit Values'!$A$2:$BW$365,4,FALSE))</f>
        <v>0</v>
      </c>
      <c r="O220" s="95">
        <f t="shared" si="120"/>
        <v>708.9</v>
      </c>
      <c r="P220" s="95">
        <f>IF('Military Provision'!J221="YES", MAX('2019 Legal Max'!L220,'2019 Legal Max'!I220,AVERAGE('2019 Legal Max'!F220,'2019 Legal Max'!I220,'2019 Legal Max'!L220)), MAX(L220, I220))</f>
        <v>722.6</v>
      </c>
      <c r="Q220" s="95">
        <f>IF(ISNA(VLOOKUP($CZ220,'Audit Values'!$A$2:$BU$353,2,FALSE)),'Preliminary SO66'!AL219,VLOOKUP($CZ220,'Audit Values'!$A$2:$BU$3955,58,FALSE))</f>
        <v>10.5</v>
      </c>
      <c r="R220" s="95">
        <v>0</v>
      </c>
      <c r="S220" s="95">
        <f t="shared" si="152"/>
        <v>733.1</v>
      </c>
      <c r="T220" s="95">
        <f t="shared" si="121"/>
        <v>247.1</v>
      </c>
      <c r="U220" s="95">
        <f>IF(ISNA(VLOOKUP($CZ220,'Audit Values'!$A$2:$BW$317,2,FALSE)),'Preliminary SO66'!AM219,VLOOKUP($CZ220,'Audit Values'!$A$2:$BW$317,62,FALSE))</f>
        <v>0</v>
      </c>
      <c r="V220" s="95">
        <f>(U220/6)*'Weighting Factors'!$Q$7</f>
        <v>0</v>
      </c>
      <c r="W220" s="132">
        <f>IF(ISNA(VLOOKUP($CZ220,'Audit Values'!$A$2:$BW$353,2,FALSE)),'Preliminary SO66'!AN219,VLOOKUP($CZ220,'Audit Values'!$A$2:$BW$353,61,FALSE))</f>
        <v>0</v>
      </c>
      <c r="X220" s="95">
        <f>W220*'Weighting Factors'!$Q$8</f>
        <v>0</v>
      </c>
      <c r="Y220" s="95">
        <f t="shared" si="122"/>
        <v>0</v>
      </c>
      <c r="Z220" s="276">
        <f>IF(ISNA(VLOOKUP($CZ220,'Audit Values'!$A$2:$BW$317,2,FALSE)),'Preliminary SO66'!AO219,VLOOKUP($CZ220,'Audit Values'!$A$2:$BW$317,60,FALSE))</f>
        <v>369.1</v>
      </c>
      <c r="AA220" s="95">
        <f>Z220/6*'Weighting Factors'!$Q$6</f>
        <v>30.8</v>
      </c>
      <c r="AB220" s="99">
        <f>IF(ISNA(VLOOKUP($CZ220,'Audit Values'!$A$2:$BU$353,2,FALSE)),'Preliminary SO66'!AS219,VLOOKUP($CZ220,'Audit Values'!$A$2:$BU$353,63,FALSE))</f>
        <v>737</v>
      </c>
      <c r="AC220" s="99">
        <v>0</v>
      </c>
      <c r="AD220" s="99">
        <f>IF(ISNA(VLOOKUP($CZ220,'Audit Values'!$A$2:$BU$353,2,FALSE)),'Preliminary SO66'!AP219,VLOOKUP($CZ220,'Audit Values'!$A$2:$BU$353,64,FALSE))</f>
        <v>300</v>
      </c>
      <c r="AE220" s="95">
        <f>IF(A220=207, AD220,MAX(AC220,AD220))*'Weighting Factors'!$Q$9</f>
        <v>145.19999999999999</v>
      </c>
      <c r="AF220" s="95">
        <f t="shared" si="123"/>
        <v>12</v>
      </c>
      <c r="AG220" s="95">
        <f>IF(ISNA(VLOOKUP($CZ220,'Audit Values'!$A$2:$BW$353,2,FALSE)),'Preliminary SO66'!AG219,VLOOKUP($CZ220,'Audit Values'!$A$2:$BW$353,70,FALSE))</f>
        <v>15.5</v>
      </c>
      <c r="AH220" s="95">
        <f t="shared" si="124"/>
        <v>15.5</v>
      </c>
      <c r="AI220" s="95">
        <f>IF(ISNA(VLOOKUP($CZ220,'Audit Values'!$A$2:$BU$353,2,FALSE)),'Preliminary SO66'!AQ219,VLOOKUP($CZ220,'Audit Values'!$A$2:$BU$353,65,FALSE))</f>
        <v>216</v>
      </c>
      <c r="AJ220" s="95">
        <f>AI220*'Weighting Factors'!$Q$10</f>
        <v>54</v>
      </c>
      <c r="AK220" s="95">
        <f>IF(ISNA(VLOOKUP($CZ220,'Audit Values'!$A$2:$BU$353,2,FALSE)),'Preliminary SO66'!AR219,VLOOKUP($CZ220,'Audit Values'!$A$2:$BU$353,66,FALSE))</f>
        <v>84.5</v>
      </c>
      <c r="AL220" s="95"/>
      <c r="AM220" s="99">
        <f t="shared" si="125"/>
        <v>102245</v>
      </c>
      <c r="AN220" s="99">
        <v>117101</v>
      </c>
      <c r="AO220" s="95">
        <f>MAX(AN220, AM220)/'Weighting Factors'!$Q$5</f>
        <v>28.1</v>
      </c>
      <c r="AP220" s="95">
        <f>CN220/'Weighting Factors'!$Q$5</f>
        <v>0</v>
      </c>
      <c r="AQ220" s="95">
        <v>0</v>
      </c>
      <c r="AR220" s="95">
        <f>CS220/'Weighting Factors'!$Q$5</f>
        <v>0</v>
      </c>
      <c r="AS220" s="99">
        <v>758796</v>
      </c>
      <c r="AT220" s="95">
        <f>AS220/'Weighting Factors'!$Q$5</f>
        <v>182.2</v>
      </c>
      <c r="AU220" s="95">
        <f>IF(ISNA(VLOOKUP($CZ220,'Audit Values'!$A$2:$BU$353,2,FALSE)),'Preliminary SO66'!X219,VLOOKUP($CZ220,'Audit Values'!$A$2:$BU$353,47,FALSE))</f>
        <v>0</v>
      </c>
      <c r="AV220" s="95">
        <f t="shared" si="126"/>
        <v>1436</v>
      </c>
      <c r="AW220" s="95">
        <f t="shared" si="127"/>
        <v>1253.8</v>
      </c>
      <c r="AX220" s="95">
        <f>IF(ISNA(VLOOKUP($CZ220,'Audit Values'!$A$2:$BU$353,2,FALSE)),'Preliminary SO66'!AA219,VLOOKUP($CZ220,'Audit Values'!$A$2:$BU$353,41,FALSE))</f>
        <v>0</v>
      </c>
      <c r="AY220" s="95">
        <f>IF(ISNA(VLOOKUP($CZ220,'Audit Values'!$A$2:$BU$353,2,FALSE)),'Preliminary SO66'!AB219,VLOOKUP($CZ220,'Audit Values'!$A$2:$BU$353,42,FALSE))</f>
        <v>0</v>
      </c>
      <c r="AZ220" s="114">
        <v>0</v>
      </c>
      <c r="BA220" s="99">
        <f>SUM(AX220*'Weighting Factors'!$T$10)+('2019 Legal Max'!AY220*'Weighting Factors'!$T$11)+('2019 Legal Max'!AZ220*'Weighting Factors'!$T$12)</f>
        <v>0</v>
      </c>
      <c r="BB220" s="158">
        <v>0</v>
      </c>
      <c r="BC220" s="88">
        <f>IF(ISNA(VLOOKUP($CZ220,'Audit Values'!$A$2:$BU$353,2,FALSE)),"",IF(AND('Weighting Factors'!H220&gt;0,VLOOKUP($CZ220,'Audit Values'!$A$2:$BU$353,51,FALSE)&lt;'Weighting Factors'!H220),'Weighting Factors'!H220,VLOOKUP($CZ220,'Audit Values'!$A$2:$BU$353,50,FALSE)))</f>
        <v>15</v>
      </c>
      <c r="BD220" s="88" t="str">
        <f>IF(ISNA(VLOOKUP($CZ220,'Audit Values'!$A$2:$BV$353,2,FALSE)),"",VLOOKUP($CZ220,'Audit Values'!$A$2:$BV$353,51,FALSE))</f>
        <v>A</v>
      </c>
      <c r="BE220" s="88" t="str">
        <f>IF('Weighting Factors'!H220="","",IF('Weighting Factors'!J220="Pending","PX","R"))</f>
        <v/>
      </c>
      <c r="BF220" s="97">
        <f>SUM((S220+T220+Y220+AA220+AE220+AH220+AJ220++AO220+AP220+AQ220+AU220+AR220)*'Weighting Factors'!$Q$5)+'2019 Legal Max'!BA220+'2019 Legal Max'!BB220</f>
        <v>5222077</v>
      </c>
      <c r="BG220" s="99">
        <f>SUM((AV220+AR220)*'Weighting Factors'!$Q$5)+BA220+'2019 Legal Max'!BB220</f>
        <v>5980940</v>
      </c>
      <c r="BH220" s="108">
        <f>IF('Weighting Factors'!H220&gt;0,'Weighting Factors'!H220,'Preliminary SO66'!AV219)</f>
        <v>6298313</v>
      </c>
      <c r="BI220" s="99">
        <f t="shared" si="151"/>
        <v>5980940</v>
      </c>
      <c r="BJ220" s="112"/>
      <c r="BK220" s="112">
        <f>'Weighting Factors'!F220</f>
        <v>0</v>
      </c>
      <c r="BL220" s="112">
        <f>'Weighting Factors'!E220</f>
        <v>0</v>
      </c>
      <c r="BM220" s="99">
        <f t="shared" si="128"/>
        <v>0</v>
      </c>
      <c r="BN220" s="99">
        <f t="shared" si="129"/>
        <v>5980940</v>
      </c>
      <c r="BO220" s="99">
        <f>SUM((S220+T220+Y220+AA220+AE220+AH220+AJ220++AO220+AP220+AQ220+AR220)*'Weighting Factors'!Q$12)+(MAX(AS220,'Weighting Factors'!B220))</f>
        <v>6388358</v>
      </c>
      <c r="BP220" s="122">
        <v>0.3</v>
      </c>
      <c r="BQ220" s="99">
        <f t="shared" si="130"/>
        <v>1916507</v>
      </c>
      <c r="BR220" s="108">
        <v>2015135</v>
      </c>
      <c r="BS220" s="99">
        <f t="shared" si="131"/>
        <v>1916507</v>
      </c>
      <c r="BT220" s="167">
        <f t="shared" si="132"/>
        <v>0.3</v>
      </c>
      <c r="BU220" s="95">
        <f t="shared" si="133"/>
        <v>0</v>
      </c>
      <c r="BV220" s="87" t="b">
        <f t="shared" si="134"/>
        <v>0</v>
      </c>
      <c r="BW220" s="117">
        <f t="shared" si="135"/>
        <v>0</v>
      </c>
      <c r="BX220" s="116">
        <f t="shared" si="136"/>
        <v>0</v>
      </c>
      <c r="BY220" s="95">
        <f t="shared" si="137"/>
        <v>0</v>
      </c>
      <c r="BZ220" s="87" t="b">
        <f t="shared" si="138"/>
        <v>1</v>
      </c>
      <c r="CA220" s="87">
        <f t="shared" si="139"/>
        <v>535.96130000000005</v>
      </c>
      <c r="CB220" s="116">
        <f t="shared" si="140"/>
        <v>0.33704099999999998</v>
      </c>
      <c r="CC220" s="95">
        <f t="shared" si="141"/>
        <v>247.1</v>
      </c>
      <c r="CD220" s="95">
        <f t="shared" si="142"/>
        <v>0</v>
      </c>
      <c r="CE220" s="98">
        <v>292</v>
      </c>
      <c r="CF220" s="250">
        <f t="shared" si="143"/>
        <v>0.28899999999999998</v>
      </c>
      <c r="CG220" s="274">
        <f>IF(CF220&lt;0.06,1,IF(CF220&gt;=18.29,52,MATCH(CF220-0.001,'Weighting Factors'!$Y$5:$Y$156)+1))</f>
        <v>19</v>
      </c>
      <c r="CH220" s="243">
        <f>VLOOKUP(CG220, 'Weighting Factors'!$W$5:$Z$56,4)</f>
        <v>1210</v>
      </c>
      <c r="CI220" s="118">
        <f>('Weighting Factors'!$Q$5/'Weighting Factors'!$Q$14)</f>
        <v>1</v>
      </c>
      <c r="CJ220" s="245">
        <f t="shared" si="144"/>
        <v>102245</v>
      </c>
      <c r="CK220" s="245">
        <f>CJ220*'Weighting Factors'!$S$7</f>
        <v>102245</v>
      </c>
      <c r="CL220" s="245">
        <f t="shared" si="145"/>
        <v>102245</v>
      </c>
      <c r="CM220" s="95">
        <f>AM220/'Weighting Factors'!$Q$5</f>
        <v>24.5</v>
      </c>
      <c r="CN220" s="148">
        <v>0</v>
      </c>
      <c r="CO220" s="148">
        <v>0</v>
      </c>
      <c r="CP220" s="149">
        <v>0</v>
      </c>
      <c r="CQ220" s="151">
        <v>0</v>
      </c>
      <c r="CR220" s="99">
        <f>SUM((AV220*'Weighting Factors'!$Q$5)+'2019 Legal Max'!BA220)*CQ220</f>
        <v>0</v>
      </c>
      <c r="CS220" s="99">
        <f t="shared" si="146"/>
        <v>0</v>
      </c>
      <c r="CT220" s="106">
        <f t="shared" si="147"/>
        <v>0.40710000000000002</v>
      </c>
      <c r="CU220" s="95">
        <f t="shared" si="148"/>
        <v>0</v>
      </c>
      <c r="CV220" s="95">
        <f t="shared" si="149"/>
        <v>12</v>
      </c>
      <c r="CW220" s="95">
        <f t="shared" si="150"/>
        <v>1436</v>
      </c>
      <c r="CX220" s="99">
        <f>'LOB Transfers'!G219</f>
        <v>195292</v>
      </c>
      <c r="CY220" s="99">
        <f>'LOB Transfers'!J219</f>
        <v>0</v>
      </c>
      <c r="CZ220" s="87" t="s">
        <v>412</v>
      </c>
    </row>
    <row r="221" spans="1:104" ht="15" customHeight="1">
      <c r="A221" s="88">
        <v>432</v>
      </c>
      <c r="B221" s="87" t="s">
        <v>84</v>
      </c>
      <c r="C221" s="87" t="s">
        <v>733</v>
      </c>
      <c r="D221" s="95">
        <v>286.5</v>
      </c>
      <c r="E221" s="95">
        <v>0</v>
      </c>
      <c r="F221" s="95">
        <f t="shared" si="117"/>
        <v>286.5</v>
      </c>
      <c r="G221" s="95">
        <v>286</v>
      </c>
      <c r="H221" s="95">
        <v>0</v>
      </c>
      <c r="I221" s="95">
        <f t="shared" si="118"/>
        <v>286</v>
      </c>
      <c r="J221" s="95">
        <v>287</v>
      </c>
      <c r="K221" s="95">
        <v>0</v>
      </c>
      <c r="L221" s="95">
        <f t="shared" si="119"/>
        <v>287</v>
      </c>
      <c r="M221" s="95">
        <f>IF(ISNA(VLOOKUP($CZ221,'Audit Values'!$A$2:$BW$365,2,FALSE)),'Preliminary SO66'!C220,VLOOKUP($CZ221,'Audit Values'!$A$2:$BW$365,73,FALSE))</f>
        <v>287.5</v>
      </c>
      <c r="N221" s="95">
        <f>IF(ISNA(VLOOKUP($CZ221,'Audit Values'!$A$2:$BW$365,2,FALSE)),'Preliminary SO66'!F220,VLOOKUP($CZ221,'Audit Values'!$A$2:$BW$365,4,FALSE))</f>
        <v>0</v>
      </c>
      <c r="O221" s="95">
        <f t="shared" si="120"/>
        <v>287.5</v>
      </c>
      <c r="P221" s="95">
        <f>IF('Military Provision'!J222="YES", MAX('2019 Legal Max'!L221,'2019 Legal Max'!I221,AVERAGE('2019 Legal Max'!F221,'2019 Legal Max'!I221,'2019 Legal Max'!L221)), MAX(L221, I221))</f>
        <v>287</v>
      </c>
      <c r="Q221" s="95">
        <f>IF(ISNA(VLOOKUP($CZ221,'Audit Values'!$A$2:$BU$353,2,FALSE)),'Preliminary SO66'!AL220,VLOOKUP($CZ221,'Audit Values'!$A$2:$BU$3955,58,FALSE))</f>
        <v>0</v>
      </c>
      <c r="R221" s="95">
        <v>0</v>
      </c>
      <c r="S221" s="95">
        <f t="shared" si="152"/>
        <v>287</v>
      </c>
      <c r="T221" s="95">
        <f t="shared" si="121"/>
        <v>148.9</v>
      </c>
      <c r="U221" s="95">
        <f>IF(ISNA(VLOOKUP($CZ221,'Audit Values'!$A$2:$BW$317,2,FALSE)),'Preliminary SO66'!AM220,VLOOKUP($CZ221,'Audit Values'!$A$2:$BW$317,62,FALSE))</f>
        <v>0</v>
      </c>
      <c r="V221" s="95">
        <f>(U221/6)*'Weighting Factors'!$Q$7</f>
        <v>0</v>
      </c>
      <c r="W221" s="132">
        <f>IF(ISNA(VLOOKUP($CZ221,'Audit Values'!$A$2:$BW$353,2,FALSE)),'Preliminary SO66'!AN220,VLOOKUP($CZ221,'Audit Values'!$A$2:$BW$353,61,FALSE))</f>
        <v>0</v>
      </c>
      <c r="X221" s="95">
        <f>W221*'Weighting Factors'!$Q$8</f>
        <v>0</v>
      </c>
      <c r="Y221" s="95">
        <f t="shared" si="122"/>
        <v>0</v>
      </c>
      <c r="Z221" s="276">
        <f>IF(ISNA(VLOOKUP($CZ221,'Audit Values'!$A$2:$BW$317,2,FALSE)),'Preliminary SO66'!AO220,VLOOKUP($CZ221,'Audit Values'!$A$2:$BW$317,60,FALSE))</f>
        <v>152.69999999999999</v>
      </c>
      <c r="AA221" s="95">
        <f>Z221/6*'Weighting Factors'!$Q$6</f>
        <v>12.7</v>
      </c>
      <c r="AB221" s="99">
        <f>IF(ISNA(VLOOKUP($CZ221,'Audit Values'!$A$2:$BU$353,2,FALSE)),'Preliminary SO66'!AS220,VLOOKUP($CZ221,'Audit Values'!$A$2:$BU$353,63,FALSE))</f>
        <v>289</v>
      </c>
      <c r="AC221" s="99">
        <v>0</v>
      </c>
      <c r="AD221" s="99">
        <f>IF(ISNA(VLOOKUP($CZ221,'Audit Values'!$A$2:$BU$353,2,FALSE)),'Preliminary SO66'!AP220,VLOOKUP($CZ221,'Audit Values'!$A$2:$BU$353,64,FALSE))</f>
        <v>41</v>
      </c>
      <c r="AE221" s="95">
        <f>IF(A221=207, AD221,MAX(AC221,AD221))*'Weighting Factors'!$Q$9</f>
        <v>19.8</v>
      </c>
      <c r="AF221" s="95">
        <f t="shared" si="123"/>
        <v>0</v>
      </c>
      <c r="AG221" s="95">
        <f>IF(ISNA(VLOOKUP($CZ221,'Audit Values'!$A$2:$BW$353,2,FALSE)),'Preliminary SO66'!AG220,VLOOKUP($CZ221,'Audit Values'!$A$2:$BW$353,70,FALSE))</f>
        <v>0</v>
      </c>
      <c r="AH221" s="95">
        <f t="shared" si="124"/>
        <v>0</v>
      </c>
      <c r="AI221" s="95">
        <f>IF(ISNA(VLOOKUP($CZ221,'Audit Values'!$A$2:$BU$353,2,FALSE)),'Preliminary SO66'!AQ220,VLOOKUP($CZ221,'Audit Values'!$A$2:$BU$353,65,FALSE))</f>
        <v>0</v>
      </c>
      <c r="AJ221" s="95">
        <f>AI221*'Weighting Factors'!$Q$10</f>
        <v>0</v>
      </c>
      <c r="AK221" s="95">
        <f>IF(ISNA(VLOOKUP($CZ221,'Audit Values'!$A$2:$BU$353,2,FALSE)),'Preliminary SO66'!AR220,VLOOKUP($CZ221,'Audit Values'!$A$2:$BU$353,66,FALSE))</f>
        <v>51</v>
      </c>
      <c r="AL221" s="95"/>
      <c r="AM221" s="99">
        <f t="shared" si="125"/>
        <v>62730</v>
      </c>
      <c r="AN221" s="99">
        <v>94759</v>
      </c>
      <c r="AO221" s="95">
        <f>MAX(AN221, AM221)/'Weighting Factors'!$Q$5</f>
        <v>22.8</v>
      </c>
      <c r="AP221" s="95">
        <f>CN221/'Weighting Factors'!$Q$5</f>
        <v>0</v>
      </c>
      <c r="AQ221" s="95">
        <v>0</v>
      </c>
      <c r="AR221" s="95">
        <f>CS221/'Weighting Factors'!$Q$5</f>
        <v>0</v>
      </c>
      <c r="AS221" s="99">
        <v>255491</v>
      </c>
      <c r="AT221" s="95">
        <f>AS221/'Weighting Factors'!$Q$5</f>
        <v>61.3</v>
      </c>
      <c r="AU221" s="95">
        <f>IF(ISNA(VLOOKUP($CZ221,'Audit Values'!$A$2:$BU$353,2,FALSE)),'Preliminary SO66'!X220,VLOOKUP($CZ221,'Audit Values'!$A$2:$BU$353,47,FALSE))</f>
        <v>0</v>
      </c>
      <c r="AV221" s="95">
        <f t="shared" si="126"/>
        <v>552.5</v>
      </c>
      <c r="AW221" s="95">
        <f t="shared" si="127"/>
        <v>491.2</v>
      </c>
      <c r="AX221" s="95">
        <f>IF(ISNA(VLOOKUP($CZ221,'Audit Values'!$A$2:$BU$353,2,FALSE)),'Preliminary SO66'!AA220,VLOOKUP($CZ221,'Audit Values'!$A$2:$BU$353,41,FALSE))</f>
        <v>0</v>
      </c>
      <c r="AY221" s="95">
        <f>IF(ISNA(VLOOKUP($CZ221,'Audit Values'!$A$2:$BU$353,2,FALSE)),'Preliminary SO66'!AB220,VLOOKUP($CZ221,'Audit Values'!$A$2:$BU$353,42,FALSE))</f>
        <v>0</v>
      </c>
      <c r="AZ221" s="114">
        <v>0</v>
      </c>
      <c r="BA221" s="99">
        <f>SUM(AX221*'Weighting Factors'!$T$10)+('2019 Legal Max'!AY221*'Weighting Factors'!$T$11)+('2019 Legal Max'!AZ221*'Weighting Factors'!$T$12)</f>
        <v>0</v>
      </c>
      <c r="BB221" s="158">
        <v>0</v>
      </c>
      <c r="BC221" s="88">
        <f>IF(ISNA(VLOOKUP($CZ221,'Audit Values'!$A$2:$BU$353,2,FALSE)),"",IF(AND('Weighting Factors'!H221&gt;0,VLOOKUP($CZ221,'Audit Values'!$A$2:$BU$353,51,FALSE)&lt;'Weighting Factors'!H221),'Weighting Factors'!H221,VLOOKUP($CZ221,'Audit Values'!$A$2:$BU$353,50,FALSE)))</f>
        <v>16</v>
      </c>
      <c r="BD221" s="88" t="str">
        <f>IF(ISNA(VLOOKUP($CZ221,'Audit Values'!$A$2:$BV$353,2,FALSE)),"",VLOOKUP($CZ221,'Audit Values'!$A$2:$BV$353,51,FALSE))</f>
        <v>A</v>
      </c>
      <c r="BE221" s="88" t="str">
        <f>IF('Weighting Factors'!H221="","",IF('Weighting Factors'!J221="Pending","PX","R"))</f>
        <v/>
      </c>
      <c r="BF221" s="97">
        <f>SUM((S221+T221+Y221+AA221+AE221+AH221+AJ221++AO221+AP221+AQ221+AU221+AR221)*'Weighting Factors'!$Q$5)+'2019 Legal Max'!BA221+'2019 Legal Max'!BB221</f>
        <v>2045848</v>
      </c>
      <c r="BG221" s="99">
        <f>SUM((AV221+AR221)*'Weighting Factors'!$Q$5)+BA221+'2019 Legal Max'!BB221</f>
        <v>2301163</v>
      </c>
      <c r="BH221" s="108">
        <f>IF('Weighting Factors'!H221&gt;0,'Weighting Factors'!H221,'Preliminary SO66'!AV220)</f>
        <v>2314907</v>
      </c>
      <c r="BI221" s="99">
        <f t="shared" si="151"/>
        <v>2301163</v>
      </c>
      <c r="BJ221" s="112"/>
      <c r="BK221" s="112">
        <f>'Weighting Factors'!F221</f>
        <v>-52879</v>
      </c>
      <c r="BL221" s="112">
        <f>'Weighting Factors'!E221</f>
        <v>0</v>
      </c>
      <c r="BM221" s="99">
        <f t="shared" si="128"/>
        <v>-52879</v>
      </c>
      <c r="BN221" s="99">
        <f t="shared" si="129"/>
        <v>2248284</v>
      </c>
      <c r="BO221" s="99">
        <f>SUM((S221+T221+Y221+AA221+AE221+AH221+AJ221++AO221+AP221+AQ221+AR221)*'Weighting Factors'!Q$12)+(MAX(AS221,'Weighting Factors'!B221))</f>
        <v>2476155</v>
      </c>
      <c r="BP221" s="122">
        <v>0.3</v>
      </c>
      <c r="BQ221" s="99">
        <f t="shared" si="130"/>
        <v>742847</v>
      </c>
      <c r="BR221" s="108">
        <v>747426</v>
      </c>
      <c r="BS221" s="99">
        <f t="shared" si="131"/>
        <v>742847</v>
      </c>
      <c r="BT221" s="167">
        <f t="shared" si="132"/>
        <v>0.3</v>
      </c>
      <c r="BU221" s="95">
        <f t="shared" si="133"/>
        <v>0</v>
      </c>
      <c r="BV221" s="87" t="b">
        <f t="shared" si="134"/>
        <v>1</v>
      </c>
      <c r="BW221" s="117">
        <f t="shared" si="135"/>
        <v>1805.4849999999999</v>
      </c>
      <c r="BX221" s="116">
        <f t="shared" si="136"/>
        <v>0.51864600000000005</v>
      </c>
      <c r="BY221" s="95">
        <f t="shared" si="137"/>
        <v>148.9</v>
      </c>
      <c r="BZ221" s="87" t="b">
        <f t="shared" si="138"/>
        <v>0</v>
      </c>
      <c r="CA221" s="87">
        <f t="shared" si="139"/>
        <v>0</v>
      </c>
      <c r="CB221" s="116">
        <f t="shared" si="140"/>
        <v>0</v>
      </c>
      <c r="CC221" s="95">
        <f t="shared" si="141"/>
        <v>0</v>
      </c>
      <c r="CD221" s="95">
        <f t="shared" si="142"/>
        <v>0</v>
      </c>
      <c r="CE221" s="98">
        <v>193.3</v>
      </c>
      <c r="CF221" s="250">
        <f t="shared" si="143"/>
        <v>0.26400000000000001</v>
      </c>
      <c r="CG221" s="274">
        <f>IF(CF221&lt;0.06,1,IF(CF221&gt;=18.29,52,MATCH(CF221-0.001,'Weighting Factors'!$Y$5:$Y$156)+1))</f>
        <v>18</v>
      </c>
      <c r="CH221" s="243">
        <f>VLOOKUP(CG221, 'Weighting Factors'!$W$5:$Z$56,4)</f>
        <v>1230</v>
      </c>
      <c r="CI221" s="118">
        <f>('Weighting Factors'!$Q$5/'Weighting Factors'!$Q$14)</f>
        <v>1</v>
      </c>
      <c r="CJ221" s="245">
        <f t="shared" si="144"/>
        <v>62730</v>
      </c>
      <c r="CK221" s="245">
        <f>CJ221*'Weighting Factors'!$S$7</f>
        <v>62730</v>
      </c>
      <c r="CL221" s="245">
        <f t="shared" si="145"/>
        <v>62730</v>
      </c>
      <c r="CM221" s="95">
        <f>AM221/'Weighting Factors'!$Q$5</f>
        <v>15.1</v>
      </c>
      <c r="CN221" s="148">
        <v>0</v>
      </c>
      <c r="CO221" s="148">
        <v>0</v>
      </c>
      <c r="CP221" s="149">
        <v>0</v>
      </c>
      <c r="CQ221" s="151">
        <v>0</v>
      </c>
      <c r="CR221" s="99">
        <f>SUM((AV221*'Weighting Factors'!$Q$5)+'2019 Legal Max'!BA221)*CQ221</f>
        <v>0</v>
      </c>
      <c r="CS221" s="99">
        <f t="shared" si="146"/>
        <v>0</v>
      </c>
      <c r="CT221" s="106">
        <f t="shared" si="147"/>
        <v>0.1419</v>
      </c>
      <c r="CU221" s="95">
        <f t="shared" si="148"/>
        <v>0</v>
      </c>
      <c r="CV221" s="95">
        <f t="shared" si="149"/>
        <v>0</v>
      </c>
      <c r="CW221" s="95">
        <f t="shared" si="150"/>
        <v>552.5</v>
      </c>
      <c r="CX221" s="99">
        <f>'LOB Transfers'!G220</f>
        <v>26594</v>
      </c>
      <c r="CY221" s="99">
        <f>'LOB Transfers'!J220</f>
        <v>0</v>
      </c>
      <c r="CZ221" s="87" t="s">
        <v>413</v>
      </c>
    </row>
    <row r="222" spans="1:104" ht="15" customHeight="1">
      <c r="A222" s="88">
        <v>434</v>
      </c>
      <c r="B222" s="87" t="s">
        <v>96</v>
      </c>
      <c r="C222" s="87" t="s">
        <v>734</v>
      </c>
      <c r="D222" s="95">
        <v>963.7</v>
      </c>
      <c r="E222" s="95">
        <v>0</v>
      </c>
      <c r="F222" s="95">
        <f t="shared" si="117"/>
        <v>963.7</v>
      </c>
      <c r="G222" s="95">
        <v>971</v>
      </c>
      <c r="H222" s="95">
        <v>0</v>
      </c>
      <c r="I222" s="95">
        <f t="shared" si="118"/>
        <v>971</v>
      </c>
      <c r="J222" s="95">
        <v>985.1</v>
      </c>
      <c r="K222" s="95">
        <v>0</v>
      </c>
      <c r="L222" s="95">
        <f t="shared" si="119"/>
        <v>985.1</v>
      </c>
      <c r="M222" s="95">
        <f>IF(ISNA(VLOOKUP($CZ222,'Audit Values'!$A$2:$BW$365,2,FALSE)),'Preliminary SO66'!C221,VLOOKUP($CZ222,'Audit Values'!$A$2:$BW$365,73,FALSE))</f>
        <v>989.4</v>
      </c>
      <c r="N222" s="95">
        <f>IF(ISNA(VLOOKUP($CZ222,'Audit Values'!$A$2:$BW$365,2,FALSE)),'Preliminary SO66'!F221,VLOOKUP($CZ222,'Audit Values'!$A$2:$BW$365,4,FALSE))</f>
        <v>0</v>
      </c>
      <c r="O222" s="95">
        <f t="shared" si="120"/>
        <v>989.4</v>
      </c>
      <c r="P222" s="95">
        <f>IF('Military Provision'!J223="YES", MAX('2019 Legal Max'!L222,'2019 Legal Max'!I222,AVERAGE('2019 Legal Max'!F222,'2019 Legal Max'!I222,'2019 Legal Max'!L222)), MAX(L222, I222))</f>
        <v>985.1</v>
      </c>
      <c r="Q222" s="95">
        <f>IF(ISNA(VLOOKUP($CZ222,'Audit Values'!$A$2:$BU$353,2,FALSE)),'Preliminary SO66'!AL221,VLOOKUP($CZ222,'Audit Values'!$A$2:$BU$3955,58,FALSE))</f>
        <v>11.5</v>
      </c>
      <c r="R222" s="95">
        <v>0</v>
      </c>
      <c r="S222" s="95">
        <f t="shared" si="152"/>
        <v>996.6</v>
      </c>
      <c r="T222" s="95">
        <f t="shared" si="121"/>
        <v>246.7</v>
      </c>
      <c r="U222" s="95">
        <f>IF(ISNA(VLOOKUP($CZ222,'Audit Values'!$A$2:$BW$317,2,FALSE)),'Preliminary SO66'!AM221,VLOOKUP($CZ222,'Audit Values'!$A$2:$BW$317,62,FALSE))</f>
        <v>0</v>
      </c>
      <c r="V222" s="95">
        <f>(U222/6)*'Weighting Factors'!$Q$7</f>
        <v>0</v>
      </c>
      <c r="W222" s="132">
        <f>IF(ISNA(VLOOKUP($CZ222,'Audit Values'!$A$2:$BW$353,2,FALSE)),'Preliminary SO66'!AN221,VLOOKUP($CZ222,'Audit Values'!$A$2:$BW$353,61,FALSE))</f>
        <v>0</v>
      </c>
      <c r="X222" s="95">
        <f>W222*'Weighting Factors'!$Q$8</f>
        <v>0</v>
      </c>
      <c r="Y222" s="95">
        <f t="shared" si="122"/>
        <v>0</v>
      </c>
      <c r="Z222" s="276">
        <f>IF(ISNA(VLOOKUP($CZ222,'Audit Values'!$A$2:$BW$317,2,FALSE)),'Preliminary SO66'!AO221,VLOOKUP($CZ222,'Audit Values'!$A$2:$BW$317,60,FALSE))</f>
        <v>24.7</v>
      </c>
      <c r="AA222" s="95">
        <f>Z222/6*'Weighting Factors'!$Q$6</f>
        <v>2.1</v>
      </c>
      <c r="AB222" s="99">
        <f>IF(ISNA(VLOOKUP($CZ222,'Audit Values'!$A$2:$BU$353,2,FALSE)),'Preliminary SO66'!AS221,VLOOKUP($CZ222,'Audit Values'!$A$2:$BU$353,63,FALSE))</f>
        <v>1035</v>
      </c>
      <c r="AC222" s="99">
        <v>0</v>
      </c>
      <c r="AD222" s="99">
        <f>IF(ISNA(VLOOKUP($CZ222,'Audit Values'!$A$2:$BU$353,2,FALSE)),'Preliminary SO66'!AP221,VLOOKUP($CZ222,'Audit Values'!$A$2:$BU$353,64,FALSE))</f>
        <v>395</v>
      </c>
      <c r="AE222" s="95">
        <f>IF(A222=207, AD222,MAX(AC222,AD222))*'Weighting Factors'!$Q$9</f>
        <v>191.2</v>
      </c>
      <c r="AF222" s="95">
        <f t="shared" si="123"/>
        <v>8.6999999999999993</v>
      </c>
      <c r="AG222" s="95">
        <f>IF(ISNA(VLOOKUP($CZ222,'Audit Values'!$A$2:$BW$353,2,FALSE)),'Preliminary SO66'!AG221,VLOOKUP($CZ222,'Audit Values'!$A$2:$BW$353,70,FALSE))</f>
        <v>14.5</v>
      </c>
      <c r="AH222" s="95">
        <f t="shared" si="124"/>
        <v>14.5</v>
      </c>
      <c r="AI222" s="95">
        <f>IF(ISNA(VLOOKUP($CZ222,'Audit Values'!$A$2:$BU$353,2,FALSE)),'Preliminary SO66'!AQ221,VLOOKUP($CZ222,'Audit Values'!$A$2:$BU$353,65,FALSE))</f>
        <v>0</v>
      </c>
      <c r="AJ222" s="95">
        <f>AI222*'Weighting Factors'!$Q$10</f>
        <v>0</v>
      </c>
      <c r="AK222" s="95">
        <f>IF(ISNA(VLOOKUP($CZ222,'Audit Values'!$A$2:$BU$353,2,FALSE)),'Preliminary SO66'!AR221,VLOOKUP($CZ222,'Audit Values'!$A$2:$BU$353,66,FALSE))</f>
        <v>778.5</v>
      </c>
      <c r="AL222" s="95"/>
      <c r="AM222" s="99">
        <f t="shared" si="125"/>
        <v>583875</v>
      </c>
      <c r="AN222" s="99">
        <v>597830</v>
      </c>
      <c r="AO222" s="95">
        <f>MAX(AN222, AM222)/'Weighting Factors'!$Q$5</f>
        <v>143.5</v>
      </c>
      <c r="AP222" s="95">
        <f>CN222/'Weighting Factors'!$Q$5</f>
        <v>0</v>
      </c>
      <c r="AQ222" s="95">
        <v>0</v>
      </c>
      <c r="AR222" s="95">
        <f>CS222/'Weighting Factors'!$Q$5</f>
        <v>0</v>
      </c>
      <c r="AS222" s="99">
        <v>1479586</v>
      </c>
      <c r="AT222" s="95">
        <f>AS222/'Weighting Factors'!$Q$5</f>
        <v>355.2</v>
      </c>
      <c r="AU222" s="95">
        <f>IF(ISNA(VLOOKUP($CZ222,'Audit Values'!$A$2:$BU$353,2,FALSE)),'Preliminary SO66'!X221,VLOOKUP($CZ222,'Audit Values'!$A$2:$BU$353,47,FALSE))</f>
        <v>0</v>
      </c>
      <c r="AV222" s="95">
        <f t="shared" si="126"/>
        <v>1949.8</v>
      </c>
      <c r="AW222" s="95">
        <f t="shared" si="127"/>
        <v>1594.6</v>
      </c>
      <c r="AX222" s="95">
        <f>IF(ISNA(VLOOKUP($CZ222,'Audit Values'!$A$2:$BU$353,2,FALSE)),'Preliminary SO66'!AA221,VLOOKUP($CZ222,'Audit Values'!$A$2:$BU$353,41,FALSE))</f>
        <v>1</v>
      </c>
      <c r="AY222" s="95">
        <f>IF(ISNA(VLOOKUP($CZ222,'Audit Values'!$A$2:$BU$353,2,FALSE)),'Preliminary SO66'!AB221,VLOOKUP($CZ222,'Audit Values'!$A$2:$BU$353,42,FALSE))</f>
        <v>0</v>
      </c>
      <c r="AZ222" s="114">
        <v>9</v>
      </c>
      <c r="BA222" s="99">
        <f>SUM(AX222*'Weighting Factors'!$T$10)+('2019 Legal Max'!AY222*'Weighting Factors'!$T$11)+('2019 Legal Max'!AZ222*'Weighting Factors'!$T$12)</f>
        <v>11381</v>
      </c>
      <c r="BB222" s="158">
        <v>0</v>
      </c>
      <c r="BC222" s="88">
        <f>IF(ISNA(VLOOKUP($CZ222,'Audit Values'!$A$2:$BU$353,2,FALSE)),"",IF(AND('Weighting Factors'!H222&gt;0,VLOOKUP($CZ222,'Audit Values'!$A$2:$BU$353,51,FALSE)&lt;'Weighting Factors'!H222),'Weighting Factors'!H222,VLOOKUP($CZ222,'Audit Values'!$A$2:$BU$353,50,FALSE)))</f>
        <v>15</v>
      </c>
      <c r="BD222" s="88" t="str">
        <f>IF(ISNA(VLOOKUP($CZ222,'Audit Values'!$A$2:$BV$353,2,FALSE)),"",VLOOKUP($CZ222,'Audit Values'!$A$2:$BV$353,51,FALSE))</f>
        <v>A</v>
      </c>
      <c r="BE222" s="88" t="str">
        <f>IF('Weighting Factors'!H222="","",IF('Weighting Factors'!J222="Pending","PX","R"))</f>
        <v/>
      </c>
      <c r="BF222" s="97">
        <f>SUM((S222+T222+Y222+AA222+AE222+AH222+AJ222++AO222+AP222+AQ222+AU222+AR222)*'Weighting Factors'!$Q$5)+'2019 Legal Max'!BA222+'2019 Legal Max'!BB222</f>
        <v>6652890</v>
      </c>
      <c r="BG222" s="99">
        <f>SUM((AV222+AR222)*'Weighting Factors'!$Q$5)+BA222+'2019 Legal Max'!BB222</f>
        <v>8132298</v>
      </c>
      <c r="BH222" s="108">
        <f>IF('Weighting Factors'!H222&gt;0,'Weighting Factors'!H222,'Preliminary SO66'!AV221)</f>
        <v>8335581</v>
      </c>
      <c r="BI222" s="99">
        <f t="shared" si="151"/>
        <v>8132298</v>
      </c>
      <c r="BJ222" s="112"/>
      <c r="BK222" s="112">
        <f>'Weighting Factors'!F222</f>
        <v>0</v>
      </c>
      <c r="BL222" s="112">
        <f>'Weighting Factors'!E222</f>
        <v>-3545</v>
      </c>
      <c r="BM222" s="99">
        <f t="shared" si="128"/>
        <v>-3545</v>
      </c>
      <c r="BN222" s="99">
        <f t="shared" si="129"/>
        <v>8128753</v>
      </c>
      <c r="BO222" s="99">
        <f>SUM((S222+T222+Y222+AA222+AE222+AH222+AJ222++AO222+AP222+AQ222+AR222)*'Weighting Factors'!Q$12)+(MAX(AS222,'Weighting Factors'!B222))</f>
        <v>8639340</v>
      </c>
      <c r="BP222" s="122">
        <v>0.33</v>
      </c>
      <c r="BQ222" s="99">
        <f t="shared" si="130"/>
        <v>2850982</v>
      </c>
      <c r="BR222" s="108">
        <v>2894986</v>
      </c>
      <c r="BS222" s="99">
        <f t="shared" si="131"/>
        <v>2850982</v>
      </c>
      <c r="BT222" s="167">
        <f t="shared" si="132"/>
        <v>0.33</v>
      </c>
      <c r="BU222" s="95">
        <f t="shared" si="133"/>
        <v>0</v>
      </c>
      <c r="BV222" s="87" t="b">
        <f t="shared" si="134"/>
        <v>0</v>
      </c>
      <c r="BW222" s="117">
        <f t="shared" si="135"/>
        <v>0</v>
      </c>
      <c r="BX222" s="116">
        <f t="shared" si="136"/>
        <v>0</v>
      </c>
      <c r="BY222" s="95">
        <f t="shared" si="137"/>
        <v>0</v>
      </c>
      <c r="BZ222" s="87" t="b">
        <f t="shared" si="138"/>
        <v>1</v>
      </c>
      <c r="CA222" s="87">
        <f t="shared" si="139"/>
        <v>862.04250000000002</v>
      </c>
      <c r="CB222" s="116">
        <f t="shared" si="140"/>
        <v>0.24751699999999999</v>
      </c>
      <c r="CC222" s="95">
        <f t="shared" si="141"/>
        <v>246.7</v>
      </c>
      <c r="CD222" s="95">
        <f t="shared" si="142"/>
        <v>0</v>
      </c>
      <c r="CE222" s="98">
        <v>201</v>
      </c>
      <c r="CF222" s="250">
        <f t="shared" si="143"/>
        <v>3.8730000000000002</v>
      </c>
      <c r="CG222" s="274">
        <f>IF(CF222&lt;0.06,1,IF(CF222&gt;=18.29,52,MATCH(CF222-0.001,'Weighting Factors'!$Y$5:$Y$156)+1))</f>
        <v>42</v>
      </c>
      <c r="CH222" s="243">
        <f>VLOOKUP(CG222, 'Weighting Factors'!$W$5:$Z$56,4)</f>
        <v>750</v>
      </c>
      <c r="CI222" s="118">
        <f>('Weighting Factors'!$Q$5/'Weighting Factors'!$Q$14)</f>
        <v>1</v>
      </c>
      <c r="CJ222" s="245">
        <f t="shared" si="144"/>
        <v>583875</v>
      </c>
      <c r="CK222" s="245">
        <f>CJ222*'Weighting Factors'!$S$7</f>
        <v>583875</v>
      </c>
      <c r="CL222" s="245">
        <f t="shared" si="145"/>
        <v>583875</v>
      </c>
      <c r="CM222" s="95">
        <f>AM222/'Weighting Factors'!$Q$5</f>
        <v>140.19999999999999</v>
      </c>
      <c r="CN222" s="148">
        <v>0</v>
      </c>
      <c r="CO222" s="148">
        <v>0</v>
      </c>
      <c r="CP222" s="149">
        <v>0</v>
      </c>
      <c r="CQ222" s="151">
        <v>0</v>
      </c>
      <c r="CR222" s="99">
        <f>SUM((AV222*'Weighting Factors'!$Q$5)+'2019 Legal Max'!BA222)*CQ222</f>
        <v>0</v>
      </c>
      <c r="CS222" s="99">
        <f t="shared" si="146"/>
        <v>0</v>
      </c>
      <c r="CT222" s="106">
        <f t="shared" si="147"/>
        <v>0.38159999999999999</v>
      </c>
      <c r="CU222" s="95">
        <f t="shared" si="148"/>
        <v>0</v>
      </c>
      <c r="CV222" s="95">
        <f t="shared" si="149"/>
        <v>8.6999999999999993</v>
      </c>
      <c r="CW222" s="95">
        <f t="shared" si="150"/>
        <v>1949.8</v>
      </c>
      <c r="CX222" s="99">
        <f>'LOB Transfers'!G221</f>
        <v>281107</v>
      </c>
      <c r="CY222" s="99">
        <f>'LOB Transfers'!J221</f>
        <v>0</v>
      </c>
      <c r="CZ222" s="87" t="s">
        <v>414</v>
      </c>
    </row>
    <row r="223" spans="1:104" ht="15" customHeight="1">
      <c r="A223" s="88">
        <v>435</v>
      </c>
      <c r="B223" s="87" t="s">
        <v>87</v>
      </c>
      <c r="C223" s="87" t="s">
        <v>735</v>
      </c>
      <c r="D223" s="95">
        <v>1524.3</v>
      </c>
      <c r="E223" s="95">
        <v>0</v>
      </c>
      <c r="F223" s="95">
        <f t="shared" si="117"/>
        <v>1524.3</v>
      </c>
      <c r="G223" s="95">
        <v>1541.2</v>
      </c>
      <c r="H223" s="95">
        <v>0</v>
      </c>
      <c r="I223" s="95">
        <f t="shared" si="118"/>
        <v>1541.2</v>
      </c>
      <c r="J223" s="95">
        <v>1504.2</v>
      </c>
      <c r="K223" s="95">
        <v>0</v>
      </c>
      <c r="L223" s="95">
        <f t="shared" si="119"/>
        <v>1504.2</v>
      </c>
      <c r="M223" s="95">
        <f>IF(ISNA(VLOOKUP($CZ223,'Audit Values'!$A$2:$BW$365,2,FALSE)),'Preliminary SO66'!C222,VLOOKUP($CZ223,'Audit Values'!$A$2:$BW$365,73,FALSE))</f>
        <v>1481.9</v>
      </c>
      <c r="N223" s="95">
        <f>IF(ISNA(VLOOKUP($CZ223,'Audit Values'!$A$2:$BW$365,2,FALSE)),'Preliminary SO66'!F222,VLOOKUP($CZ223,'Audit Values'!$A$2:$BW$365,4,FALSE))</f>
        <v>0</v>
      </c>
      <c r="O223" s="95">
        <f t="shared" si="120"/>
        <v>1481.9</v>
      </c>
      <c r="P223" s="95">
        <f>IF('Military Provision'!J224="YES", MAX('2019 Legal Max'!L223,'2019 Legal Max'!I223,AVERAGE('2019 Legal Max'!F223,'2019 Legal Max'!I223,'2019 Legal Max'!L223)), MAX(L223, I223))</f>
        <v>1541.2</v>
      </c>
      <c r="Q223" s="95">
        <f>IF(ISNA(VLOOKUP($CZ223,'Audit Values'!$A$2:$BU$353,2,FALSE)),'Preliminary SO66'!AL222,VLOOKUP($CZ223,'Audit Values'!$A$2:$BU$3955,58,FALSE))</f>
        <v>0</v>
      </c>
      <c r="R223" s="95">
        <v>0</v>
      </c>
      <c r="S223" s="95">
        <f t="shared" si="152"/>
        <v>1541.2</v>
      </c>
      <c r="T223" s="95">
        <f t="shared" si="121"/>
        <v>96.3</v>
      </c>
      <c r="U223" s="95">
        <f>IF(ISNA(VLOOKUP($CZ223,'Audit Values'!$A$2:$BW$317,2,FALSE)),'Preliminary SO66'!AM222,VLOOKUP($CZ223,'Audit Values'!$A$2:$BW$317,62,FALSE))</f>
        <v>60.4</v>
      </c>
      <c r="V223" s="95">
        <f>(U223/6)*'Weighting Factors'!$Q$7</f>
        <v>4</v>
      </c>
      <c r="W223" s="132">
        <f>IF(ISNA(VLOOKUP($CZ223,'Audit Values'!$A$2:$BW$353,2,FALSE)),'Preliminary SO66'!AN222,VLOOKUP($CZ223,'Audit Values'!$A$2:$BW$353,61,FALSE))</f>
        <v>29</v>
      </c>
      <c r="X223" s="95">
        <f>W223*'Weighting Factors'!$Q$8</f>
        <v>5.4</v>
      </c>
      <c r="Y223" s="95">
        <f t="shared" si="122"/>
        <v>5.4</v>
      </c>
      <c r="Z223" s="276">
        <f>IF(ISNA(VLOOKUP($CZ223,'Audit Values'!$A$2:$BW$317,2,FALSE)),'Preliminary SO66'!AO222,VLOOKUP($CZ223,'Audit Values'!$A$2:$BW$317,60,FALSE))</f>
        <v>531.29999999999995</v>
      </c>
      <c r="AA223" s="95">
        <f>Z223/6*'Weighting Factors'!$Q$6</f>
        <v>44.3</v>
      </c>
      <c r="AB223" s="99">
        <f>IF(ISNA(VLOOKUP($CZ223,'Audit Values'!$A$2:$BU$353,2,FALSE)),'Preliminary SO66'!AS222,VLOOKUP($CZ223,'Audit Values'!$A$2:$BU$353,63,FALSE))</f>
        <v>1562</v>
      </c>
      <c r="AC223" s="99">
        <v>0</v>
      </c>
      <c r="AD223" s="99">
        <f>IF(ISNA(VLOOKUP($CZ223,'Audit Values'!$A$2:$BU$353,2,FALSE)),'Preliminary SO66'!AP222,VLOOKUP($CZ223,'Audit Values'!$A$2:$BU$353,64,FALSE))</f>
        <v>527</v>
      </c>
      <c r="AE223" s="95">
        <f>IF(A223=207, AD223,MAX(AC223,AD223))*'Weighting Factors'!$Q$9</f>
        <v>255.1</v>
      </c>
      <c r="AF223" s="95">
        <f t="shared" si="123"/>
        <v>0</v>
      </c>
      <c r="AG223" s="95">
        <f>IF(ISNA(VLOOKUP($CZ223,'Audit Values'!$A$2:$BW$353,2,FALSE)),'Preliminary SO66'!AG222,VLOOKUP($CZ223,'Audit Values'!$A$2:$BW$353,70,FALSE))</f>
        <v>9.4</v>
      </c>
      <c r="AH223" s="95">
        <f t="shared" si="124"/>
        <v>9.4</v>
      </c>
      <c r="AI223" s="95">
        <f>IF(ISNA(VLOOKUP($CZ223,'Audit Values'!$A$2:$BU$353,2,FALSE)),'Preliminary SO66'!AQ222,VLOOKUP($CZ223,'Audit Values'!$A$2:$BU$353,65,FALSE))</f>
        <v>12.3</v>
      </c>
      <c r="AJ223" s="95">
        <f>AI223*'Weighting Factors'!$Q$10</f>
        <v>3.1</v>
      </c>
      <c r="AK223" s="95">
        <f>IF(ISNA(VLOOKUP($CZ223,'Audit Values'!$A$2:$BU$353,2,FALSE)),'Preliminary SO66'!AR222,VLOOKUP($CZ223,'Audit Values'!$A$2:$BU$353,66,FALSE))</f>
        <v>237</v>
      </c>
      <c r="AL223" s="95"/>
      <c r="AM223" s="99">
        <f t="shared" si="125"/>
        <v>191970</v>
      </c>
      <c r="AN223" s="99">
        <v>212245</v>
      </c>
      <c r="AO223" s="95">
        <f>MAX(AN223, AM223)/'Weighting Factors'!$Q$5</f>
        <v>51</v>
      </c>
      <c r="AP223" s="95">
        <f>CN223/'Weighting Factors'!$Q$5</f>
        <v>0</v>
      </c>
      <c r="AQ223" s="95">
        <v>0</v>
      </c>
      <c r="AR223" s="95">
        <f>CS223/'Weighting Factors'!$Q$5</f>
        <v>0</v>
      </c>
      <c r="AS223" s="99">
        <v>1517788</v>
      </c>
      <c r="AT223" s="95">
        <f>AS223/'Weighting Factors'!$Q$5</f>
        <v>364.4</v>
      </c>
      <c r="AU223" s="95">
        <f>IF(ISNA(VLOOKUP($CZ223,'Audit Values'!$A$2:$BU$353,2,FALSE)),'Preliminary SO66'!X222,VLOOKUP($CZ223,'Audit Values'!$A$2:$BU$353,47,FALSE))</f>
        <v>0</v>
      </c>
      <c r="AV223" s="95">
        <f t="shared" si="126"/>
        <v>2370.1999999999998</v>
      </c>
      <c r="AW223" s="95">
        <f t="shared" si="127"/>
        <v>2005.8</v>
      </c>
      <c r="AX223" s="95">
        <f>IF(ISNA(VLOOKUP($CZ223,'Audit Values'!$A$2:$BU$353,2,FALSE)),'Preliminary SO66'!AA222,VLOOKUP($CZ223,'Audit Values'!$A$2:$BU$353,41,FALSE))</f>
        <v>7</v>
      </c>
      <c r="AY223" s="95">
        <f>IF(ISNA(VLOOKUP($CZ223,'Audit Values'!$A$2:$BU$353,2,FALSE)),'Preliminary SO66'!AB222,VLOOKUP($CZ223,'Audit Values'!$A$2:$BU$353,42,FALSE))</f>
        <v>3.1</v>
      </c>
      <c r="AZ223" s="114">
        <v>14.5</v>
      </c>
      <c r="BA223" s="99">
        <f>SUM(AX223*'Weighting Factors'!$T$10)+('2019 Legal Max'!AY223*'Weighting Factors'!$T$11)+('2019 Legal Max'!AZ223*'Weighting Factors'!$T$12)</f>
        <v>50551</v>
      </c>
      <c r="BB223" s="158">
        <v>0</v>
      </c>
      <c r="BC223" s="88">
        <f>IF(ISNA(VLOOKUP($CZ223,'Audit Values'!$A$2:$BU$353,2,FALSE)),"",IF(AND('Weighting Factors'!H223&gt;0,VLOOKUP($CZ223,'Audit Values'!$A$2:$BU$353,51,FALSE)&lt;'Weighting Factors'!H223),'Weighting Factors'!H223,VLOOKUP($CZ223,'Audit Values'!$A$2:$BU$353,50,FALSE)))</f>
        <v>25</v>
      </c>
      <c r="BD223" s="88" t="str">
        <f>IF(ISNA(VLOOKUP($CZ223,'Audit Values'!$A$2:$BV$353,2,FALSE)),"",VLOOKUP($CZ223,'Audit Values'!$A$2:$BV$353,51,FALSE))</f>
        <v>A</v>
      </c>
      <c r="BE223" s="88" t="str">
        <f>IF('Weighting Factors'!H223="","",IF('Weighting Factors'!J223="Pending","PX","R"))</f>
        <v/>
      </c>
      <c r="BF223" s="97">
        <f>SUM((S223+T223+Y223+AA223+AE223+AH223+AJ223++AO223+AP223+AQ223+AU223+AR223)*'Weighting Factors'!$Q$5)+'2019 Legal Max'!BA223+'2019 Legal Max'!BB223</f>
        <v>8404708</v>
      </c>
      <c r="BG223" s="99">
        <f>SUM((AV223+AR223)*'Weighting Factors'!$Q$5)+BA223+'2019 Legal Max'!BB223</f>
        <v>9922434</v>
      </c>
      <c r="BH223" s="108">
        <f>IF('Weighting Factors'!H223&gt;0,'Weighting Factors'!H223,'Preliminary SO66'!AV222)</f>
        <v>10238840</v>
      </c>
      <c r="BI223" s="99">
        <f t="shared" si="151"/>
        <v>9922434</v>
      </c>
      <c r="BJ223" s="112"/>
      <c r="BK223" s="112">
        <f>'Weighting Factors'!F223</f>
        <v>0</v>
      </c>
      <c r="BL223" s="112">
        <f>'Weighting Factors'!E223</f>
        <v>-355</v>
      </c>
      <c r="BM223" s="99">
        <f t="shared" si="128"/>
        <v>-355</v>
      </c>
      <c r="BN223" s="99">
        <f t="shared" si="129"/>
        <v>9922079</v>
      </c>
      <c r="BO223" s="99">
        <f>SUM((S223+T223+Y223+AA223+AE223+AH223+AJ223++AO223+AP223+AQ223+AR223)*'Weighting Factors'!Q$12)+(MAX(AS223,'Weighting Factors'!B223))</f>
        <v>10523830</v>
      </c>
      <c r="BP223" s="122">
        <v>0.3</v>
      </c>
      <c r="BQ223" s="99">
        <f t="shared" si="130"/>
        <v>3157149</v>
      </c>
      <c r="BR223" s="108">
        <v>3250205</v>
      </c>
      <c r="BS223" s="99">
        <f t="shared" si="131"/>
        <v>3157149</v>
      </c>
      <c r="BT223" s="167">
        <f t="shared" si="132"/>
        <v>0.3</v>
      </c>
      <c r="BU223" s="95">
        <f t="shared" si="133"/>
        <v>0</v>
      </c>
      <c r="BV223" s="87" t="b">
        <f t="shared" si="134"/>
        <v>0</v>
      </c>
      <c r="BW223" s="117">
        <f t="shared" si="135"/>
        <v>0</v>
      </c>
      <c r="BX223" s="116">
        <f t="shared" si="136"/>
        <v>0</v>
      </c>
      <c r="BY223" s="95">
        <f t="shared" si="137"/>
        <v>0</v>
      </c>
      <c r="BZ223" s="87" t="b">
        <f t="shared" si="138"/>
        <v>1</v>
      </c>
      <c r="CA223" s="87">
        <f t="shared" si="139"/>
        <v>1535.9849999999999</v>
      </c>
      <c r="CB223" s="116">
        <f t="shared" si="140"/>
        <v>6.2489999999999997E-2</v>
      </c>
      <c r="CC223" s="95">
        <f t="shared" si="141"/>
        <v>96.3</v>
      </c>
      <c r="CD223" s="95">
        <f t="shared" si="142"/>
        <v>0</v>
      </c>
      <c r="CE223" s="98">
        <v>101.5</v>
      </c>
      <c r="CF223" s="250">
        <f t="shared" si="143"/>
        <v>2.335</v>
      </c>
      <c r="CG223" s="274">
        <f>IF(CF223&lt;0.06,1,IF(CF223&gt;=18.29,52,MATCH(CF223-0.001,'Weighting Factors'!$Y$5:$Y$156)+1))</f>
        <v>39</v>
      </c>
      <c r="CH223" s="243">
        <f>VLOOKUP(CG223, 'Weighting Factors'!$W$5:$Z$56,4)</f>
        <v>810</v>
      </c>
      <c r="CI223" s="118">
        <f>('Weighting Factors'!$Q$5/'Weighting Factors'!$Q$14)</f>
        <v>1</v>
      </c>
      <c r="CJ223" s="245">
        <f t="shared" si="144"/>
        <v>191970</v>
      </c>
      <c r="CK223" s="245">
        <f>CJ223*'Weighting Factors'!$S$7</f>
        <v>191970</v>
      </c>
      <c r="CL223" s="245">
        <f t="shared" si="145"/>
        <v>191970</v>
      </c>
      <c r="CM223" s="95">
        <f>AM223/'Weighting Factors'!$Q$5</f>
        <v>46.1</v>
      </c>
      <c r="CN223" s="148">
        <v>0</v>
      </c>
      <c r="CO223" s="148">
        <v>0</v>
      </c>
      <c r="CP223" s="149">
        <v>0</v>
      </c>
      <c r="CQ223" s="151">
        <v>0</v>
      </c>
      <c r="CR223" s="99">
        <f>SUM((AV223*'Weighting Factors'!$Q$5)+'2019 Legal Max'!BA223)*CQ223</f>
        <v>0</v>
      </c>
      <c r="CS223" s="99">
        <f t="shared" si="146"/>
        <v>0</v>
      </c>
      <c r="CT223" s="106">
        <f t="shared" si="147"/>
        <v>0.33739999999999998</v>
      </c>
      <c r="CU223" s="95">
        <f t="shared" si="148"/>
        <v>0</v>
      </c>
      <c r="CV223" s="95">
        <f t="shared" si="149"/>
        <v>0</v>
      </c>
      <c r="CW223" s="95">
        <f t="shared" si="150"/>
        <v>2370.1999999999998</v>
      </c>
      <c r="CX223" s="99">
        <f>'LOB Transfers'!G222</f>
        <v>339709</v>
      </c>
      <c r="CY223" s="99">
        <f>'LOB Transfers'!J222</f>
        <v>7261</v>
      </c>
      <c r="CZ223" s="87" t="s">
        <v>415</v>
      </c>
    </row>
    <row r="224" spans="1:104" ht="15" customHeight="1">
      <c r="A224" s="88">
        <v>436</v>
      </c>
      <c r="B224" s="87" t="s">
        <v>99</v>
      </c>
      <c r="C224" s="87" t="s">
        <v>736</v>
      </c>
      <c r="D224" s="95">
        <v>735.5</v>
      </c>
      <c r="E224" s="95">
        <v>0</v>
      </c>
      <c r="F224" s="95">
        <f t="shared" si="117"/>
        <v>735.5</v>
      </c>
      <c r="G224" s="95">
        <v>733.4</v>
      </c>
      <c r="H224" s="95">
        <v>0</v>
      </c>
      <c r="I224" s="95">
        <f t="shared" si="118"/>
        <v>733.4</v>
      </c>
      <c r="J224" s="95">
        <v>768.5</v>
      </c>
      <c r="K224" s="95">
        <v>0</v>
      </c>
      <c r="L224" s="95">
        <f t="shared" si="119"/>
        <v>768.5</v>
      </c>
      <c r="M224" s="95">
        <f>IF(ISNA(VLOOKUP($CZ224,'Audit Values'!$A$2:$BW$365,2,FALSE)),'Preliminary SO66'!C223,VLOOKUP($CZ224,'Audit Values'!$A$2:$BW$365,73,FALSE))</f>
        <v>741.5</v>
      </c>
      <c r="N224" s="95">
        <f>IF(ISNA(VLOOKUP($CZ224,'Audit Values'!$A$2:$BW$365,2,FALSE)),'Preliminary SO66'!F223,VLOOKUP($CZ224,'Audit Values'!$A$2:$BW$365,4,FALSE))</f>
        <v>0</v>
      </c>
      <c r="O224" s="95">
        <f t="shared" si="120"/>
        <v>741.5</v>
      </c>
      <c r="P224" s="95">
        <f>IF('Military Provision'!J225="YES", MAX('2019 Legal Max'!L224,'2019 Legal Max'!I224,AVERAGE('2019 Legal Max'!F224,'2019 Legal Max'!I224,'2019 Legal Max'!L224)), MAX(L224, I224))</f>
        <v>768.5</v>
      </c>
      <c r="Q224" s="95">
        <f>IF(ISNA(VLOOKUP($CZ224,'Audit Values'!$A$2:$BU$353,2,FALSE)),'Preliminary SO66'!AL223,VLOOKUP($CZ224,'Audit Values'!$A$2:$BU$3955,58,FALSE))</f>
        <v>8</v>
      </c>
      <c r="R224" s="95">
        <v>0</v>
      </c>
      <c r="S224" s="95">
        <f t="shared" si="152"/>
        <v>776.5</v>
      </c>
      <c r="T224" s="95">
        <f t="shared" si="121"/>
        <v>250.3</v>
      </c>
      <c r="U224" s="95">
        <f>IF(ISNA(VLOOKUP($CZ224,'Audit Values'!$A$2:$BW$317,2,FALSE)),'Preliminary SO66'!AM223,VLOOKUP($CZ224,'Audit Values'!$A$2:$BW$317,62,FALSE))</f>
        <v>4.9000000000000004</v>
      </c>
      <c r="V224" s="95">
        <f>(U224/6)*'Weighting Factors'!$Q$7</f>
        <v>0.3</v>
      </c>
      <c r="W224" s="132">
        <f>IF(ISNA(VLOOKUP($CZ224,'Audit Values'!$A$2:$BW$353,2,FALSE)),'Preliminary SO66'!AN223,VLOOKUP($CZ224,'Audit Values'!$A$2:$BW$353,61,FALSE))</f>
        <v>7</v>
      </c>
      <c r="X224" s="95">
        <f>W224*'Weighting Factors'!$Q$8</f>
        <v>1.3</v>
      </c>
      <c r="Y224" s="95">
        <f t="shared" si="122"/>
        <v>1.3</v>
      </c>
      <c r="Z224" s="276">
        <f>IF(ISNA(VLOOKUP($CZ224,'Audit Values'!$A$2:$BW$317,2,FALSE)),'Preliminary SO66'!AO223,VLOOKUP($CZ224,'Audit Values'!$A$2:$BW$317,60,FALSE))</f>
        <v>211.4</v>
      </c>
      <c r="AA224" s="95">
        <f>Z224/6*'Weighting Factors'!$Q$6</f>
        <v>17.600000000000001</v>
      </c>
      <c r="AB224" s="99">
        <f>IF(ISNA(VLOOKUP($CZ224,'Audit Values'!$A$2:$BU$353,2,FALSE)),'Preliminary SO66'!AS223,VLOOKUP($CZ224,'Audit Values'!$A$2:$BU$353,63,FALSE))</f>
        <v>759</v>
      </c>
      <c r="AC224" s="99">
        <v>0</v>
      </c>
      <c r="AD224" s="99">
        <f>IF(ISNA(VLOOKUP($CZ224,'Audit Values'!$A$2:$BU$353,2,FALSE)),'Preliminary SO66'!AP223,VLOOKUP($CZ224,'Audit Values'!$A$2:$BU$353,64,FALSE))</f>
        <v>294</v>
      </c>
      <c r="AE224" s="95">
        <f>IF(A224=207, AD224,MAX(AC224,AD224))*'Weighting Factors'!$Q$9</f>
        <v>142.30000000000001</v>
      </c>
      <c r="AF224" s="95">
        <f t="shared" si="123"/>
        <v>7.7</v>
      </c>
      <c r="AG224" s="95">
        <f>IF(ISNA(VLOOKUP($CZ224,'Audit Values'!$A$2:$BW$353,2,FALSE)),'Preliminary SO66'!AG223,VLOOKUP($CZ224,'Audit Values'!$A$2:$BW$353,70,FALSE))</f>
        <v>9.1999999999999993</v>
      </c>
      <c r="AH224" s="95">
        <f t="shared" si="124"/>
        <v>9.1999999999999993</v>
      </c>
      <c r="AI224" s="95">
        <f>IF(ISNA(VLOOKUP($CZ224,'Audit Values'!$A$2:$BU$353,2,FALSE)),'Preliminary SO66'!AQ223,VLOOKUP($CZ224,'Audit Values'!$A$2:$BU$353,65,FALSE))</f>
        <v>0</v>
      </c>
      <c r="AJ224" s="95">
        <f>AI224*'Weighting Factors'!$Q$10</f>
        <v>0</v>
      </c>
      <c r="AK224" s="95">
        <f>IF(ISNA(VLOOKUP($CZ224,'Audit Values'!$A$2:$BU$353,2,FALSE)),'Preliminary SO66'!AR223,VLOOKUP($CZ224,'Audit Values'!$A$2:$BU$353,66,FALSE))</f>
        <v>234.5</v>
      </c>
      <c r="AL224" s="95"/>
      <c r="AM224" s="99">
        <f t="shared" si="125"/>
        <v>213395</v>
      </c>
      <c r="AN224" s="99">
        <v>290056</v>
      </c>
      <c r="AO224" s="95">
        <f>MAX(AN224, AM224)/'Weighting Factors'!$Q$5</f>
        <v>69.599999999999994</v>
      </c>
      <c r="AP224" s="95">
        <f>CN224/'Weighting Factors'!$Q$5</f>
        <v>0</v>
      </c>
      <c r="AQ224" s="95">
        <v>0</v>
      </c>
      <c r="AR224" s="95">
        <f>CS224/'Weighting Factors'!$Q$5</f>
        <v>0</v>
      </c>
      <c r="AS224" s="99">
        <v>543730</v>
      </c>
      <c r="AT224" s="95">
        <f>AS224/'Weighting Factors'!$Q$5</f>
        <v>130.5</v>
      </c>
      <c r="AU224" s="95">
        <f>IF(ISNA(VLOOKUP($CZ224,'Audit Values'!$A$2:$BU$353,2,FALSE)),'Preliminary SO66'!X223,VLOOKUP($CZ224,'Audit Values'!$A$2:$BU$353,47,FALSE))</f>
        <v>0</v>
      </c>
      <c r="AV224" s="95">
        <f t="shared" si="126"/>
        <v>1397.3</v>
      </c>
      <c r="AW224" s="95">
        <f t="shared" si="127"/>
        <v>1266.8</v>
      </c>
      <c r="AX224" s="95">
        <f>IF(ISNA(VLOOKUP($CZ224,'Audit Values'!$A$2:$BU$353,2,FALSE)),'Preliminary SO66'!AA223,VLOOKUP($CZ224,'Audit Values'!$A$2:$BU$353,41,FALSE))</f>
        <v>0</v>
      </c>
      <c r="AY224" s="95">
        <f>IF(ISNA(VLOOKUP($CZ224,'Audit Values'!$A$2:$BU$353,2,FALSE)),'Preliminary SO66'!AB223,VLOOKUP($CZ224,'Audit Values'!$A$2:$BU$353,42,FALSE))</f>
        <v>0</v>
      </c>
      <c r="AZ224" s="114">
        <v>0</v>
      </c>
      <c r="BA224" s="99">
        <f>SUM(AX224*'Weighting Factors'!$T$10)+('2019 Legal Max'!AY224*'Weighting Factors'!$T$11)+('2019 Legal Max'!AZ224*'Weighting Factors'!$T$12)</f>
        <v>0</v>
      </c>
      <c r="BB224" s="158">
        <v>0</v>
      </c>
      <c r="BC224" s="88">
        <f>IF(ISNA(VLOOKUP($CZ224,'Audit Values'!$A$2:$BU$353,2,FALSE)),"",IF(AND('Weighting Factors'!H224&gt;0,VLOOKUP($CZ224,'Audit Values'!$A$2:$BU$353,51,FALSE)&lt;'Weighting Factors'!H224),'Weighting Factors'!H224,VLOOKUP($CZ224,'Audit Values'!$A$2:$BU$353,50,FALSE)))</f>
        <v>17</v>
      </c>
      <c r="BD224" s="88" t="str">
        <f>IF(ISNA(VLOOKUP($CZ224,'Audit Values'!$A$2:$BV$353,2,FALSE)),"",VLOOKUP($CZ224,'Audit Values'!$A$2:$BV$353,51,FALSE))</f>
        <v>A</v>
      </c>
      <c r="BE224" s="88" t="str">
        <f>IF('Weighting Factors'!H224="","",IF('Weighting Factors'!J224="Pending","PX","R"))</f>
        <v/>
      </c>
      <c r="BF224" s="97">
        <f>SUM((S224+T224+Y224+AA224+AE224+AH224+AJ224++AO224+AP224+AQ224+AU224+AR224)*'Weighting Factors'!$Q$5)+'2019 Legal Max'!BA224+'2019 Legal Max'!BB224</f>
        <v>5276222</v>
      </c>
      <c r="BG224" s="99">
        <f>SUM((AV224+AR224)*'Weighting Factors'!$Q$5)+BA224+'2019 Legal Max'!BB224</f>
        <v>5819755</v>
      </c>
      <c r="BH224" s="108">
        <f>IF('Weighting Factors'!H224&gt;0,'Weighting Factors'!H224,'Preliminary SO66'!AV223)</f>
        <v>5965842</v>
      </c>
      <c r="BI224" s="99">
        <f t="shared" si="151"/>
        <v>5819755</v>
      </c>
      <c r="BJ224" s="112"/>
      <c r="BK224" s="112">
        <f>'Weighting Factors'!F224</f>
        <v>-88607</v>
      </c>
      <c r="BL224" s="112">
        <f>'Weighting Factors'!E224</f>
        <v>-2836</v>
      </c>
      <c r="BM224" s="99">
        <f t="shared" si="128"/>
        <v>-91443</v>
      </c>
      <c r="BN224" s="99">
        <f t="shared" si="129"/>
        <v>5728312</v>
      </c>
      <c r="BO224" s="99">
        <f>SUM((S224+T224+Y224+AA224+AE224+AH224+AJ224++AO224+AP224+AQ224+AR224)*'Weighting Factors'!Q$12)+(MAX(AS224,'Weighting Factors'!B224))</f>
        <v>6231662</v>
      </c>
      <c r="BP224" s="122">
        <v>0.3</v>
      </c>
      <c r="BQ224" s="99">
        <f t="shared" si="130"/>
        <v>1869499</v>
      </c>
      <c r="BR224" s="108">
        <v>1902602</v>
      </c>
      <c r="BS224" s="99">
        <f t="shared" si="131"/>
        <v>1869499</v>
      </c>
      <c r="BT224" s="167">
        <f t="shared" si="132"/>
        <v>0.3</v>
      </c>
      <c r="BU224" s="95">
        <f t="shared" si="133"/>
        <v>0</v>
      </c>
      <c r="BV224" s="87" t="b">
        <f t="shared" si="134"/>
        <v>0</v>
      </c>
      <c r="BW224" s="117">
        <f t="shared" si="135"/>
        <v>0</v>
      </c>
      <c r="BX224" s="116">
        <f t="shared" si="136"/>
        <v>0</v>
      </c>
      <c r="BY224" s="95">
        <f t="shared" si="137"/>
        <v>0</v>
      </c>
      <c r="BZ224" s="87" t="b">
        <f t="shared" si="138"/>
        <v>1</v>
      </c>
      <c r="CA224" s="87">
        <f t="shared" si="139"/>
        <v>589.66880000000003</v>
      </c>
      <c r="CB224" s="116">
        <f t="shared" si="140"/>
        <v>0.32229600000000003</v>
      </c>
      <c r="CC224" s="95">
        <f t="shared" si="141"/>
        <v>250.3</v>
      </c>
      <c r="CD224" s="95">
        <f t="shared" si="142"/>
        <v>0</v>
      </c>
      <c r="CE224" s="98">
        <v>168</v>
      </c>
      <c r="CF224" s="250">
        <f t="shared" si="143"/>
        <v>1.3959999999999999</v>
      </c>
      <c r="CG224" s="274">
        <f>IF(CF224&lt;0.06,1,IF(CF224&gt;=18.29,52,MATCH(CF224-0.001,'Weighting Factors'!$Y$5:$Y$156)+1))</f>
        <v>34</v>
      </c>
      <c r="CH224" s="243">
        <f>VLOOKUP(CG224, 'Weighting Factors'!$W$5:$Z$56,4)</f>
        <v>910</v>
      </c>
      <c r="CI224" s="118">
        <f>('Weighting Factors'!$Q$5/'Weighting Factors'!$Q$14)</f>
        <v>1</v>
      </c>
      <c r="CJ224" s="245">
        <f t="shared" si="144"/>
        <v>213395</v>
      </c>
      <c r="CK224" s="245">
        <f>CJ224*'Weighting Factors'!$S$7</f>
        <v>213395</v>
      </c>
      <c r="CL224" s="245">
        <f t="shared" si="145"/>
        <v>213395</v>
      </c>
      <c r="CM224" s="95">
        <f>AM224/'Weighting Factors'!$Q$5</f>
        <v>51.2</v>
      </c>
      <c r="CN224" s="148">
        <v>0</v>
      </c>
      <c r="CO224" s="148">
        <v>0</v>
      </c>
      <c r="CP224" s="149">
        <v>0</v>
      </c>
      <c r="CQ224" s="151">
        <v>0</v>
      </c>
      <c r="CR224" s="99">
        <f>SUM((AV224*'Weighting Factors'!$Q$5)+'2019 Legal Max'!BA224)*CQ224</f>
        <v>0</v>
      </c>
      <c r="CS224" s="99">
        <f t="shared" si="146"/>
        <v>0</v>
      </c>
      <c r="CT224" s="106">
        <f t="shared" si="147"/>
        <v>0.38740000000000002</v>
      </c>
      <c r="CU224" s="95">
        <f t="shared" si="148"/>
        <v>0</v>
      </c>
      <c r="CV224" s="95">
        <f t="shared" si="149"/>
        <v>7.7</v>
      </c>
      <c r="CW224" s="95">
        <f t="shared" si="150"/>
        <v>1397.3</v>
      </c>
      <c r="CX224" s="99">
        <f>'LOB Transfers'!G223</f>
        <v>191437</v>
      </c>
      <c r="CY224" s="99">
        <f>'LOB Transfers'!J223</f>
        <v>1683</v>
      </c>
      <c r="CZ224" s="87" t="s">
        <v>416</v>
      </c>
    </row>
    <row r="225" spans="1:104" ht="15" customHeight="1">
      <c r="A225" s="88">
        <v>437</v>
      </c>
      <c r="B225" s="87" t="s">
        <v>61</v>
      </c>
      <c r="C225" s="87" t="s">
        <v>737</v>
      </c>
      <c r="D225" s="95">
        <v>5976.2</v>
      </c>
      <c r="E225" s="95">
        <v>0</v>
      </c>
      <c r="F225" s="95">
        <f t="shared" si="117"/>
        <v>5976.2</v>
      </c>
      <c r="G225" s="95">
        <v>6208.9</v>
      </c>
      <c r="H225" s="95">
        <v>0</v>
      </c>
      <c r="I225" s="95">
        <f t="shared" si="118"/>
        <v>6208.9</v>
      </c>
      <c r="J225" s="95">
        <v>6215.3</v>
      </c>
      <c r="K225" s="95">
        <v>0</v>
      </c>
      <c r="L225" s="95">
        <f t="shared" si="119"/>
        <v>6215.3</v>
      </c>
      <c r="M225" s="95">
        <f>IF(ISNA(VLOOKUP($CZ225,'Audit Values'!$A$2:$BW$365,2,FALSE)),'Preliminary SO66'!C224,VLOOKUP($CZ225,'Audit Values'!$A$2:$BW$365,73,FALSE))</f>
        <v>6159.4</v>
      </c>
      <c r="N225" s="95">
        <f>IF(ISNA(VLOOKUP($CZ225,'Audit Values'!$A$2:$BW$365,2,FALSE)),'Preliminary SO66'!F224,VLOOKUP($CZ225,'Audit Values'!$A$2:$BW$365,4,FALSE))</f>
        <v>0</v>
      </c>
      <c r="O225" s="95">
        <f t="shared" si="120"/>
        <v>6159.4</v>
      </c>
      <c r="P225" s="95">
        <f>IF('Military Provision'!J226="YES", MAX('2019 Legal Max'!L225,'2019 Legal Max'!I225,AVERAGE('2019 Legal Max'!F225,'2019 Legal Max'!I225,'2019 Legal Max'!L225)), MAX(L225, I225))</f>
        <v>6215.3</v>
      </c>
      <c r="Q225" s="95">
        <f>IF(ISNA(VLOOKUP($CZ225,'Audit Values'!$A$2:$BU$353,2,FALSE)),'Preliminary SO66'!AL224,VLOOKUP($CZ225,'Audit Values'!$A$2:$BU$3955,58,FALSE))</f>
        <v>35.5</v>
      </c>
      <c r="R225" s="95">
        <v>0</v>
      </c>
      <c r="S225" s="95">
        <f t="shared" si="152"/>
        <v>6250.8</v>
      </c>
      <c r="T225" s="95">
        <f t="shared" si="121"/>
        <v>219</v>
      </c>
      <c r="U225" s="95">
        <f>IF(ISNA(VLOOKUP($CZ225,'Audit Values'!$A$2:$BW$317,2,FALSE)),'Preliminary SO66'!AM224,VLOOKUP($CZ225,'Audit Values'!$A$2:$BW$317,62,FALSE))</f>
        <v>139.9</v>
      </c>
      <c r="V225" s="95">
        <f>(U225/6)*'Weighting Factors'!$Q$7</f>
        <v>9.1999999999999993</v>
      </c>
      <c r="W225" s="132">
        <f>IF(ISNA(VLOOKUP($CZ225,'Audit Values'!$A$2:$BW$353,2,FALSE)),'Preliminary SO66'!AN224,VLOOKUP($CZ225,'Audit Values'!$A$2:$BW$353,61,FALSE))</f>
        <v>138</v>
      </c>
      <c r="X225" s="95">
        <f>W225*'Weighting Factors'!$Q$8</f>
        <v>25.5</v>
      </c>
      <c r="Y225" s="95">
        <f t="shared" si="122"/>
        <v>25.5</v>
      </c>
      <c r="Z225" s="276">
        <f>IF(ISNA(VLOOKUP($CZ225,'Audit Values'!$A$2:$BW$317,2,FALSE)),'Preliminary SO66'!AO224,VLOOKUP($CZ225,'Audit Values'!$A$2:$BW$317,60,FALSE))</f>
        <v>1003.6</v>
      </c>
      <c r="AA225" s="95">
        <f>Z225/6*'Weighting Factors'!$Q$6</f>
        <v>83.6</v>
      </c>
      <c r="AB225" s="99">
        <f>IF(ISNA(VLOOKUP($CZ225,'Audit Values'!$A$2:$BU$353,2,FALSE)),'Preliminary SO66'!AS224,VLOOKUP($CZ225,'Audit Values'!$A$2:$BU$353,63,FALSE))</f>
        <v>6266</v>
      </c>
      <c r="AC225" s="99">
        <v>0</v>
      </c>
      <c r="AD225" s="99">
        <f>IF(ISNA(VLOOKUP($CZ225,'Audit Values'!$A$2:$BU$353,2,FALSE)),'Preliminary SO66'!AP224,VLOOKUP($CZ225,'Audit Values'!$A$2:$BU$353,64,FALSE))</f>
        <v>1502</v>
      </c>
      <c r="AE225" s="95">
        <f>IF(A225=207, AD225,MAX(AC225,AD225))*'Weighting Factors'!$Q$9</f>
        <v>727</v>
      </c>
      <c r="AF225" s="95">
        <f t="shared" si="123"/>
        <v>0</v>
      </c>
      <c r="AG225" s="95">
        <f>IF(ISNA(VLOOKUP($CZ225,'Audit Values'!$A$2:$BW$353,2,FALSE)),'Preliminary SO66'!AG224,VLOOKUP($CZ225,'Audit Values'!$A$2:$BW$353,70,FALSE))</f>
        <v>44.4</v>
      </c>
      <c r="AH225" s="95">
        <f t="shared" si="124"/>
        <v>44.4</v>
      </c>
      <c r="AI225" s="95">
        <f>IF(ISNA(VLOOKUP($CZ225,'Audit Values'!$A$2:$BU$353,2,FALSE)),'Preliminary SO66'!AQ224,VLOOKUP($CZ225,'Audit Values'!$A$2:$BU$353,65,FALSE))</f>
        <v>0</v>
      </c>
      <c r="AJ225" s="95">
        <f>AI225*'Weighting Factors'!$Q$10</f>
        <v>0</v>
      </c>
      <c r="AK225" s="95">
        <f>IF(ISNA(VLOOKUP($CZ225,'Audit Values'!$A$2:$BU$353,2,FALSE)),'Preliminary SO66'!AR224,VLOOKUP($CZ225,'Audit Values'!$A$2:$BU$353,66,FALSE))</f>
        <v>3280</v>
      </c>
      <c r="AL225" s="95"/>
      <c r="AM225" s="99">
        <f t="shared" si="125"/>
        <v>1804000</v>
      </c>
      <c r="AN225" s="99">
        <v>1778083</v>
      </c>
      <c r="AO225" s="95">
        <f>MAX(AN225, AM225)/'Weighting Factors'!$Q$5</f>
        <v>433.1</v>
      </c>
      <c r="AP225" s="95">
        <f>CN225/'Weighting Factors'!$Q$5</f>
        <v>0</v>
      </c>
      <c r="AQ225" s="95">
        <v>0</v>
      </c>
      <c r="AR225" s="95">
        <f>CS225/'Weighting Factors'!$Q$5</f>
        <v>0</v>
      </c>
      <c r="AS225" s="99">
        <v>6615020</v>
      </c>
      <c r="AT225" s="95">
        <f>AS225/'Weighting Factors'!$Q$5</f>
        <v>1588.2</v>
      </c>
      <c r="AU225" s="95">
        <f>IF(ISNA(VLOOKUP($CZ225,'Audit Values'!$A$2:$BU$353,2,FALSE)),'Preliminary SO66'!X224,VLOOKUP($CZ225,'Audit Values'!$A$2:$BU$353,47,FALSE))</f>
        <v>2</v>
      </c>
      <c r="AV225" s="95">
        <f t="shared" si="126"/>
        <v>9373.6</v>
      </c>
      <c r="AW225" s="95">
        <f t="shared" si="127"/>
        <v>7785.4</v>
      </c>
      <c r="AX225" s="95">
        <f>IF(ISNA(VLOOKUP($CZ225,'Audit Values'!$A$2:$BU$353,2,FALSE)),'Preliminary SO66'!AA224,VLOOKUP($CZ225,'Audit Values'!$A$2:$BU$353,41,FALSE))</f>
        <v>4</v>
      </c>
      <c r="AY225" s="95">
        <f>IF(ISNA(VLOOKUP($CZ225,'Audit Values'!$A$2:$BU$353,2,FALSE)),'Preliminary SO66'!AB224,VLOOKUP($CZ225,'Audit Values'!$A$2:$BU$353,42,FALSE))</f>
        <v>0</v>
      </c>
      <c r="AZ225" s="114">
        <v>9.5</v>
      </c>
      <c r="BA225" s="99">
        <f>SUM(AX225*'Weighting Factors'!$T$10)+('2019 Legal Max'!AY225*'Weighting Factors'!$T$11)+('2019 Legal Max'!AZ225*'Weighting Factors'!$T$12)</f>
        <v>26736</v>
      </c>
      <c r="BB225" s="158">
        <v>0</v>
      </c>
      <c r="BC225" s="88">
        <f>IF(ISNA(VLOOKUP($CZ225,'Audit Values'!$A$2:$BU$353,2,FALSE)),"",IF(AND('Weighting Factors'!H225&gt;0,VLOOKUP($CZ225,'Audit Values'!$A$2:$BU$353,51,FALSE)&lt;'Weighting Factors'!H225),'Weighting Factors'!H225,VLOOKUP($CZ225,'Audit Values'!$A$2:$BU$353,50,FALSE)))</f>
        <v>25</v>
      </c>
      <c r="BD225" s="88" t="str">
        <f>IF(ISNA(VLOOKUP($CZ225,'Audit Values'!$A$2:$BV$353,2,FALSE)),"",VLOOKUP($CZ225,'Audit Values'!$A$2:$BV$353,51,FALSE))</f>
        <v>A</v>
      </c>
      <c r="BE225" s="88" t="str">
        <f>IF('Weighting Factors'!H225="","",IF('Weighting Factors'!J225="Pending","PX","R"))</f>
        <v>R</v>
      </c>
      <c r="BF225" s="97">
        <f>SUM((S225+T225+Y225+AA225+AE225+AH225+AJ225++AO225+AP225+AQ225+AU225+AR225)*'Weighting Factors'!$Q$5)+'2019 Legal Max'!BA225+'2019 Legal Max'!BB225</f>
        <v>32452927</v>
      </c>
      <c r="BG225" s="99">
        <f>SUM((AV225+AR225)*'Weighting Factors'!$Q$5)+BA225+'2019 Legal Max'!BB225</f>
        <v>39067780</v>
      </c>
      <c r="BH225" s="108">
        <f>IF('Weighting Factors'!H225&gt;0,'Weighting Factors'!H225,'Preliminary SO66'!AV224)</f>
        <v>39394035</v>
      </c>
      <c r="BI225" s="99">
        <f t="shared" si="151"/>
        <v>39067780</v>
      </c>
      <c r="BJ225" s="112"/>
      <c r="BK225" s="112">
        <f>'Weighting Factors'!F225</f>
        <v>-22260</v>
      </c>
      <c r="BL225" s="112">
        <f>'Weighting Factors'!E225</f>
        <v>0</v>
      </c>
      <c r="BM225" s="99">
        <f t="shared" si="128"/>
        <v>-22260</v>
      </c>
      <c r="BN225" s="99">
        <f t="shared" si="129"/>
        <v>39045520</v>
      </c>
      <c r="BO225" s="99">
        <f>SUM((S225+T225+Y225+AA225+AE225+AH225+AJ225++AO225+AP225+AQ225+AR225)*'Weighting Factors'!Q$12)+(MAX(AS225,'Weighting Factors'!B225))</f>
        <v>41562486</v>
      </c>
      <c r="BP225" s="122">
        <v>0.3</v>
      </c>
      <c r="BQ225" s="99">
        <f t="shared" si="130"/>
        <v>12468746</v>
      </c>
      <c r="BR225" s="108">
        <v>12364954</v>
      </c>
      <c r="BS225" s="99">
        <f t="shared" si="131"/>
        <v>12364954</v>
      </c>
      <c r="BT225" s="167">
        <f t="shared" si="132"/>
        <v>0.29749999999999999</v>
      </c>
      <c r="BU225" s="95">
        <f t="shared" si="133"/>
        <v>0</v>
      </c>
      <c r="BV225" s="87" t="b">
        <f t="shared" si="134"/>
        <v>0</v>
      </c>
      <c r="BW225" s="117">
        <f t="shared" si="135"/>
        <v>0</v>
      </c>
      <c r="BX225" s="116">
        <f t="shared" si="136"/>
        <v>0</v>
      </c>
      <c r="BY225" s="95">
        <f t="shared" si="137"/>
        <v>0</v>
      </c>
      <c r="BZ225" s="87" t="b">
        <f t="shared" si="138"/>
        <v>0</v>
      </c>
      <c r="CA225" s="87">
        <f t="shared" si="139"/>
        <v>0</v>
      </c>
      <c r="CB225" s="116">
        <f t="shared" si="140"/>
        <v>0</v>
      </c>
      <c r="CC225" s="95">
        <f t="shared" si="141"/>
        <v>0</v>
      </c>
      <c r="CD225" s="95">
        <f t="shared" si="142"/>
        <v>219</v>
      </c>
      <c r="CE225" s="98">
        <v>128</v>
      </c>
      <c r="CF225" s="250">
        <f t="shared" si="143"/>
        <v>25.625</v>
      </c>
      <c r="CG225" s="274">
        <f>IF(CF225&lt;0.06,1,IF(CF225&gt;=18.29,52,MATCH(CF225-0.001,'Weighting Factors'!$Y$5:$Y$156)+1))</f>
        <v>52</v>
      </c>
      <c r="CH225" s="243">
        <f>VLOOKUP(CG225, 'Weighting Factors'!$W$5:$Z$56,4)</f>
        <v>550</v>
      </c>
      <c r="CI225" s="118">
        <f>('Weighting Factors'!$Q$5/'Weighting Factors'!$Q$14)</f>
        <v>1</v>
      </c>
      <c r="CJ225" s="245">
        <f t="shared" si="144"/>
        <v>1804000</v>
      </c>
      <c r="CK225" s="245">
        <f>CJ225*'Weighting Factors'!$S$7</f>
        <v>1804000</v>
      </c>
      <c r="CL225" s="245">
        <f t="shared" si="145"/>
        <v>1804000</v>
      </c>
      <c r="CM225" s="95">
        <f>AM225/'Weighting Factors'!$Q$5</f>
        <v>433.1</v>
      </c>
      <c r="CN225" s="148">
        <v>0</v>
      </c>
      <c r="CO225" s="148">
        <v>0</v>
      </c>
      <c r="CP225" s="149">
        <v>0</v>
      </c>
      <c r="CQ225" s="151">
        <v>1.7299999999999999E-2</v>
      </c>
      <c r="CR225" s="99">
        <f>SUM((AV225*'Weighting Factors'!$Q$5)+'2019 Legal Max'!BA225)*CQ225</f>
        <v>675873</v>
      </c>
      <c r="CS225" s="99">
        <f t="shared" si="146"/>
        <v>0</v>
      </c>
      <c r="CT225" s="106">
        <f t="shared" si="147"/>
        <v>0.2397</v>
      </c>
      <c r="CU225" s="95">
        <f t="shared" si="148"/>
        <v>0</v>
      </c>
      <c r="CV225" s="95">
        <f t="shared" si="149"/>
        <v>0</v>
      </c>
      <c r="CW225" s="95">
        <f t="shared" si="150"/>
        <v>9373.6</v>
      </c>
      <c r="CX225" s="99">
        <f>'LOB Transfers'!G224</f>
        <v>963230</v>
      </c>
      <c r="CY225" s="99">
        <f>'LOB Transfers'!J224</f>
        <v>33385</v>
      </c>
      <c r="CZ225" s="87" t="s">
        <v>417</v>
      </c>
    </row>
    <row r="226" spans="1:104" ht="15" customHeight="1">
      <c r="A226" s="88">
        <v>438</v>
      </c>
      <c r="B226" s="87" t="s">
        <v>81</v>
      </c>
      <c r="C226" s="87" t="s">
        <v>738</v>
      </c>
      <c r="D226" s="95">
        <v>394.5</v>
      </c>
      <c r="E226" s="95">
        <v>0</v>
      </c>
      <c r="F226" s="95">
        <f t="shared" si="117"/>
        <v>394.5</v>
      </c>
      <c r="G226" s="95">
        <v>410</v>
      </c>
      <c r="H226" s="95">
        <v>0</v>
      </c>
      <c r="I226" s="95">
        <f t="shared" si="118"/>
        <v>410</v>
      </c>
      <c r="J226" s="95">
        <v>393</v>
      </c>
      <c r="K226" s="95">
        <v>0</v>
      </c>
      <c r="L226" s="95">
        <f t="shared" si="119"/>
        <v>393</v>
      </c>
      <c r="M226" s="95">
        <f>IF(ISNA(VLOOKUP($CZ226,'Audit Values'!$A$2:$BW$365,2,FALSE)),'Preliminary SO66'!C225,VLOOKUP($CZ226,'Audit Values'!$A$2:$BW$365,73,FALSE))</f>
        <v>385.5</v>
      </c>
      <c r="N226" s="95">
        <f>IF(ISNA(VLOOKUP($CZ226,'Audit Values'!$A$2:$BW$365,2,FALSE)),'Preliminary SO66'!F225,VLOOKUP($CZ226,'Audit Values'!$A$2:$BW$365,4,FALSE))</f>
        <v>0</v>
      </c>
      <c r="O226" s="95">
        <f t="shared" si="120"/>
        <v>385.5</v>
      </c>
      <c r="P226" s="95">
        <f>IF('Military Provision'!J227="YES", MAX('2019 Legal Max'!L226,'2019 Legal Max'!I226,AVERAGE('2019 Legal Max'!F226,'2019 Legal Max'!I226,'2019 Legal Max'!L226)), MAX(L226, I226))</f>
        <v>410</v>
      </c>
      <c r="Q226" s="95">
        <f>IF(ISNA(VLOOKUP($CZ226,'Audit Values'!$A$2:$BU$353,2,FALSE)),'Preliminary SO66'!AL225,VLOOKUP($CZ226,'Audit Values'!$A$2:$BU$3955,58,FALSE))</f>
        <v>2.5</v>
      </c>
      <c r="R226" s="95">
        <v>0</v>
      </c>
      <c r="S226" s="95">
        <f t="shared" si="152"/>
        <v>412.5</v>
      </c>
      <c r="T226" s="95">
        <f t="shared" si="121"/>
        <v>184</v>
      </c>
      <c r="U226" s="95">
        <f>IF(ISNA(VLOOKUP($CZ226,'Audit Values'!$A$2:$BW$317,2,FALSE)),'Preliminary SO66'!AM225,VLOOKUP($CZ226,'Audit Values'!$A$2:$BW$317,62,FALSE))</f>
        <v>8.3000000000000007</v>
      </c>
      <c r="V226" s="95">
        <f>(U226/6)*'Weighting Factors'!$Q$7</f>
        <v>0.5</v>
      </c>
      <c r="W226" s="132">
        <f>IF(ISNA(VLOOKUP($CZ226,'Audit Values'!$A$2:$BW$353,2,FALSE)),'Preliminary SO66'!AN225,VLOOKUP($CZ226,'Audit Values'!$A$2:$BW$353,61,FALSE))</f>
        <v>12</v>
      </c>
      <c r="X226" s="95">
        <f>W226*'Weighting Factors'!$Q$8</f>
        <v>2.2000000000000002</v>
      </c>
      <c r="Y226" s="95">
        <f t="shared" si="122"/>
        <v>2.2000000000000002</v>
      </c>
      <c r="Z226" s="276">
        <f>IF(ISNA(VLOOKUP($CZ226,'Audit Values'!$A$2:$BW$317,2,FALSE)),'Preliminary SO66'!AO225,VLOOKUP($CZ226,'Audit Values'!$A$2:$BW$317,60,FALSE))</f>
        <v>118.8</v>
      </c>
      <c r="AA226" s="95">
        <f>Z226/6*'Weighting Factors'!$Q$6</f>
        <v>9.9</v>
      </c>
      <c r="AB226" s="99">
        <f>IF(ISNA(VLOOKUP($CZ226,'Audit Values'!$A$2:$BU$353,2,FALSE)),'Preliminary SO66'!AS225,VLOOKUP($CZ226,'Audit Values'!$A$2:$BU$353,63,FALSE))</f>
        <v>392</v>
      </c>
      <c r="AC226" s="99">
        <v>0</v>
      </c>
      <c r="AD226" s="99">
        <f>IF(ISNA(VLOOKUP($CZ226,'Audit Values'!$A$2:$BU$353,2,FALSE)),'Preliminary SO66'!AP225,VLOOKUP($CZ226,'Audit Values'!$A$2:$BU$353,64,FALSE))</f>
        <v>71</v>
      </c>
      <c r="AE226" s="95">
        <f>IF(A226=207, AD226,MAX(AC226,AD226))*'Weighting Factors'!$Q$9</f>
        <v>34.4</v>
      </c>
      <c r="AF226" s="95">
        <f t="shared" si="123"/>
        <v>0</v>
      </c>
      <c r="AG226" s="95">
        <f>IF(ISNA(VLOOKUP($CZ226,'Audit Values'!$A$2:$BW$353,2,FALSE)),'Preliminary SO66'!AG225,VLOOKUP($CZ226,'Audit Values'!$A$2:$BW$353,70,FALSE))</f>
        <v>0</v>
      </c>
      <c r="AH226" s="95">
        <f t="shared" si="124"/>
        <v>0</v>
      </c>
      <c r="AI226" s="95">
        <f>IF(ISNA(VLOOKUP($CZ226,'Audit Values'!$A$2:$BU$353,2,FALSE)),'Preliminary SO66'!AQ225,VLOOKUP($CZ226,'Audit Values'!$A$2:$BU$353,65,FALSE))</f>
        <v>0</v>
      </c>
      <c r="AJ226" s="95">
        <f>AI226*'Weighting Factors'!$Q$10</f>
        <v>0</v>
      </c>
      <c r="AK226" s="95">
        <f>IF(ISNA(VLOOKUP($CZ226,'Audit Values'!$A$2:$BU$353,2,FALSE)),'Preliminary SO66'!AR225,VLOOKUP($CZ226,'Audit Values'!$A$2:$BU$353,66,FALSE))</f>
        <v>121</v>
      </c>
      <c r="AL226" s="95"/>
      <c r="AM226" s="99">
        <f t="shared" si="125"/>
        <v>148830</v>
      </c>
      <c r="AN226" s="99">
        <v>199919</v>
      </c>
      <c r="AO226" s="95">
        <f>MAX(AN226, AM226)/'Weighting Factors'!$Q$5</f>
        <v>48</v>
      </c>
      <c r="AP226" s="95">
        <f>CN226/'Weighting Factors'!$Q$5</f>
        <v>0</v>
      </c>
      <c r="AQ226" s="95">
        <v>0</v>
      </c>
      <c r="AR226" s="95">
        <f>CS226/'Weighting Factors'!$Q$5</f>
        <v>0</v>
      </c>
      <c r="AS226" s="99">
        <v>434109</v>
      </c>
      <c r="AT226" s="95">
        <f>AS226/'Weighting Factors'!$Q$5</f>
        <v>104.2</v>
      </c>
      <c r="AU226" s="95">
        <f>IF(ISNA(VLOOKUP($CZ226,'Audit Values'!$A$2:$BU$353,2,FALSE)),'Preliminary SO66'!X225,VLOOKUP($CZ226,'Audit Values'!$A$2:$BU$353,47,FALSE))</f>
        <v>0</v>
      </c>
      <c r="AV226" s="95">
        <f t="shared" si="126"/>
        <v>795.2</v>
      </c>
      <c r="AW226" s="95">
        <f t="shared" si="127"/>
        <v>691</v>
      </c>
      <c r="AX226" s="95">
        <f>IF(ISNA(VLOOKUP($CZ226,'Audit Values'!$A$2:$BU$353,2,FALSE)),'Preliminary SO66'!AA225,VLOOKUP($CZ226,'Audit Values'!$A$2:$BU$353,41,FALSE))</f>
        <v>0</v>
      </c>
      <c r="AY226" s="95">
        <f>IF(ISNA(VLOOKUP($CZ226,'Audit Values'!$A$2:$BU$353,2,FALSE)),'Preliminary SO66'!AB225,VLOOKUP($CZ226,'Audit Values'!$A$2:$BU$353,42,FALSE))</f>
        <v>0</v>
      </c>
      <c r="AZ226" s="114">
        <v>0</v>
      </c>
      <c r="BA226" s="99">
        <f>SUM(AX226*'Weighting Factors'!$T$10)+('2019 Legal Max'!AY226*'Weighting Factors'!$T$11)+('2019 Legal Max'!AZ226*'Weighting Factors'!$T$12)</f>
        <v>0</v>
      </c>
      <c r="BB226" s="158">
        <v>0</v>
      </c>
      <c r="BC226" s="88">
        <f>IF(ISNA(VLOOKUP($CZ226,'Audit Values'!$A$2:$BU$353,2,FALSE)),"",IF(AND('Weighting Factors'!H226&gt;0,VLOOKUP($CZ226,'Audit Values'!$A$2:$BU$353,51,FALSE)&lt;'Weighting Factors'!H226),'Weighting Factors'!H226,VLOOKUP($CZ226,'Audit Values'!$A$2:$BU$353,50,FALSE)))</f>
        <v>20</v>
      </c>
      <c r="BD226" s="88" t="str">
        <f>IF(ISNA(VLOOKUP($CZ226,'Audit Values'!$A$2:$BV$353,2,FALSE)),"",VLOOKUP($CZ226,'Audit Values'!$A$2:$BV$353,51,FALSE))</f>
        <v>A</v>
      </c>
      <c r="BE226" s="88" t="str">
        <f>IF('Weighting Factors'!H226="","",IF('Weighting Factors'!J226="Pending","PX","R"))</f>
        <v/>
      </c>
      <c r="BF226" s="97">
        <f>SUM((S226+T226+Y226+AA226+AE226+AH226+AJ226++AO226+AP226+AQ226+AU226+AR226)*'Weighting Factors'!$Q$5)+'2019 Legal Max'!BA226+'2019 Legal Max'!BB226</f>
        <v>2878015</v>
      </c>
      <c r="BG226" s="99">
        <f>SUM((AV226+AR226)*'Weighting Factors'!$Q$5)+BA226+'2019 Legal Max'!BB226</f>
        <v>3312008</v>
      </c>
      <c r="BH226" s="108">
        <f>IF('Weighting Factors'!H226&gt;0,'Weighting Factors'!H226,'Preliminary SO66'!AV225)</f>
        <v>3468196</v>
      </c>
      <c r="BI226" s="99">
        <f t="shared" si="151"/>
        <v>3312008</v>
      </c>
      <c r="BJ226" s="112"/>
      <c r="BK226" s="112">
        <f>'Weighting Factors'!F226</f>
        <v>0</v>
      </c>
      <c r="BL226" s="112">
        <f>'Weighting Factors'!E226</f>
        <v>0</v>
      </c>
      <c r="BM226" s="99">
        <f t="shared" si="128"/>
        <v>0</v>
      </c>
      <c r="BN226" s="99">
        <f t="shared" si="129"/>
        <v>3312008</v>
      </c>
      <c r="BO226" s="99">
        <f>SUM((S226+T226+Y226+AA226+AE226+AH226+AJ226++AO226+AP226+AQ226+AR226)*'Weighting Factors'!Q$12)+(MAX(AS226,'Weighting Factors'!B226))</f>
        <v>3536699</v>
      </c>
      <c r="BP226" s="122">
        <v>0.31</v>
      </c>
      <c r="BQ226" s="99">
        <f t="shared" si="130"/>
        <v>1096377</v>
      </c>
      <c r="BR226" s="108">
        <v>1146190</v>
      </c>
      <c r="BS226" s="99">
        <f t="shared" si="131"/>
        <v>1096377</v>
      </c>
      <c r="BT226" s="167">
        <f t="shared" si="132"/>
        <v>0.31</v>
      </c>
      <c r="BU226" s="95">
        <f t="shared" si="133"/>
        <v>0</v>
      </c>
      <c r="BV226" s="87" t="b">
        <f t="shared" si="134"/>
        <v>0</v>
      </c>
      <c r="BW226" s="117">
        <f t="shared" si="135"/>
        <v>0</v>
      </c>
      <c r="BX226" s="116">
        <f t="shared" si="136"/>
        <v>0</v>
      </c>
      <c r="BY226" s="95">
        <f t="shared" si="137"/>
        <v>0</v>
      </c>
      <c r="BZ226" s="87" t="b">
        <f t="shared" si="138"/>
        <v>1</v>
      </c>
      <c r="CA226" s="87">
        <f t="shared" si="139"/>
        <v>139.21879999999999</v>
      </c>
      <c r="CB226" s="116">
        <f t="shared" si="140"/>
        <v>0.445965</v>
      </c>
      <c r="CC226" s="95">
        <f t="shared" si="141"/>
        <v>184</v>
      </c>
      <c r="CD226" s="95">
        <f t="shared" si="142"/>
        <v>0</v>
      </c>
      <c r="CE226" s="98">
        <v>490</v>
      </c>
      <c r="CF226" s="250">
        <f t="shared" si="143"/>
        <v>0.247</v>
      </c>
      <c r="CG226" s="274">
        <f>IF(CF226&lt;0.06,1,IF(CF226&gt;=18.29,52,MATCH(CF226-0.001,'Weighting Factors'!$Y$5:$Y$156)+1))</f>
        <v>18</v>
      </c>
      <c r="CH226" s="243">
        <f>VLOOKUP(CG226, 'Weighting Factors'!$W$5:$Z$56,4)</f>
        <v>1230</v>
      </c>
      <c r="CI226" s="118">
        <f>('Weighting Factors'!$Q$5/'Weighting Factors'!$Q$14)</f>
        <v>1</v>
      </c>
      <c r="CJ226" s="245">
        <f t="shared" si="144"/>
        <v>148830</v>
      </c>
      <c r="CK226" s="245">
        <f>CJ226*'Weighting Factors'!$S$7</f>
        <v>148830</v>
      </c>
      <c r="CL226" s="245">
        <f t="shared" si="145"/>
        <v>148830</v>
      </c>
      <c r="CM226" s="95">
        <f>AM226/'Weighting Factors'!$Q$5</f>
        <v>35.700000000000003</v>
      </c>
      <c r="CN226" s="148">
        <v>0</v>
      </c>
      <c r="CO226" s="148">
        <v>0</v>
      </c>
      <c r="CP226" s="149">
        <v>0</v>
      </c>
      <c r="CQ226" s="151">
        <v>0</v>
      </c>
      <c r="CR226" s="99">
        <f>SUM((AV226*'Weighting Factors'!$Q$5)+'2019 Legal Max'!BA226)*CQ226</f>
        <v>0</v>
      </c>
      <c r="CS226" s="99">
        <f t="shared" si="146"/>
        <v>0</v>
      </c>
      <c r="CT226" s="106">
        <f t="shared" si="147"/>
        <v>0.18110000000000001</v>
      </c>
      <c r="CU226" s="95">
        <f t="shared" si="148"/>
        <v>0</v>
      </c>
      <c r="CV226" s="95">
        <f t="shared" si="149"/>
        <v>0</v>
      </c>
      <c r="CW226" s="95">
        <f t="shared" si="150"/>
        <v>795.2</v>
      </c>
      <c r="CX226" s="99">
        <f>'LOB Transfers'!G225</f>
        <v>47583</v>
      </c>
      <c r="CY226" s="99">
        <f>'LOB Transfers'!J225</f>
        <v>3070</v>
      </c>
      <c r="CZ226" s="87" t="s">
        <v>418</v>
      </c>
    </row>
    <row r="227" spans="1:104" ht="15" customHeight="1">
      <c r="A227" s="88">
        <v>439</v>
      </c>
      <c r="B227" s="87" t="s">
        <v>74</v>
      </c>
      <c r="C227" s="87" t="s">
        <v>739</v>
      </c>
      <c r="D227" s="95">
        <v>459</v>
      </c>
      <c r="E227" s="95">
        <v>0</v>
      </c>
      <c r="F227" s="95">
        <f t="shared" si="117"/>
        <v>459</v>
      </c>
      <c r="G227" s="95">
        <v>477</v>
      </c>
      <c r="H227" s="95">
        <v>0</v>
      </c>
      <c r="I227" s="95">
        <f t="shared" si="118"/>
        <v>477</v>
      </c>
      <c r="J227" s="95">
        <v>475.5</v>
      </c>
      <c r="K227" s="95">
        <v>0</v>
      </c>
      <c r="L227" s="95">
        <f t="shared" si="119"/>
        <v>475.5</v>
      </c>
      <c r="M227" s="95">
        <f>IF(ISNA(VLOOKUP($CZ227,'Audit Values'!$A$2:$BW$365,2,FALSE)),'Preliminary SO66'!C226,VLOOKUP($CZ227,'Audit Values'!$A$2:$BW$365,73,FALSE))</f>
        <v>457.5</v>
      </c>
      <c r="N227" s="95">
        <f>IF(ISNA(VLOOKUP($CZ227,'Audit Values'!$A$2:$BW$365,2,FALSE)),'Preliminary SO66'!F226,VLOOKUP($CZ227,'Audit Values'!$A$2:$BW$365,4,FALSE))</f>
        <v>0</v>
      </c>
      <c r="O227" s="95">
        <f t="shared" si="120"/>
        <v>457.5</v>
      </c>
      <c r="P227" s="95">
        <f>IF('Military Provision'!J228="YES", MAX('2019 Legal Max'!L227,'2019 Legal Max'!I227,AVERAGE('2019 Legal Max'!F227,'2019 Legal Max'!I227,'2019 Legal Max'!L227)), MAX(L227, I227))</f>
        <v>477</v>
      </c>
      <c r="Q227" s="95">
        <f>IF(ISNA(VLOOKUP($CZ227,'Audit Values'!$A$2:$BU$353,2,FALSE)),'Preliminary SO66'!AL226,VLOOKUP($CZ227,'Audit Values'!$A$2:$BU$3955,58,FALSE))</f>
        <v>0</v>
      </c>
      <c r="R227" s="95">
        <v>0</v>
      </c>
      <c r="S227" s="95">
        <f t="shared" si="152"/>
        <v>477</v>
      </c>
      <c r="T227" s="95">
        <f t="shared" si="121"/>
        <v>202.3</v>
      </c>
      <c r="U227" s="95">
        <f>IF(ISNA(VLOOKUP($CZ227,'Audit Values'!$A$2:$BW$317,2,FALSE)),'Preliminary SO66'!AM226,VLOOKUP($CZ227,'Audit Values'!$A$2:$BW$317,62,FALSE))</f>
        <v>0</v>
      </c>
      <c r="V227" s="95">
        <f>(U227/6)*'Weighting Factors'!$Q$7</f>
        <v>0</v>
      </c>
      <c r="W227" s="132">
        <f>IF(ISNA(VLOOKUP($CZ227,'Audit Values'!$A$2:$BW$353,2,FALSE)),'Preliminary SO66'!AN226,VLOOKUP($CZ227,'Audit Values'!$A$2:$BW$353,61,FALSE))</f>
        <v>1</v>
      </c>
      <c r="X227" s="95">
        <f>W227*'Weighting Factors'!$Q$8</f>
        <v>0.2</v>
      </c>
      <c r="Y227" s="95">
        <f t="shared" si="122"/>
        <v>0.2</v>
      </c>
      <c r="Z227" s="276">
        <f>IF(ISNA(VLOOKUP($CZ227,'Audit Values'!$A$2:$BW$317,2,FALSE)),'Preliminary SO66'!AO226,VLOOKUP($CZ227,'Audit Values'!$A$2:$BW$317,60,FALSE))</f>
        <v>188.2</v>
      </c>
      <c r="AA227" s="95">
        <f>Z227/6*'Weighting Factors'!$Q$6</f>
        <v>15.7</v>
      </c>
      <c r="AB227" s="99">
        <f>IF(ISNA(VLOOKUP($CZ227,'Audit Values'!$A$2:$BU$353,2,FALSE)),'Preliminary SO66'!AS226,VLOOKUP($CZ227,'Audit Values'!$A$2:$BU$353,63,FALSE))</f>
        <v>458</v>
      </c>
      <c r="AC227" s="99">
        <v>0</v>
      </c>
      <c r="AD227" s="99">
        <f>IF(ISNA(VLOOKUP($CZ227,'Audit Values'!$A$2:$BU$353,2,FALSE)),'Preliminary SO66'!AP226,VLOOKUP($CZ227,'Audit Values'!$A$2:$BU$353,64,FALSE))</f>
        <v>111</v>
      </c>
      <c r="AE227" s="95">
        <f>IF(A227=207, AD227,MAX(AC227,AD227))*'Weighting Factors'!$Q$9</f>
        <v>53.7</v>
      </c>
      <c r="AF227" s="95">
        <f t="shared" si="123"/>
        <v>0</v>
      </c>
      <c r="AG227" s="95">
        <f>IF(ISNA(VLOOKUP($CZ227,'Audit Values'!$A$2:$BW$353,2,FALSE)),'Preliminary SO66'!AG226,VLOOKUP($CZ227,'Audit Values'!$A$2:$BW$353,70,FALSE))</f>
        <v>0</v>
      </c>
      <c r="AH227" s="95">
        <f t="shared" si="124"/>
        <v>0</v>
      </c>
      <c r="AI227" s="95">
        <f>IF(ISNA(VLOOKUP($CZ227,'Audit Values'!$A$2:$BU$353,2,FALSE)),'Preliminary SO66'!AQ226,VLOOKUP($CZ227,'Audit Values'!$A$2:$BU$353,65,FALSE))</f>
        <v>0</v>
      </c>
      <c r="AJ227" s="95">
        <f>AI227*'Weighting Factors'!$Q$10</f>
        <v>0</v>
      </c>
      <c r="AK227" s="95">
        <f>IF(ISNA(VLOOKUP($CZ227,'Audit Values'!$A$2:$BU$353,2,FALSE)),'Preliminary SO66'!AR226,VLOOKUP($CZ227,'Audit Values'!$A$2:$BU$353,66,FALSE))</f>
        <v>51</v>
      </c>
      <c r="AL227" s="95"/>
      <c r="AM227" s="99">
        <f t="shared" si="125"/>
        <v>47430</v>
      </c>
      <c r="AN227" s="99">
        <v>60476</v>
      </c>
      <c r="AO227" s="95">
        <f>MAX(AN227, AM227)/'Weighting Factors'!$Q$5</f>
        <v>14.5</v>
      </c>
      <c r="AP227" s="95">
        <f>CN227/'Weighting Factors'!$Q$5</f>
        <v>0</v>
      </c>
      <c r="AQ227" s="95">
        <v>0</v>
      </c>
      <c r="AR227" s="95">
        <f>CS227/'Weighting Factors'!$Q$5</f>
        <v>0</v>
      </c>
      <c r="AS227" s="99">
        <v>469027</v>
      </c>
      <c r="AT227" s="95">
        <f>AS227/'Weighting Factors'!$Q$5</f>
        <v>112.6</v>
      </c>
      <c r="AU227" s="95">
        <f>IF(ISNA(VLOOKUP($CZ227,'Audit Values'!$A$2:$BU$353,2,FALSE)),'Preliminary SO66'!X226,VLOOKUP($CZ227,'Audit Values'!$A$2:$BU$353,47,FALSE))</f>
        <v>0</v>
      </c>
      <c r="AV227" s="95">
        <f t="shared" si="126"/>
        <v>876</v>
      </c>
      <c r="AW227" s="95">
        <f t="shared" si="127"/>
        <v>763.4</v>
      </c>
      <c r="AX227" s="95">
        <f>IF(ISNA(VLOOKUP($CZ227,'Audit Values'!$A$2:$BU$353,2,FALSE)),'Preliminary SO66'!AA226,VLOOKUP($CZ227,'Audit Values'!$A$2:$BU$353,41,FALSE))</f>
        <v>0</v>
      </c>
      <c r="AY227" s="95">
        <f>IF(ISNA(VLOOKUP($CZ227,'Audit Values'!$A$2:$BU$353,2,FALSE)),'Preliminary SO66'!AB226,VLOOKUP($CZ227,'Audit Values'!$A$2:$BU$353,42,FALSE))</f>
        <v>0</v>
      </c>
      <c r="AZ227" s="114">
        <v>0</v>
      </c>
      <c r="BA227" s="99">
        <f>SUM(AX227*'Weighting Factors'!$T$10)+('2019 Legal Max'!AY227*'Weighting Factors'!$T$11)+('2019 Legal Max'!AZ227*'Weighting Factors'!$T$12)</f>
        <v>0</v>
      </c>
      <c r="BB227" s="158">
        <v>0</v>
      </c>
      <c r="BC227" s="88">
        <f>IF(ISNA(VLOOKUP($CZ227,'Audit Values'!$A$2:$BU$353,2,FALSE)),"",IF(AND('Weighting Factors'!H227&gt;0,VLOOKUP($CZ227,'Audit Values'!$A$2:$BU$353,51,FALSE)&lt;'Weighting Factors'!H227),'Weighting Factors'!H227,VLOOKUP($CZ227,'Audit Values'!$A$2:$BU$353,50,FALSE)))</f>
        <v>16</v>
      </c>
      <c r="BD227" s="88" t="str">
        <f>IF(ISNA(VLOOKUP($CZ227,'Audit Values'!$A$2:$BV$353,2,FALSE)),"",VLOOKUP($CZ227,'Audit Values'!$A$2:$BV$353,51,FALSE))</f>
        <v>A</v>
      </c>
      <c r="BE227" s="88" t="str">
        <f>IF('Weighting Factors'!H227="","",IF('Weighting Factors'!J227="Pending","PX","R"))</f>
        <v/>
      </c>
      <c r="BF227" s="97">
        <f>SUM((S227+T227+Y227+AA227+AE227+AH227+AJ227++AO227+AP227+AQ227+AU227+AR227)*'Weighting Factors'!$Q$5)+'2019 Legal Max'!BA227+'2019 Legal Max'!BB227</f>
        <v>3179561</v>
      </c>
      <c r="BG227" s="99">
        <f>SUM((AV227+AR227)*'Weighting Factors'!$Q$5)+BA227+'2019 Legal Max'!BB227</f>
        <v>3648540</v>
      </c>
      <c r="BH227" s="108">
        <f>IF('Weighting Factors'!H227&gt;0,'Weighting Factors'!H227,'Preliminary SO66'!AV226)</f>
        <v>3848877</v>
      </c>
      <c r="BI227" s="99">
        <f t="shared" si="151"/>
        <v>3648540</v>
      </c>
      <c r="BJ227" s="112"/>
      <c r="BK227" s="112">
        <f>'Weighting Factors'!F227</f>
        <v>0</v>
      </c>
      <c r="BL227" s="112">
        <f>'Weighting Factors'!E227</f>
        <v>0</v>
      </c>
      <c r="BM227" s="99">
        <f t="shared" si="128"/>
        <v>0</v>
      </c>
      <c r="BN227" s="99">
        <f t="shared" si="129"/>
        <v>3648540</v>
      </c>
      <c r="BO227" s="99">
        <f>SUM((S227+T227+Y227+AA227+AE227+AH227+AJ227++AO227+AP227+AQ227+AR227)*'Weighting Factors'!Q$12)+(MAX(AS227,'Weighting Factors'!B227))</f>
        <v>3896693</v>
      </c>
      <c r="BP227" s="122">
        <v>0.3</v>
      </c>
      <c r="BQ227" s="99">
        <f t="shared" si="130"/>
        <v>1169008</v>
      </c>
      <c r="BR227" s="108">
        <v>1231513</v>
      </c>
      <c r="BS227" s="99">
        <f t="shared" si="131"/>
        <v>1169008</v>
      </c>
      <c r="BT227" s="167">
        <f t="shared" si="132"/>
        <v>0.3</v>
      </c>
      <c r="BU227" s="95">
        <f t="shared" si="133"/>
        <v>0</v>
      </c>
      <c r="BV227" s="87" t="b">
        <f t="shared" si="134"/>
        <v>0</v>
      </c>
      <c r="BW227" s="117">
        <f t="shared" si="135"/>
        <v>0</v>
      </c>
      <c r="BX227" s="116">
        <f t="shared" si="136"/>
        <v>0</v>
      </c>
      <c r="BY227" s="95">
        <f t="shared" si="137"/>
        <v>0</v>
      </c>
      <c r="BZ227" s="87" t="b">
        <f t="shared" si="138"/>
        <v>1</v>
      </c>
      <c r="CA227" s="87">
        <f t="shared" si="139"/>
        <v>219.03749999999999</v>
      </c>
      <c r="CB227" s="116">
        <f t="shared" si="140"/>
        <v>0.42405100000000001</v>
      </c>
      <c r="CC227" s="95">
        <f t="shared" si="141"/>
        <v>202.3</v>
      </c>
      <c r="CD227" s="95">
        <f t="shared" si="142"/>
        <v>0</v>
      </c>
      <c r="CE227" s="98">
        <v>42</v>
      </c>
      <c r="CF227" s="250">
        <f t="shared" si="143"/>
        <v>1.214</v>
      </c>
      <c r="CG227" s="274">
        <f>IF(CF227&lt;0.06,1,IF(CF227&gt;=18.29,52,MATCH(CF227-0.001,'Weighting Factors'!$Y$5:$Y$156)+1))</f>
        <v>33</v>
      </c>
      <c r="CH227" s="243">
        <f>VLOOKUP(CG227, 'Weighting Factors'!$W$5:$Z$56,4)</f>
        <v>930</v>
      </c>
      <c r="CI227" s="118">
        <f>('Weighting Factors'!$Q$5/'Weighting Factors'!$Q$14)</f>
        <v>1</v>
      </c>
      <c r="CJ227" s="245">
        <f t="shared" si="144"/>
        <v>47430</v>
      </c>
      <c r="CK227" s="245">
        <f>CJ227*'Weighting Factors'!$S$7</f>
        <v>47430</v>
      </c>
      <c r="CL227" s="245">
        <f t="shared" si="145"/>
        <v>47430</v>
      </c>
      <c r="CM227" s="95">
        <f>AM227/'Weighting Factors'!$Q$5</f>
        <v>11.4</v>
      </c>
      <c r="CN227" s="148">
        <v>0</v>
      </c>
      <c r="CO227" s="148">
        <v>0</v>
      </c>
      <c r="CP227" s="149">
        <v>0</v>
      </c>
      <c r="CQ227" s="151">
        <v>0</v>
      </c>
      <c r="CR227" s="99">
        <f>SUM((AV227*'Weighting Factors'!$Q$5)+'2019 Legal Max'!BA227)*CQ227</f>
        <v>0</v>
      </c>
      <c r="CS227" s="99">
        <f t="shared" si="146"/>
        <v>0</v>
      </c>
      <c r="CT227" s="106">
        <f t="shared" si="147"/>
        <v>0.2424</v>
      </c>
      <c r="CU227" s="95">
        <f t="shared" si="148"/>
        <v>0</v>
      </c>
      <c r="CV227" s="95">
        <f t="shared" si="149"/>
        <v>0</v>
      </c>
      <c r="CW227" s="95">
        <f t="shared" si="150"/>
        <v>876</v>
      </c>
      <c r="CX227" s="99">
        <f>'LOB Transfers'!G226</f>
        <v>71660</v>
      </c>
      <c r="CY227" s="99">
        <f>'LOB Transfers'!J226</f>
        <v>234</v>
      </c>
      <c r="CZ227" s="87" t="s">
        <v>419</v>
      </c>
    </row>
    <row r="228" spans="1:104" ht="15" customHeight="1">
      <c r="A228" s="88">
        <v>440</v>
      </c>
      <c r="B228" s="87" t="s">
        <v>74</v>
      </c>
      <c r="C228" s="87" t="s">
        <v>740</v>
      </c>
      <c r="D228" s="95">
        <v>719.5</v>
      </c>
      <c r="E228" s="95">
        <v>0</v>
      </c>
      <c r="F228" s="95">
        <f t="shared" si="117"/>
        <v>719.5</v>
      </c>
      <c r="G228" s="95">
        <v>745</v>
      </c>
      <c r="H228" s="95">
        <v>0</v>
      </c>
      <c r="I228" s="95">
        <f t="shared" si="118"/>
        <v>745</v>
      </c>
      <c r="J228" s="95">
        <v>758.5</v>
      </c>
      <c r="K228" s="95">
        <v>0</v>
      </c>
      <c r="L228" s="95">
        <f t="shared" si="119"/>
        <v>758.5</v>
      </c>
      <c r="M228" s="95">
        <f>IF(ISNA(VLOOKUP($CZ228,'Audit Values'!$A$2:$BW$365,2,FALSE)),'Preliminary SO66'!C227,VLOOKUP($CZ228,'Audit Values'!$A$2:$BW$365,73,FALSE))</f>
        <v>774.5</v>
      </c>
      <c r="N228" s="95">
        <f>IF(ISNA(VLOOKUP($CZ228,'Audit Values'!$A$2:$BW$365,2,FALSE)),'Preliminary SO66'!F227,VLOOKUP($CZ228,'Audit Values'!$A$2:$BW$365,4,FALSE))</f>
        <v>0</v>
      </c>
      <c r="O228" s="95">
        <f t="shared" si="120"/>
        <v>774.5</v>
      </c>
      <c r="P228" s="95">
        <f>IF('Military Provision'!J229="YES", MAX('2019 Legal Max'!L228,'2019 Legal Max'!I228,AVERAGE('2019 Legal Max'!F228,'2019 Legal Max'!I228,'2019 Legal Max'!L228)), MAX(L228, I228))</f>
        <v>758.5</v>
      </c>
      <c r="Q228" s="95">
        <f>IF(ISNA(VLOOKUP($CZ228,'Audit Values'!$A$2:$BU$353,2,FALSE)),'Preliminary SO66'!AL227,VLOOKUP($CZ228,'Audit Values'!$A$2:$BU$3955,58,FALSE))</f>
        <v>8</v>
      </c>
      <c r="R228" s="95">
        <v>0</v>
      </c>
      <c r="S228" s="95">
        <f t="shared" si="152"/>
        <v>766.5</v>
      </c>
      <c r="T228" s="95">
        <f t="shared" si="121"/>
        <v>249.6</v>
      </c>
      <c r="U228" s="95">
        <f>IF(ISNA(VLOOKUP($CZ228,'Audit Values'!$A$2:$BW$317,2,FALSE)),'Preliminary SO66'!AM227,VLOOKUP($CZ228,'Audit Values'!$A$2:$BW$317,62,FALSE))</f>
        <v>28.1</v>
      </c>
      <c r="V228" s="95">
        <f>(U228/6)*'Weighting Factors'!$Q$7</f>
        <v>1.8</v>
      </c>
      <c r="W228" s="132">
        <f>IF(ISNA(VLOOKUP($CZ228,'Audit Values'!$A$2:$BW$353,2,FALSE)),'Preliminary SO66'!AN227,VLOOKUP($CZ228,'Audit Values'!$A$2:$BW$353,61,FALSE))</f>
        <v>16</v>
      </c>
      <c r="X228" s="95">
        <f>W228*'Weighting Factors'!$Q$8</f>
        <v>3</v>
      </c>
      <c r="Y228" s="95">
        <f t="shared" si="122"/>
        <v>3</v>
      </c>
      <c r="Z228" s="276">
        <f>IF(ISNA(VLOOKUP($CZ228,'Audit Values'!$A$2:$BW$317,2,FALSE)),'Preliminary SO66'!AO227,VLOOKUP($CZ228,'Audit Values'!$A$2:$BW$317,60,FALSE))</f>
        <v>538.70000000000005</v>
      </c>
      <c r="AA228" s="95">
        <f>Z228/6*'Weighting Factors'!$Q$6</f>
        <v>44.9</v>
      </c>
      <c r="AB228" s="99">
        <f>IF(ISNA(VLOOKUP($CZ228,'Audit Values'!$A$2:$BU$353,2,FALSE)),'Preliminary SO66'!AS227,VLOOKUP($CZ228,'Audit Values'!$A$2:$BU$353,63,FALSE))</f>
        <v>796</v>
      </c>
      <c r="AC228" s="99">
        <v>0</v>
      </c>
      <c r="AD228" s="99">
        <f>IF(ISNA(VLOOKUP($CZ228,'Audit Values'!$A$2:$BU$353,2,FALSE)),'Preliminary SO66'!AP227,VLOOKUP($CZ228,'Audit Values'!$A$2:$BU$353,64,FALSE))</f>
        <v>230</v>
      </c>
      <c r="AE228" s="95">
        <f>IF(A228=207, AD228,MAX(AC228,AD228))*'Weighting Factors'!$Q$9</f>
        <v>111.3</v>
      </c>
      <c r="AF228" s="95">
        <f t="shared" si="123"/>
        <v>0</v>
      </c>
      <c r="AG228" s="95">
        <f>IF(ISNA(VLOOKUP($CZ228,'Audit Values'!$A$2:$BW$353,2,FALSE)),'Preliminary SO66'!AG227,VLOOKUP($CZ228,'Audit Values'!$A$2:$BW$353,70,FALSE))</f>
        <v>0</v>
      </c>
      <c r="AH228" s="95">
        <f t="shared" si="124"/>
        <v>0</v>
      </c>
      <c r="AI228" s="95">
        <f>IF(ISNA(VLOOKUP($CZ228,'Audit Values'!$A$2:$BU$353,2,FALSE)),'Preliminary SO66'!AQ227,VLOOKUP($CZ228,'Audit Values'!$A$2:$BU$353,65,FALSE))</f>
        <v>0</v>
      </c>
      <c r="AJ228" s="95">
        <f>AI228*'Weighting Factors'!$Q$10</f>
        <v>0</v>
      </c>
      <c r="AK228" s="95">
        <f>IF(ISNA(VLOOKUP($CZ228,'Audit Values'!$A$2:$BU$353,2,FALSE)),'Preliminary SO66'!AR227,VLOOKUP($CZ228,'Audit Values'!$A$2:$BU$353,66,FALSE))</f>
        <v>327</v>
      </c>
      <c r="AL228" s="95"/>
      <c r="AM228" s="99">
        <f t="shared" si="125"/>
        <v>264870</v>
      </c>
      <c r="AN228" s="99">
        <v>311242</v>
      </c>
      <c r="AO228" s="95">
        <f>MAX(AN228, AM228)/'Weighting Factors'!$Q$5</f>
        <v>74.7</v>
      </c>
      <c r="AP228" s="95">
        <f>CN228/'Weighting Factors'!$Q$5</f>
        <v>0</v>
      </c>
      <c r="AQ228" s="95">
        <v>0</v>
      </c>
      <c r="AR228" s="95">
        <f>CS228/'Weighting Factors'!$Q$5</f>
        <v>0</v>
      </c>
      <c r="AS228" s="99">
        <v>620733</v>
      </c>
      <c r="AT228" s="95">
        <f>AS228/'Weighting Factors'!$Q$5</f>
        <v>149</v>
      </c>
      <c r="AU228" s="95">
        <f>IF(ISNA(VLOOKUP($CZ228,'Audit Values'!$A$2:$BU$353,2,FALSE)),'Preliminary SO66'!X227,VLOOKUP($CZ228,'Audit Values'!$A$2:$BU$353,47,FALSE))</f>
        <v>0</v>
      </c>
      <c r="AV228" s="95">
        <f t="shared" si="126"/>
        <v>1399</v>
      </c>
      <c r="AW228" s="95">
        <f t="shared" si="127"/>
        <v>1250</v>
      </c>
      <c r="AX228" s="95">
        <f>IF(ISNA(VLOOKUP($CZ228,'Audit Values'!$A$2:$BU$353,2,FALSE)),'Preliminary SO66'!AA227,VLOOKUP($CZ228,'Audit Values'!$A$2:$BU$353,41,FALSE))</f>
        <v>0</v>
      </c>
      <c r="AY228" s="95">
        <f>IF(ISNA(VLOOKUP($CZ228,'Audit Values'!$A$2:$BU$353,2,FALSE)),'Preliminary SO66'!AB227,VLOOKUP($CZ228,'Audit Values'!$A$2:$BU$353,42,FALSE))</f>
        <v>0</v>
      </c>
      <c r="AZ228" s="114">
        <v>0</v>
      </c>
      <c r="BA228" s="99">
        <f>SUM(AX228*'Weighting Factors'!$T$10)+('2019 Legal Max'!AY228*'Weighting Factors'!$T$11)+('2019 Legal Max'!AZ228*'Weighting Factors'!$T$12)</f>
        <v>0</v>
      </c>
      <c r="BB228" s="158">
        <v>0</v>
      </c>
      <c r="BC228" s="88">
        <f>IF(ISNA(VLOOKUP($CZ228,'Audit Values'!$A$2:$BU$353,2,FALSE)),"",IF(AND('Weighting Factors'!H228&gt;0,VLOOKUP($CZ228,'Audit Values'!$A$2:$BU$353,51,FALSE)&lt;'Weighting Factors'!H228),'Weighting Factors'!H228,VLOOKUP($CZ228,'Audit Values'!$A$2:$BU$353,50,FALSE)))</f>
        <v>19</v>
      </c>
      <c r="BD228" s="88" t="str">
        <f>IF(ISNA(VLOOKUP($CZ228,'Audit Values'!$A$2:$BV$353,2,FALSE)),"",VLOOKUP($CZ228,'Audit Values'!$A$2:$BV$353,51,FALSE))</f>
        <v>A</v>
      </c>
      <c r="BE228" s="88" t="str">
        <f>IF('Weighting Factors'!H228="","",IF('Weighting Factors'!J228="Pending","PX","R"))</f>
        <v/>
      </c>
      <c r="BF228" s="97">
        <f>SUM((S228+T228+Y228+AA228+AE228+AH228+AJ228++AO228+AP228+AQ228+AU228+AR228)*'Weighting Factors'!$Q$5)+'2019 Legal Max'!BA228+'2019 Legal Max'!BB228</f>
        <v>5206250</v>
      </c>
      <c r="BG228" s="99">
        <f>SUM((AV228+AR228)*'Weighting Factors'!$Q$5)+BA228+'2019 Legal Max'!BB228</f>
        <v>5826835</v>
      </c>
      <c r="BH228" s="108">
        <f>IF('Weighting Factors'!H228&gt;0,'Weighting Factors'!H228,'Preliminary SO66'!AV227)</f>
        <v>5917216</v>
      </c>
      <c r="BI228" s="99">
        <f t="shared" si="151"/>
        <v>5826835</v>
      </c>
      <c r="BJ228" s="112"/>
      <c r="BK228" s="112">
        <f>'Weighting Factors'!F228</f>
        <v>-55187</v>
      </c>
      <c r="BL228" s="112">
        <f>'Weighting Factors'!E228</f>
        <v>0</v>
      </c>
      <c r="BM228" s="99">
        <f t="shared" si="128"/>
        <v>-55187</v>
      </c>
      <c r="BN228" s="99">
        <f t="shared" si="129"/>
        <v>5771648</v>
      </c>
      <c r="BO228" s="99">
        <f>SUM((S228+T228+Y228+AA228+AE228+AH228+AJ228++AO228+AP228+AQ228+AR228)*'Weighting Factors'!Q$12)+(MAX(AS228,'Weighting Factors'!B228))</f>
        <v>6270235</v>
      </c>
      <c r="BP228" s="122">
        <v>0.3</v>
      </c>
      <c r="BQ228" s="99">
        <f t="shared" si="130"/>
        <v>1881071</v>
      </c>
      <c r="BR228" s="108">
        <v>1898005</v>
      </c>
      <c r="BS228" s="99">
        <f t="shared" si="131"/>
        <v>1881071</v>
      </c>
      <c r="BT228" s="167">
        <f t="shared" si="132"/>
        <v>0.3</v>
      </c>
      <c r="BU228" s="95">
        <f t="shared" si="133"/>
        <v>0</v>
      </c>
      <c r="BV228" s="87" t="b">
        <f t="shared" si="134"/>
        <v>0</v>
      </c>
      <c r="BW228" s="117">
        <f t="shared" si="135"/>
        <v>0</v>
      </c>
      <c r="BX228" s="116">
        <f t="shared" si="136"/>
        <v>0</v>
      </c>
      <c r="BY228" s="95">
        <f t="shared" si="137"/>
        <v>0</v>
      </c>
      <c r="BZ228" s="87" t="b">
        <f t="shared" si="138"/>
        <v>1</v>
      </c>
      <c r="CA228" s="87">
        <f t="shared" si="139"/>
        <v>577.29380000000003</v>
      </c>
      <c r="CB228" s="116">
        <f t="shared" si="140"/>
        <v>0.32569399999999998</v>
      </c>
      <c r="CC228" s="95">
        <f t="shared" si="141"/>
        <v>249.6</v>
      </c>
      <c r="CD228" s="95">
        <f t="shared" si="142"/>
        <v>0</v>
      </c>
      <c r="CE228" s="98">
        <v>130</v>
      </c>
      <c r="CF228" s="250">
        <f t="shared" si="143"/>
        <v>2.5150000000000001</v>
      </c>
      <c r="CG228" s="274">
        <f>IF(CF228&lt;0.06,1,IF(CF228&gt;=18.29,52,MATCH(CF228-0.001,'Weighting Factors'!$Y$5:$Y$156)+1))</f>
        <v>39</v>
      </c>
      <c r="CH228" s="243">
        <f>VLOOKUP(CG228, 'Weighting Factors'!$W$5:$Z$56,4)</f>
        <v>810</v>
      </c>
      <c r="CI228" s="118">
        <f>('Weighting Factors'!$Q$5/'Weighting Factors'!$Q$14)</f>
        <v>1</v>
      </c>
      <c r="CJ228" s="245">
        <f t="shared" si="144"/>
        <v>264870</v>
      </c>
      <c r="CK228" s="245">
        <f>CJ228*'Weighting Factors'!$S$7</f>
        <v>264870</v>
      </c>
      <c r="CL228" s="245">
        <f t="shared" si="145"/>
        <v>264870</v>
      </c>
      <c r="CM228" s="95">
        <f>AM228/'Weighting Factors'!$Q$5</f>
        <v>63.6</v>
      </c>
      <c r="CN228" s="148">
        <v>0</v>
      </c>
      <c r="CO228" s="148">
        <v>0</v>
      </c>
      <c r="CP228" s="149">
        <v>0</v>
      </c>
      <c r="CQ228" s="151">
        <v>0</v>
      </c>
      <c r="CR228" s="99">
        <f>SUM((AV228*'Weighting Factors'!$Q$5)+'2019 Legal Max'!BA228)*CQ228</f>
        <v>0</v>
      </c>
      <c r="CS228" s="99">
        <f t="shared" si="146"/>
        <v>0</v>
      </c>
      <c r="CT228" s="106">
        <f t="shared" si="147"/>
        <v>0.28889999999999999</v>
      </c>
      <c r="CU228" s="95">
        <f t="shared" si="148"/>
        <v>0</v>
      </c>
      <c r="CV228" s="95">
        <f t="shared" si="149"/>
        <v>0</v>
      </c>
      <c r="CW228" s="95">
        <f t="shared" si="150"/>
        <v>1399</v>
      </c>
      <c r="CX228" s="99">
        <f>'LOB Transfers'!G227</f>
        <v>150486</v>
      </c>
      <c r="CY228" s="99">
        <f>'LOB Transfers'!J227</f>
        <v>4138</v>
      </c>
      <c r="CZ228" s="87" t="s">
        <v>420</v>
      </c>
    </row>
    <row r="229" spans="1:104" ht="15" customHeight="1">
      <c r="A229" s="88">
        <v>443</v>
      </c>
      <c r="B229" s="87" t="s">
        <v>80</v>
      </c>
      <c r="C229" s="87" t="s">
        <v>741</v>
      </c>
      <c r="D229" s="95">
        <v>6412.6</v>
      </c>
      <c r="E229" s="95">
        <v>0</v>
      </c>
      <c r="F229" s="95">
        <f t="shared" si="117"/>
        <v>6412.6</v>
      </c>
      <c r="G229" s="95">
        <v>6756.8</v>
      </c>
      <c r="H229" s="95">
        <v>0</v>
      </c>
      <c r="I229" s="95">
        <f t="shared" si="118"/>
        <v>6756.8</v>
      </c>
      <c r="J229" s="95">
        <v>6702.4</v>
      </c>
      <c r="K229" s="95">
        <v>0</v>
      </c>
      <c r="L229" s="95">
        <f t="shared" si="119"/>
        <v>6702.4</v>
      </c>
      <c r="M229" s="95">
        <f>IF(ISNA(VLOOKUP($CZ229,'Audit Values'!$A$2:$BW$365,2,FALSE)),'Preliminary SO66'!C228,VLOOKUP($CZ229,'Audit Values'!$A$2:$BW$365,73,FALSE))</f>
        <v>6669</v>
      </c>
      <c r="N229" s="95">
        <f>IF(ISNA(VLOOKUP($CZ229,'Audit Values'!$A$2:$BW$365,2,FALSE)),'Preliminary SO66'!F228,VLOOKUP($CZ229,'Audit Values'!$A$2:$BW$365,4,FALSE))</f>
        <v>0</v>
      </c>
      <c r="O229" s="95">
        <f t="shared" si="120"/>
        <v>6669</v>
      </c>
      <c r="P229" s="95">
        <f>IF('Military Provision'!J230="YES", MAX('2019 Legal Max'!L229,'2019 Legal Max'!I229,AVERAGE('2019 Legal Max'!F229,'2019 Legal Max'!I229,'2019 Legal Max'!L229)), MAX(L229, I229))</f>
        <v>6756.8</v>
      </c>
      <c r="Q229" s="95">
        <f>IF(ISNA(VLOOKUP($CZ229,'Audit Values'!$A$2:$BU$353,2,FALSE)),'Preliminary SO66'!AL228,VLOOKUP($CZ229,'Audit Values'!$A$2:$BU$3955,58,FALSE))</f>
        <v>120</v>
      </c>
      <c r="R229" s="95">
        <v>0</v>
      </c>
      <c r="S229" s="95">
        <f t="shared" si="152"/>
        <v>6876.8</v>
      </c>
      <c r="T229" s="95">
        <f t="shared" si="121"/>
        <v>241</v>
      </c>
      <c r="U229" s="95">
        <f>IF(ISNA(VLOOKUP($CZ229,'Audit Values'!$A$2:$BW$317,2,FALSE)),'Preliminary SO66'!AM228,VLOOKUP($CZ229,'Audit Values'!$A$2:$BW$317,62,FALSE))</f>
        <v>12616</v>
      </c>
      <c r="V229" s="95">
        <f>(U229/6)*'Weighting Factors'!$Q$7</f>
        <v>830.6</v>
      </c>
      <c r="W229" s="132">
        <f>IF(ISNA(VLOOKUP($CZ229,'Audit Values'!$A$2:$BW$353,2,FALSE)),'Preliminary SO66'!AN228,VLOOKUP($CZ229,'Audit Values'!$A$2:$BW$353,61,FALSE))</f>
        <v>3479</v>
      </c>
      <c r="X229" s="95">
        <f>W229*'Weighting Factors'!$Q$8</f>
        <v>643.6</v>
      </c>
      <c r="Y229" s="95">
        <f t="shared" si="122"/>
        <v>830.6</v>
      </c>
      <c r="Z229" s="276">
        <f>IF(ISNA(VLOOKUP($CZ229,'Audit Values'!$A$2:$BW$317,2,FALSE)),'Preliminary SO66'!AO228,VLOOKUP($CZ229,'Audit Values'!$A$2:$BW$317,60,FALSE))</f>
        <v>2163.4</v>
      </c>
      <c r="AA229" s="95">
        <f>Z229/6*'Weighting Factors'!$Q$6</f>
        <v>180.3</v>
      </c>
      <c r="AB229" s="99">
        <f>IF(ISNA(VLOOKUP($CZ229,'Audit Values'!$A$2:$BU$353,2,FALSE)),'Preliminary SO66'!AS228,VLOOKUP($CZ229,'Audit Values'!$A$2:$BU$353,63,FALSE))</f>
        <v>6988</v>
      </c>
      <c r="AC229" s="99">
        <v>0</v>
      </c>
      <c r="AD229" s="99">
        <f>IF(ISNA(VLOOKUP($CZ229,'Audit Values'!$A$2:$BU$353,2,FALSE)),'Preliminary SO66'!AP228,VLOOKUP($CZ229,'Audit Values'!$A$2:$BU$353,64,FALSE))</f>
        <v>4720</v>
      </c>
      <c r="AE229" s="95">
        <f>IF(A229=207, AD229,MAX(AC229,AD229))*'Weighting Factors'!$Q$9</f>
        <v>2284.5</v>
      </c>
      <c r="AF229" s="95">
        <f t="shared" si="123"/>
        <v>495.6</v>
      </c>
      <c r="AG229" s="95">
        <f>IF(ISNA(VLOOKUP($CZ229,'Audit Values'!$A$2:$BW$353,2,FALSE)),'Preliminary SO66'!AG228,VLOOKUP($CZ229,'Audit Values'!$A$2:$BW$353,70,FALSE))</f>
        <v>495.6</v>
      </c>
      <c r="AH229" s="95">
        <f t="shared" si="124"/>
        <v>495.6</v>
      </c>
      <c r="AI229" s="95">
        <f>IF(ISNA(VLOOKUP($CZ229,'Audit Values'!$A$2:$BU$353,2,FALSE)),'Preliminary SO66'!AQ228,VLOOKUP($CZ229,'Audit Values'!$A$2:$BU$353,65,FALSE))</f>
        <v>1498.4</v>
      </c>
      <c r="AJ229" s="95">
        <f>AI229*'Weighting Factors'!$Q$10</f>
        <v>374.6</v>
      </c>
      <c r="AK229" s="95">
        <f>IF(ISNA(VLOOKUP($CZ229,'Audit Values'!$A$2:$BU$353,2,FALSE)),'Preliminary SO66'!AR228,VLOOKUP($CZ229,'Audit Values'!$A$2:$BU$353,66,FALSE))</f>
        <v>2672</v>
      </c>
      <c r="AL229" s="95"/>
      <c r="AM229" s="99">
        <f t="shared" si="125"/>
        <v>1843680</v>
      </c>
      <c r="AN229" s="99">
        <v>1817374</v>
      </c>
      <c r="AO229" s="95">
        <f>MAX(AN229, AM229)/'Weighting Factors'!$Q$5</f>
        <v>442.7</v>
      </c>
      <c r="AP229" s="95">
        <f>CN229/'Weighting Factors'!$Q$5</f>
        <v>0</v>
      </c>
      <c r="AQ229" s="95">
        <v>0</v>
      </c>
      <c r="AR229" s="95">
        <f>CS229/'Weighting Factors'!$Q$5</f>
        <v>0</v>
      </c>
      <c r="AS229" s="99">
        <v>4899794</v>
      </c>
      <c r="AT229" s="95">
        <f>AS229/'Weighting Factors'!$Q$5</f>
        <v>1176.4000000000001</v>
      </c>
      <c r="AU229" s="95">
        <f>IF(ISNA(VLOOKUP($CZ229,'Audit Values'!$A$2:$BU$353,2,FALSE)),'Preliminary SO66'!X228,VLOOKUP($CZ229,'Audit Values'!$A$2:$BU$353,47,FALSE))</f>
        <v>0</v>
      </c>
      <c r="AV229" s="95">
        <f t="shared" si="126"/>
        <v>12902.5</v>
      </c>
      <c r="AW229" s="95">
        <f t="shared" si="127"/>
        <v>11726.1</v>
      </c>
      <c r="AX229" s="95">
        <f>IF(ISNA(VLOOKUP($CZ229,'Audit Values'!$A$2:$BU$353,2,FALSE)),'Preliminary SO66'!AA228,VLOOKUP($CZ229,'Audit Values'!$A$2:$BU$353,41,FALSE))</f>
        <v>2</v>
      </c>
      <c r="AY229" s="95">
        <f>IF(ISNA(VLOOKUP($CZ229,'Audit Values'!$A$2:$BU$353,2,FALSE)),'Preliminary SO66'!AB228,VLOOKUP($CZ229,'Audit Values'!$A$2:$BU$353,42,FALSE))</f>
        <v>0.6</v>
      </c>
      <c r="AZ229" s="114">
        <v>118.5</v>
      </c>
      <c r="BA229" s="99">
        <f>SUM(AX229*'Weighting Factors'!$T$10)+('2019 Legal Max'!AY229*'Weighting Factors'!$T$11)+('2019 Legal Max'!AZ229*'Weighting Factors'!$T$12)</f>
        <v>95037</v>
      </c>
      <c r="BB229" s="158">
        <v>0</v>
      </c>
      <c r="BC229" s="88">
        <f>IF(ISNA(VLOOKUP($CZ229,'Audit Values'!$A$2:$BU$353,2,FALSE)),"",IF(AND('Weighting Factors'!H229&gt;0,VLOOKUP($CZ229,'Audit Values'!$A$2:$BU$353,51,FALSE)&lt;'Weighting Factors'!H229),'Weighting Factors'!H229,VLOOKUP($CZ229,'Audit Values'!$A$2:$BU$353,50,FALSE)))</f>
        <v>25</v>
      </c>
      <c r="BD229" s="88" t="str">
        <f>IF(ISNA(VLOOKUP($CZ229,'Audit Values'!$A$2:$BV$353,2,FALSE)),"",VLOOKUP($CZ229,'Audit Values'!$A$2:$BV$353,51,FALSE))</f>
        <v>A</v>
      </c>
      <c r="BE229" s="88" t="str">
        <f>IF('Weighting Factors'!H229="","",IF('Weighting Factors'!J229="Pending","PX","R"))</f>
        <v/>
      </c>
      <c r="BF229" s="97">
        <f>SUM((S229+T229+Y229+AA229+AE229+AH229+AJ229++AO229+AP229+AQ229+AU229+AR229)*'Weighting Factors'!$Q$5)+'2019 Legal Max'!BA229+'2019 Legal Max'!BB229</f>
        <v>48934244</v>
      </c>
      <c r="BG229" s="99">
        <f>SUM((AV229+AR229)*'Weighting Factors'!$Q$5)+BA229+'2019 Legal Max'!BB229</f>
        <v>53833950</v>
      </c>
      <c r="BH229" s="108">
        <f>IF('Weighting Factors'!H229&gt;0,'Weighting Factors'!H229,'Preliminary SO66'!AV228)</f>
        <v>54666554</v>
      </c>
      <c r="BI229" s="99">
        <f t="shared" si="151"/>
        <v>53833950</v>
      </c>
      <c r="BJ229" s="112"/>
      <c r="BK229" s="112">
        <f>'Weighting Factors'!F229</f>
        <v>-338774</v>
      </c>
      <c r="BL229" s="112">
        <f>'Weighting Factors'!E229</f>
        <v>0</v>
      </c>
      <c r="BM229" s="99">
        <f t="shared" si="128"/>
        <v>-338774</v>
      </c>
      <c r="BN229" s="99">
        <f t="shared" si="129"/>
        <v>53495176</v>
      </c>
      <c r="BO229" s="99">
        <f>SUM((S229+T229+Y229+AA229+AE229+AH229+AJ229++AO229+AP229+AQ229+AR229)*'Weighting Factors'!Q$12)+(MAX(AS229,'Weighting Factors'!B229))</f>
        <v>57549983</v>
      </c>
      <c r="BP229" s="122">
        <v>0.33</v>
      </c>
      <c r="BQ229" s="99">
        <f t="shared" si="130"/>
        <v>18991494</v>
      </c>
      <c r="BR229" s="108">
        <v>19268870</v>
      </c>
      <c r="BS229" s="99">
        <f t="shared" si="131"/>
        <v>18991494</v>
      </c>
      <c r="BT229" s="167">
        <f t="shared" si="132"/>
        <v>0.33</v>
      </c>
      <c r="BU229" s="95">
        <f t="shared" si="133"/>
        <v>0</v>
      </c>
      <c r="BV229" s="87" t="b">
        <f t="shared" si="134"/>
        <v>0</v>
      </c>
      <c r="BW229" s="117">
        <f t="shared" si="135"/>
        <v>0</v>
      </c>
      <c r="BX229" s="116">
        <f t="shared" si="136"/>
        <v>0</v>
      </c>
      <c r="BY229" s="95">
        <f t="shared" si="137"/>
        <v>0</v>
      </c>
      <c r="BZ229" s="87" t="b">
        <f t="shared" si="138"/>
        <v>0</v>
      </c>
      <c r="CA229" s="87">
        <f t="shared" si="139"/>
        <v>0</v>
      </c>
      <c r="CB229" s="116">
        <f t="shared" si="140"/>
        <v>0</v>
      </c>
      <c r="CC229" s="95">
        <f t="shared" si="141"/>
        <v>0</v>
      </c>
      <c r="CD229" s="95">
        <f t="shared" si="142"/>
        <v>241</v>
      </c>
      <c r="CE229" s="98">
        <v>425.7</v>
      </c>
      <c r="CF229" s="250">
        <f t="shared" si="143"/>
        <v>6.2770000000000001</v>
      </c>
      <c r="CG229" s="274">
        <f>IF(CF229&lt;0.06,1,IF(CF229&gt;=18.29,52,MATCH(CF229-0.001,'Weighting Factors'!$Y$5:$Y$156)+1))</f>
        <v>45</v>
      </c>
      <c r="CH229" s="243">
        <f>VLOOKUP(CG229, 'Weighting Factors'!$W$5:$Z$56,4)</f>
        <v>690</v>
      </c>
      <c r="CI229" s="118">
        <f>('Weighting Factors'!$Q$5/'Weighting Factors'!$Q$14)</f>
        <v>1</v>
      </c>
      <c r="CJ229" s="245">
        <f t="shared" si="144"/>
        <v>1843680</v>
      </c>
      <c r="CK229" s="245">
        <f>CJ229*'Weighting Factors'!$S$7</f>
        <v>1843680</v>
      </c>
      <c r="CL229" s="245">
        <f t="shared" si="145"/>
        <v>1843680</v>
      </c>
      <c r="CM229" s="95">
        <f>AM229/'Weighting Factors'!$Q$5</f>
        <v>442.7</v>
      </c>
      <c r="CN229" s="148">
        <v>0</v>
      </c>
      <c r="CO229" s="148">
        <v>0</v>
      </c>
      <c r="CP229" s="149">
        <v>0</v>
      </c>
      <c r="CQ229" s="151">
        <v>0</v>
      </c>
      <c r="CR229" s="99">
        <f>SUM((AV229*'Weighting Factors'!$Q$5)+'2019 Legal Max'!BA229)*CQ229</f>
        <v>0</v>
      </c>
      <c r="CS229" s="99">
        <f t="shared" si="146"/>
        <v>0</v>
      </c>
      <c r="CT229" s="106">
        <f t="shared" si="147"/>
        <v>0.6754</v>
      </c>
      <c r="CU229" s="95">
        <f t="shared" si="148"/>
        <v>495.6</v>
      </c>
      <c r="CV229" s="95">
        <f t="shared" si="149"/>
        <v>0</v>
      </c>
      <c r="CW229" s="95">
        <f t="shared" si="150"/>
        <v>12902.5</v>
      </c>
      <c r="CX229" s="99">
        <f>'LOB Transfers'!G228</f>
        <v>3393780</v>
      </c>
      <c r="CY229" s="99">
        <f>'LOB Transfers'!J228</f>
        <v>1234447</v>
      </c>
      <c r="CZ229" s="87" t="s">
        <v>421</v>
      </c>
    </row>
    <row r="230" spans="1:104" ht="15" customHeight="1">
      <c r="A230" s="88">
        <v>444</v>
      </c>
      <c r="B230" s="87" t="s">
        <v>76</v>
      </c>
      <c r="C230" s="87" t="s">
        <v>742</v>
      </c>
      <c r="D230" s="95">
        <v>309.39999999999998</v>
      </c>
      <c r="E230" s="95">
        <v>0</v>
      </c>
      <c r="F230" s="95">
        <f t="shared" si="117"/>
        <v>309.39999999999998</v>
      </c>
      <c r="G230" s="95">
        <v>303</v>
      </c>
      <c r="H230" s="95">
        <v>0</v>
      </c>
      <c r="I230" s="95">
        <f t="shared" si="118"/>
        <v>303</v>
      </c>
      <c r="J230" s="95">
        <v>284.5</v>
      </c>
      <c r="K230" s="95">
        <v>0</v>
      </c>
      <c r="L230" s="95">
        <f t="shared" si="119"/>
        <v>284.5</v>
      </c>
      <c r="M230" s="95">
        <f>IF(ISNA(VLOOKUP($CZ230,'Audit Values'!$A$2:$BW$365,2,FALSE)),'Preliminary SO66'!C229,VLOOKUP($CZ230,'Audit Values'!$A$2:$BW$365,73,FALSE))</f>
        <v>288</v>
      </c>
      <c r="N230" s="95">
        <f>IF(ISNA(VLOOKUP($CZ230,'Audit Values'!$A$2:$BW$365,2,FALSE)),'Preliminary SO66'!F229,VLOOKUP($CZ230,'Audit Values'!$A$2:$BW$365,4,FALSE))</f>
        <v>0</v>
      </c>
      <c r="O230" s="95">
        <f t="shared" si="120"/>
        <v>288</v>
      </c>
      <c r="P230" s="95">
        <f>IF('Military Provision'!J231="YES", MAX('2019 Legal Max'!L230,'2019 Legal Max'!I230,AVERAGE('2019 Legal Max'!F230,'2019 Legal Max'!I230,'2019 Legal Max'!L230)), MAX(L230, I230))</f>
        <v>303</v>
      </c>
      <c r="Q230" s="95">
        <f>IF(ISNA(VLOOKUP($CZ230,'Audit Values'!$A$2:$BU$353,2,FALSE)),'Preliminary SO66'!AL229,VLOOKUP($CZ230,'Audit Values'!$A$2:$BU$3955,58,FALSE))</f>
        <v>6.5</v>
      </c>
      <c r="R230" s="95">
        <v>0</v>
      </c>
      <c r="S230" s="95">
        <f t="shared" si="152"/>
        <v>309.5</v>
      </c>
      <c r="T230" s="95">
        <f t="shared" si="121"/>
        <v>148.9</v>
      </c>
      <c r="U230" s="95">
        <f>IF(ISNA(VLOOKUP($CZ230,'Audit Values'!$A$2:$BW$317,2,FALSE)),'Preliminary SO66'!AM229,VLOOKUP($CZ230,'Audit Values'!$A$2:$BW$317,62,FALSE))</f>
        <v>1</v>
      </c>
      <c r="V230" s="95">
        <f>(U230/6)*'Weighting Factors'!$Q$7</f>
        <v>0.1</v>
      </c>
      <c r="W230" s="132">
        <f>IF(ISNA(VLOOKUP($CZ230,'Audit Values'!$A$2:$BW$353,2,FALSE)),'Preliminary SO66'!AN229,VLOOKUP($CZ230,'Audit Values'!$A$2:$BW$353,61,FALSE))</f>
        <v>2</v>
      </c>
      <c r="X230" s="95">
        <f>W230*'Weighting Factors'!$Q$8</f>
        <v>0.4</v>
      </c>
      <c r="Y230" s="95">
        <f t="shared" si="122"/>
        <v>0.4</v>
      </c>
      <c r="Z230" s="276">
        <f>IF(ISNA(VLOOKUP($CZ230,'Audit Values'!$A$2:$BW$317,2,FALSE)),'Preliminary SO66'!AO229,VLOOKUP($CZ230,'Audit Values'!$A$2:$BW$317,60,FALSE))</f>
        <v>203.2</v>
      </c>
      <c r="AA230" s="95">
        <f>Z230/6*'Weighting Factors'!$Q$6</f>
        <v>16.899999999999999</v>
      </c>
      <c r="AB230" s="99">
        <f>IF(ISNA(VLOOKUP($CZ230,'Audit Values'!$A$2:$BU$353,2,FALSE)),'Preliminary SO66'!AS229,VLOOKUP($CZ230,'Audit Values'!$A$2:$BU$353,63,FALSE))</f>
        <v>302</v>
      </c>
      <c r="AC230" s="99">
        <v>0</v>
      </c>
      <c r="AD230" s="99">
        <f>IF(ISNA(VLOOKUP($CZ230,'Audit Values'!$A$2:$BU$353,2,FALSE)),'Preliminary SO66'!AP229,VLOOKUP($CZ230,'Audit Values'!$A$2:$BU$353,64,FALSE))</f>
        <v>67</v>
      </c>
      <c r="AE230" s="95">
        <f>IF(A230=207, AD230,MAX(AC230,AD230))*'Weighting Factors'!$Q$9</f>
        <v>32.4</v>
      </c>
      <c r="AF230" s="95">
        <f t="shared" si="123"/>
        <v>0</v>
      </c>
      <c r="AG230" s="95">
        <f>IF(ISNA(VLOOKUP($CZ230,'Audit Values'!$A$2:$BW$353,2,FALSE)),'Preliminary SO66'!AG229,VLOOKUP($CZ230,'Audit Values'!$A$2:$BW$353,70,FALSE))</f>
        <v>0</v>
      </c>
      <c r="AH230" s="95">
        <f t="shared" si="124"/>
        <v>0</v>
      </c>
      <c r="AI230" s="95">
        <f>IF(ISNA(VLOOKUP($CZ230,'Audit Values'!$A$2:$BU$353,2,FALSE)),'Preliminary SO66'!AQ229,VLOOKUP($CZ230,'Audit Values'!$A$2:$BU$353,65,FALSE))</f>
        <v>0</v>
      </c>
      <c r="AJ230" s="95">
        <f>AI230*'Weighting Factors'!$Q$10</f>
        <v>0</v>
      </c>
      <c r="AK230" s="95">
        <f>IF(ISNA(VLOOKUP($CZ230,'Audit Values'!$A$2:$BU$353,2,FALSE)),'Preliminary SO66'!AR229,VLOOKUP($CZ230,'Audit Values'!$A$2:$BU$353,66,FALSE))</f>
        <v>160</v>
      </c>
      <c r="AL230" s="95"/>
      <c r="AM230" s="99">
        <f t="shared" si="125"/>
        <v>164800</v>
      </c>
      <c r="AN230" s="99">
        <v>187592</v>
      </c>
      <c r="AO230" s="95">
        <f>MAX(AN230, AM230)/'Weighting Factors'!$Q$5</f>
        <v>45</v>
      </c>
      <c r="AP230" s="95">
        <f>CN230/'Weighting Factors'!$Q$5</f>
        <v>0</v>
      </c>
      <c r="AQ230" s="95">
        <v>0</v>
      </c>
      <c r="AR230" s="95">
        <f>CS230/'Weighting Factors'!$Q$5</f>
        <v>0</v>
      </c>
      <c r="AS230" s="99">
        <v>327944</v>
      </c>
      <c r="AT230" s="95">
        <f>AS230/'Weighting Factors'!$Q$5</f>
        <v>78.7</v>
      </c>
      <c r="AU230" s="95">
        <f>IF(ISNA(VLOOKUP($CZ230,'Audit Values'!$A$2:$BU$353,2,FALSE)),'Preliminary SO66'!X229,VLOOKUP($CZ230,'Audit Values'!$A$2:$BU$353,47,FALSE))</f>
        <v>1</v>
      </c>
      <c r="AV230" s="95">
        <f t="shared" si="126"/>
        <v>632.79999999999995</v>
      </c>
      <c r="AW230" s="95">
        <f t="shared" si="127"/>
        <v>554.1</v>
      </c>
      <c r="AX230" s="95">
        <f>IF(ISNA(VLOOKUP($CZ230,'Audit Values'!$A$2:$BU$353,2,FALSE)),'Preliminary SO66'!AA229,VLOOKUP($CZ230,'Audit Values'!$A$2:$BU$353,41,FALSE))</f>
        <v>0</v>
      </c>
      <c r="AY230" s="95">
        <f>IF(ISNA(VLOOKUP($CZ230,'Audit Values'!$A$2:$BU$353,2,FALSE)),'Preliminary SO66'!AB229,VLOOKUP($CZ230,'Audit Values'!$A$2:$BU$353,42,FALSE))</f>
        <v>0</v>
      </c>
      <c r="AZ230" s="114">
        <v>0</v>
      </c>
      <c r="BA230" s="99">
        <f>SUM(AX230*'Weighting Factors'!$T$10)+('2019 Legal Max'!AY230*'Weighting Factors'!$T$11)+('2019 Legal Max'!AZ230*'Weighting Factors'!$T$12)</f>
        <v>0</v>
      </c>
      <c r="BB230" s="158">
        <v>0</v>
      </c>
      <c r="BC230" s="88">
        <f>IF(ISNA(VLOOKUP($CZ230,'Audit Values'!$A$2:$BU$353,2,FALSE)),"",IF(AND('Weighting Factors'!H230&gt;0,VLOOKUP($CZ230,'Audit Values'!$A$2:$BU$353,51,FALSE)&lt;'Weighting Factors'!H230),'Weighting Factors'!H230,VLOOKUP($CZ230,'Audit Values'!$A$2:$BU$353,50,FALSE)))</f>
        <v>15</v>
      </c>
      <c r="BD230" s="88" t="str">
        <f>IF(ISNA(VLOOKUP($CZ230,'Audit Values'!$A$2:$BV$353,2,FALSE)),"",VLOOKUP($CZ230,'Audit Values'!$A$2:$BV$353,51,FALSE))</f>
        <v>A</v>
      </c>
      <c r="BE230" s="88" t="str">
        <f>IF('Weighting Factors'!H230="","",IF('Weighting Factors'!J230="Pending","PX","R"))</f>
        <v/>
      </c>
      <c r="BF230" s="97">
        <f>SUM((S230+T230+Y230+AA230+AE230+AH230+AJ230++AO230+AP230+AQ230+AU230+AR230)*'Weighting Factors'!$Q$5)+'2019 Legal Max'!BA230+'2019 Legal Max'!BB230</f>
        <v>2307827</v>
      </c>
      <c r="BG230" s="99">
        <f>SUM((AV230+AR230)*'Weighting Factors'!$Q$5)+BA230+'2019 Legal Max'!BB230</f>
        <v>2635612</v>
      </c>
      <c r="BH230" s="108">
        <f>IF('Weighting Factors'!H230&gt;0,'Weighting Factors'!H230,'Preliminary SO66'!AV229)</f>
        <v>2710166</v>
      </c>
      <c r="BI230" s="99">
        <f t="shared" si="151"/>
        <v>2635612</v>
      </c>
      <c r="BJ230" s="112"/>
      <c r="BK230" s="112">
        <f>'Weighting Factors'!F230</f>
        <v>0</v>
      </c>
      <c r="BL230" s="112">
        <f>'Weighting Factors'!E230</f>
        <v>0</v>
      </c>
      <c r="BM230" s="99">
        <f t="shared" si="128"/>
        <v>0</v>
      </c>
      <c r="BN230" s="99">
        <f t="shared" si="129"/>
        <v>2635612</v>
      </c>
      <c r="BO230" s="99">
        <f>SUM((S230+T230+Y230+AA230+AE230+AH230+AJ230++AO230+AP230+AQ230+AR230)*'Weighting Factors'!Q$12)+(MAX(AS230,'Weighting Factors'!B230))</f>
        <v>2831459</v>
      </c>
      <c r="BP230" s="122">
        <v>0.3</v>
      </c>
      <c r="BQ230" s="99">
        <f t="shared" si="130"/>
        <v>849438</v>
      </c>
      <c r="BR230" s="108">
        <v>865616</v>
      </c>
      <c r="BS230" s="99">
        <f t="shared" si="131"/>
        <v>849438</v>
      </c>
      <c r="BT230" s="167">
        <f t="shared" si="132"/>
        <v>0.3</v>
      </c>
      <c r="BU230" s="95">
        <f t="shared" si="133"/>
        <v>0</v>
      </c>
      <c r="BV230" s="87" t="b">
        <f t="shared" si="134"/>
        <v>0</v>
      </c>
      <c r="BW230" s="117">
        <f t="shared" si="135"/>
        <v>0</v>
      </c>
      <c r="BX230" s="116">
        <f t="shared" si="136"/>
        <v>0</v>
      </c>
      <c r="BY230" s="95">
        <f t="shared" si="137"/>
        <v>0</v>
      </c>
      <c r="BZ230" s="87" t="b">
        <f t="shared" si="138"/>
        <v>1</v>
      </c>
      <c r="CA230" s="87">
        <f t="shared" si="139"/>
        <v>11.7563</v>
      </c>
      <c r="CB230" s="116">
        <f t="shared" si="140"/>
        <v>0.48095900000000003</v>
      </c>
      <c r="CC230" s="95">
        <f t="shared" si="141"/>
        <v>148.9</v>
      </c>
      <c r="CD230" s="95">
        <f t="shared" si="142"/>
        <v>0</v>
      </c>
      <c r="CE230" s="98">
        <v>244.5</v>
      </c>
      <c r="CF230" s="250">
        <f t="shared" si="143"/>
        <v>0.65400000000000003</v>
      </c>
      <c r="CG230" s="274">
        <f>IF(CF230&lt;0.06,1,IF(CF230&gt;=18.29,52,MATCH(CF230-0.001,'Weighting Factors'!$Y$5:$Y$156)+1))</f>
        <v>28</v>
      </c>
      <c r="CH230" s="243">
        <f>VLOOKUP(CG230, 'Weighting Factors'!$W$5:$Z$56,4)</f>
        <v>1030</v>
      </c>
      <c r="CI230" s="118">
        <f>('Weighting Factors'!$Q$5/'Weighting Factors'!$Q$14)</f>
        <v>1</v>
      </c>
      <c r="CJ230" s="245">
        <f t="shared" si="144"/>
        <v>164800</v>
      </c>
      <c r="CK230" s="245">
        <f>CJ230*'Weighting Factors'!$S$7</f>
        <v>164800</v>
      </c>
      <c r="CL230" s="245">
        <f t="shared" si="145"/>
        <v>164800</v>
      </c>
      <c r="CM230" s="95">
        <f>AM230/'Weighting Factors'!$Q$5</f>
        <v>39.6</v>
      </c>
      <c r="CN230" s="148">
        <v>0</v>
      </c>
      <c r="CO230" s="148">
        <v>0</v>
      </c>
      <c r="CP230" s="149">
        <v>0</v>
      </c>
      <c r="CQ230" s="151">
        <v>0</v>
      </c>
      <c r="CR230" s="99">
        <f>SUM((AV230*'Weighting Factors'!$Q$5)+'2019 Legal Max'!BA230)*CQ230</f>
        <v>0</v>
      </c>
      <c r="CS230" s="99">
        <f t="shared" si="146"/>
        <v>0</v>
      </c>
      <c r="CT230" s="106">
        <f t="shared" si="147"/>
        <v>0.22189999999999999</v>
      </c>
      <c r="CU230" s="95">
        <f t="shared" si="148"/>
        <v>0</v>
      </c>
      <c r="CV230" s="95">
        <f t="shared" si="149"/>
        <v>0</v>
      </c>
      <c r="CW230" s="95">
        <f t="shared" si="150"/>
        <v>632.79999999999995</v>
      </c>
      <c r="CX230" s="99">
        <f>'LOB Transfers'!G229</f>
        <v>44001</v>
      </c>
      <c r="CY230" s="99">
        <f>'LOB Transfers'!J229</f>
        <v>510</v>
      </c>
      <c r="CZ230" s="87" t="s">
        <v>422</v>
      </c>
    </row>
    <row r="231" spans="1:104" ht="15" customHeight="1">
      <c r="A231" s="88">
        <v>445</v>
      </c>
      <c r="B231" s="87" t="s">
        <v>99</v>
      </c>
      <c r="C231" s="87" t="s">
        <v>743</v>
      </c>
      <c r="D231" s="95">
        <v>1625.6</v>
      </c>
      <c r="E231" s="95">
        <v>0</v>
      </c>
      <c r="F231" s="95">
        <f t="shared" si="117"/>
        <v>1625.6</v>
      </c>
      <c r="G231" s="95">
        <v>1694.8</v>
      </c>
      <c r="H231" s="95">
        <v>0</v>
      </c>
      <c r="I231" s="95">
        <f t="shared" si="118"/>
        <v>1694.8</v>
      </c>
      <c r="J231" s="95">
        <v>1705.9</v>
      </c>
      <c r="K231" s="95">
        <v>0</v>
      </c>
      <c r="L231" s="95">
        <f t="shared" si="119"/>
        <v>1705.9</v>
      </c>
      <c r="M231" s="95">
        <f>IF(ISNA(VLOOKUP($CZ231,'Audit Values'!$A$2:$BW$365,2,FALSE)),'Preliminary SO66'!C230,VLOOKUP($CZ231,'Audit Values'!$A$2:$BW$365,73,FALSE))</f>
        <v>1705.9</v>
      </c>
      <c r="N231" s="95">
        <f>IF(ISNA(VLOOKUP($CZ231,'Audit Values'!$A$2:$BW$365,2,FALSE)),'Preliminary SO66'!F230,VLOOKUP($CZ231,'Audit Values'!$A$2:$BW$365,4,FALSE))</f>
        <v>0</v>
      </c>
      <c r="O231" s="95">
        <f t="shared" si="120"/>
        <v>1705.9</v>
      </c>
      <c r="P231" s="95">
        <f>IF('Military Provision'!J232="YES", MAX('2019 Legal Max'!L231,'2019 Legal Max'!I231,AVERAGE('2019 Legal Max'!F231,'2019 Legal Max'!I231,'2019 Legal Max'!L231)), MAX(L231, I231))</f>
        <v>1705.9</v>
      </c>
      <c r="Q231" s="95">
        <f>IF(ISNA(VLOOKUP($CZ231,'Audit Values'!$A$2:$BU$353,2,FALSE)),'Preliminary SO66'!AL230,VLOOKUP($CZ231,'Audit Values'!$A$2:$BU$3955,58,FALSE))</f>
        <v>36</v>
      </c>
      <c r="R231" s="95">
        <v>0</v>
      </c>
      <c r="S231" s="95">
        <f t="shared" si="152"/>
        <v>1741.9</v>
      </c>
      <c r="T231" s="95">
        <f t="shared" si="121"/>
        <v>61</v>
      </c>
      <c r="U231" s="95">
        <f>IF(ISNA(VLOOKUP($CZ231,'Audit Values'!$A$2:$BW$317,2,FALSE)),'Preliminary SO66'!AM230,VLOOKUP($CZ231,'Audit Values'!$A$2:$BW$317,62,FALSE))</f>
        <v>435</v>
      </c>
      <c r="V231" s="95">
        <f>(U231/6)*'Weighting Factors'!$Q$7</f>
        <v>28.6</v>
      </c>
      <c r="W231" s="132">
        <f>IF(ISNA(VLOOKUP($CZ231,'Audit Values'!$A$2:$BW$353,2,FALSE)),'Preliminary SO66'!AN230,VLOOKUP($CZ231,'Audit Values'!$A$2:$BW$353,61,FALSE))</f>
        <v>213</v>
      </c>
      <c r="X231" s="95">
        <f>W231*'Weighting Factors'!$Q$8</f>
        <v>39.4</v>
      </c>
      <c r="Y231" s="95">
        <f t="shared" si="122"/>
        <v>39.4</v>
      </c>
      <c r="Z231" s="276">
        <f>IF(ISNA(VLOOKUP($CZ231,'Audit Values'!$A$2:$BW$317,2,FALSE)),'Preliminary SO66'!AO230,VLOOKUP($CZ231,'Audit Values'!$A$2:$BW$317,60,FALSE))</f>
        <v>343.4</v>
      </c>
      <c r="AA231" s="95">
        <f>Z231/6*'Weighting Factors'!$Q$6</f>
        <v>28.6</v>
      </c>
      <c r="AB231" s="99">
        <f>IF(ISNA(VLOOKUP($CZ231,'Audit Values'!$A$2:$BU$353,2,FALSE)),'Preliminary SO66'!AS230,VLOOKUP($CZ231,'Audit Values'!$A$2:$BU$353,63,FALSE))</f>
        <v>1787</v>
      </c>
      <c r="AC231" s="99">
        <v>0</v>
      </c>
      <c r="AD231" s="99">
        <f>IF(ISNA(VLOOKUP($CZ231,'Audit Values'!$A$2:$BU$353,2,FALSE)),'Preliminary SO66'!AP230,VLOOKUP($CZ231,'Audit Values'!$A$2:$BU$353,64,FALSE))</f>
        <v>1222</v>
      </c>
      <c r="AE231" s="95">
        <f>IF(A231=207, AD231,MAX(AC231,AD231))*'Weighting Factors'!$Q$9</f>
        <v>591.4</v>
      </c>
      <c r="AF231" s="95">
        <f t="shared" si="123"/>
        <v>128.30000000000001</v>
      </c>
      <c r="AG231" s="95">
        <f>IF(ISNA(VLOOKUP($CZ231,'Audit Values'!$A$2:$BW$353,2,FALSE)),'Preliminary SO66'!AG230,VLOOKUP($CZ231,'Audit Values'!$A$2:$BW$353,70,FALSE))</f>
        <v>128.30000000000001</v>
      </c>
      <c r="AH231" s="95">
        <f t="shared" si="124"/>
        <v>128.30000000000001</v>
      </c>
      <c r="AI231" s="95">
        <f>IF(ISNA(VLOOKUP($CZ231,'Audit Values'!$A$2:$BU$353,2,FALSE)),'Preliminary SO66'!AQ230,VLOOKUP($CZ231,'Audit Values'!$A$2:$BU$353,65,FALSE))</f>
        <v>0</v>
      </c>
      <c r="AJ231" s="95">
        <f>AI231*'Weighting Factors'!$Q$10</f>
        <v>0</v>
      </c>
      <c r="AK231" s="95">
        <f>IF(ISNA(VLOOKUP($CZ231,'Audit Values'!$A$2:$BU$353,2,FALSE)),'Preliminary SO66'!AR230,VLOOKUP($CZ231,'Audit Values'!$A$2:$BU$353,66,FALSE))</f>
        <v>342</v>
      </c>
      <c r="AL231" s="95"/>
      <c r="AM231" s="99">
        <f t="shared" si="125"/>
        <v>270180</v>
      </c>
      <c r="AN231" s="99">
        <v>320872</v>
      </c>
      <c r="AO231" s="95">
        <f>MAX(AN231, AM231)/'Weighting Factors'!$Q$5</f>
        <v>77</v>
      </c>
      <c r="AP231" s="95">
        <f>CN231/'Weighting Factors'!$Q$5</f>
        <v>0</v>
      </c>
      <c r="AQ231" s="95">
        <v>0</v>
      </c>
      <c r="AR231" s="95">
        <f>CS231/'Weighting Factors'!$Q$5</f>
        <v>0</v>
      </c>
      <c r="AS231" s="99">
        <v>1457458</v>
      </c>
      <c r="AT231" s="95">
        <f>AS231/'Weighting Factors'!$Q$5</f>
        <v>349.9</v>
      </c>
      <c r="AU231" s="95">
        <f>IF(ISNA(VLOOKUP($CZ231,'Audit Values'!$A$2:$BU$353,2,FALSE)),'Preliminary SO66'!X230,VLOOKUP($CZ231,'Audit Values'!$A$2:$BU$353,47,FALSE))</f>
        <v>0</v>
      </c>
      <c r="AV231" s="95">
        <f t="shared" si="126"/>
        <v>3017.5</v>
      </c>
      <c r="AW231" s="95">
        <f t="shared" si="127"/>
        <v>2667.6</v>
      </c>
      <c r="AX231" s="95">
        <f>IF(ISNA(VLOOKUP($CZ231,'Audit Values'!$A$2:$BU$353,2,FALSE)),'Preliminary SO66'!AA230,VLOOKUP($CZ231,'Audit Values'!$A$2:$BU$353,41,FALSE))</f>
        <v>13</v>
      </c>
      <c r="AY231" s="95">
        <f>IF(ISNA(VLOOKUP($CZ231,'Audit Values'!$A$2:$BU$353,2,FALSE)),'Preliminary SO66'!AB230,VLOOKUP($CZ231,'Audit Values'!$A$2:$BU$353,42,FALSE))</f>
        <v>7.4</v>
      </c>
      <c r="AZ231" s="114">
        <v>49.5</v>
      </c>
      <c r="BA231" s="99">
        <f>SUM(AX231*'Weighting Factors'!$T$10)+('2019 Legal Max'!AY231*'Weighting Factors'!$T$11)+('2019 Legal Max'!AZ231*'Weighting Factors'!$T$12)</f>
        <v>112676</v>
      </c>
      <c r="BB231" s="158">
        <v>0</v>
      </c>
      <c r="BC231" s="88">
        <f>IF(ISNA(VLOOKUP($CZ231,'Audit Values'!$A$2:$BU$353,2,FALSE)),"",IF(AND('Weighting Factors'!H231&gt;0,VLOOKUP($CZ231,'Audit Values'!$A$2:$BU$353,51,FALSE)&lt;'Weighting Factors'!H231),'Weighting Factors'!H231,VLOOKUP($CZ231,'Audit Values'!$A$2:$BU$353,50,FALSE)))</f>
        <v>18</v>
      </c>
      <c r="BD231" s="88" t="str">
        <f>IF(ISNA(VLOOKUP($CZ231,'Audit Values'!$A$2:$BV$353,2,FALSE)),"",VLOOKUP($CZ231,'Audit Values'!$A$2:$BV$353,51,FALSE))</f>
        <v>A</v>
      </c>
      <c r="BE231" s="88" t="str">
        <f>IF('Weighting Factors'!H231="","",IF('Weighting Factors'!J231="Pending","PX","R"))</f>
        <v/>
      </c>
      <c r="BF231" s="97">
        <f>SUM((S231+T231+Y231+AA231+AE231+AH231+AJ231++AO231+AP231+AQ231+AU231+AR231)*'Weighting Factors'!$Q$5)+'2019 Legal Max'!BA231+'2019 Legal Max'!BB231</f>
        <v>11223230</v>
      </c>
      <c r="BG231" s="99">
        <f>SUM((AV231+AR231)*'Weighting Factors'!$Q$5)+BA231+'2019 Legal Max'!BB231</f>
        <v>12680564</v>
      </c>
      <c r="BH231" s="108">
        <f>IF('Weighting Factors'!H231&gt;0,'Weighting Factors'!H231,'Preliminary SO66'!AV230)</f>
        <v>12912818</v>
      </c>
      <c r="BI231" s="99">
        <f t="shared" si="151"/>
        <v>12680564</v>
      </c>
      <c r="BJ231" s="112"/>
      <c r="BK231" s="112">
        <f>'Weighting Factors'!F231</f>
        <v>0</v>
      </c>
      <c r="BL231" s="112">
        <f>'Weighting Factors'!E231</f>
        <v>0</v>
      </c>
      <c r="BM231" s="99">
        <f t="shared" si="128"/>
        <v>0</v>
      </c>
      <c r="BN231" s="99">
        <f t="shared" si="129"/>
        <v>12680564</v>
      </c>
      <c r="BO231" s="99">
        <f>SUM((S231+T231+Y231+AA231+AE231+AH231+AJ231++AO231+AP231+AQ231+AR231)*'Weighting Factors'!Q$12)+(MAX(AS231,'Weighting Factors'!B231))</f>
        <v>13526168</v>
      </c>
      <c r="BP231" s="122">
        <v>0.3</v>
      </c>
      <c r="BQ231" s="99">
        <f t="shared" si="130"/>
        <v>4057850</v>
      </c>
      <c r="BR231" s="108">
        <v>3946454</v>
      </c>
      <c r="BS231" s="99">
        <f t="shared" si="131"/>
        <v>3946454</v>
      </c>
      <c r="BT231" s="167">
        <f t="shared" si="132"/>
        <v>0.2918</v>
      </c>
      <c r="BU231" s="95">
        <f t="shared" si="133"/>
        <v>0</v>
      </c>
      <c r="BV231" s="87" t="b">
        <f t="shared" si="134"/>
        <v>0</v>
      </c>
      <c r="BW231" s="117">
        <f t="shared" si="135"/>
        <v>0</v>
      </c>
      <c r="BX231" s="116">
        <f t="shared" si="136"/>
        <v>0</v>
      </c>
      <c r="BY231" s="95">
        <f t="shared" si="137"/>
        <v>0</v>
      </c>
      <c r="BZ231" s="87" t="b">
        <f t="shared" si="138"/>
        <v>0</v>
      </c>
      <c r="CA231" s="87">
        <f t="shared" si="139"/>
        <v>0</v>
      </c>
      <c r="CB231" s="116">
        <f t="shared" si="140"/>
        <v>0</v>
      </c>
      <c r="CC231" s="95">
        <f t="shared" si="141"/>
        <v>0</v>
      </c>
      <c r="CD231" s="95">
        <f t="shared" si="142"/>
        <v>61</v>
      </c>
      <c r="CE231" s="98">
        <v>120</v>
      </c>
      <c r="CF231" s="250">
        <f t="shared" si="143"/>
        <v>2.85</v>
      </c>
      <c r="CG231" s="274">
        <f>IF(CF231&lt;0.06,1,IF(CF231&gt;=18.29,52,MATCH(CF231-0.001,'Weighting Factors'!$Y$5:$Y$156)+1))</f>
        <v>40</v>
      </c>
      <c r="CH231" s="243">
        <f>VLOOKUP(CG231, 'Weighting Factors'!$W$5:$Z$56,4)</f>
        <v>790</v>
      </c>
      <c r="CI231" s="118">
        <f>('Weighting Factors'!$Q$5/'Weighting Factors'!$Q$14)</f>
        <v>1</v>
      </c>
      <c r="CJ231" s="245">
        <f t="shared" si="144"/>
        <v>270180</v>
      </c>
      <c r="CK231" s="245">
        <f>CJ231*'Weighting Factors'!$S$7</f>
        <v>270180</v>
      </c>
      <c r="CL231" s="245">
        <f t="shared" si="145"/>
        <v>270180</v>
      </c>
      <c r="CM231" s="95">
        <f>AM231/'Weighting Factors'!$Q$5</f>
        <v>64.900000000000006</v>
      </c>
      <c r="CN231" s="148">
        <v>0</v>
      </c>
      <c r="CO231" s="148">
        <v>0</v>
      </c>
      <c r="CP231" s="149">
        <v>0</v>
      </c>
      <c r="CQ231" s="151">
        <v>0</v>
      </c>
      <c r="CR231" s="99">
        <f>SUM((AV231*'Weighting Factors'!$Q$5)+'2019 Legal Max'!BA231)*CQ231</f>
        <v>0</v>
      </c>
      <c r="CS231" s="99">
        <f t="shared" si="146"/>
        <v>0</v>
      </c>
      <c r="CT231" s="106">
        <f t="shared" si="147"/>
        <v>0.68379999999999996</v>
      </c>
      <c r="CU231" s="95">
        <f t="shared" si="148"/>
        <v>128.30000000000001</v>
      </c>
      <c r="CV231" s="95">
        <f t="shared" si="149"/>
        <v>0</v>
      </c>
      <c r="CW231" s="95">
        <f t="shared" si="150"/>
        <v>3017.5</v>
      </c>
      <c r="CX231" s="99">
        <f>'LOB Transfers'!G230</f>
        <v>782976</v>
      </c>
      <c r="CY231" s="99">
        <f>'LOB Transfers'!J230</f>
        <v>52093</v>
      </c>
      <c r="CZ231" s="87" t="s">
        <v>423</v>
      </c>
    </row>
    <row r="232" spans="1:104" ht="15" customHeight="1">
      <c r="A232" s="88">
        <v>446</v>
      </c>
      <c r="B232" s="87" t="s">
        <v>99</v>
      </c>
      <c r="C232" s="87" t="s">
        <v>744</v>
      </c>
      <c r="D232" s="95">
        <v>1916</v>
      </c>
      <c r="E232" s="95">
        <v>0</v>
      </c>
      <c r="F232" s="95">
        <f t="shared" si="117"/>
        <v>1916</v>
      </c>
      <c r="G232" s="95">
        <v>1973.6</v>
      </c>
      <c r="H232" s="95">
        <v>0</v>
      </c>
      <c r="I232" s="95">
        <f t="shared" si="118"/>
        <v>1973.6</v>
      </c>
      <c r="J232" s="95">
        <v>1979.6</v>
      </c>
      <c r="K232" s="95">
        <v>0</v>
      </c>
      <c r="L232" s="95">
        <f t="shared" si="119"/>
        <v>1979.6</v>
      </c>
      <c r="M232" s="95">
        <f>IF(ISNA(VLOOKUP($CZ232,'Audit Values'!$A$2:$BW$365,2,FALSE)),'Preliminary SO66'!C231,VLOOKUP($CZ232,'Audit Values'!$A$2:$BW$365,73,FALSE))</f>
        <v>1957.5</v>
      </c>
      <c r="N232" s="95">
        <f>IF(ISNA(VLOOKUP($CZ232,'Audit Values'!$A$2:$BW$365,2,FALSE)),'Preliminary SO66'!F231,VLOOKUP($CZ232,'Audit Values'!$A$2:$BW$365,4,FALSE))</f>
        <v>0</v>
      </c>
      <c r="O232" s="95">
        <f t="shared" si="120"/>
        <v>1957.5</v>
      </c>
      <c r="P232" s="95">
        <f>IF('Military Provision'!J233="YES", MAX('2019 Legal Max'!L232,'2019 Legal Max'!I232,AVERAGE('2019 Legal Max'!F232,'2019 Legal Max'!I232,'2019 Legal Max'!L232)), MAX(L232, I232))</f>
        <v>1979.6</v>
      </c>
      <c r="Q232" s="95">
        <f>IF(ISNA(VLOOKUP($CZ232,'Audit Values'!$A$2:$BU$353,2,FALSE)),'Preliminary SO66'!AL231,VLOOKUP($CZ232,'Audit Values'!$A$2:$BU$3955,58,FALSE))</f>
        <v>24</v>
      </c>
      <c r="R232" s="95">
        <v>0</v>
      </c>
      <c r="S232" s="95">
        <f t="shared" si="152"/>
        <v>2003.6</v>
      </c>
      <c r="T232" s="95">
        <f t="shared" si="121"/>
        <v>70.2</v>
      </c>
      <c r="U232" s="95">
        <f>IF(ISNA(VLOOKUP($CZ232,'Audit Values'!$A$2:$BW$317,2,FALSE)),'Preliminary SO66'!AM231,VLOOKUP($CZ232,'Audit Values'!$A$2:$BW$317,62,FALSE))</f>
        <v>41.2</v>
      </c>
      <c r="V232" s="95">
        <f>(U232/6)*'Weighting Factors'!$Q$7</f>
        <v>2.7</v>
      </c>
      <c r="W232" s="132">
        <f>IF(ISNA(VLOOKUP($CZ232,'Audit Values'!$A$2:$BW$353,2,FALSE)),'Preliminary SO66'!AN231,VLOOKUP($CZ232,'Audit Values'!$A$2:$BW$353,61,FALSE))</f>
        <v>50</v>
      </c>
      <c r="X232" s="95">
        <f>W232*'Weighting Factors'!$Q$8</f>
        <v>9.3000000000000007</v>
      </c>
      <c r="Y232" s="95">
        <f t="shared" si="122"/>
        <v>9.3000000000000007</v>
      </c>
      <c r="Z232" s="276">
        <f>IF(ISNA(VLOOKUP($CZ232,'Audit Values'!$A$2:$BW$317,2,FALSE)),'Preliminary SO66'!AO231,VLOOKUP($CZ232,'Audit Values'!$A$2:$BW$317,60,FALSE))</f>
        <v>310.39999999999998</v>
      </c>
      <c r="AA232" s="95">
        <f>Z232/6*'Weighting Factors'!$Q$6</f>
        <v>25.9</v>
      </c>
      <c r="AB232" s="99">
        <f>IF(ISNA(VLOOKUP($CZ232,'Audit Values'!$A$2:$BU$353,2,FALSE)),'Preliminary SO66'!AS231,VLOOKUP($CZ232,'Audit Values'!$A$2:$BU$353,63,FALSE))</f>
        <v>2150</v>
      </c>
      <c r="AC232" s="99">
        <v>0</v>
      </c>
      <c r="AD232" s="99">
        <f>IF(ISNA(VLOOKUP($CZ232,'Audit Values'!$A$2:$BU$353,2,FALSE)),'Preliminary SO66'!AP231,VLOOKUP($CZ232,'Audit Values'!$A$2:$BU$353,64,FALSE))</f>
        <v>1084</v>
      </c>
      <c r="AE232" s="95">
        <f>IF(A232=207, AD232,MAX(AC232,AD232))*'Weighting Factors'!$Q$9</f>
        <v>524.70000000000005</v>
      </c>
      <c r="AF232" s="95">
        <f t="shared" si="123"/>
        <v>113.8</v>
      </c>
      <c r="AG232" s="95">
        <f>IF(ISNA(VLOOKUP($CZ232,'Audit Values'!$A$2:$BW$353,2,FALSE)),'Preliminary SO66'!AG231,VLOOKUP($CZ232,'Audit Values'!$A$2:$BW$353,70,FALSE))</f>
        <v>93.9</v>
      </c>
      <c r="AH232" s="95">
        <f t="shared" si="124"/>
        <v>113.8</v>
      </c>
      <c r="AI232" s="95">
        <f>IF(ISNA(VLOOKUP($CZ232,'Audit Values'!$A$2:$BU$353,2,FALSE)),'Preliminary SO66'!AQ231,VLOOKUP($CZ232,'Audit Values'!$A$2:$BU$353,65,FALSE))</f>
        <v>0</v>
      </c>
      <c r="AJ232" s="95">
        <f>AI232*'Weighting Factors'!$Q$10</f>
        <v>0</v>
      </c>
      <c r="AK232" s="95">
        <f>IF(ISNA(VLOOKUP($CZ232,'Audit Values'!$A$2:$BU$353,2,FALSE)),'Preliminary SO66'!AR231,VLOOKUP($CZ232,'Audit Values'!$A$2:$BU$353,66,FALSE))</f>
        <v>377</v>
      </c>
      <c r="AL232" s="95"/>
      <c r="AM232" s="99">
        <f t="shared" si="125"/>
        <v>327990</v>
      </c>
      <c r="AN232" s="99">
        <v>386356</v>
      </c>
      <c r="AO232" s="95">
        <f>MAX(AN232, AM232)/'Weighting Factors'!$Q$5</f>
        <v>92.8</v>
      </c>
      <c r="AP232" s="95">
        <f>CN232/'Weighting Factors'!$Q$5</f>
        <v>0</v>
      </c>
      <c r="AQ232" s="95">
        <v>0</v>
      </c>
      <c r="AR232" s="95">
        <f>CS232/'Weighting Factors'!$Q$5</f>
        <v>0</v>
      </c>
      <c r="AS232" s="99">
        <v>1662228</v>
      </c>
      <c r="AT232" s="95">
        <f>AS232/'Weighting Factors'!$Q$5</f>
        <v>399.1</v>
      </c>
      <c r="AU232" s="95">
        <f>IF(ISNA(VLOOKUP($CZ232,'Audit Values'!$A$2:$BU$353,2,FALSE)),'Preliminary SO66'!X231,VLOOKUP($CZ232,'Audit Values'!$A$2:$BU$353,47,FALSE))</f>
        <v>0</v>
      </c>
      <c r="AV232" s="95">
        <f t="shared" si="126"/>
        <v>3239.4</v>
      </c>
      <c r="AW232" s="95">
        <f t="shared" si="127"/>
        <v>2840.3</v>
      </c>
      <c r="AX232" s="95">
        <f>IF(ISNA(VLOOKUP($CZ232,'Audit Values'!$A$2:$BU$353,2,FALSE)),'Preliminary SO66'!AA231,VLOOKUP($CZ232,'Audit Values'!$A$2:$BU$353,41,FALSE))</f>
        <v>0</v>
      </c>
      <c r="AY232" s="95">
        <f>IF(ISNA(VLOOKUP($CZ232,'Audit Values'!$A$2:$BU$353,2,FALSE)),'Preliminary SO66'!AB231,VLOOKUP($CZ232,'Audit Values'!$A$2:$BU$353,42,FALSE))</f>
        <v>0</v>
      </c>
      <c r="AZ232" s="114">
        <v>0</v>
      </c>
      <c r="BA232" s="99">
        <f>SUM(AX232*'Weighting Factors'!$T$10)+('2019 Legal Max'!AY232*'Weighting Factors'!$T$11)+('2019 Legal Max'!AZ232*'Weighting Factors'!$T$12)</f>
        <v>0</v>
      </c>
      <c r="BB232" s="158">
        <v>0</v>
      </c>
      <c r="BC232" s="88">
        <f>IF(ISNA(VLOOKUP($CZ232,'Audit Values'!$A$2:$BU$353,2,FALSE)),"",IF(AND('Weighting Factors'!H232&gt;0,VLOOKUP($CZ232,'Audit Values'!$A$2:$BU$353,51,FALSE)&lt;'Weighting Factors'!H232),'Weighting Factors'!H232,VLOOKUP($CZ232,'Audit Values'!$A$2:$BU$353,50,FALSE)))</f>
        <v>19</v>
      </c>
      <c r="BD232" s="88" t="str">
        <f>IF(ISNA(VLOOKUP($CZ232,'Audit Values'!$A$2:$BV$353,2,FALSE)),"",VLOOKUP($CZ232,'Audit Values'!$A$2:$BV$353,51,FALSE))</f>
        <v>A</v>
      </c>
      <c r="BE232" s="88" t="str">
        <f>IF('Weighting Factors'!H232="","",IF('Weighting Factors'!J232="Pending","PX","R"))</f>
        <v/>
      </c>
      <c r="BF232" s="97">
        <f>SUM((S232+T232+Y232+AA232+AE232+AH232+AJ232++AO232+AP232+AQ232+AU232+AR232)*'Weighting Factors'!$Q$5)+'2019 Legal Max'!BA232+'2019 Legal Max'!BB232</f>
        <v>11829850</v>
      </c>
      <c r="BG232" s="99">
        <f>SUM((AV232+AR232)*'Weighting Factors'!$Q$5)+BA232+'2019 Legal Max'!BB232</f>
        <v>13492101</v>
      </c>
      <c r="BH232" s="108">
        <f>IF('Weighting Factors'!H232&gt;0,'Weighting Factors'!H232,'Preliminary SO66'!AV231)</f>
        <v>13891941</v>
      </c>
      <c r="BI232" s="99">
        <f t="shared" si="151"/>
        <v>13492101</v>
      </c>
      <c r="BJ232" s="112"/>
      <c r="BK232" s="112">
        <f>'Weighting Factors'!F232</f>
        <v>0</v>
      </c>
      <c r="BL232" s="112">
        <f>'Weighting Factors'!E232</f>
        <v>0</v>
      </c>
      <c r="BM232" s="99">
        <f t="shared" si="128"/>
        <v>0</v>
      </c>
      <c r="BN232" s="99">
        <f t="shared" si="129"/>
        <v>13492101</v>
      </c>
      <c r="BO232" s="99">
        <f>SUM((S232+T232+Y232+AA232+AE232+AH232+AJ232++AO232+AP232+AQ232+AR232)*'Weighting Factors'!Q$12)+(MAX(AS232,'Weighting Factors'!B232))</f>
        <v>14415175</v>
      </c>
      <c r="BP232" s="122">
        <v>0.3</v>
      </c>
      <c r="BQ232" s="99">
        <f t="shared" si="130"/>
        <v>4324553</v>
      </c>
      <c r="BR232" s="108">
        <v>4385700</v>
      </c>
      <c r="BS232" s="99">
        <f t="shared" si="131"/>
        <v>4324553</v>
      </c>
      <c r="BT232" s="167">
        <f t="shared" si="132"/>
        <v>0.3</v>
      </c>
      <c r="BU232" s="95">
        <f t="shared" si="133"/>
        <v>0</v>
      </c>
      <c r="BV232" s="87" t="b">
        <f t="shared" si="134"/>
        <v>0</v>
      </c>
      <c r="BW232" s="117">
        <f t="shared" si="135"/>
        <v>0</v>
      </c>
      <c r="BX232" s="116">
        <f t="shared" si="136"/>
        <v>0</v>
      </c>
      <c r="BY232" s="95">
        <f t="shared" si="137"/>
        <v>0</v>
      </c>
      <c r="BZ232" s="87" t="b">
        <f t="shared" si="138"/>
        <v>0</v>
      </c>
      <c r="CA232" s="87">
        <f t="shared" si="139"/>
        <v>0</v>
      </c>
      <c r="CB232" s="116">
        <f t="shared" si="140"/>
        <v>0</v>
      </c>
      <c r="CC232" s="95">
        <f t="shared" si="141"/>
        <v>0</v>
      </c>
      <c r="CD232" s="95">
        <f t="shared" si="142"/>
        <v>70.2</v>
      </c>
      <c r="CE232" s="98">
        <v>210.9</v>
      </c>
      <c r="CF232" s="250">
        <f t="shared" si="143"/>
        <v>1.788</v>
      </c>
      <c r="CG232" s="274">
        <f>IF(CF232&lt;0.06,1,IF(CF232&gt;=18.29,52,MATCH(CF232-0.001,'Weighting Factors'!$Y$5:$Y$156)+1))</f>
        <v>36</v>
      </c>
      <c r="CH232" s="243">
        <f>VLOOKUP(CG232, 'Weighting Factors'!$W$5:$Z$56,4)</f>
        <v>870</v>
      </c>
      <c r="CI232" s="118">
        <f>('Weighting Factors'!$Q$5/'Weighting Factors'!$Q$14)</f>
        <v>1</v>
      </c>
      <c r="CJ232" s="245">
        <f t="shared" si="144"/>
        <v>327990</v>
      </c>
      <c r="CK232" s="245">
        <f>CJ232*'Weighting Factors'!$S$7</f>
        <v>327990</v>
      </c>
      <c r="CL232" s="245">
        <f t="shared" si="145"/>
        <v>327990</v>
      </c>
      <c r="CM232" s="95">
        <f>AM232/'Weighting Factors'!$Q$5</f>
        <v>78.7</v>
      </c>
      <c r="CN232" s="148">
        <v>0</v>
      </c>
      <c r="CO232" s="148">
        <v>0</v>
      </c>
      <c r="CP232" s="149">
        <v>0</v>
      </c>
      <c r="CQ232" s="151">
        <v>0</v>
      </c>
      <c r="CR232" s="99">
        <f>SUM((AV232*'Weighting Factors'!$Q$5)+'2019 Legal Max'!BA232)*CQ232</f>
        <v>0</v>
      </c>
      <c r="CS232" s="99">
        <f t="shared" si="146"/>
        <v>0</v>
      </c>
      <c r="CT232" s="106">
        <f t="shared" si="147"/>
        <v>0.50419999999999998</v>
      </c>
      <c r="CU232" s="95">
        <f t="shared" si="148"/>
        <v>113.8</v>
      </c>
      <c r="CV232" s="95">
        <f t="shared" si="149"/>
        <v>0</v>
      </c>
      <c r="CW232" s="95">
        <f t="shared" si="150"/>
        <v>3239.4</v>
      </c>
      <c r="CX232" s="99">
        <f>'LOB Transfers'!G231</f>
        <v>705767</v>
      </c>
      <c r="CY232" s="99">
        <f>'LOB Transfers'!J231</f>
        <v>12541</v>
      </c>
      <c r="CZ232" s="87" t="s">
        <v>424</v>
      </c>
    </row>
    <row r="233" spans="1:104" ht="15" customHeight="1">
      <c r="A233" s="88">
        <v>447</v>
      </c>
      <c r="B233" s="87" t="s">
        <v>99</v>
      </c>
      <c r="C233" s="87" t="s">
        <v>745</v>
      </c>
      <c r="D233" s="95">
        <v>770.7</v>
      </c>
      <c r="E233" s="95">
        <v>0</v>
      </c>
      <c r="F233" s="95">
        <f t="shared" si="117"/>
        <v>770.7</v>
      </c>
      <c r="G233" s="95">
        <v>805.9</v>
      </c>
      <c r="H233" s="95">
        <v>0</v>
      </c>
      <c r="I233" s="95">
        <f t="shared" si="118"/>
        <v>805.9</v>
      </c>
      <c r="J233" s="95">
        <v>791.5</v>
      </c>
      <c r="K233" s="95">
        <v>0</v>
      </c>
      <c r="L233" s="95">
        <f t="shared" si="119"/>
        <v>791.5</v>
      </c>
      <c r="M233" s="95">
        <f>IF(ISNA(VLOOKUP($CZ233,'Audit Values'!$A$2:$BW$365,2,FALSE)),'Preliminary SO66'!C232,VLOOKUP($CZ233,'Audit Values'!$A$2:$BW$365,73,FALSE))</f>
        <v>777.5</v>
      </c>
      <c r="N233" s="95">
        <f>IF(ISNA(VLOOKUP($CZ233,'Audit Values'!$A$2:$BW$365,2,FALSE)),'Preliminary SO66'!F232,VLOOKUP($CZ233,'Audit Values'!$A$2:$BW$365,4,FALSE))</f>
        <v>0</v>
      </c>
      <c r="O233" s="95">
        <f t="shared" si="120"/>
        <v>777.5</v>
      </c>
      <c r="P233" s="95">
        <f>IF('Military Provision'!J234="YES", MAX('2019 Legal Max'!L233,'2019 Legal Max'!I233,AVERAGE('2019 Legal Max'!F233,'2019 Legal Max'!I233,'2019 Legal Max'!L233)), MAX(L233, I233))</f>
        <v>805.9</v>
      </c>
      <c r="Q233" s="95">
        <f>IF(ISNA(VLOOKUP($CZ233,'Audit Values'!$A$2:$BU$353,2,FALSE)),'Preliminary SO66'!AL232,VLOOKUP($CZ233,'Audit Values'!$A$2:$BU$3955,58,FALSE))</f>
        <v>9</v>
      </c>
      <c r="R233" s="95">
        <v>0</v>
      </c>
      <c r="S233" s="95">
        <f t="shared" si="152"/>
        <v>814.9</v>
      </c>
      <c r="T233" s="95">
        <f t="shared" si="121"/>
        <v>252</v>
      </c>
      <c r="U233" s="95">
        <f>IF(ISNA(VLOOKUP($CZ233,'Audit Values'!$A$2:$BW$317,2,FALSE)),'Preliminary SO66'!AM232,VLOOKUP($CZ233,'Audit Values'!$A$2:$BW$317,62,FALSE))</f>
        <v>0</v>
      </c>
      <c r="V233" s="95">
        <f>(U233/6)*'Weighting Factors'!$Q$7</f>
        <v>0</v>
      </c>
      <c r="W233" s="132">
        <f>IF(ISNA(VLOOKUP($CZ233,'Audit Values'!$A$2:$BW$353,2,FALSE)),'Preliminary SO66'!AN232,VLOOKUP($CZ233,'Audit Values'!$A$2:$BW$353,61,FALSE))</f>
        <v>0</v>
      </c>
      <c r="X233" s="95">
        <f>W233*'Weighting Factors'!$Q$8</f>
        <v>0</v>
      </c>
      <c r="Y233" s="95">
        <f t="shared" si="122"/>
        <v>0</v>
      </c>
      <c r="Z233" s="276">
        <f>IF(ISNA(VLOOKUP($CZ233,'Audit Values'!$A$2:$BW$317,2,FALSE)),'Preliminary SO66'!AO232,VLOOKUP($CZ233,'Audit Values'!$A$2:$BW$317,60,FALSE))</f>
        <v>155.4</v>
      </c>
      <c r="AA233" s="95">
        <f>Z233/6*'Weighting Factors'!$Q$6</f>
        <v>13</v>
      </c>
      <c r="AB233" s="99">
        <f>IF(ISNA(VLOOKUP($CZ233,'Audit Values'!$A$2:$BU$353,2,FALSE)),'Preliminary SO66'!AS232,VLOOKUP($CZ233,'Audit Values'!$A$2:$BU$353,63,FALSE))</f>
        <v>798</v>
      </c>
      <c r="AC233" s="99">
        <v>0</v>
      </c>
      <c r="AD233" s="99">
        <f>IF(ISNA(VLOOKUP($CZ233,'Audit Values'!$A$2:$BU$353,2,FALSE)),'Preliminary SO66'!AP232,VLOOKUP($CZ233,'Audit Values'!$A$2:$BU$353,64,FALSE))</f>
        <v>437</v>
      </c>
      <c r="AE233" s="95">
        <f>IF(A233=207, AD233,MAX(AC233,AD233))*'Weighting Factors'!$Q$9</f>
        <v>211.5</v>
      </c>
      <c r="AF233" s="95">
        <f t="shared" si="123"/>
        <v>45.9</v>
      </c>
      <c r="AG233" s="95">
        <f>IF(ISNA(VLOOKUP($CZ233,'Audit Values'!$A$2:$BW$353,2,FALSE)),'Preliminary SO66'!AG232,VLOOKUP($CZ233,'Audit Values'!$A$2:$BW$353,70,FALSE))</f>
        <v>42.8</v>
      </c>
      <c r="AH233" s="95">
        <f t="shared" si="124"/>
        <v>45.9</v>
      </c>
      <c r="AI233" s="95">
        <f>IF(ISNA(VLOOKUP($CZ233,'Audit Values'!$A$2:$BU$353,2,FALSE)),'Preliminary SO66'!AQ232,VLOOKUP($CZ233,'Audit Values'!$A$2:$BU$353,65,FALSE))</f>
        <v>0</v>
      </c>
      <c r="AJ233" s="95">
        <f>AI233*'Weighting Factors'!$Q$10</f>
        <v>0</v>
      </c>
      <c r="AK233" s="95">
        <f>IF(ISNA(VLOOKUP($CZ233,'Audit Values'!$A$2:$BU$353,2,FALSE)),'Preliminary SO66'!AR232,VLOOKUP($CZ233,'Audit Values'!$A$2:$BU$353,66,FALSE))</f>
        <v>73</v>
      </c>
      <c r="AL233" s="95"/>
      <c r="AM233" s="99">
        <f t="shared" si="125"/>
        <v>78110</v>
      </c>
      <c r="AN233" s="99">
        <v>139828</v>
      </c>
      <c r="AO233" s="95">
        <f>MAX(AN233, AM233)/'Weighting Factors'!$Q$5</f>
        <v>33.6</v>
      </c>
      <c r="AP233" s="95">
        <f>CN233/'Weighting Factors'!$Q$5</f>
        <v>0</v>
      </c>
      <c r="AQ233" s="95">
        <v>0</v>
      </c>
      <c r="AR233" s="95">
        <f>CS233/'Weighting Factors'!$Q$5</f>
        <v>0</v>
      </c>
      <c r="AS233" s="99">
        <v>635171</v>
      </c>
      <c r="AT233" s="95">
        <f>AS233/'Weighting Factors'!$Q$5</f>
        <v>152.5</v>
      </c>
      <c r="AU233" s="95">
        <f>IF(ISNA(VLOOKUP($CZ233,'Audit Values'!$A$2:$BU$353,2,FALSE)),'Preliminary SO66'!X232,VLOOKUP($CZ233,'Audit Values'!$A$2:$BU$353,47,FALSE))</f>
        <v>0</v>
      </c>
      <c r="AV233" s="95">
        <f t="shared" si="126"/>
        <v>1523.4</v>
      </c>
      <c r="AW233" s="95">
        <f t="shared" si="127"/>
        <v>1370.9</v>
      </c>
      <c r="AX233" s="95">
        <f>IF(ISNA(VLOOKUP($CZ233,'Audit Values'!$A$2:$BU$353,2,FALSE)),'Preliminary SO66'!AA232,VLOOKUP($CZ233,'Audit Values'!$A$2:$BU$353,41,FALSE))</f>
        <v>0</v>
      </c>
      <c r="AY233" s="95">
        <f>IF(ISNA(VLOOKUP($CZ233,'Audit Values'!$A$2:$BU$353,2,FALSE)),'Preliminary SO66'!AB232,VLOOKUP($CZ233,'Audit Values'!$A$2:$BU$353,42,FALSE))</f>
        <v>0</v>
      </c>
      <c r="AZ233" s="114">
        <v>0</v>
      </c>
      <c r="BA233" s="99">
        <f>SUM(AX233*'Weighting Factors'!$T$10)+('2019 Legal Max'!AY233*'Weighting Factors'!$T$11)+('2019 Legal Max'!AZ233*'Weighting Factors'!$T$12)</f>
        <v>0</v>
      </c>
      <c r="BB233" s="158">
        <v>0</v>
      </c>
      <c r="BC233" s="88">
        <f>IF(ISNA(VLOOKUP($CZ233,'Audit Values'!$A$2:$BU$353,2,FALSE)),"",IF(AND('Weighting Factors'!H233&gt;0,VLOOKUP($CZ233,'Audit Values'!$A$2:$BU$353,51,FALSE)&lt;'Weighting Factors'!H233),'Weighting Factors'!H233,VLOOKUP($CZ233,'Audit Values'!$A$2:$BU$353,50,FALSE)))</f>
        <v>11</v>
      </c>
      <c r="BD233" s="88" t="str">
        <f>IF(ISNA(VLOOKUP($CZ233,'Audit Values'!$A$2:$BV$353,2,FALSE)),"",VLOOKUP($CZ233,'Audit Values'!$A$2:$BV$353,51,FALSE))</f>
        <v>A</v>
      </c>
      <c r="BE233" s="88" t="str">
        <f>IF('Weighting Factors'!H233="","",IF('Weighting Factors'!J233="Pending","PX","R"))</f>
        <v/>
      </c>
      <c r="BF233" s="97">
        <f>SUM((S233+T233+Y233+AA233+AE233+AH233+AJ233++AO233+AP233+AQ233+AU233+AR233)*'Weighting Factors'!$Q$5)+'2019 Legal Max'!BA233+'2019 Legal Max'!BB233</f>
        <v>5709799</v>
      </c>
      <c r="BG233" s="99">
        <f>SUM((AV233+AR233)*'Weighting Factors'!$Q$5)+BA233+'2019 Legal Max'!BB233</f>
        <v>6344961</v>
      </c>
      <c r="BH233" s="108">
        <f>IF('Weighting Factors'!H233&gt;0,'Weighting Factors'!H233,'Preliminary SO66'!AV232)</f>
        <v>6414933</v>
      </c>
      <c r="BI233" s="99">
        <f t="shared" si="151"/>
        <v>6344961</v>
      </c>
      <c r="BJ233" s="112"/>
      <c r="BK233" s="112">
        <f>'Weighting Factors'!F233</f>
        <v>0</v>
      </c>
      <c r="BL233" s="112">
        <f>'Weighting Factors'!E233</f>
        <v>0</v>
      </c>
      <c r="BM233" s="99">
        <f t="shared" si="128"/>
        <v>0</v>
      </c>
      <c r="BN233" s="99">
        <f t="shared" si="129"/>
        <v>6344961</v>
      </c>
      <c r="BO233" s="99">
        <f>SUM((S233+T233+Y233+AA233+AE233+AH233+AJ233++AO233+AP233+AQ233+AR233)*'Weighting Factors'!Q$12)+(MAX(AS233,'Weighting Factors'!B233))</f>
        <v>6790512</v>
      </c>
      <c r="BP233" s="122">
        <v>0.3</v>
      </c>
      <c r="BQ233" s="99">
        <f t="shared" si="130"/>
        <v>2037154</v>
      </c>
      <c r="BR233" s="108">
        <v>2058170</v>
      </c>
      <c r="BS233" s="99">
        <f t="shared" si="131"/>
        <v>2037154</v>
      </c>
      <c r="BT233" s="167">
        <f t="shared" si="132"/>
        <v>0.3</v>
      </c>
      <c r="BU233" s="95">
        <f t="shared" si="133"/>
        <v>0</v>
      </c>
      <c r="BV233" s="87" t="b">
        <f t="shared" si="134"/>
        <v>0</v>
      </c>
      <c r="BW233" s="117">
        <f t="shared" si="135"/>
        <v>0</v>
      </c>
      <c r="BX233" s="116">
        <f t="shared" si="136"/>
        <v>0</v>
      </c>
      <c r="BY233" s="95">
        <f t="shared" si="137"/>
        <v>0</v>
      </c>
      <c r="BZ233" s="87" t="b">
        <f t="shared" si="138"/>
        <v>1</v>
      </c>
      <c r="CA233" s="87">
        <f t="shared" si="139"/>
        <v>637.18880000000001</v>
      </c>
      <c r="CB233" s="116">
        <f t="shared" si="140"/>
        <v>0.30925000000000002</v>
      </c>
      <c r="CC233" s="95">
        <f t="shared" si="141"/>
        <v>252</v>
      </c>
      <c r="CD233" s="95">
        <f t="shared" si="142"/>
        <v>0</v>
      </c>
      <c r="CE233" s="98">
        <v>140</v>
      </c>
      <c r="CF233" s="250">
        <f t="shared" si="143"/>
        <v>0.52100000000000002</v>
      </c>
      <c r="CG233" s="274">
        <f>IF(CF233&lt;0.06,1,IF(CF233&gt;=18.29,52,MATCH(CF233-0.001,'Weighting Factors'!$Y$5:$Y$156)+1))</f>
        <v>26</v>
      </c>
      <c r="CH233" s="243">
        <f>VLOOKUP(CG233, 'Weighting Factors'!$W$5:$Z$56,4)</f>
        <v>1070</v>
      </c>
      <c r="CI233" s="118">
        <f>('Weighting Factors'!$Q$5/'Weighting Factors'!$Q$14)</f>
        <v>1</v>
      </c>
      <c r="CJ233" s="245">
        <f t="shared" si="144"/>
        <v>78110</v>
      </c>
      <c r="CK233" s="245">
        <f>CJ233*'Weighting Factors'!$S$7</f>
        <v>78110</v>
      </c>
      <c r="CL233" s="245">
        <f t="shared" si="145"/>
        <v>78110</v>
      </c>
      <c r="CM233" s="95">
        <f>AM233/'Weighting Factors'!$Q$5</f>
        <v>18.8</v>
      </c>
      <c r="CN233" s="148">
        <v>0</v>
      </c>
      <c r="CO233" s="148">
        <v>0</v>
      </c>
      <c r="CP233" s="149">
        <v>0</v>
      </c>
      <c r="CQ233" s="151">
        <v>0</v>
      </c>
      <c r="CR233" s="99">
        <f>SUM((AV233*'Weighting Factors'!$Q$5)+'2019 Legal Max'!BA233)*CQ233</f>
        <v>0</v>
      </c>
      <c r="CS233" s="99">
        <f t="shared" si="146"/>
        <v>0</v>
      </c>
      <c r="CT233" s="106">
        <f t="shared" si="147"/>
        <v>0.54759999999999998</v>
      </c>
      <c r="CU233" s="95">
        <f t="shared" si="148"/>
        <v>45.9</v>
      </c>
      <c r="CV233" s="95">
        <f t="shared" si="149"/>
        <v>0</v>
      </c>
      <c r="CW233" s="95">
        <f t="shared" si="150"/>
        <v>1523.4</v>
      </c>
      <c r="CX233" s="99">
        <f>'LOB Transfers'!G232</f>
        <v>284590</v>
      </c>
      <c r="CY233" s="99">
        <f>'LOB Transfers'!J232</f>
        <v>0</v>
      </c>
      <c r="CZ233" s="87" t="s">
        <v>425</v>
      </c>
    </row>
    <row r="234" spans="1:104" ht="15" customHeight="1">
      <c r="A234" s="88">
        <v>448</v>
      </c>
      <c r="B234" s="87" t="s">
        <v>91</v>
      </c>
      <c r="C234" s="87" t="s">
        <v>746</v>
      </c>
      <c r="D234" s="95">
        <v>410.1</v>
      </c>
      <c r="E234" s="95">
        <v>0</v>
      </c>
      <c r="F234" s="95">
        <f t="shared" si="117"/>
        <v>410.1</v>
      </c>
      <c r="G234" s="95">
        <v>410.9</v>
      </c>
      <c r="H234" s="95">
        <v>0</v>
      </c>
      <c r="I234" s="95">
        <f t="shared" si="118"/>
        <v>410.9</v>
      </c>
      <c r="J234" s="95">
        <v>414.5</v>
      </c>
      <c r="K234" s="95">
        <v>0</v>
      </c>
      <c r="L234" s="95">
        <f t="shared" si="119"/>
        <v>414.5</v>
      </c>
      <c r="M234" s="95">
        <f>IF(ISNA(VLOOKUP($CZ234,'Audit Values'!$A$2:$BW$365,2,FALSE)),'Preliminary SO66'!C233,VLOOKUP($CZ234,'Audit Values'!$A$2:$BW$365,73,FALSE))</f>
        <v>387.5</v>
      </c>
      <c r="N234" s="95">
        <f>IF(ISNA(VLOOKUP($CZ234,'Audit Values'!$A$2:$BW$365,2,FALSE)),'Preliminary SO66'!F233,VLOOKUP($CZ234,'Audit Values'!$A$2:$BW$365,4,FALSE))</f>
        <v>0</v>
      </c>
      <c r="O234" s="95">
        <f t="shared" si="120"/>
        <v>387.5</v>
      </c>
      <c r="P234" s="95">
        <f>IF('Military Provision'!J235="YES", MAX('2019 Legal Max'!L234,'2019 Legal Max'!I234,AVERAGE('2019 Legal Max'!F234,'2019 Legal Max'!I234,'2019 Legal Max'!L234)), MAX(L234, I234))</f>
        <v>414.5</v>
      </c>
      <c r="Q234" s="95">
        <f>IF(ISNA(VLOOKUP($CZ234,'Audit Values'!$A$2:$BU$353,2,FALSE)),'Preliminary SO66'!AL233,VLOOKUP($CZ234,'Audit Values'!$A$2:$BU$3955,58,FALSE))</f>
        <v>6</v>
      </c>
      <c r="R234" s="95">
        <v>0</v>
      </c>
      <c r="S234" s="95">
        <f t="shared" si="152"/>
        <v>420.5</v>
      </c>
      <c r="T234" s="95">
        <f t="shared" si="121"/>
        <v>186.4</v>
      </c>
      <c r="U234" s="95">
        <f>IF(ISNA(VLOOKUP($CZ234,'Audit Values'!$A$2:$BW$317,2,FALSE)),'Preliminary SO66'!AM233,VLOOKUP($CZ234,'Audit Values'!$A$2:$BW$317,62,FALSE))</f>
        <v>0</v>
      </c>
      <c r="V234" s="95">
        <f>(U234/6)*'Weighting Factors'!$Q$7</f>
        <v>0</v>
      </c>
      <c r="W234" s="132">
        <f>IF(ISNA(VLOOKUP($CZ234,'Audit Values'!$A$2:$BW$353,2,FALSE)),'Preliminary SO66'!AN233,VLOOKUP($CZ234,'Audit Values'!$A$2:$BW$353,61,FALSE))</f>
        <v>0</v>
      </c>
      <c r="X234" s="95">
        <f>W234*'Weighting Factors'!$Q$8</f>
        <v>0</v>
      </c>
      <c r="Y234" s="95">
        <f t="shared" si="122"/>
        <v>0</v>
      </c>
      <c r="Z234" s="276">
        <f>IF(ISNA(VLOOKUP($CZ234,'Audit Values'!$A$2:$BW$317,2,FALSE)),'Preliminary SO66'!AO233,VLOOKUP($CZ234,'Audit Values'!$A$2:$BW$317,60,FALSE))</f>
        <v>317.10000000000002</v>
      </c>
      <c r="AA234" s="95">
        <f>Z234/6*'Weighting Factors'!$Q$6</f>
        <v>26.4</v>
      </c>
      <c r="AB234" s="99">
        <f>IF(ISNA(VLOOKUP($CZ234,'Audit Values'!$A$2:$BU$353,2,FALSE)),'Preliminary SO66'!AS233,VLOOKUP($CZ234,'Audit Values'!$A$2:$BU$353,63,FALSE))</f>
        <v>404</v>
      </c>
      <c r="AC234" s="99">
        <v>0</v>
      </c>
      <c r="AD234" s="99">
        <f>IF(ISNA(VLOOKUP($CZ234,'Audit Values'!$A$2:$BU$353,2,FALSE)),'Preliminary SO66'!AP233,VLOOKUP($CZ234,'Audit Values'!$A$2:$BU$353,64,FALSE))</f>
        <v>80</v>
      </c>
      <c r="AE234" s="95">
        <f>IF(A234=207, AD234,MAX(AC234,AD234))*'Weighting Factors'!$Q$9</f>
        <v>38.700000000000003</v>
      </c>
      <c r="AF234" s="95">
        <f t="shared" si="123"/>
        <v>0</v>
      </c>
      <c r="AG234" s="95">
        <f>IF(ISNA(VLOOKUP($CZ234,'Audit Values'!$A$2:$BW$353,2,FALSE)),'Preliminary SO66'!AG233,VLOOKUP($CZ234,'Audit Values'!$A$2:$BW$353,70,FALSE))</f>
        <v>0</v>
      </c>
      <c r="AH234" s="95">
        <f t="shared" si="124"/>
        <v>0</v>
      </c>
      <c r="AI234" s="95">
        <f>IF(ISNA(VLOOKUP($CZ234,'Audit Values'!$A$2:$BU$353,2,FALSE)),'Preliminary SO66'!AQ233,VLOOKUP($CZ234,'Audit Values'!$A$2:$BU$353,65,FALSE))</f>
        <v>0</v>
      </c>
      <c r="AJ234" s="95">
        <f>AI234*'Weighting Factors'!$Q$10</f>
        <v>0</v>
      </c>
      <c r="AK234" s="95">
        <f>IF(ISNA(VLOOKUP($CZ234,'Audit Values'!$A$2:$BU$353,2,FALSE)),'Preliminary SO66'!AR233,VLOOKUP($CZ234,'Audit Values'!$A$2:$BU$353,66,FALSE))</f>
        <v>86</v>
      </c>
      <c r="AL234" s="95"/>
      <c r="AM234" s="99">
        <f t="shared" si="125"/>
        <v>90300</v>
      </c>
      <c r="AN234" s="99">
        <v>124420</v>
      </c>
      <c r="AO234" s="95">
        <f>MAX(AN234, AM234)/'Weighting Factors'!$Q$5</f>
        <v>29.9</v>
      </c>
      <c r="AP234" s="95">
        <f>CN234/'Weighting Factors'!$Q$5</f>
        <v>0</v>
      </c>
      <c r="AQ234" s="95">
        <v>0</v>
      </c>
      <c r="AR234" s="95">
        <f>CS234/'Weighting Factors'!$Q$5</f>
        <v>0</v>
      </c>
      <c r="AS234" s="99">
        <v>537776</v>
      </c>
      <c r="AT234" s="95">
        <f>AS234/'Weighting Factors'!$Q$5</f>
        <v>129.1</v>
      </c>
      <c r="AU234" s="95">
        <f>IF(ISNA(VLOOKUP($CZ234,'Audit Values'!$A$2:$BU$353,2,FALSE)),'Preliminary SO66'!X233,VLOOKUP($CZ234,'Audit Values'!$A$2:$BU$353,47,FALSE))</f>
        <v>0</v>
      </c>
      <c r="AV234" s="95">
        <f t="shared" si="126"/>
        <v>831</v>
      </c>
      <c r="AW234" s="95">
        <f t="shared" si="127"/>
        <v>701.9</v>
      </c>
      <c r="AX234" s="95">
        <f>IF(ISNA(VLOOKUP($CZ234,'Audit Values'!$A$2:$BU$353,2,FALSE)),'Preliminary SO66'!AA233,VLOOKUP($CZ234,'Audit Values'!$A$2:$BU$353,41,FALSE))</f>
        <v>0</v>
      </c>
      <c r="AY234" s="95">
        <f>IF(ISNA(VLOOKUP($CZ234,'Audit Values'!$A$2:$BU$353,2,FALSE)),'Preliminary SO66'!AB233,VLOOKUP($CZ234,'Audit Values'!$A$2:$BU$353,42,FALSE))</f>
        <v>0</v>
      </c>
      <c r="AZ234" s="114">
        <v>0</v>
      </c>
      <c r="BA234" s="99">
        <f>SUM(AX234*'Weighting Factors'!$T$10)+('2019 Legal Max'!AY234*'Weighting Factors'!$T$11)+('2019 Legal Max'!AZ234*'Weighting Factors'!$T$12)</f>
        <v>0</v>
      </c>
      <c r="BB234" s="158">
        <v>0</v>
      </c>
      <c r="BC234" s="88">
        <f>IF(ISNA(VLOOKUP($CZ234,'Audit Values'!$A$2:$BU$353,2,FALSE)),"",IF(AND('Weighting Factors'!H234&gt;0,VLOOKUP($CZ234,'Audit Values'!$A$2:$BU$353,51,FALSE)&lt;'Weighting Factors'!H234),'Weighting Factors'!H234,VLOOKUP($CZ234,'Audit Values'!$A$2:$BU$353,50,FALSE)))</f>
        <v>17</v>
      </c>
      <c r="BD234" s="88" t="str">
        <f>IF(ISNA(VLOOKUP($CZ234,'Audit Values'!$A$2:$BV$353,2,FALSE)),"",VLOOKUP($CZ234,'Audit Values'!$A$2:$BV$353,51,FALSE))</f>
        <v>A</v>
      </c>
      <c r="BE234" s="88" t="str">
        <f>IF('Weighting Factors'!H234="","",IF('Weighting Factors'!J234="Pending","PX","R"))</f>
        <v/>
      </c>
      <c r="BF234" s="97">
        <f>SUM((S234+T234+Y234+AA234+AE234+AH234+AJ234++AO234+AP234+AQ234+AU234+AR234)*'Weighting Factors'!$Q$5)+'2019 Legal Max'!BA234+'2019 Legal Max'!BB234</f>
        <v>2923414</v>
      </c>
      <c r="BG234" s="99">
        <f>SUM((AV234+AR234)*'Weighting Factors'!$Q$5)+BA234+'2019 Legal Max'!BB234</f>
        <v>3461115</v>
      </c>
      <c r="BH234" s="108">
        <f>IF('Weighting Factors'!H234&gt;0,'Weighting Factors'!H234,'Preliminary SO66'!AV233)</f>
        <v>3622717</v>
      </c>
      <c r="BI234" s="99">
        <f t="shared" si="151"/>
        <v>3461115</v>
      </c>
      <c r="BJ234" s="112"/>
      <c r="BK234" s="112">
        <f>'Weighting Factors'!F234</f>
        <v>-13534</v>
      </c>
      <c r="BL234" s="112">
        <f>'Weighting Factors'!E234</f>
        <v>0</v>
      </c>
      <c r="BM234" s="99">
        <f t="shared" si="128"/>
        <v>-13534</v>
      </c>
      <c r="BN234" s="99">
        <f t="shared" si="129"/>
        <v>3447581</v>
      </c>
      <c r="BO234" s="99">
        <f>SUM((S234+T234+Y234+AA234+AE234+AH234+AJ234++AO234+AP234+AQ234+AR234)*'Weighting Factors'!Q$12)+(MAX(AS234,'Weighting Factors'!B234))</f>
        <v>3689307</v>
      </c>
      <c r="BP234" s="122">
        <v>0.33</v>
      </c>
      <c r="BQ234" s="99">
        <f t="shared" si="130"/>
        <v>1217471</v>
      </c>
      <c r="BR234" s="108">
        <v>1272306</v>
      </c>
      <c r="BS234" s="99">
        <f t="shared" si="131"/>
        <v>1217471</v>
      </c>
      <c r="BT234" s="167">
        <f t="shared" si="132"/>
        <v>0.33</v>
      </c>
      <c r="BU234" s="95">
        <f t="shared" si="133"/>
        <v>0</v>
      </c>
      <c r="BV234" s="87" t="b">
        <f t="shared" si="134"/>
        <v>0</v>
      </c>
      <c r="BW234" s="117">
        <f t="shared" si="135"/>
        <v>0</v>
      </c>
      <c r="BX234" s="116">
        <f t="shared" si="136"/>
        <v>0</v>
      </c>
      <c r="BY234" s="95">
        <f t="shared" si="137"/>
        <v>0</v>
      </c>
      <c r="BZ234" s="87" t="b">
        <f t="shared" si="138"/>
        <v>1</v>
      </c>
      <c r="CA234" s="87">
        <f t="shared" si="139"/>
        <v>149.11879999999999</v>
      </c>
      <c r="CB234" s="116">
        <f t="shared" si="140"/>
        <v>0.443247</v>
      </c>
      <c r="CC234" s="95">
        <f t="shared" si="141"/>
        <v>186.4</v>
      </c>
      <c r="CD234" s="95">
        <f t="shared" si="142"/>
        <v>0</v>
      </c>
      <c r="CE234" s="98">
        <v>144</v>
      </c>
      <c r="CF234" s="250">
        <f t="shared" si="143"/>
        <v>0.59699999999999998</v>
      </c>
      <c r="CG234" s="274">
        <f>IF(CF234&lt;0.06,1,IF(CF234&gt;=18.29,52,MATCH(CF234-0.001,'Weighting Factors'!$Y$5:$Y$156)+1))</f>
        <v>27</v>
      </c>
      <c r="CH234" s="243">
        <f>VLOOKUP(CG234, 'Weighting Factors'!$W$5:$Z$56,4)</f>
        <v>1050</v>
      </c>
      <c r="CI234" s="118">
        <f>('Weighting Factors'!$Q$5/'Weighting Factors'!$Q$14)</f>
        <v>1</v>
      </c>
      <c r="CJ234" s="245">
        <f t="shared" si="144"/>
        <v>90300</v>
      </c>
      <c r="CK234" s="245">
        <f>CJ234*'Weighting Factors'!$S$7</f>
        <v>90300</v>
      </c>
      <c r="CL234" s="245">
        <f t="shared" si="145"/>
        <v>90300</v>
      </c>
      <c r="CM234" s="95">
        <f>AM234/'Weighting Factors'!$Q$5</f>
        <v>21.7</v>
      </c>
      <c r="CN234" s="148">
        <v>0</v>
      </c>
      <c r="CO234" s="148">
        <v>0</v>
      </c>
      <c r="CP234" s="149">
        <v>0</v>
      </c>
      <c r="CQ234" s="151">
        <v>0</v>
      </c>
      <c r="CR234" s="99">
        <f>SUM((AV234*'Weighting Factors'!$Q$5)+'2019 Legal Max'!BA234)*CQ234</f>
        <v>0</v>
      </c>
      <c r="CS234" s="99">
        <f t="shared" si="146"/>
        <v>0</v>
      </c>
      <c r="CT234" s="106">
        <f t="shared" si="147"/>
        <v>0.19800000000000001</v>
      </c>
      <c r="CU234" s="95">
        <f t="shared" si="148"/>
        <v>0</v>
      </c>
      <c r="CV234" s="95">
        <f t="shared" si="149"/>
        <v>0</v>
      </c>
      <c r="CW234" s="95">
        <f t="shared" si="150"/>
        <v>831</v>
      </c>
      <c r="CX234" s="99">
        <f>'LOB Transfers'!G233</f>
        <v>57099</v>
      </c>
      <c r="CY234" s="99">
        <f>'LOB Transfers'!J233</f>
        <v>0</v>
      </c>
      <c r="CZ234" s="87" t="s">
        <v>426</v>
      </c>
    </row>
    <row r="235" spans="1:104" ht="15" customHeight="1">
      <c r="A235" s="88">
        <v>449</v>
      </c>
      <c r="B235" s="87" t="s">
        <v>11</v>
      </c>
      <c r="C235" s="87" t="s">
        <v>747</v>
      </c>
      <c r="D235" s="95">
        <v>599.5</v>
      </c>
      <c r="E235" s="95">
        <v>0</v>
      </c>
      <c r="F235" s="95">
        <f t="shared" si="117"/>
        <v>599.5</v>
      </c>
      <c r="G235" s="95">
        <v>604.29999999999995</v>
      </c>
      <c r="H235" s="95">
        <v>0</v>
      </c>
      <c r="I235" s="95">
        <f t="shared" si="118"/>
        <v>604.29999999999995</v>
      </c>
      <c r="J235" s="95">
        <v>624.29999999999995</v>
      </c>
      <c r="K235" s="95">
        <v>0</v>
      </c>
      <c r="L235" s="95">
        <f t="shared" si="119"/>
        <v>624.29999999999995</v>
      </c>
      <c r="M235" s="95">
        <f>IF(ISNA(VLOOKUP($CZ235,'Audit Values'!$A$2:$BW$365,2,FALSE)),'Preliminary SO66'!C234,VLOOKUP($CZ235,'Audit Values'!$A$2:$BW$365,73,FALSE))</f>
        <v>651.29999999999995</v>
      </c>
      <c r="N235" s="95">
        <f>IF(ISNA(VLOOKUP($CZ235,'Audit Values'!$A$2:$BW$365,2,FALSE)),'Preliminary SO66'!F234,VLOOKUP($CZ235,'Audit Values'!$A$2:$BW$365,4,FALSE))</f>
        <v>0</v>
      </c>
      <c r="O235" s="95">
        <f t="shared" si="120"/>
        <v>651.29999999999995</v>
      </c>
      <c r="P235" s="95">
        <f>IF('Military Provision'!J236="YES", MAX('2019 Legal Max'!L235,'2019 Legal Max'!I235,AVERAGE('2019 Legal Max'!F235,'2019 Legal Max'!I235,'2019 Legal Max'!L235)), MAX(L235, I235))</f>
        <v>624.29999999999995</v>
      </c>
      <c r="Q235" s="95">
        <f>IF(ISNA(VLOOKUP($CZ235,'Audit Values'!$A$2:$BU$353,2,FALSE)),'Preliminary SO66'!AL234,VLOOKUP($CZ235,'Audit Values'!$A$2:$BU$3955,58,FALSE))</f>
        <v>0</v>
      </c>
      <c r="R235" s="95">
        <v>0</v>
      </c>
      <c r="S235" s="95">
        <f t="shared" si="152"/>
        <v>624.29999999999995</v>
      </c>
      <c r="T235" s="95">
        <f t="shared" si="121"/>
        <v>233.5</v>
      </c>
      <c r="U235" s="95">
        <f>IF(ISNA(VLOOKUP($CZ235,'Audit Values'!$A$2:$BW$317,2,FALSE)),'Preliminary SO66'!AM234,VLOOKUP($CZ235,'Audit Values'!$A$2:$BW$317,62,FALSE))</f>
        <v>0</v>
      </c>
      <c r="V235" s="95">
        <f>(U235/6)*'Weighting Factors'!$Q$7</f>
        <v>0</v>
      </c>
      <c r="W235" s="132">
        <f>IF(ISNA(VLOOKUP($CZ235,'Audit Values'!$A$2:$BW$353,2,FALSE)),'Preliminary SO66'!AN234,VLOOKUP($CZ235,'Audit Values'!$A$2:$BW$353,61,FALSE))</f>
        <v>0</v>
      </c>
      <c r="X235" s="95">
        <f>W235*'Weighting Factors'!$Q$8</f>
        <v>0</v>
      </c>
      <c r="Y235" s="95">
        <f t="shared" si="122"/>
        <v>0</v>
      </c>
      <c r="Z235" s="276">
        <f>IF(ISNA(VLOOKUP($CZ235,'Audit Values'!$A$2:$BW$317,2,FALSE)),'Preliminary SO66'!AO234,VLOOKUP($CZ235,'Audit Values'!$A$2:$BW$317,60,FALSE))</f>
        <v>209.7</v>
      </c>
      <c r="AA235" s="95">
        <f>Z235/6*'Weighting Factors'!$Q$6</f>
        <v>17.5</v>
      </c>
      <c r="AB235" s="99">
        <f>IF(ISNA(VLOOKUP($CZ235,'Audit Values'!$A$2:$BU$353,2,FALSE)),'Preliminary SO66'!AS234,VLOOKUP($CZ235,'Audit Values'!$A$2:$BU$353,63,FALSE))</f>
        <v>656</v>
      </c>
      <c r="AC235" s="99">
        <v>0</v>
      </c>
      <c r="AD235" s="99">
        <f>IF(ISNA(VLOOKUP($CZ235,'Audit Values'!$A$2:$BU$353,2,FALSE)),'Preliminary SO66'!AP234,VLOOKUP($CZ235,'Audit Values'!$A$2:$BU$353,64,FALSE))</f>
        <v>138</v>
      </c>
      <c r="AE235" s="95">
        <f>IF(A235=207, AD235,MAX(AC235,AD235))*'Weighting Factors'!$Q$9</f>
        <v>66.8</v>
      </c>
      <c r="AF235" s="95">
        <f t="shared" si="123"/>
        <v>0</v>
      </c>
      <c r="AG235" s="95">
        <f>IF(ISNA(VLOOKUP($CZ235,'Audit Values'!$A$2:$BW$353,2,FALSE)),'Preliminary SO66'!AG234,VLOOKUP($CZ235,'Audit Values'!$A$2:$BW$353,70,FALSE))</f>
        <v>0</v>
      </c>
      <c r="AH235" s="95">
        <f t="shared" si="124"/>
        <v>0</v>
      </c>
      <c r="AI235" s="95">
        <f>IF(ISNA(VLOOKUP($CZ235,'Audit Values'!$A$2:$BU$353,2,FALSE)),'Preliminary SO66'!AQ234,VLOOKUP($CZ235,'Audit Values'!$A$2:$BU$353,65,FALSE))</f>
        <v>0</v>
      </c>
      <c r="AJ235" s="95">
        <f>AI235*'Weighting Factors'!$Q$10</f>
        <v>0</v>
      </c>
      <c r="AK235" s="95">
        <f>IF(ISNA(VLOOKUP($CZ235,'Audit Values'!$A$2:$BU$353,2,FALSE)),'Preliminary SO66'!AR234,VLOOKUP($CZ235,'Audit Values'!$A$2:$BU$353,66,FALSE))</f>
        <v>319</v>
      </c>
      <c r="AL235" s="95"/>
      <c r="AM235" s="99">
        <f t="shared" si="125"/>
        <v>252010</v>
      </c>
      <c r="AN235" s="99">
        <v>292752</v>
      </c>
      <c r="AO235" s="95">
        <f>MAX(AN235, AM235)/'Weighting Factors'!$Q$5</f>
        <v>70.3</v>
      </c>
      <c r="AP235" s="95">
        <f>CN235/'Weighting Factors'!$Q$5</f>
        <v>0</v>
      </c>
      <c r="AQ235" s="95">
        <v>0</v>
      </c>
      <c r="AR235" s="95">
        <f>CS235/'Weighting Factors'!$Q$5</f>
        <v>0</v>
      </c>
      <c r="AS235" s="99">
        <v>920836</v>
      </c>
      <c r="AT235" s="95">
        <f>AS235/'Weighting Factors'!$Q$5</f>
        <v>221.1</v>
      </c>
      <c r="AU235" s="95">
        <f>IF(ISNA(VLOOKUP($CZ235,'Audit Values'!$A$2:$BU$353,2,FALSE)),'Preliminary SO66'!X234,VLOOKUP($CZ235,'Audit Values'!$A$2:$BU$353,47,FALSE))</f>
        <v>0</v>
      </c>
      <c r="AV235" s="95">
        <f t="shared" si="126"/>
        <v>1233.5</v>
      </c>
      <c r="AW235" s="95">
        <f t="shared" si="127"/>
        <v>1012.4</v>
      </c>
      <c r="AX235" s="95">
        <f>IF(ISNA(VLOOKUP($CZ235,'Audit Values'!$A$2:$BU$353,2,FALSE)),'Preliminary SO66'!AA234,VLOOKUP($CZ235,'Audit Values'!$A$2:$BU$353,41,FALSE))</f>
        <v>0</v>
      </c>
      <c r="AY235" s="95">
        <f>IF(ISNA(VLOOKUP($CZ235,'Audit Values'!$A$2:$BU$353,2,FALSE)),'Preliminary SO66'!AB234,VLOOKUP($CZ235,'Audit Values'!$A$2:$BU$353,42,FALSE))</f>
        <v>0</v>
      </c>
      <c r="AZ235" s="114">
        <v>0</v>
      </c>
      <c r="BA235" s="99">
        <f>SUM(AX235*'Weighting Factors'!$T$10)+('2019 Legal Max'!AY235*'Weighting Factors'!$T$11)+('2019 Legal Max'!AZ235*'Weighting Factors'!$T$12)</f>
        <v>0</v>
      </c>
      <c r="BB235" s="158">
        <v>0</v>
      </c>
      <c r="BC235" s="88">
        <f>IF(ISNA(VLOOKUP($CZ235,'Audit Values'!$A$2:$BU$353,2,FALSE)),"",IF(AND('Weighting Factors'!H235&gt;0,VLOOKUP($CZ235,'Audit Values'!$A$2:$BU$353,51,FALSE)&lt;'Weighting Factors'!H235),'Weighting Factors'!H235,VLOOKUP($CZ235,'Audit Values'!$A$2:$BU$353,50,FALSE)))</f>
        <v>18</v>
      </c>
      <c r="BD235" s="88" t="str">
        <f>IF(ISNA(VLOOKUP($CZ235,'Audit Values'!$A$2:$BV$353,2,FALSE)),"",VLOOKUP($CZ235,'Audit Values'!$A$2:$BV$353,51,FALSE))</f>
        <v>A</v>
      </c>
      <c r="BE235" s="88" t="str">
        <f>IF('Weighting Factors'!H235="","",IF('Weighting Factors'!J235="Pending","PX","R"))</f>
        <v/>
      </c>
      <c r="BF235" s="97">
        <f>SUM((S235+T235+Y235+AA235+AE235+AH235+AJ235++AO235+AP235+AQ235+AU235+AR235)*'Weighting Factors'!$Q$5)+'2019 Legal Max'!BA235+'2019 Legal Max'!BB235</f>
        <v>4216646</v>
      </c>
      <c r="BG235" s="99">
        <f>SUM((AV235+AR235)*'Weighting Factors'!$Q$5)+BA235+'2019 Legal Max'!BB235</f>
        <v>5137528</v>
      </c>
      <c r="BH235" s="108">
        <f>IF('Weighting Factors'!H235&gt;0,'Weighting Factors'!H235,'Preliminary SO66'!AV234)</f>
        <v>5195421</v>
      </c>
      <c r="BI235" s="99">
        <f t="shared" si="151"/>
        <v>5137528</v>
      </c>
      <c r="BJ235" s="112"/>
      <c r="BK235" s="112">
        <f>'Weighting Factors'!F235</f>
        <v>0</v>
      </c>
      <c r="BL235" s="112">
        <f>'Weighting Factors'!E235</f>
        <v>0</v>
      </c>
      <c r="BM235" s="99">
        <f t="shared" si="128"/>
        <v>0</v>
      </c>
      <c r="BN235" s="99">
        <f t="shared" si="129"/>
        <v>5137528</v>
      </c>
      <c r="BO235" s="99">
        <f>SUM((S235+T235+Y235+AA235+AE235+AH235+AJ235++AO235+AP235+AQ235+AR235)*'Weighting Factors'!Q$12)+(MAX(AS235,'Weighting Factors'!B235))</f>
        <v>5466512</v>
      </c>
      <c r="BP235" s="122">
        <v>0.3</v>
      </c>
      <c r="BQ235" s="99">
        <f t="shared" si="130"/>
        <v>1639954</v>
      </c>
      <c r="BR235" s="108">
        <v>1656579</v>
      </c>
      <c r="BS235" s="99">
        <f t="shared" si="131"/>
        <v>1639954</v>
      </c>
      <c r="BT235" s="167">
        <f t="shared" si="132"/>
        <v>0.3</v>
      </c>
      <c r="BU235" s="95">
        <f t="shared" si="133"/>
        <v>0</v>
      </c>
      <c r="BV235" s="87" t="b">
        <f t="shared" si="134"/>
        <v>0</v>
      </c>
      <c r="BW235" s="117">
        <f t="shared" si="135"/>
        <v>0</v>
      </c>
      <c r="BX235" s="116">
        <f t="shared" si="136"/>
        <v>0</v>
      </c>
      <c r="BY235" s="95">
        <f t="shared" si="137"/>
        <v>0</v>
      </c>
      <c r="BZ235" s="87" t="b">
        <f t="shared" si="138"/>
        <v>1</v>
      </c>
      <c r="CA235" s="87">
        <f t="shared" si="139"/>
        <v>401.32130000000001</v>
      </c>
      <c r="CB235" s="116">
        <f t="shared" si="140"/>
        <v>0.37400600000000001</v>
      </c>
      <c r="CC235" s="95">
        <f t="shared" si="141"/>
        <v>233.5</v>
      </c>
      <c r="CD235" s="95">
        <f t="shared" si="142"/>
        <v>0</v>
      </c>
      <c r="CE235" s="98">
        <v>117</v>
      </c>
      <c r="CF235" s="250">
        <f t="shared" si="143"/>
        <v>2.726</v>
      </c>
      <c r="CG235" s="274">
        <f>IF(CF235&lt;0.06,1,IF(CF235&gt;=18.29,52,MATCH(CF235-0.001,'Weighting Factors'!$Y$5:$Y$156)+1))</f>
        <v>40</v>
      </c>
      <c r="CH235" s="243">
        <f>VLOOKUP(CG235, 'Weighting Factors'!$W$5:$Z$56,4)</f>
        <v>790</v>
      </c>
      <c r="CI235" s="118">
        <f>('Weighting Factors'!$Q$5/'Weighting Factors'!$Q$14)</f>
        <v>1</v>
      </c>
      <c r="CJ235" s="245">
        <f t="shared" si="144"/>
        <v>252010</v>
      </c>
      <c r="CK235" s="245">
        <f>CJ235*'Weighting Factors'!$S$7</f>
        <v>252010</v>
      </c>
      <c r="CL235" s="245">
        <f t="shared" si="145"/>
        <v>252010</v>
      </c>
      <c r="CM235" s="95">
        <f>AM235/'Weighting Factors'!$Q$5</f>
        <v>60.5</v>
      </c>
      <c r="CN235" s="148">
        <v>0</v>
      </c>
      <c r="CO235" s="148">
        <v>0</v>
      </c>
      <c r="CP235" s="149">
        <v>0</v>
      </c>
      <c r="CQ235" s="151">
        <v>0</v>
      </c>
      <c r="CR235" s="99">
        <f>SUM((AV235*'Weighting Factors'!$Q$5)+'2019 Legal Max'!BA235)*CQ235</f>
        <v>0</v>
      </c>
      <c r="CS235" s="99">
        <f t="shared" si="146"/>
        <v>0</v>
      </c>
      <c r="CT235" s="106">
        <f t="shared" si="147"/>
        <v>0.2104</v>
      </c>
      <c r="CU235" s="95">
        <f t="shared" si="148"/>
        <v>0</v>
      </c>
      <c r="CV235" s="95">
        <f t="shared" si="149"/>
        <v>0</v>
      </c>
      <c r="CW235" s="95">
        <f t="shared" si="150"/>
        <v>1233.5</v>
      </c>
      <c r="CX235" s="99">
        <f>'LOB Transfers'!G234</f>
        <v>88886</v>
      </c>
      <c r="CY235" s="99">
        <f>'LOB Transfers'!J234</f>
        <v>0</v>
      </c>
      <c r="CZ235" s="87" t="s">
        <v>427</v>
      </c>
    </row>
    <row r="236" spans="1:104" ht="15" customHeight="1">
      <c r="A236" s="88">
        <v>450</v>
      </c>
      <c r="B236" s="87" t="s">
        <v>61</v>
      </c>
      <c r="C236" s="87" t="s">
        <v>748</v>
      </c>
      <c r="D236" s="95">
        <v>3427</v>
      </c>
      <c r="E236" s="95">
        <v>0</v>
      </c>
      <c r="F236" s="95">
        <f t="shared" si="117"/>
        <v>3427</v>
      </c>
      <c r="G236" s="95">
        <v>3468.4</v>
      </c>
      <c r="H236" s="95">
        <v>0</v>
      </c>
      <c r="I236" s="95">
        <f t="shared" si="118"/>
        <v>3468.4</v>
      </c>
      <c r="J236" s="95">
        <v>3490.7</v>
      </c>
      <c r="K236" s="95">
        <v>0</v>
      </c>
      <c r="L236" s="95">
        <f t="shared" si="119"/>
        <v>3490.7</v>
      </c>
      <c r="M236" s="95">
        <f>IF(ISNA(VLOOKUP($CZ236,'Audit Values'!$A$2:$BW$365,2,FALSE)),'Preliminary SO66'!C235,VLOOKUP($CZ236,'Audit Values'!$A$2:$BW$365,73,FALSE))</f>
        <v>3420.5</v>
      </c>
      <c r="N236" s="95">
        <f>IF(ISNA(VLOOKUP($CZ236,'Audit Values'!$A$2:$BW$365,2,FALSE)),'Preliminary SO66'!F235,VLOOKUP($CZ236,'Audit Values'!$A$2:$BW$365,4,FALSE))</f>
        <v>0</v>
      </c>
      <c r="O236" s="95">
        <f t="shared" si="120"/>
        <v>3420.5</v>
      </c>
      <c r="P236" s="95">
        <f>IF('Military Provision'!J237="YES", MAX('2019 Legal Max'!L236,'2019 Legal Max'!I236,AVERAGE('2019 Legal Max'!F236,'2019 Legal Max'!I236,'2019 Legal Max'!L236)), MAX(L236, I236))</f>
        <v>3490.7</v>
      </c>
      <c r="Q236" s="95">
        <f>IF(ISNA(VLOOKUP($CZ236,'Audit Values'!$A$2:$BU$353,2,FALSE)),'Preliminary SO66'!AL235,VLOOKUP($CZ236,'Audit Values'!$A$2:$BU$3955,58,FALSE))</f>
        <v>20</v>
      </c>
      <c r="R236" s="95">
        <v>0</v>
      </c>
      <c r="S236" s="95">
        <f t="shared" si="152"/>
        <v>3510.7</v>
      </c>
      <c r="T236" s="95">
        <f t="shared" si="121"/>
        <v>123</v>
      </c>
      <c r="U236" s="95">
        <f>IF(ISNA(VLOOKUP($CZ236,'Audit Values'!$A$2:$BW$317,2,FALSE)),'Preliminary SO66'!AM235,VLOOKUP($CZ236,'Audit Values'!$A$2:$BW$317,62,FALSE))</f>
        <v>214.8</v>
      </c>
      <c r="V236" s="95">
        <f>(U236/6)*'Weighting Factors'!$Q$7</f>
        <v>14.1</v>
      </c>
      <c r="W236" s="132">
        <f>IF(ISNA(VLOOKUP($CZ236,'Audit Values'!$A$2:$BW$353,2,FALSE)),'Preliminary SO66'!AN235,VLOOKUP($CZ236,'Audit Values'!$A$2:$BW$353,61,FALSE))</f>
        <v>98</v>
      </c>
      <c r="X236" s="95">
        <f>W236*'Weighting Factors'!$Q$8</f>
        <v>18.100000000000001</v>
      </c>
      <c r="Y236" s="95">
        <f t="shared" si="122"/>
        <v>18.100000000000001</v>
      </c>
      <c r="Z236" s="276">
        <f>IF(ISNA(VLOOKUP($CZ236,'Audit Values'!$A$2:$BW$317,2,FALSE)),'Preliminary SO66'!AO235,VLOOKUP($CZ236,'Audit Values'!$A$2:$BW$317,60,FALSE))</f>
        <v>466.7</v>
      </c>
      <c r="AA236" s="95">
        <f>Z236/6*'Weighting Factors'!$Q$6</f>
        <v>38.9</v>
      </c>
      <c r="AB236" s="99">
        <f>IF(ISNA(VLOOKUP($CZ236,'Audit Values'!$A$2:$BU$353,2,FALSE)),'Preliminary SO66'!AS235,VLOOKUP($CZ236,'Audit Values'!$A$2:$BU$353,63,FALSE))</f>
        <v>3485</v>
      </c>
      <c r="AC236" s="99">
        <v>0</v>
      </c>
      <c r="AD236" s="99">
        <f>IF(ISNA(VLOOKUP($CZ236,'Audit Values'!$A$2:$BU$353,2,FALSE)),'Preliminary SO66'!AP235,VLOOKUP($CZ236,'Audit Values'!$A$2:$BU$353,64,FALSE))</f>
        <v>957</v>
      </c>
      <c r="AE236" s="95">
        <f>IF(A236=207, AD236,MAX(AC236,AD236))*'Weighting Factors'!$Q$9</f>
        <v>463.2</v>
      </c>
      <c r="AF236" s="95">
        <f t="shared" si="123"/>
        <v>0</v>
      </c>
      <c r="AG236" s="95">
        <f>IF(ISNA(VLOOKUP($CZ236,'Audit Values'!$A$2:$BW$353,2,FALSE)),'Preliminary SO66'!AG235,VLOOKUP($CZ236,'Audit Values'!$A$2:$BW$353,70,FALSE))</f>
        <v>6.3</v>
      </c>
      <c r="AH236" s="95">
        <f t="shared" si="124"/>
        <v>6.3</v>
      </c>
      <c r="AI236" s="95">
        <f>IF(ISNA(VLOOKUP($CZ236,'Audit Values'!$A$2:$BU$353,2,FALSE)),'Preliminary SO66'!AQ235,VLOOKUP($CZ236,'Audit Values'!$A$2:$BU$353,65,FALSE))</f>
        <v>0</v>
      </c>
      <c r="AJ236" s="95">
        <f>AI236*'Weighting Factors'!$Q$10</f>
        <v>0</v>
      </c>
      <c r="AK236" s="95">
        <f>IF(ISNA(VLOOKUP($CZ236,'Audit Values'!$A$2:$BU$353,2,FALSE)),'Preliminary SO66'!AR235,VLOOKUP($CZ236,'Audit Values'!$A$2:$BU$353,66,FALSE))</f>
        <v>2502</v>
      </c>
      <c r="AL236" s="95"/>
      <c r="AM236" s="99">
        <f t="shared" si="125"/>
        <v>1426140</v>
      </c>
      <c r="AN236" s="99">
        <v>1434100</v>
      </c>
      <c r="AO236" s="95">
        <f>MAX(AN236, AM236)/'Weighting Factors'!$Q$5</f>
        <v>344.3</v>
      </c>
      <c r="AP236" s="95">
        <f>CN236/'Weighting Factors'!$Q$5</f>
        <v>0</v>
      </c>
      <c r="AQ236" s="95">
        <v>0</v>
      </c>
      <c r="AR236" s="95">
        <f>CS236/'Weighting Factors'!$Q$5</f>
        <v>0</v>
      </c>
      <c r="AS236" s="99">
        <v>3481900</v>
      </c>
      <c r="AT236" s="95">
        <f>AS236/'Weighting Factors'!$Q$5</f>
        <v>836</v>
      </c>
      <c r="AU236" s="95">
        <f>IF(ISNA(VLOOKUP($CZ236,'Audit Values'!$A$2:$BU$353,2,FALSE)),'Preliminary SO66'!X235,VLOOKUP($CZ236,'Audit Values'!$A$2:$BU$353,47,FALSE))</f>
        <v>1</v>
      </c>
      <c r="AV236" s="95">
        <f t="shared" si="126"/>
        <v>5341.5</v>
      </c>
      <c r="AW236" s="95">
        <f t="shared" si="127"/>
        <v>4505.5</v>
      </c>
      <c r="AX236" s="95">
        <f>IF(ISNA(VLOOKUP($CZ236,'Audit Values'!$A$2:$BU$353,2,FALSE)),'Preliminary SO66'!AA235,VLOOKUP($CZ236,'Audit Values'!$A$2:$BU$353,41,FALSE))</f>
        <v>12</v>
      </c>
      <c r="AY236" s="95">
        <f>IF(ISNA(VLOOKUP($CZ236,'Audit Values'!$A$2:$BU$353,2,FALSE)),'Preliminary SO66'!AB235,VLOOKUP($CZ236,'Audit Values'!$A$2:$BU$353,42,FALSE))</f>
        <v>0</v>
      </c>
      <c r="AZ236" s="114">
        <v>48</v>
      </c>
      <c r="BA236" s="99">
        <f>SUM(AX236*'Weighting Factors'!$T$10)+('2019 Legal Max'!AY236*'Weighting Factors'!$T$11)+('2019 Legal Max'!AZ236*'Weighting Factors'!$T$12)</f>
        <v>94032</v>
      </c>
      <c r="BB236" s="158">
        <v>0</v>
      </c>
      <c r="BC236" s="88">
        <f>IF(ISNA(VLOOKUP($CZ236,'Audit Values'!$A$2:$BU$353,2,FALSE)),"",IF(AND('Weighting Factors'!H236&gt;0,VLOOKUP($CZ236,'Audit Values'!$A$2:$BU$353,51,FALSE)&lt;'Weighting Factors'!H236),'Weighting Factors'!H236,VLOOKUP($CZ236,'Audit Values'!$A$2:$BU$353,50,FALSE)))</f>
        <v>25</v>
      </c>
      <c r="BD236" s="88" t="str">
        <f>IF(ISNA(VLOOKUP($CZ236,'Audit Values'!$A$2:$BV$353,2,FALSE)),"",VLOOKUP($CZ236,'Audit Values'!$A$2:$BV$353,51,FALSE))</f>
        <v>A</v>
      </c>
      <c r="BE236" s="88" t="str">
        <f>IF('Weighting Factors'!H236="","",IF('Weighting Factors'!J236="Pending","PX","R"))</f>
        <v/>
      </c>
      <c r="BF236" s="97">
        <f>SUM((S236+T236+Y236+AA236+AE236+AH236+AJ236++AO236+AP236+AQ236+AU236+AR236)*'Weighting Factors'!$Q$5)+'2019 Legal Max'!BA236+'2019 Legal Max'!BB236</f>
        <v>18859440</v>
      </c>
      <c r="BG236" s="99">
        <f>SUM((AV236+AR236)*'Weighting Factors'!$Q$5)+BA236+'2019 Legal Max'!BB236</f>
        <v>22341380</v>
      </c>
      <c r="BH236" s="108">
        <f>IF('Weighting Factors'!H236&gt;0,'Weighting Factors'!H236,'Preliminary SO66'!AV235)</f>
        <v>22371512</v>
      </c>
      <c r="BI236" s="99">
        <f t="shared" si="151"/>
        <v>22341380</v>
      </c>
      <c r="BJ236" s="112"/>
      <c r="BK236" s="112">
        <f>'Weighting Factors'!F236</f>
        <v>0</v>
      </c>
      <c r="BL236" s="112">
        <f>'Weighting Factors'!E236</f>
        <v>0</v>
      </c>
      <c r="BM236" s="99">
        <f t="shared" si="128"/>
        <v>0</v>
      </c>
      <c r="BN236" s="99">
        <f t="shared" si="129"/>
        <v>22341380</v>
      </c>
      <c r="BO236" s="99">
        <f>SUM((S236+T236+Y236+AA236+AE236+AH236+AJ236++AO236+AP236+AQ236+AR236)*'Weighting Factors'!Q$12)+(MAX(AS236,'Weighting Factors'!B236))</f>
        <v>23707105</v>
      </c>
      <c r="BP236" s="122">
        <v>0.33</v>
      </c>
      <c r="BQ236" s="99">
        <f t="shared" si="130"/>
        <v>7823345</v>
      </c>
      <c r="BR236" s="108">
        <v>7128694</v>
      </c>
      <c r="BS236" s="99">
        <f t="shared" si="131"/>
        <v>7128694</v>
      </c>
      <c r="BT236" s="167">
        <f t="shared" si="132"/>
        <v>0.30070000000000002</v>
      </c>
      <c r="BU236" s="95">
        <f t="shared" si="133"/>
        <v>0</v>
      </c>
      <c r="BV236" s="87" t="b">
        <f t="shared" si="134"/>
        <v>0</v>
      </c>
      <c r="BW236" s="117">
        <f t="shared" si="135"/>
        <v>0</v>
      </c>
      <c r="BX236" s="116">
        <f t="shared" si="136"/>
        <v>0</v>
      </c>
      <c r="BY236" s="95">
        <f t="shared" si="137"/>
        <v>0</v>
      </c>
      <c r="BZ236" s="87" t="b">
        <f t="shared" si="138"/>
        <v>0</v>
      </c>
      <c r="CA236" s="87">
        <f t="shared" si="139"/>
        <v>0</v>
      </c>
      <c r="CB236" s="116">
        <f t="shared" si="140"/>
        <v>0</v>
      </c>
      <c r="CC236" s="95">
        <f t="shared" si="141"/>
        <v>0</v>
      </c>
      <c r="CD236" s="95">
        <f t="shared" si="142"/>
        <v>123</v>
      </c>
      <c r="CE236" s="98">
        <v>140</v>
      </c>
      <c r="CF236" s="250">
        <f t="shared" si="143"/>
        <v>17.870999999999999</v>
      </c>
      <c r="CG236" s="274">
        <f>IF(CF236&lt;0.06,1,IF(CF236&gt;=18.29,52,MATCH(CF236-0.001,'Weighting Factors'!$Y$5:$Y$156)+1))</f>
        <v>51</v>
      </c>
      <c r="CH236" s="243">
        <f>VLOOKUP(CG236, 'Weighting Factors'!$W$5:$Z$56,4)</f>
        <v>570</v>
      </c>
      <c r="CI236" s="118">
        <f>('Weighting Factors'!$Q$5/'Weighting Factors'!$Q$14)</f>
        <v>1</v>
      </c>
      <c r="CJ236" s="245">
        <f t="shared" si="144"/>
        <v>1426140</v>
      </c>
      <c r="CK236" s="245">
        <f>CJ236*'Weighting Factors'!$S$7</f>
        <v>1426140</v>
      </c>
      <c r="CL236" s="245">
        <f t="shared" si="145"/>
        <v>1426140</v>
      </c>
      <c r="CM236" s="95">
        <f>AM236/'Weighting Factors'!$Q$5</f>
        <v>342.4</v>
      </c>
      <c r="CN236" s="148">
        <v>0</v>
      </c>
      <c r="CO236" s="148">
        <v>0</v>
      </c>
      <c r="CP236" s="149">
        <v>0</v>
      </c>
      <c r="CQ236" s="151">
        <v>0</v>
      </c>
      <c r="CR236" s="99">
        <f>SUM((AV236*'Weighting Factors'!$Q$5)+'2019 Legal Max'!BA236)*CQ236</f>
        <v>0</v>
      </c>
      <c r="CS236" s="99">
        <f t="shared" si="146"/>
        <v>0</v>
      </c>
      <c r="CT236" s="106">
        <f t="shared" si="147"/>
        <v>0.27460000000000001</v>
      </c>
      <c r="CU236" s="95">
        <f t="shared" si="148"/>
        <v>0</v>
      </c>
      <c r="CV236" s="95">
        <f t="shared" si="149"/>
        <v>0</v>
      </c>
      <c r="CW236" s="95">
        <f t="shared" si="150"/>
        <v>5341.5</v>
      </c>
      <c r="CX236" s="99">
        <f>'LOB Transfers'!G235</f>
        <v>620909</v>
      </c>
      <c r="CY236" s="99">
        <f>'LOB Transfers'!J235</f>
        <v>24238</v>
      </c>
      <c r="CZ236" s="87" t="s">
        <v>428</v>
      </c>
    </row>
    <row r="237" spans="1:104" ht="15" customHeight="1">
      <c r="A237" s="88">
        <v>452</v>
      </c>
      <c r="B237" s="87" t="s">
        <v>101</v>
      </c>
      <c r="C237" s="87" t="s">
        <v>749</v>
      </c>
      <c r="D237" s="95">
        <v>430.2</v>
      </c>
      <c r="E237" s="95">
        <v>0</v>
      </c>
      <c r="F237" s="95">
        <f t="shared" si="117"/>
        <v>430.2</v>
      </c>
      <c r="G237" s="95">
        <v>433.5</v>
      </c>
      <c r="H237" s="95">
        <v>0</v>
      </c>
      <c r="I237" s="95">
        <f t="shared" si="118"/>
        <v>433.5</v>
      </c>
      <c r="J237" s="95">
        <v>420.5</v>
      </c>
      <c r="K237" s="95">
        <v>0</v>
      </c>
      <c r="L237" s="95">
        <f t="shared" si="119"/>
        <v>420.5</v>
      </c>
      <c r="M237" s="95">
        <f>IF(ISNA(VLOOKUP($CZ237,'Audit Values'!$A$2:$BW$365,2,FALSE)),'Preliminary SO66'!C236,VLOOKUP($CZ237,'Audit Values'!$A$2:$BW$365,73,FALSE))</f>
        <v>430</v>
      </c>
      <c r="N237" s="95">
        <f>IF(ISNA(VLOOKUP($CZ237,'Audit Values'!$A$2:$BW$365,2,FALSE)),'Preliminary SO66'!F236,VLOOKUP($CZ237,'Audit Values'!$A$2:$BW$365,4,FALSE))</f>
        <v>0</v>
      </c>
      <c r="O237" s="95">
        <f t="shared" si="120"/>
        <v>430</v>
      </c>
      <c r="P237" s="95">
        <f>IF('Military Provision'!J238="YES", MAX('2019 Legal Max'!L237,'2019 Legal Max'!I237,AVERAGE('2019 Legal Max'!F237,'2019 Legal Max'!I237,'2019 Legal Max'!L237)), MAX(L237, I237))</f>
        <v>433.5</v>
      </c>
      <c r="Q237" s="95">
        <f>IF(ISNA(VLOOKUP($CZ237,'Audit Values'!$A$2:$BU$353,2,FALSE)),'Preliminary SO66'!AL236,VLOOKUP($CZ237,'Audit Values'!$A$2:$BU$3955,58,FALSE))</f>
        <v>3.5</v>
      </c>
      <c r="R237" s="95">
        <v>0</v>
      </c>
      <c r="S237" s="95">
        <f t="shared" si="152"/>
        <v>437</v>
      </c>
      <c r="T237" s="95">
        <f t="shared" si="121"/>
        <v>191.2</v>
      </c>
      <c r="U237" s="95">
        <f>IF(ISNA(VLOOKUP($CZ237,'Audit Values'!$A$2:$BW$317,2,FALSE)),'Preliminary SO66'!AM236,VLOOKUP($CZ237,'Audit Values'!$A$2:$BW$317,62,FALSE))</f>
        <v>546</v>
      </c>
      <c r="V237" s="95">
        <f>(U237/6)*'Weighting Factors'!$Q$7</f>
        <v>35.9</v>
      </c>
      <c r="W237" s="132">
        <f>IF(ISNA(VLOOKUP($CZ237,'Audit Values'!$A$2:$BW$353,2,FALSE)),'Preliminary SO66'!AN236,VLOOKUP($CZ237,'Audit Values'!$A$2:$BW$353,61,FALSE))</f>
        <v>130</v>
      </c>
      <c r="X237" s="95">
        <f>W237*'Weighting Factors'!$Q$8</f>
        <v>24.1</v>
      </c>
      <c r="Y237" s="95">
        <f t="shared" si="122"/>
        <v>35.9</v>
      </c>
      <c r="Z237" s="276">
        <f>IF(ISNA(VLOOKUP($CZ237,'Audit Values'!$A$2:$BW$317,2,FALSE)),'Preliminary SO66'!AO236,VLOOKUP($CZ237,'Audit Values'!$A$2:$BW$317,60,FALSE))</f>
        <v>210.7</v>
      </c>
      <c r="AA237" s="95">
        <f>Z237/6*'Weighting Factors'!$Q$6</f>
        <v>17.600000000000001</v>
      </c>
      <c r="AB237" s="99">
        <f>IF(ISNA(VLOOKUP($CZ237,'Audit Values'!$A$2:$BU$353,2,FALSE)),'Preliminary SO66'!AS236,VLOOKUP($CZ237,'Audit Values'!$A$2:$BU$353,63,FALSE))</f>
        <v>438</v>
      </c>
      <c r="AC237" s="99">
        <v>0</v>
      </c>
      <c r="AD237" s="99">
        <f>IF(ISNA(VLOOKUP($CZ237,'Audit Values'!$A$2:$BU$353,2,FALSE)),'Preliminary SO66'!AP236,VLOOKUP($CZ237,'Audit Values'!$A$2:$BU$353,64,FALSE))</f>
        <v>166</v>
      </c>
      <c r="AE237" s="95">
        <f>IF(A237=207, AD237,MAX(AC237,AD237))*'Weighting Factors'!$Q$9</f>
        <v>80.3</v>
      </c>
      <c r="AF237" s="95">
        <f t="shared" si="123"/>
        <v>3.4</v>
      </c>
      <c r="AG237" s="95">
        <f>IF(ISNA(VLOOKUP($CZ237,'Audit Values'!$A$2:$BW$353,2,FALSE)),'Preliminary SO66'!AG236,VLOOKUP($CZ237,'Audit Values'!$A$2:$BW$353,70,FALSE))</f>
        <v>4.0999999999999996</v>
      </c>
      <c r="AH237" s="95">
        <f t="shared" si="124"/>
        <v>4.0999999999999996</v>
      </c>
      <c r="AI237" s="95">
        <f>IF(ISNA(VLOOKUP($CZ237,'Audit Values'!$A$2:$BU$353,2,FALSE)),'Preliminary SO66'!AQ236,VLOOKUP($CZ237,'Audit Values'!$A$2:$BU$353,65,FALSE))</f>
        <v>0</v>
      </c>
      <c r="AJ237" s="95">
        <f>AI237*'Weighting Factors'!$Q$10</f>
        <v>0</v>
      </c>
      <c r="AK237" s="95">
        <f>IF(ISNA(VLOOKUP($CZ237,'Audit Values'!$A$2:$BU$353,2,FALSE)),'Preliminary SO66'!AR236,VLOOKUP($CZ237,'Audit Values'!$A$2:$BU$353,66,FALSE))</f>
        <v>114</v>
      </c>
      <c r="AL237" s="95"/>
      <c r="AM237" s="99">
        <f t="shared" si="125"/>
        <v>152760</v>
      </c>
      <c r="AN237" s="99">
        <v>181044</v>
      </c>
      <c r="AO237" s="95">
        <f>MAX(AN237, AM237)/'Weighting Factors'!$Q$5</f>
        <v>43.5</v>
      </c>
      <c r="AP237" s="95">
        <f>CN237/'Weighting Factors'!$Q$5</f>
        <v>0</v>
      </c>
      <c r="AQ237" s="95">
        <v>0</v>
      </c>
      <c r="AR237" s="95">
        <f>CS237/'Weighting Factors'!$Q$5</f>
        <v>0</v>
      </c>
      <c r="AS237" s="99">
        <v>276231</v>
      </c>
      <c r="AT237" s="95">
        <f>AS237/'Weighting Factors'!$Q$5</f>
        <v>66.3</v>
      </c>
      <c r="AU237" s="95">
        <f>IF(ISNA(VLOOKUP($CZ237,'Audit Values'!$A$2:$BU$353,2,FALSE)),'Preliminary SO66'!X236,VLOOKUP($CZ237,'Audit Values'!$A$2:$BU$353,47,FALSE))</f>
        <v>0</v>
      </c>
      <c r="AV237" s="95">
        <f t="shared" si="126"/>
        <v>875.9</v>
      </c>
      <c r="AW237" s="95">
        <f t="shared" si="127"/>
        <v>809.6</v>
      </c>
      <c r="AX237" s="95">
        <f>IF(ISNA(VLOOKUP($CZ237,'Audit Values'!$A$2:$BU$353,2,FALSE)),'Preliminary SO66'!AA236,VLOOKUP($CZ237,'Audit Values'!$A$2:$BU$353,41,FALSE))</f>
        <v>0</v>
      </c>
      <c r="AY237" s="95">
        <f>IF(ISNA(VLOOKUP($CZ237,'Audit Values'!$A$2:$BU$353,2,FALSE)),'Preliminary SO66'!AB236,VLOOKUP($CZ237,'Audit Values'!$A$2:$BU$353,42,FALSE))</f>
        <v>0</v>
      </c>
      <c r="AZ237" s="114">
        <v>0</v>
      </c>
      <c r="BA237" s="99">
        <f>SUM(AX237*'Weighting Factors'!$T$10)+('2019 Legal Max'!AY237*'Weighting Factors'!$T$11)+('2019 Legal Max'!AZ237*'Weighting Factors'!$T$12)</f>
        <v>0</v>
      </c>
      <c r="BB237" s="158">
        <v>0</v>
      </c>
      <c r="BC237" s="88">
        <f>IF(ISNA(VLOOKUP($CZ237,'Audit Values'!$A$2:$BU$353,2,FALSE)),"",IF(AND('Weighting Factors'!H237&gt;0,VLOOKUP($CZ237,'Audit Values'!$A$2:$BU$353,51,FALSE)&lt;'Weighting Factors'!H237),'Weighting Factors'!H237,VLOOKUP($CZ237,'Audit Values'!$A$2:$BU$353,50,FALSE)))</f>
        <v>19</v>
      </c>
      <c r="BD237" s="88" t="str">
        <f>IF(ISNA(VLOOKUP($CZ237,'Audit Values'!$A$2:$BV$353,2,FALSE)),"",VLOOKUP($CZ237,'Audit Values'!$A$2:$BV$353,51,FALSE))</f>
        <v>A</v>
      </c>
      <c r="BE237" s="88" t="str">
        <f>IF('Weighting Factors'!H237="","",IF('Weighting Factors'!J237="Pending","PX","R"))</f>
        <v/>
      </c>
      <c r="BF237" s="97">
        <f>SUM((S237+T237+Y237+AA237+AE237+AH237+AJ237++AO237+AP237+AQ237+AU237+AR237)*'Weighting Factors'!$Q$5)+'2019 Legal Max'!BA237+'2019 Legal Max'!BB237</f>
        <v>3371984</v>
      </c>
      <c r="BG237" s="99">
        <f>SUM((AV237+AR237)*'Weighting Factors'!$Q$5)+BA237+'2019 Legal Max'!BB237</f>
        <v>3648124</v>
      </c>
      <c r="BH237" s="108">
        <f>IF('Weighting Factors'!H237&gt;0,'Weighting Factors'!H237,'Preliminary SO66'!AV236)</f>
        <v>3842213</v>
      </c>
      <c r="BI237" s="99">
        <f t="shared" si="151"/>
        <v>3648124</v>
      </c>
      <c r="BJ237" s="112"/>
      <c r="BK237" s="112">
        <f>'Weighting Factors'!F237</f>
        <v>0</v>
      </c>
      <c r="BL237" s="112">
        <f>'Weighting Factors'!E237</f>
        <v>0</v>
      </c>
      <c r="BM237" s="99">
        <f t="shared" si="128"/>
        <v>0</v>
      </c>
      <c r="BN237" s="99">
        <f t="shared" si="129"/>
        <v>3648124</v>
      </c>
      <c r="BO237" s="99">
        <f>SUM((S237+T237+Y237+AA237+AE237+AH237+AJ237++AO237+AP237+AQ237+AR237)*'Weighting Factors'!Q$12)+(MAX(AS237,'Weighting Factors'!B237))</f>
        <v>3924339</v>
      </c>
      <c r="BP237" s="122">
        <v>0.3</v>
      </c>
      <c r="BQ237" s="99">
        <f t="shared" si="130"/>
        <v>1177302</v>
      </c>
      <c r="BR237" s="108">
        <v>1235316</v>
      </c>
      <c r="BS237" s="99">
        <f t="shared" si="131"/>
        <v>1177302</v>
      </c>
      <c r="BT237" s="167">
        <f t="shared" si="132"/>
        <v>0.3</v>
      </c>
      <c r="BU237" s="95">
        <f t="shared" si="133"/>
        <v>0</v>
      </c>
      <c r="BV237" s="87" t="b">
        <f t="shared" si="134"/>
        <v>0</v>
      </c>
      <c r="BW237" s="117">
        <f t="shared" si="135"/>
        <v>0</v>
      </c>
      <c r="BX237" s="116">
        <f t="shared" si="136"/>
        <v>0</v>
      </c>
      <c r="BY237" s="95">
        <f t="shared" si="137"/>
        <v>0</v>
      </c>
      <c r="BZ237" s="87" t="b">
        <f t="shared" si="138"/>
        <v>1</v>
      </c>
      <c r="CA237" s="87">
        <f t="shared" si="139"/>
        <v>169.53749999999999</v>
      </c>
      <c r="CB237" s="116">
        <f t="shared" si="140"/>
        <v>0.437641</v>
      </c>
      <c r="CC237" s="95">
        <f t="shared" si="141"/>
        <v>191.2</v>
      </c>
      <c r="CD237" s="95">
        <f t="shared" si="142"/>
        <v>0</v>
      </c>
      <c r="CE237" s="98">
        <v>690</v>
      </c>
      <c r="CF237" s="250">
        <f t="shared" si="143"/>
        <v>0.16500000000000001</v>
      </c>
      <c r="CG237" s="274">
        <f>IF(CF237&lt;0.06,1,IF(CF237&gt;=18.29,52,MATCH(CF237-0.001,'Weighting Factors'!$Y$5:$Y$156)+1))</f>
        <v>12</v>
      </c>
      <c r="CH237" s="243">
        <f>VLOOKUP(CG237, 'Weighting Factors'!$W$5:$Z$56,4)</f>
        <v>1340</v>
      </c>
      <c r="CI237" s="118">
        <f>('Weighting Factors'!$Q$5/'Weighting Factors'!$Q$14)</f>
        <v>1</v>
      </c>
      <c r="CJ237" s="245">
        <f t="shared" si="144"/>
        <v>152760</v>
      </c>
      <c r="CK237" s="245">
        <f>CJ237*'Weighting Factors'!$S$7</f>
        <v>152760</v>
      </c>
      <c r="CL237" s="245">
        <f t="shared" si="145"/>
        <v>152760</v>
      </c>
      <c r="CM237" s="95">
        <f>AM237/'Weighting Factors'!$Q$5</f>
        <v>36.700000000000003</v>
      </c>
      <c r="CN237" s="148">
        <v>0</v>
      </c>
      <c r="CO237" s="148">
        <v>0</v>
      </c>
      <c r="CP237" s="149">
        <v>0</v>
      </c>
      <c r="CQ237" s="151">
        <v>0</v>
      </c>
      <c r="CR237" s="99">
        <f>SUM((AV237*'Weighting Factors'!$Q$5)+'2019 Legal Max'!BA237)*CQ237</f>
        <v>0</v>
      </c>
      <c r="CS237" s="99">
        <f t="shared" si="146"/>
        <v>0</v>
      </c>
      <c r="CT237" s="106">
        <f t="shared" si="147"/>
        <v>0.379</v>
      </c>
      <c r="CU237" s="95">
        <f t="shared" si="148"/>
        <v>0</v>
      </c>
      <c r="CV237" s="95">
        <f t="shared" si="149"/>
        <v>3.4</v>
      </c>
      <c r="CW237" s="95">
        <f t="shared" si="150"/>
        <v>875.9</v>
      </c>
      <c r="CX237" s="99">
        <f>'LOB Transfers'!G236</f>
        <v>108312</v>
      </c>
      <c r="CY237" s="99">
        <f>'LOB Transfers'!J236</f>
        <v>48505</v>
      </c>
      <c r="CZ237" s="87" t="s">
        <v>429</v>
      </c>
    </row>
    <row r="238" spans="1:104" ht="15" customHeight="1">
      <c r="A238" s="88">
        <v>453</v>
      </c>
      <c r="B238" s="87" t="s">
        <v>11</v>
      </c>
      <c r="C238" s="87" t="s">
        <v>750</v>
      </c>
      <c r="D238" s="95">
        <v>3463.3</v>
      </c>
      <c r="E238" s="95">
        <v>0</v>
      </c>
      <c r="F238" s="95">
        <f t="shared" si="117"/>
        <v>3463.3</v>
      </c>
      <c r="G238" s="95">
        <v>3647.8</v>
      </c>
      <c r="H238" s="95">
        <v>0</v>
      </c>
      <c r="I238" s="95">
        <f t="shared" si="118"/>
        <v>3647.8</v>
      </c>
      <c r="J238" s="95">
        <v>3603.9</v>
      </c>
      <c r="K238" s="95">
        <v>0</v>
      </c>
      <c r="L238" s="95">
        <f t="shared" si="119"/>
        <v>3603.9</v>
      </c>
      <c r="M238" s="95">
        <f>IF(ISNA(VLOOKUP($CZ238,'Audit Values'!$A$2:$BW$365,2,FALSE)),'Preliminary SO66'!C237,VLOOKUP($CZ238,'Audit Values'!$A$2:$BW$365,73,FALSE))</f>
        <v>3620.7</v>
      </c>
      <c r="N238" s="95">
        <f>IF(ISNA(VLOOKUP($CZ238,'Audit Values'!$A$2:$BW$365,2,FALSE)),'Preliminary SO66'!F237,VLOOKUP($CZ238,'Audit Values'!$A$2:$BW$365,4,FALSE))</f>
        <v>0</v>
      </c>
      <c r="O238" s="95">
        <f t="shared" si="120"/>
        <v>3620.7</v>
      </c>
      <c r="P238" s="95">
        <f>IF('Military Provision'!J239="YES", MAX('2019 Legal Max'!L238,'2019 Legal Max'!I238,AVERAGE('2019 Legal Max'!F238,'2019 Legal Max'!I238,'2019 Legal Max'!L238)), MAX(L238, I238))</f>
        <v>3647.8</v>
      </c>
      <c r="Q238" s="95">
        <f>IF(ISNA(VLOOKUP($CZ238,'Audit Values'!$A$2:$BU$353,2,FALSE)),'Preliminary SO66'!AL237,VLOOKUP($CZ238,'Audit Values'!$A$2:$BU$3955,58,FALSE))</f>
        <v>36</v>
      </c>
      <c r="R238" s="95">
        <v>0</v>
      </c>
      <c r="S238" s="95">
        <f t="shared" si="152"/>
        <v>3683.8</v>
      </c>
      <c r="T238" s="95">
        <f t="shared" si="121"/>
        <v>129.1</v>
      </c>
      <c r="U238" s="95">
        <f>IF(ISNA(VLOOKUP($CZ238,'Audit Values'!$A$2:$BW$317,2,FALSE)),'Preliminary SO66'!AM237,VLOOKUP($CZ238,'Audit Values'!$A$2:$BW$317,62,FALSE))</f>
        <v>73.5</v>
      </c>
      <c r="V238" s="95">
        <f>(U238/6)*'Weighting Factors'!$Q$7</f>
        <v>4.8</v>
      </c>
      <c r="W238" s="132">
        <f>IF(ISNA(VLOOKUP($CZ238,'Audit Values'!$A$2:$BW$353,2,FALSE)),'Preliminary SO66'!AN237,VLOOKUP($CZ238,'Audit Values'!$A$2:$BW$353,61,FALSE))</f>
        <v>56</v>
      </c>
      <c r="X238" s="95">
        <f>W238*'Weighting Factors'!$Q$8</f>
        <v>10.4</v>
      </c>
      <c r="Y238" s="95">
        <f t="shared" si="122"/>
        <v>10.4</v>
      </c>
      <c r="Z238" s="276">
        <f>IF(ISNA(VLOOKUP($CZ238,'Audit Values'!$A$2:$BW$317,2,FALSE)),'Preliminary SO66'!AO237,VLOOKUP($CZ238,'Audit Values'!$A$2:$BW$317,60,FALSE))</f>
        <v>532.70000000000005</v>
      </c>
      <c r="AA238" s="95">
        <f>Z238/6*'Weighting Factors'!$Q$6</f>
        <v>44.4</v>
      </c>
      <c r="AB238" s="99">
        <f>IF(ISNA(VLOOKUP($CZ238,'Audit Values'!$A$2:$BU$353,2,FALSE)),'Preliminary SO66'!AS237,VLOOKUP($CZ238,'Audit Values'!$A$2:$BU$353,63,FALSE))</f>
        <v>3753</v>
      </c>
      <c r="AC238" s="99">
        <v>0</v>
      </c>
      <c r="AD238" s="99">
        <f>IF(ISNA(VLOOKUP($CZ238,'Audit Values'!$A$2:$BU$353,2,FALSE)),'Preliminary SO66'!AP237,VLOOKUP($CZ238,'Audit Values'!$A$2:$BU$353,64,FALSE))</f>
        <v>1687</v>
      </c>
      <c r="AE238" s="95">
        <f>IF(A238=207, AD238,MAX(AC238,AD238))*'Weighting Factors'!$Q$9</f>
        <v>816.5</v>
      </c>
      <c r="AF238" s="95">
        <f t="shared" si="123"/>
        <v>117.5</v>
      </c>
      <c r="AG238" s="95">
        <f>IF(ISNA(VLOOKUP($CZ238,'Audit Values'!$A$2:$BW$353,2,FALSE)),'Preliminary SO66'!AG237,VLOOKUP($CZ238,'Audit Values'!$A$2:$BW$353,70,FALSE))</f>
        <v>113.3</v>
      </c>
      <c r="AH238" s="95">
        <f t="shared" si="124"/>
        <v>117.5</v>
      </c>
      <c r="AI238" s="95">
        <f>IF(ISNA(VLOOKUP($CZ238,'Audit Values'!$A$2:$BU$353,2,FALSE)),'Preliminary SO66'!AQ237,VLOOKUP($CZ238,'Audit Values'!$A$2:$BU$353,65,FALSE))</f>
        <v>0</v>
      </c>
      <c r="AJ238" s="95">
        <f>AI238*'Weighting Factors'!$Q$10</f>
        <v>0</v>
      </c>
      <c r="AK238" s="95">
        <f>IF(ISNA(VLOOKUP($CZ238,'Audit Values'!$A$2:$BU$353,2,FALSE)),'Preliminary SO66'!AR237,VLOOKUP($CZ238,'Audit Values'!$A$2:$BU$353,66,FALSE))</f>
        <v>573</v>
      </c>
      <c r="AL238" s="95"/>
      <c r="AM238" s="99">
        <f t="shared" si="125"/>
        <v>315150</v>
      </c>
      <c r="AN238" s="99">
        <v>367096</v>
      </c>
      <c r="AO238" s="95">
        <f>MAX(AN238, AM238)/'Weighting Factors'!$Q$5</f>
        <v>88.1</v>
      </c>
      <c r="AP238" s="95">
        <f>CN238/'Weighting Factors'!$Q$5</f>
        <v>0</v>
      </c>
      <c r="AQ238" s="95">
        <v>0</v>
      </c>
      <c r="AR238" s="95">
        <f>CS238/'Weighting Factors'!$Q$5</f>
        <v>0</v>
      </c>
      <c r="AS238" s="99">
        <v>4144447</v>
      </c>
      <c r="AT238" s="95">
        <f>AS238/'Weighting Factors'!$Q$5</f>
        <v>995.1</v>
      </c>
      <c r="AU238" s="95">
        <f>IF(ISNA(VLOOKUP($CZ238,'Audit Values'!$A$2:$BU$353,2,FALSE)),'Preliminary SO66'!X237,VLOOKUP($CZ238,'Audit Values'!$A$2:$BU$353,47,FALSE))</f>
        <v>0</v>
      </c>
      <c r="AV238" s="95">
        <f t="shared" si="126"/>
        <v>5884.9</v>
      </c>
      <c r="AW238" s="95">
        <f t="shared" si="127"/>
        <v>4889.8</v>
      </c>
      <c r="AX238" s="95">
        <f>IF(ISNA(VLOOKUP($CZ238,'Audit Values'!$A$2:$BU$353,2,FALSE)),'Preliminary SO66'!AA237,VLOOKUP($CZ238,'Audit Values'!$A$2:$BU$353,41,FALSE))</f>
        <v>92</v>
      </c>
      <c r="AY238" s="95">
        <f>IF(ISNA(VLOOKUP($CZ238,'Audit Values'!$A$2:$BU$353,2,FALSE)),'Preliminary SO66'!AB237,VLOOKUP($CZ238,'Audit Values'!$A$2:$BU$353,42,FALSE))</f>
        <v>4.3</v>
      </c>
      <c r="AZ238" s="114">
        <v>0</v>
      </c>
      <c r="BA238" s="99">
        <f>SUM(AX238*'Weighting Factors'!$T$10)+('2019 Legal Max'!AY238*'Weighting Factors'!$T$11)+('2019 Legal Max'!AZ238*'Weighting Factors'!$T$12)</f>
        <v>467310</v>
      </c>
      <c r="BB238" s="158">
        <v>0</v>
      </c>
      <c r="BC238" s="88">
        <f>IF(ISNA(VLOOKUP($CZ238,'Audit Values'!$A$2:$BU$353,2,FALSE)),"",IF(AND('Weighting Factors'!H238&gt;0,VLOOKUP($CZ238,'Audit Values'!$A$2:$BU$353,51,FALSE)&lt;'Weighting Factors'!H238),'Weighting Factors'!H238,VLOOKUP($CZ238,'Audit Values'!$A$2:$BU$353,50,FALSE)))</f>
        <v>19</v>
      </c>
      <c r="BD238" s="88" t="str">
        <f>IF(ISNA(VLOOKUP($CZ238,'Audit Values'!$A$2:$BV$353,2,FALSE)),"",VLOOKUP($CZ238,'Audit Values'!$A$2:$BV$353,51,FALSE))</f>
        <v>A</v>
      </c>
      <c r="BE238" s="88" t="str">
        <f>IF('Weighting Factors'!H238="","",IF('Weighting Factors'!J238="Pending","PX","R"))</f>
        <v/>
      </c>
      <c r="BF238" s="97">
        <f>SUM((S238+T238+Y238+AA238+AE238+AH238+AJ238++AO238+AP238+AQ238+AU238+AR238)*'Weighting Factors'!$Q$5)+'2019 Legal Max'!BA238+'2019 Legal Max'!BB238</f>
        <v>20833327</v>
      </c>
      <c r="BG238" s="99">
        <f>SUM((AV238+AR238)*'Weighting Factors'!$Q$5)+BA238+'2019 Legal Max'!BB238</f>
        <v>24977919</v>
      </c>
      <c r="BH238" s="108">
        <f>IF('Weighting Factors'!H238&gt;0,'Weighting Factors'!H238,'Preliminary SO66'!AV237)</f>
        <v>25909802</v>
      </c>
      <c r="BI238" s="99">
        <f t="shared" si="151"/>
        <v>24977919</v>
      </c>
      <c r="BJ238" s="112"/>
      <c r="BK238" s="112">
        <f>'Weighting Factors'!F238</f>
        <v>0</v>
      </c>
      <c r="BL238" s="112">
        <f>'Weighting Factors'!E238</f>
        <v>0</v>
      </c>
      <c r="BM238" s="99">
        <f t="shared" si="128"/>
        <v>0</v>
      </c>
      <c r="BN238" s="99">
        <f t="shared" si="129"/>
        <v>24977919</v>
      </c>
      <c r="BO238" s="99">
        <f>SUM((S238+T238+Y238+AA238+AE238+AH238+AJ238++AO238+AP238+AQ238+AR238)*'Weighting Factors'!Q$12)+(MAX(AS238,'Weighting Factors'!B238))</f>
        <v>26099649</v>
      </c>
      <c r="BP238" s="122">
        <v>0.3</v>
      </c>
      <c r="BQ238" s="99">
        <f t="shared" si="130"/>
        <v>7829895</v>
      </c>
      <c r="BR238" s="148">
        <v>8161366</v>
      </c>
      <c r="BS238" s="99">
        <f t="shared" si="131"/>
        <v>7829895</v>
      </c>
      <c r="BT238" s="167">
        <f t="shared" si="132"/>
        <v>0.3</v>
      </c>
      <c r="BU238" s="95">
        <f t="shared" si="133"/>
        <v>0</v>
      </c>
      <c r="BV238" s="87" t="b">
        <f t="shared" si="134"/>
        <v>0</v>
      </c>
      <c r="BW238" s="117">
        <f t="shared" si="135"/>
        <v>0</v>
      </c>
      <c r="BX238" s="116">
        <f t="shared" si="136"/>
        <v>0</v>
      </c>
      <c r="BY238" s="95">
        <f t="shared" si="137"/>
        <v>0</v>
      </c>
      <c r="BZ238" s="87" t="b">
        <f t="shared" si="138"/>
        <v>0</v>
      </c>
      <c r="CA238" s="87">
        <f t="shared" si="139"/>
        <v>0</v>
      </c>
      <c r="CB238" s="116">
        <f t="shared" si="140"/>
        <v>0</v>
      </c>
      <c r="CC238" s="95">
        <f t="shared" si="141"/>
        <v>0</v>
      </c>
      <c r="CD238" s="95">
        <f t="shared" si="142"/>
        <v>129.1</v>
      </c>
      <c r="CE238" s="98">
        <v>17</v>
      </c>
      <c r="CF238" s="250">
        <f t="shared" si="143"/>
        <v>33.706000000000003</v>
      </c>
      <c r="CG238" s="274">
        <f>IF(CF238&lt;0.06,1,IF(CF238&gt;=18.29,52,MATCH(CF238-0.001,'Weighting Factors'!$Y$5:$Y$156)+1))</f>
        <v>52</v>
      </c>
      <c r="CH238" s="243">
        <f>VLOOKUP(CG238, 'Weighting Factors'!$W$5:$Z$56,4)</f>
        <v>550</v>
      </c>
      <c r="CI238" s="118">
        <f>('Weighting Factors'!$Q$5/'Weighting Factors'!$Q$14)</f>
        <v>1</v>
      </c>
      <c r="CJ238" s="245">
        <f t="shared" si="144"/>
        <v>315150</v>
      </c>
      <c r="CK238" s="245">
        <f>CJ238*'Weighting Factors'!$S$7</f>
        <v>315150</v>
      </c>
      <c r="CL238" s="245">
        <f t="shared" si="145"/>
        <v>315150</v>
      </c>
      <c r="CM238" s="95">
        <f>AM238/'Weighting Factors'!$Q$5</f>
        <v>75.7</v>
      </c>
      <c r="CN238" s="148">
        <v>0</v>
      </c>
      <c r="CO238" s="148">
        <v>0</v>
      </c>
      <c r="CP238" s="149">
        <v>0</v>
      </c>
      <c r="CQ238" s="152">
        <v>0</v>
      </c>
      <c r="CR238" s="99">
        <f>SUM((AV238*'Weighting Factors'!$Q$5)+'2019 Legal Max'!BA238)*CQ238</f>
        <v>0</v>
      </c>
      <c r="CS238" s="99">
        <f t="shared" si="146"/>
        <v>0</v>
      </c>
      <c r="CT238" s="106">
        <f t="shared" si="147"/>
        <v>0.44950000000000001</v>
      </c>
      <c r="CU238" s="95">
        <f t="shared" si="148"/>
        <v>0</v>
      </c>
      <c r="CV238" s="95">
        <f t="shared" si="149"/>
        <v>117.5</v>
      </c>
      <c r="CW238" s="95">
        <f t="shared" si="150"/>
        <v>5884.9</v>
      </c>
      <c r="CX238" s="99">
        <f>'LOB Transfers'!G237</f>
        <v>1093053</v>
      </c>
      <c r="CY238" s="99">
        <f>'LOB Transfers'!J237</f>
        <v>14094</v>
      </c>
      <c r="CZ238" s="87" t="s">
        <v>430</v>
      </c>
    </row>
    <row r="239" spans="1:104" ht="15" customHeight="1">
      <c r="A239" s="88">
        <v>454</v>
      </c>
      <c r="B239" s="87" t="s">
        <v>96</v>
      </c>
      <c r="C239" s="87" t="s">
        <v>751</v>
      </c>
      <c r="D239" s="95">
        <v>292</v>
      </c>
      <c r="E239" s="95">
        <v>0</v>
      </c>
      <c r="F239" s="95">
        <f t="shared" si="117"/>
        <v>292</v>
      </c>
      <c r="G239" s="95">
        <v>290.39999999999998</v>
      </c>
      <c r="H239" s="95">
        <v>0</v>
      </c>
      <c r="I239" s="95">
        <f t="shared" si="118"/>
        <v>290.39999999999998</v>
      </c>
      <c r="J239" s="95">
        <v>285.5</v>
      </c>
      <c r="K239" s="95">
        <v>0</v>
      </c>
      <c r="L239" s="95">
        <f t="shared" si="119"/>
        <v>285.5</v>
      </c>
      <c r="M239" s="95">
        <f>IF(ISNA(VLOOKUP($CZ239,'Audit Values'!$A$2:$BW$365,2,FALSE)),'Preliminary SO66'!C238,VLOOKUP($CZ239,'Audit Values'!$A$2:$BW$365,73,FALSE))</f>
        <v>291</v>
      </c>
      <c r="N239" s="95">
        <f>IF(ISNA(VLOOKUP($CZ239,'Audit Values'!$A$2:$BW$365,2,FALSE)),'Preliminary SO66'!F238,VLOOKUP($CZ239,'Audit Values'!$A$2:$BW$365,4,FALSE))</f>
        <v>0</v>
      </c>
      <c r="O239" s="95">
        <f t="shared" si="120"/>
        <v>291</v>
      </c>
      <c r="P239" s="95">
        <f>IF('Military Provision'!J240="YES", MAX('2019 Legal Max'!L239,'2019 Legal Max'!I239,AVERAGE('2019 Legal Max'!F239,'2019 Legal Max'!I239,'2019 Legal Max'!L239)), MAX(L239, I239))</f>
        <v>290.39999999999998</v>
      </c>
      <c r="Q239" s="95">
        <f>IF(ISNA(VLOOKUP($CZ239,'Audit Values'!$A$2:$BU$353,2,FALSE)),'Preliminary SO66'!AL238,VLOOKUP($CZ239,'Audit Values'!$A$2:$BU$3955,58,FALSE))</f>
        <v>0.5</v>
      </c>
      <c r="R239" s="95">
        <v>0</v>
      </c>
      <c r="S239" s="95">
        <f t="shared" si="152"/>
        <v>290.89999999999998</v>
      </c>
      <c r="T239" s="95">
        <f t="shared" si="121"/>
        <v>147.9</v>
      </c>
      <c r="U239" s="95">
        <f>IF(ISNA(VLOOKUP($CZ239,'Audit Values'!$A$2:$BW$317,2,FALSE)),'Preliminary SO66'!AM238,VLOOKUP($CZ239,'Audit Values'!$A$2:$BW$317,62,FALSE))</f>
        <v>0.5</v>
      </c>
      <c r="V239" s="95">
        <f>(U239/6)*'Weighting Factors'!$Q$7</f>
        <v>0</v>
      </c>
      <c r="W239" s="132">
        <f>IF(ISNA(VLOOKUP($CZ239,'Audit Values'!$A$2:$BW$353,2,FALSE)),'Preliminary SO66'!AN238,VLOOKUP($CZ239,'Audit Values'!$A$2:$BW$353,61,FALSE))</f>
        <v>1</v>
      </c>
      <c r="X239" s="95">
        <f>W239*'Weighting Factors'!$Q$8</f>
        <v>0.2</v>
      </c>
      <c r="Y239" s="95">
        <f t="shared" si="122"/>
        <v>0.2</v>
      </c>
      <c r="Z239" s="276">
        <f>IF(ISNA(VLOOKUP($CZ239,'Audit Values'!$A$2:$BW$317,2,FALSE)),'Preliminary SO66'!AO238,VLOOKUP($CZ239,'Audit Values'!$A$2:$BW$317,60,FALSE))</f>
        <v>41.3</v>
      </c>
      <c r="AA239" s="95">
        <f>Z239/6*'Weighting Factors'!$Q$6</f>
        <v>3.4</v>
      </c>
      <c r="AB239" s="99">
        <f>IF(ISNA(VLOOKUP($CZ239,'Audit Values'!$A$2:$BU$353,2,FALSE)),'Preliminary SO66'!AS238,VLOOKUP($CZ239,'Audit Values'!$A$2:$BU$353,63,FALSE))</f>
        <v>298</v>
      </c>
      <c r="AC239" s="99">
        <v>0</v>
      </c>
      <c r="AD239" s="99">
        <f>IF(ISNA(VLOOKUP($CZ239,'Audit Values'!$A$2:$BU$353,2,FALSE)),'Preliminary SO66'!AP238,VLOOKUP($CZ239,'Audit Values'!$A$2:$BU$353,64,FALSE))</f>
        <v>98</v>
      </c>
      <c r="AE239" s="95">
        <f>IF(A239=207, AD239,MAX(AC239,AD239))*'Weighting Factors'!$Q$9</f>
        <v>47.4</v>
      </c>
      <c r="AF239" s="95">
        <f t="shared" si="123"/>
        <v>0</v>
      </c>
      <c r="AG239" s="95">
        <f>IF(ISNA(VLOOKUP($CZ239,'Audit Values'!$A$2:$BW$353,2,FALSE)),'Preliminary SO66'!AG238,VLOOKUP($CZ239,'Audit Values'!$A$2:$BW$353,70,FALSE))</f>
        <v>0</v>
      </c>
      <c r="AH239" s="95">
        <f t="shared" si="124"/>
        <v>0</v>
      </c>
      <c r="AI239" s="95">
        <f>IF(ISNA(VLOOKUP($CZ239,'Audit Values'!$A$2:$BU$353,2,FALSE)),'Preliminary SO66'!AQ238,VLOOKUP($CZ239,'Audit Values'!$A$2:$BU$353,65,FALSE))</f>
        <v>0</v>
      </c>
      <c r="AJ239" s="95">
        <f>AI239*'Weighting Factors'!$Q$10</f>
        <v>0</v>
      </c>
      <c r="AK239" s="95">
        <f>IF(ISNA(VLOOKUP($CZ239,'Audit Values'!$A$2:$BU$353,2,FALSE)),'Preliminary SO66'!AR238,VLOOKUP($CZ239,'Audit Values'!$A$2:$BU$353,66,FALSE))</f>
        <v>36</v>
      </c>
      <c r="AL239" s="95"/>
      <c r="AM239" s="99">
        <f t="shared" si="125"/>
        <v>39240</v>
      </c>
      <c r="AN239" s="99">
        <v>67795</v>
      </c>
      <c r="AO239" s="95">
        <f>MAX(AN239, AM239)/'Weighting Factors'!$Q$5</f>
        <v>16.3</v>
      </c>
      <c r="AP239" s="95">
        <f>CN239/'Weighting Factors'!$Q$5</f>
        <v>0</v>
      </c>
      <c r="AQ239" s="95">
        <v>0</v>
      </c>
      <c r="AR239" s="95">
        <f>CS239/'Weighting Factors'!$Q$5</f>
        <v>0</v>
      </c>
      <c r="AS239" s="99">
        <v>383076</v>
      </c>
      <c r="AT239" s="95">
        <f>AS239/'Weighting Factors'!$Q$5</f>
        <v>92</v>
      </c>
      <c r="AU239" s="95">
        <f>IF(ISNA(VLOOKUP($CZ239,'Audit Values'!$A$2:$BU$353,2,FALSE)),'Preliminary SO66'!X238,VLOOKUP($CZ239,'Audit Values'!$A$2:$BU$353,47,FALSE))</f>
        <v>0</v>
      </c>
      <c r="AV239" s="95">
        <f t="shared" si="126"/>
        <v>598.1</v>
      </c>
      <c r="AW239" s="95">
        <f t="shared" si="127"/>
        <v>506.1</v>
      </c>
      <c r="AX239" s="95">
        <f>IF(ISNA(VLOOKUP($CZ239,'Audit Values'!$A$2:$BU$353,2,FALSE)),'Preliminary SO66'!AA238,VLOOKUP($CZ239,'Audit Values'!$A$2:$BU$353,41,FALSE))</f>
        <v>0</v>
      </c>
      <c r="AY239" s="95">
        <f>IF(ISNA(VLOOKUP($CZ239,'Audit Values'!$A$2:$BU$353,2,FALSE)),'Preliminary SO66'!AB238,VLOOKUP($CZ239,'Audit Values'!$A$2:$BU$353,42,FALSE))</f>
        <v>0</v>
      </c>
      <c r="AZ239" s="114">
        <v>0</v>
      </c>
      <c r="BA239" s="99">
        <f>SUM(AX239*'Weighting Factors'!$T$10)+('2019 Legal Max'!AY239*'Weighting Factors'!$T$11)+('2019 Legal Max'!AZ239*'Weighting Factors'!$T$12)</f>
        <v>0</v>
      </c>
      <c r="BB239" s="158">
        <v>0</v>
      </c>
      <c r="BC239" s="88">
        <f>IF(ISNA(VLOOKUP($CZ239,'Audit Values'!$A$2:$BU$353,2,FALSE)),"",IF(AND('Weighting Factors'!H239&gt;0,VLOOKUP($CZ239,'Audit Values'!$A$2:$BU$353,51,FALSE)&lt;'Weighting Factors'!H239),'Weighting Factors'!H239,VLOOKUP($CZ239,'Audit Values'!$A$2:$BU$353,50,FALSE)))</f>
        <v>15</v>
      </c>
      <c r="BD239" s="88" t="str">
        <f>IF(ISNA(VLOOKUP($CZ239,'Audit Values'!$A$2:$BV$353,2,FALSE)),"",VLOOKUP($CZ239,'Audit Values'!$A$2:$BV$353,51,FALSE))</f>
        <v>A</v>
      </c>
      <c r="BE239" s="88" t="str">
        <f>IF('Weighting Factors'!H239="","",IF('Weighting Factors'!J239="Pending","PX","R"))</f>
        <v/>
      </c>
      <c r="BF239" s="97">
        <f>SUM((S239+T239+Y239+AA239+AE239+AH239+AJ239++AO239+AP239+AQ239+AU239+AR239)*'Weighting Factors'!$Q$5)+'2019 Legal Max'!BA239+'2019 Legal Max'!BB239</f>
        <v>2107907</v>
      </c>
      <c r="BG239" s="99">
        <f>SUM((AV239+AR239)*'Weighting Factors'!$Q$5)+BA239+'2019 Legal Max'!BB239</f>
        <v>2491087</v>
      </c>
      <c r="BH239" s="108">
        <f>IF('Weighting Factors'!H239&gt;0,'Weighting Factors'!H239,'Preliminary SO66'!AV238)</f>
        <v>2544399</v>
      </c>
      <c r="BI239" s="99">
        <f t="shared" si="151"/>
        <v>2491087</v>
      </c>
      <c r="BJ239" s="112"/>
      <c r="BK239" s="112">
        <f>'Weighting Factors'!F239</f>
        <v>-3000</v>
      </c>
      <c r="BL239" s="112">
        <f>'Weighting Factors'!E239</f>
        <v>0</v>
      </c>
      <c r="BM239" s="99">
        <f t="shared" si="128"/>
        <v>-3000</v>
      </c>
      <c r="BN239" s="99">
        <f t="shared" si="129"/>
        <v>2488087</v>
      </c>
      <c r="BO239" s="99">
        <f>SUM((S239+T239+Y239+AA239+AE239+AH239+AJ239++AO239+AP239+AQ239+AR239)*'Weighting Factors'!Q$12)+(MAX(AS239,'Weighting Factors'!B239))</f>
        <v>2658924</v>
      </c>
      <c r="BP239" s="122">
        <v>0.3</v>
      </c>
      <c r="BQ239" s="99">
        <f t="shared" si="130"/>
        <v>797677</v>
      </c>
      <c r="BR239" s="108">
        <v>813104</v>
      </c>
      <c r="BS239" s="99">
        <f t="shared" si="131"/>
        <v>797677</v>
      </c>
      <c r="BT239" s="167">
        <f t="shared" si="132"/>
        <v>0.3</v>
      </c>
      <c r="BU239" s="95">
        <f t="shared" si="133"/>
        <v>0</v>
      </c>
      <c r="BV239" s="87" t="b">
        <f t="shared" si="134"/>
        <v>1</v>
      </c>
      <c r="BW239" s="117">
        <f t="shared" si="135"/>
        <v>1843.14</v>
      </c>
      <c r="BX239" s="116">
        <f t="shared" si="136"/>
        <v>0.50830799999999998</v>
      </c>
      <c r="BY239" s="95">
        <f t="shared" si="137"/>
        <v>147.9</v>
      </c>
      <c r="BZ239" s="87" t="b">
        <f t="shared" si="138"/>
        <v>0</v>
      </c>
      <c r="CA239" s="87">
        <f t="shared" si="139"/>
        <v>0</v>
      </c>
      <c r="CB239" s="116">
        <f t="shared" si="140"/>
        <v>0</v>
      </c>
      <c r="CC239" s="95">
        <f t="shared" si="141"/>
        <v>0</v>
      </c>
      <c r="CD239" s="95">
        <f t="shared" si="142"/>
        <v>0</v>
      </c>
      <c r="CE239" s="98">
        <v>74</v>
      </c>
      <c r="CF239" s="250">
        <f t="shared" si="143"/>
        <v>0.48599999999999999</v>
      </c>
      <c r="CG239" s="274">
        <f>IF(CF239&lt;0.06,1,IF(CF239&gt;=18.29,52,MATCH(CF239-0.001,'Weighting Factors'!$Y$5:$Y$156)+1))</f>
        <v>25</v>
      </c>
      <c r="CH239" s="243">
        <f>VLOOKUP(CG239, 'Weighting Factors'!$W$5:$Z$56,4)</f>
        <v>1090</v>
      </c>
      <c r="CI239" s="118">
        <f>('Weighting Factors'!$Q$5/'Weighting Factors'!$Q$14)</f>
        <v>1</v>
      </c>
      <c r="CJ239" s="245">
        <f t="shared" si="144"/>
        <v>39240</v>
      </c>
      <c r="CK239" s="245">
        <f>CJ239*'Weighting Factors'!$S$7</f>
        <v>39240</v>
      </c>
      <c r="CL239" s="245">
        <f t="shared" si="145"/>
        <v>39240</v>
      </c>
      <c r="CM239" s="95">
        <f>AM239/'Weighting Factors'!$Q$5</f>
        <v>9.4</v>
      </c>
      <c r="CN239" s="148">
        <v>0</v>
      </c>
      <c r="CO239" s="148">
        <v>0</v>
      </c>
      <c r="CP239" s="149">
        <v>0</v>
      </c>
      <c r="CQ239" s="151">
        <v>0</v>
      </c>
      <c r="CR239" s="99">
        <f>SUM((AV239*'Weighting Factors'!$Q$5)+'2019 Legal Max'!BA239)*CQ239</f>
        <v>0</v>
      </c>
      <c r="CS239" s="99">
        <f t="shared" si="146"/>
        <v>0</v>
      </c>
      <c r="CT239" s="106">
        <f t="shared" si="147"/>
        <v>0.32890000000000003</v>
      </c>
      <c r="CU239" s="95">
        <f t="shared" si="148"/>
        <v>0</v>
      </c>
      <c r="CV239" s="95">
        <f t="shared" si="149"/>
        <v>0</v>
      </c>
      <c r="CW239" s="95">
        <f t="shared" si="150"/>
        <v>598.1</v>
      </c>
      <c r="CX239" s="99">
        <f>'LOB Transfers'!G238</f>
        <v>63256</v>
      </c>
      <c r="CY239" s="99">
        <f>'LOB Transfers'!J238</f>
        <v>239</v>
      </c>
      <c r="CZ239" s="87" t="s">
        <v>431</v>
      </c>
    </row>
    <row r="240" spans="1:104" ht="15" customHeight="1">
      <c r="A240" s="88">
        <v>456</v>
      </c>
      <c r="B240" s="87" t="s">
        <v>96</v>
      </c>
      <c r="C240" s="87" t="s">
        <v>752</v>
      </c>
      <c r="D240" s="95">
        <v>233.5</v>
      </c>
      <c r="E240" s="95">
        <v>0</v>
      </c>
      <c r="F240" s="95">
        <f t="shared" si="117"/>
        <v>233.5</v>
      </c>
      <c r="G240" s="95">
        <v>214.5</v>
      </c>
      <c r="H240" s="95">
        <v>0</v>
      </c>
      <c r="I240" s="95">
        <f t="shared" si="118"/>
        <v>214.5</v>
      </c>
      <c r="J240" s="95">
        <v>209.5</v>
      </c>
      <c r="K240" s="95">
        <v>0</v>
      </c>
      <c r="L240" s="95">
        <f t="shared" si="119"/>
        <v>209.5</v>
      </c>
      <c r="M240" s="95">
        <f>IF(ISNA(VLOOKUP($CZ240,'Audit Values'!$A$2:$BW$365,2,FALSE)),'Preliminary SO66'!C239,VLOOKUP($CZ240,'Audit Values'!$A$2:$BW$365,73,FALSE))</f>
        <v>205</v>
      </c>
      <c r="N240" s="95">
        <f>IF(ISNA(VLOOKUP($CZ240,'Audit Values'!$A$2:$BW$365,2,FALSE)),'Preliminary SO66'!F239,VLOOKUP($CZ240,'Audit Values'!$A$2:$BW$365,4,FALSE))</f>
        <v>0</v>
      </c>
      <c r="O240" s="95">
        <f t="shared" si="120"/>
        <v>205</v>
      </c>
      <c r="P240" s="95">
        <f>IF('Military Provision'!J241="YES", MAX('2019 Legal Max'!L240,'2019 Legal Max'!I240,AVERAGE('2019 Legal Max'!F240,'2019 Legal Max'!I240,'2019 Legal Max'!L240)), MAX(L240, I240))</f>
        <v>214.5</v>
      </c>
      <c r="Q240" s="95">
        <f>IF(ISNA(VLOOKUP($CZ240,'Audit Values'!$A$2:$BU$353,2,FALSE)),'Preliminary SO66'!AL239,VLOOKUP($CZ240,'Audit Values'!$A$2:$BU$3955,58,FALSE))</f>
        <v>2</v>
      </c>
      <c r="R240" s="95">
        <v>0</v>
      </c>
      <c r="S240" s="95">
        <f t="shared" si="152"/>
        <v>216.5</v>
      </c>
      <c r="T240" s="95">
        <f t="shared" si="121"/>
        <v>152.69999999999999</v>
      </c>
      <c r="U240" s="95">
        <f>IF(ISNA(VLOOKUP($CZ240,'Audit Values'!$A$2:$BW$317,2,FALSE)),'Preliminary SO66'!AM239,VLOOKUP($CZ240,'Audit Values'!$A$2:$BW$317,62,FALSE))</f>
        <v>0</v>
      </c>
      <c r="V240" s="95">
        <f>(U240/6)*'Weighting Factors'!$Q$7</f>
        <v>0</v>
      </c>
      <c r="W240" s="132">
        <f>IF(ISNA(VLOOKUP($CZ240,'Audit Values'!$A$2:$BW$353,2,FALSE)),'Preliminary SO66'!AN239,VLOOKUP($CZ240,'Audit Values'!$A$2:$BW$353,61,FALSE))</f>
        <v>0</v>
      </c>
      <c r="X240" s="95">
        <f>W240*'Weighting Factors'!$Q$8</f>
        <v>0</v>
      </c>
      <c r="Y240" s="95">
        <f t="shared" si="122"/>
        <v>0</v>
      </c>
      <c r="Z240" s="276">
        <f>IF(ISNA(VLOOKUP($CZ240,'Audit Values'!$A$2:$BW$317,2,FALSE)),'Preliminary SO66'!AO239,VLOOKUP($CZ240,'Audit Values'!$A$2:$BW$317,60,FALSE))</f>
        <v>58</v>
      </c>
      <c r="AA240" s="95">
        <f>Z240/6*'Weighting Factors'!$Q$6</f>
        <v>4.8</v>
      </c>
      <c r="AB240" s="99">
        <f>IF(ISNA(VLOOKUP($CZ240,'Audit Values'!$A$2:$BU$353,2,FALSE)),'Preliminary SO66'!AS239,VLOOKUP($CZ240,'Audit Values'!$A$2:$BU$353,63,FALSE))</f>
        <v>213</v>
      </c>
      <c r="AC240" s="99">
        <v>0</v>
      </c>
      <c r="AD240" s="99">
        <f>IF(ISNA(VLOOKUP($CZ240,'Audit Values'!$A$2:$BU$353,2,FALSE)),'Preliminary SO66'!AP239,VLOOKUP($CZ240,'Audit Values'!$A$2:$BU$353,64,FALSE))</f>
        <v>95</v>
      </c>
      <c r="AE240" s="95">
        <f>IF(A240=207, AD240,MAX(AC240,AD240))*'Weighting Factors'!$Q$9</f>
        <v>46</v>
      </c>
      <c r="AF240" s="95">
        <f t="shared" si="123"/>
        <v>6.4</v>
      </c>
      <c r="AG240" s="95">
        <f>IF(ISNA(VLOOKUP($CZ240,'Audit Values'!$A$2:$BW$353,2,FALSE)),'Preliminary SO66'!AG239,VLOOKUP($CZ240,'Audit Values'!$A$2:$BW$353,70,FALSE))</f>
        <v>6.7</v>
      </c>
      <c r="AH240" s="95">
        <f t="shared" si="124"/>
        <v>6.7</v>
      </c>
      <c r="AI240" s="95">
        <f>IF(ISNA(VLOOKUP($CZ240,'Audit Values'!$A$2:$BU$353,2,FALSE)),'Preliminary SO66'!AQ239,VLOOKUP($CZ240,'Audit Values'!$A$2:$BU$353,65,FALSE))</f>
        <v>0</v>
      </c>
      <c r="AJ240" s="95">
        <f>AI240*'Weighting Factors'!$Q$10</f>
        <v>0</v>
      </c>
      <c r="AK240" s="95">
        <f>IF(ISNA(VLOOKUP($CZ240,'Audit Values'!$A$2:$BU$353,2,FALSE)),'Preliminary SO66'!AR239,VLOOKUP($CZ240,'Audit Values'!$A$2:$BU$353,66,FALSE))</f>
        <v>84</v>
      </c>
      <c r="AL240" s="95"/>
      <c r="AM240" s="99">
        <f t="shared" si="125"/>
        <v>88200</v>
      </c>
      <c r="AN240" s="99">
        <v>148687</v>
      </c>
      <c r="AO240" s="95">
        <f>MAX(AN240, AM240)/'Weighting Factors'!$Q$5</f>
        <v>35.700000000000003</v>
      </c>
      <c r="AP240" s="95">
        <f>CN240/'Weighting Factors'!$Q$5</f>
        <v>0</v>
      </c>
      <c r="AQ240" s="95">
        <v>0</v>
      </c>
      <c r="AR240" s="95">
        <f>CS240/'Weighting Factors'!$Q$5</f>
        <v>0</v>
      </c>
      <c r="AS240" s="99">
        <v>308738</v>
      </c>
      <c r="AT240" s="95">
        <f>AS240/'Weighting Factors'!$Q$5</f>
        <v>74.099999999999994</v>
      </c>
      <c r="AU240" s="95">
        <f>IF(ISNA(VLOOKUP($CZ240,'Audit Values'!$A$2:$BU$353,2,FALSE)),'Preliminary SO66'!X239,VLOOKUP($CZ240,'Audit Values'!$A$2:$BU$353,47,FALSE))</f>
        <v>0</v>
      </c>
      <c r="AV240" s="95">
        <f t="shared" si="126"/>
        <v>536.5</v>
      </c>
      <c r="AW240" s="95">
        <f t="shared" si="127"/>
        <v>462.4</v>
      </c>
      <c r="AX240" s="95">
        <f>IF(ISNA(VLOOKUP($CZ240,'Audit Values'!$A$2:$BU$353,2,FALSE)),'Preliminary SO66'!AA239,VLOOKUP($CZ240,'Audit Values'!$A$2:$BU$353,41,FALSE))</f>
        <v>0</v>
      </c>
      <c r="AY240" s="95">
        <f>IF(ISNA(VLOOKUP($CZ240,'Audit Values'!$A$2:$BU$353,2,FALSE)),'Preliminary SO66'!AB239,VLOOKUP($CZ240,'Audit Values'!$A$2:$BU$353,42,FALSE))</f>
        <v>0</v>
      </c>
      <c r="AZ240" s="114">
        <v>2.5</v>
      </c>
      <c r="BA240" s="99">
        <f>SUM(AX240*'Weighting Factors'!$T$10)+('2019 Legal Max'!AY240*'Weighting Factors'!$T$11)+('2019 Legal Max'!AZ240*'Weighting Factors'!$T$12)</f>
        <v>1773</v>
      </c>
      <c r="BB240" s="158">
        <v>0</v>
      </c>
      <c r="BC240" s="88">
        <f>IF(ISNA(VLOOKUP($CZ240,'Audit Values'!$A$2:$BU$353,2,FALSE)),"",IF(AND('Weighting Factors'!H240&gt;0,VLOOKUP($CZ240,'Audit Values'!$A$2:$BU$353,51,FALSE)&lt;'Weighting Factors'!H240),'Weighting Factors'!H240,VLOOKUP($CZ240,'Audit Values'!$A$2:$BU$353,50,FALSE)))</f>
        <v>12</v>
      </c>
      <c r="BD240" s="88" t="str">
        <f>IF(ISNA(VLOOKUP($CZ240,'Audit Values'!$A$2:$BV$353,2,FALSE)),"",VLOOKUP($CZ240,'Audit Values'!$A$2:$BV$353,51,FALSE))</f>
        <v>A</v>
      </c>
      <c r="BE240" s="88" t="str">
        <f>IF('Weighting Factors'!H240="","",IF('Weighting Factors'!J240="Pending","PX","R"))</f>
        <v/>
      </c>
      <c r="BF240" s="97">
        <f>SUM((S240+T240+Y240+AA240+AE240+AH240+AJ240++AO240+AP240+AQ240+AU240+AR240)*'Weighting Factors'!$Q$5)+'2019 Legal Max'!BA240+'2019 Legal Max'!BB240</f>
        <v>1927669</v>
      </c>
      <c r="BG240" s="99">
        <f>SUM((AV240+AR240)*'Weighting Factors'!$Q$5)+BA240+'2019 Legal Max'!BB240</f>
        <v>2236296</v>
      </c>
      <c r="BH240" s="108">
        <f>IF('Weighting Factors'!H240&gt;0,'Weighting Factors'!H240,'Preliminary SO66'!AV239)</f>
        <v>2326065</v>
      </c>
      <c r="BI240" s="99">
        <f t="shared" si="151"/>
        <v>2236296</v>
      </c>
      <c r="BJ240" s="112"/>
      <c r="BK240" s="112">
        <f>'Weighting Factors'!F240</f>
        <v>-48015</v>
      </c>
      <c r="BL240" s="112">
        <f>'Weighting Factors'!E240</f>
        <v>0</v>
      </c>
      <c r="BM240" s="99">
        <f t="shared" si="128"/>
        <v>-48015</v>
      </c>
      <c r="BN240" s="99">
        <f t="shared" si="129"/>
        <v>2188281</v>
      </c>
      <c r="BO240" s="99">
        <f>SUM((S240+T240+Y240+AA240+AE240+AH240+AJ240++AO240+AP240+AQ240+AR240)*'Weighting Factors'!Q$12)+(MAX(AS240,'Weighting Factors'!B240))</f>
        <v>2417624</v>
      </c>
      <c r="BP240" s="122">
        <v>0.3</v>
      </c>
      <c r="BQ240" s="99">
        <f t="shared" si="130"/>
        <v>725287</v>
      </c>
      <c r="BR240" s="108">
        <v>748456</v>
      </c>
      <c r="BS240" s="99">
        <f t="shared" si="131"/>
        <v>725287</v>
      </c>
      <c r="BT240" s="167">
        <f t="shared" si="132"/>
        <v>0.3</v>
      </c>
      <c r="BU240" s="95">
        <f t="shared" si="133"/>
        <v>0</v>
      </c>
      <c r="BV240" s="87" t="b">
        <f t="shared" si="134"/>
        <v>1</v>
      </c>
      <c r="BW240" s="117">
        <f t="shared" si="135"/>
        <v>1124.808</v>
      </c>
      <c r="BX240" s="116">
        <f t="shared" si="136"/>
        <v>0.70552199999999998</v>
      </c>
      <c r="BY240" s="95">
        <f t="shared" si="137"/>
        <v>152.69999999999999</v>
      </c>
      <c r="BZ240" s="87" t="b">
        <f t="shared" si="138"/>
        <v>0</v>
      </c>
      <c r="CA240" s="87">
        <f t="shared" si="139"/>
        <v>0</v>
      </c>
      <c r="CB240" s="116">
        <f t="shared" si="140"/>
        <v>0</v>
      </c>
      <c r="CC240" s="95">
        <f t="shared" si="141"/>
        <v>0</v>
      </c>
      <c r="CD240" s="95">
        <f t="shared" si="142"/>
        <v>0</v>
      </c>
      <c r="CE240" s="98">
        <v>133</v>
      </c>
      <c r="CF240" s="250">
        <f t="shared" si="143"/>
        <v>0.63200000000000001</v>
      </c>
      <c r="CG240" s="274">
        <f>IF(CF240&lt;0.06,1,IF(CF240&gt;=18.29,52,MATCH(CF240-0.001,'Weighting Factors'!$Y$5:$Y$156)+1))</f>
        <v>27</v>
      </c>
      <c r="CH240" s="243">
        <f>VLOOKUP(CG240, 'Weighting Factors'!$W$5:$Z$56,4)</f>
        <v>1050</v>
      </c>
      <c r="CI240" s="118">
        <f>('Weighting Factors'!$Q$5/'Weighting Factors'!$Q$14)</f>
        <v>1</v>
      </c>
      <c r="CJ240" s="245">
        <f t="shared" si="144"/>
        <v>88200</v>
      </c>
      <c r="CK240" s="245">
        <f>CJ240*'Weighting Factors'!$S$7</f>
        <v>88200</v>
      </c>
      <c r="CL240" s="245">
        <f t="shared" si="145"/>
        <v>88200</v>
      </c>
      <c r="CM240" s="95">
        <f>AM240/'Weighting Factors'!$Q$5</f>
        <v>21.2</v>
      </c>
      <c r="CN240" s="148">
        <v>0</v>
      </c>
      <c r="CO240" s="148">
        <v>0</v>
      </c>
      <c r="CP240" s="149">
        <v>0</v>
      </c>
      <c r="CQ240" s="151">
        <v>0</v>
      </c>
      <c r="CR240" s="99">
        <f>SUM((AV240*'Weighting Factors'!$Q$5)+'2019 Legal Max'!BA240)*CQ240</f>
        <v>0</v>
      </c>
      <c r="CS240" s="99">
        <f t="shared" si="146"/>
        <v>0</v>
      </c>
      <c r="CT240" s="106">
        <f t="shared" si="147"/>
        <v>0.44600000000000001</v>
      </c>
      <c r="CU240" s="95">
        <f t="shared" si="148"/>
        <v>0</v>
      </c>
      <c r="CV240" s="95">
        <f t="shared" si="149"/>
        <v>6.4</v>
      </c>
      <c r="CW240" s="95">
        <f t="shared" si="150"/>
        <v>536.5</v>
      </c>
      <c r="CX240" s="99">
        <f>'LOB Transfers'!G239</f>
        <v>62447</v>
      </c>
      <c r="CY240" s="99">
        <f>'LOB Transfers'!J239</f>
        <v>0</v>
      </c>
      <c r="CZ240" s="87" t="s">
        <v>432</v>
      </c>
    </row>
    <row r="241" spans="1:104" ht="15" customHeight="1">
      <c r="A241" s="88">
        <v>457</v>
      </c>
      <c r="B241" s="87" t="s">
        <v>69</v>
      </c>
      <c r="C241" s="87" t="s">
        <v>753</v>
      </c>
      <c r="D241" s="95">
        <v>7139.5</v>
      </c>
      <c r="E241" s="95">
        <v>0</v>
      </c>
      <c r="F241" s="95">
        <f t="shared" si="117"/>
        <v>7139.5</v>
      </c>
      <c r="G241" s="95">
        <v>7336.6</v>
      </c>
      <c r="H241" s="95">
        <v>0</v>
      </c>
      <c r="I241" s="95">
        <f t="shared" si="118"/>
        <v>7336.6</v>
      </c>
      <c r="J241" s="95">
        <v>7180.3</v>
      </c>
      <c r="K241" s="95">
        <v>0</v>
      </c>
      <c r="L241" s="95">
        <f t="shared" si="119"/>
        <v>7180.3</v>
      </c>
      <c r="M241" s="95">
        <f>IF(ISNA(VLOOKUP($CZ241,'Audit Values'!$A$2:$BW$365,2,FALSE)),'Preliminary SO66'!C240,VLOOKUP($CZ241,'Audit Values'!$A$2:$BW$365,73,FALSE))</f>
        <v>7125.2</v>
      </c>
      <c r="N241" s="95">
        <f>IF(ISNA(VLOOKUP($CZ241,'Audit Values'!$A$2:$BW$365,2,FALSE)),'Preliminary SO66'!F240,VLOOKUP($CZ241,'Audit Values'!$A$2:$BW$365,4,FALSE))</f>
        <v>0</v>
      </c>
      <c r="O241" s="95">
        <f t="shared" si="120"/>
        <v>7125.2</v>
      </c>
      <c r="P241" s="95">
        <f>IF('Military Provision'!J242="YES", MAX('2019 Legal Max'!L241,'2019 Legal Max'!I241,AVERAGE('2019 Legal Max'!F241,'2019 Legal Max'!I241,'2019 Legal Max'!L241)), MAX(L241, I241))</f>
        <v>7336.6</v>
      </c>
      <c r="Q241" s="95">
        <f>IF(ISNA(VLOOKUP($CZ241,'Audit Values'!$A$2:$BU$353,2,FALSE)),'Preliminary SO66'!AL240,VLOOKUP($CZ241,'Audit Values'!$A$2:$BU$3955,58,FALSE))</f>
        <v>95</v>
      </c>
      <c r="R241" s="95">
        <v>0</v>
      </c>
      <c r="S241" s="95">
        <f t="shared" si="152"/>
        <v>7431.6</v>
      </c>
      <c r="T241" s="95">
        <f t="shared" si="121"/>
        <v>260.39999999999998</v>
      </c>
      <c r="U241" s="95">
        <f>IF(ISNA(VLOOKUP($CZ241,'Audit Values'!$A$2:$BW$317,2,FALSE)),'Preliminary SO66'!AM240,VLOOKUP($CZ241,'Audit Values'!$A$2:$BW$317,62,FALSE))</f>
        <v>8003.5</v>
      </c>
      <c r="V241" s="95">
        <f>(U241/6)*'Weighting Factors'!$Q$7</f>
        <v>526.9</v>
      </c>
      <c r="W241" s="132">
        <f>IF(ISNA(VLOOKUP($CZ241,'Audit Values'!$A$2:$BW$353,2,FALSE)),'Preliminary SO66'!AN240,VLOOKUP($CZ241,'Audit Values'!$A$2:$BW$353,61,FALSE))</f>
        <v>2826</v>
      </c>
      <c r="X241" s="95">
        <f>W241*'Weighting Factors'!$Q$8</f>
        <v>522.79999999999995</v>
      </c>
      <c r="Y241" s="95">
        <f t="shared" si="122"/>
        <v>526.9</v>
      </c>
      <c r="Z241" s="276">
        <f>IF(ISNA(VLOOKUP($CZ241,'Audit Values'!$A$2:$BW$317,2,FALSE)),'Preliminary SO66'!AO240,VLOOKUP($CZ241,'Audit Values'!$A$2:$BW$317,60,FALSE))</f>
        <v>1495.5</v>
      </c>
      <c r="AA241" s="95">
        <f>Z241/6*'Weighting Factors'!$Q$6</f>
        <v>124.6</v>
      </c>
      <c r="AB241" s="99">
        <f>IF(ISNA(VLOOKUP($CZ241,'Audit Values'!$A$2:$BU$353,2,FALSE)),'Preliminary SO66'!AS240,VLOOKUP($CZ241,'Audit Values'!$A$2:$BU$353,63,FALSE))</f>
        <v>7406</v>
      </c>
      <c r="AC241" s="99">
        <v>0</v>
      </c>
      <c r="AD241" s="99">
        <f>IF(ISNA(VLOOKUP($CZ241,'Audit Values'!$A$2:$BU$353,2,FALSE)),'Preliminary SO66'!AP240,VLOOKUP($CZ241,'Audit Values'!$A$2:$BU$353,64,FALSE))</f>
        <v>3999</v>
      </c>
      <c r="AE241" s="95">
        <f>IF(A241=207, AD241,MAX(AC241,AD241))*'Weighting Factors'!$Q$9</f>
        <v>1935.5</v>
      </c>
      <c r="AF241" s="95">
        <f t="shared" si="123"/>
        <v>419.9</v>
      </c>
      <c r="AG241" s="95">
        <f>IF(ISNA(VLOOKUP($CZ241,'Audit Values'!$A$2:$BW$353,2,FALSE)),'Preliminary SO66'!AG240,VLOOKUP($CZ241,'Audit Values'!$A$2:$BW$353,70,FALSE))</f>
        <v>381.2</v>
      </c>
      <c r="AH241" s="95">
        <f t="shared" si="124"/>
        <v>419.9</v>
      </c>
      <c r="AI241" s="95">
        <f>IF(ISNA(VLOOKUP($CZ241,'Audit Values'!$A$2:$BU$353,2,FALSE)),'Preliminary SO66'!AQ240,VLOOKUP($CZ241,'Audit Values'!$A$2:$BU$353,65,FALSE))</f>
        <v>0</v>
      </c>
      <c r="AJ241" s="95">
        <f>AI241*'Weighting Factors'!$Q$10</f>
        <v>0</v>
      </c>
      <c r="AK241" s="95">
        <f>IF(ISNA(VLOOKUP($CZ241,'Audit Values'!$A$2:$BU$353,2,FALSE)),'Preliminary SO66'!AR240,VLOOKUP($CZ241,'Audit Values'!$A$2:$BU$353,66,FALSE))</f>
        <v>2313</v>
      </c>
      <c r="AL241" s="95"/>
      <c r="AM241" s="99">
        <f t="shared" si="125"/>
        <v>1873530</v>
      </c>
      <c r="AN241" s="99">
        <v>1983780</v>
      </c>
      <c r="AO241" s="95">
        <f>MAX(AN241, AM241)/'Weighting Factors'!$Q$5</f>
        <v>476.3</v>
      </c>
      <c r="AP241" s="95">
        <f>CN241/'Weighting Factors'!$Q$5</f>
        <v>0</v>
      </c>
      <c r="AQ241" s="95">
        <v>0</v>
      </c>
      <c r="AR241" s="95">
        <f>CS241/'Weighting Factors'!$Q$5</f>
        <v>0</v>
      </c>
      <c r="AS241" s="99">
        <v>5214593</v>
      </c>
      <c r="AT241" s="95">
        <f>AS241/'Weighting Factors'!$Q$5</f>
        <v>1252</v>
      </c>
      <c r="AU241" s="95">
        <f>IF(ISNA(VLOOKUP($CZ241,'Audit Values'!$A$2:$BU$353,2,FALSE)),'Preliminary SO66'!X240,VLOOKUP($CZ241,'Audit Values'!$A$2:$BU$353,47,FALSE))</f>
        <v>0</v>
      </c>
      <c r="AV241" s="95">
        <f t="shared" si="126"/>
        <v>12427.2</v>
      </c>
      <c r="AW241" s="95">
        <f t="shared" si="127"/>
        <v>11175.2</v>
      </c>
      <c r="AX241" s="95">
        <f>IF(ISNA(VLOOKUP($CZ241,'Audit Values'!$A$2:$BU$353,2,FALSE)),'Preliminary SO66'!AA240,VLOOKUP($CZ241,'Audit Values'!$A$2:$BU$353,41,FALSE))</f>
        <v>49</v>
      </c>
      <c r="AY241" s="95">
        <f>IF(ISNA(VLOOKUP($CZ241,'Audit Values'!$A$2:$BU$353,2,FALSE)),'Preliminary SO66'!AB240,VLOOKUP($CZ241,'Audit Values'!$A$2:$BU$353,42,FALSE))</f>
        <v>0.8</v>
      </c>
      <c r="AZ241" s="114">
        <v>65</v>
      </c>
      <c r="BA241" s="99">
        <f>SUM(AX241*'Weighting Factors'!$T$10)+('2019 Legal Max'!AY241*'Weighting Factors'!$T$11)+('2019 Legal Max'!AZ241*'Weighting Factors'!$T$12)</f>
        <v>292445</v>
      </c>
      <c r="BB241" s="158">
        <v>0</v>
      </c>
      <c r="BC241" s="88">
        <f>IF(ISNA(VLOOKUP($CZ241,'Audit Values'!$A$2:$BU$353,2,FALSE)),"",IF(AND('Weighting Factors'!H241&gt;0,VLOOKUP($CZ241,'Audit Values'!$A$2:$BU$353,51,FALSE)&lt;'Weighting Factors'!H241),'Weighting Factors'!H241,VLOOKUP($CZ241,'Audit Values'!$A$2:$BU$353,50,FALSE)))</f>
        <v>25</v>
      </c>
      <c r="BD241" s="88" t="str">
        <f>IF(ISNA(VLOOKUP($CZ241,'Audit Values'!$A$2:$BV$353,2,FALSE)),"",VLOOKUP($CZ241,'Audit Values'!$A$2:$BV$353,51,FALSE))</f>
        <v>A</v>
      </c>
      <c r="BE241" s="88" t="str">
        <f>IF('Weighting Factors'!H241="","",IF('Weighting Factors'!J241="Pending","PX","R"))</f>
        <v/>
      </c>
      <c r="BF241" s="97">
        <f>SUM((S241+T241+Y241+AA241+AE241+AH241+AJ241++AO241+AP241+AQ241+AU241+AR241)*'Weighting Factors'!$Q$5)+'2019 Legal Max'!BA241+'2019 Legal Max'!BB241</f>
        <v>46837153</v>
      </c>
      <c r="BG241" s="99">
        <f>SUM((AV241+AR241)*'Weighting Factors'!$Q$5)+BA241+'2019 Legal Max'!BB241</f>
        <v>52051733</v>
      </c>
      <c r="BH241" s="108">
        <f>IF('Weighting Factors'!H241&gt;0,'Weighting Factors'!H241,'Preliminary SO66'!AV240)</f>
        <v>52700479</v>
      </c>
      <c r="BI241" s="99">
        <f t="shared" si="151"/>
        <v>52051733</v>
      </c>
      <c r="BJ241" s="112"/>
      <c r="BK241" s="112">
        <f>'Weighting Factors'!F241</f>
        <v>0</v>
      </c>
      <c r="BL241" s="112">
        <f>'Weighting Factors'!E241</f>
        <v>-4963</v>
      </c>
      <c r="BM241" s="99">
        <f t="shared" si="128"/>
        <v>-4963</v>
      </c>
      <c r="BN241" s="99">
        <f t="shared" si="129"/>
        <v>52046770</v>
      </c>
      <c r="BO241" s="99">
        <f>SUM((S241+T241+Y241+AA241+AE241+AH241+AJ241++AO241+AP241+AQ241+AR241)*'Weighting Factors'!Q$12)+(MAX(AS241,'Weighting Factors'!B241))</f>
        <v>55538600</v>
      </c>
      <c r="BP241" s="122">
        <v>0.3</v>
      </c>
      <c r="BQ241" s="99">
        <f t="shared" si="130"/>
        <v>16661580</v>
      </c>
      <c r="BR241" s="108">
        <v>16821200</v>
      </c>
      <c r="BS241" s="99">
        <f t="shared" si="131"/>
        <v>16661580</v>
      </c>
      <c r="BT241" s="167">
        <f t="shared" si="132"/>
        <v>0.3</v>
      </c>
      <c r="BU241" s="95">
        <f t="shared" si="133"/>
        <v>0</v>
      </c>
      <c r="BV241" s="87" t="b">
        <f t="shared" si="134"/>
        <v>0</v>
      </c>
      <c r="BW241" s="117">
        <f t="shared" si="135"/>
        <v>0</v>
      </c>
      <c r="BX241" s="116">
        <f t="shared" si="136"/>
        <v>0</v>
      </c>
      <c r="BY241" s="95">
        <f t="shared" si="137"/>
        <v>0</v>
      </c>
      <c r="BZ241" s="87" t="b">
        <f t="shared" si="138"/>
        <v>0</v>
      </c>
      <c r="CA241" s="87">
        <f t="shared" si="139"/>
        <v>0</v>
      </c>
      <c r="CB241" s="116">
        <f t="shared" si="140"/>
        <v>0</v>
      </c>
      <c r="CC241" s="95">
        <f t="shared" si="141"/>
        <v>0</v>
      </c>
      <c r="CD241" s="95">
        <f t="shared" si="142"/>
        <v>260.39999999999998</v>
      </c>
      <c r="CE241" s="98">
        <v>928</v>
      </c>
      <c r="CF241" s="250">
        <f t="shared" si="143"/>
        <v>2.492</v>
      </c>
      <c r="CG241" s="274">
        <f>IF(CF241&lt;0.06,1,IF(CF241&gt;=18.29,52,MATCH(CF241-0.001,'Weighting Factors'!$Y$5:$Y$156)+1))</f>
        <v>39</v>
      </c>
      <c r="CH241" s="243">
        <f>VLOOKUP(CG241, 'Weighting Factors'!$W$5:$Z$56,4)</f>
        <v>810</v>
      </c>
      <c r="CI241" s="118">
        <f>('Weighting Factors'!$Q$5/'Weighting Factors'!$Q$14)</f>
        <v>1</v>
      </c>
      <c r="CJ241" s="245">
        <f t="shared" si="144"/>
        <v>1873530</v>
      </c>
      <c r="CK241" s="245">
        <f>CJ241*'Weighting Factors'!$S$7</f>
        <v>1873530</v>
      </c>
      <c r="CL241" s="245">
        <f t="shared" si="145"/>
        <v>1873530</v>
      </c>
      <c r="CM241" s="95">
        <f>AM241/'Weighting Factors'!$Q$5</f>
        <v>449.8</v>
      </c>
      <c r="CN241" s="148">
        <v>0</v>
      </c>
      <c r="CO241" s="148">
        <v>0</v>
      </c>
      <c r="CP241" s="149">
        <v>0</v>
      </c>
      <c r="CQ241" s="151">
        <v>0</v>
      </c>
      <c r="CR241" s="99">
        <f>SUM((AV241*'Weighting Factors'!$Q$5)+'2019 Legal Max'!BA241)*CQ241</f>
        <v>0</v>
      </c>
      <c r="CS241" s="99">
        <f t="shared" si="146"/>
        <v>0</v>
      </c>
      <c r="CT241" s="106">
        <f t="shared" si="147"/>
        <v>0.54</v>
      </c>
      <c r="CU241" s="95">
        <f t="shared" si="148"/>
        <v>419.9</v>
      </c>
      <c r="CV241" s="95">
        <f t="shared" si="149"/>
        <v>0</v>
      </c>
      <c r="CW241" s="95">
        <f t="shared" si="150"/>
        <v>12427.2</v>
      </c>
      <c r="CX241" s="99">
        <f>'LOB Transfers'!G240</f>
        <v>2614202</v>
      </c>
      <c r="CY241" s="99">
        <f>'LOB Transfers'!J240</f>
        <v>711449</v>
      </c>
      <c r="CZ241" s="87" t="s">
        <v>433</v>
      </c>
    </row>
    <row r="242" spans="1:104" ht="15" customHeight="1">
      <c r="A242" s="88">
        <v>458</v>
      </c>
      <c r="B242" s="87" t="s">
        <v>11</v>
      </c>
      <c r="C242" s="87" t="s">
        <v>754</v>
      </c>
      <c r="D242" s="95">
        <v>2160.9</v>
      </c>
      <c r="E242" s="95">
        <v>0</v>
      </c>
      <c r="F242" s="95">
        <f t="shared" si="117"/>
        <v>2160.9</v>
      </c>
      <c r="G242" s="95">
        <v>2328.6</v>
      </c>
      <c r="H242" s="95">
        <v>0</v>
      </c>
      <c r="I242" s="95">
        <f t="shared" si="118"/>
        <v>2328.6</v>
      </c>
      <c r="J242" s="95">
        <v>2409.3000000000002</v>
      </c>
      <c r="K242" s="95">
        <v>0</v>
      </c>
      <c r="L242" s="95">
        <f t="shared" si="119"/>
        <v>2409.3000000000002</v>
      </c>
      <c r="M242" s="95">
        <f>IF(ISNA(VLOOKUP($CZ242,'Audit Values'!$A$2:$BW$365,2,FALSE)),'Preliminary SO66'!C241,VLOOKUP($CZ242,'Audit Values'!$A$2:$BW$365,73,FALSE))</f>
        <v>2500</v>
      </c>
      <c r="N242" s="95">
        <f>IF(ISNA(VLOOKUP($CZ242,'Audit Values'!$A$2:$BW$365,2,FALSE)),'Preliminary SO66'!F241,VLOOKUP($CZ242,'Audit Values'!$A$2:$BW$365,4,FALSE))</f>
        <v>0</v>
      </c>
      <c r="O242" s="95">
        <f t="shared" si="120"/>
        <v>2500</v>
      </c>
      <c r="P242" s="95">
        <f>IF('Military Provision'!J243="YES", MAX('2019 Legal Max'!L242,'2019 Legal Max'!I242,AVERAGE('2019 Legal Max'!F242,'2019 Legal Max'!I242,'2019 Legal Max'!L242)), MAX(L242, I242))</f>
        <v>2409.3000000000002</v>
      </c>
      <c r="Q242" s="95">
        <f>IF(ISNA(VLOOKUP($CZ242,'Audit Values'!$A$2:$BU$353,2,FALSE)),'Preliminary SO66'!AL241,VLOOKUP($CZ242,'Audit Values'!$A$2:$BU$3955,58,FALSE))</f>
        <v>0</v>
      </c>
      <c r="R242" s="95">
        <v>0</v>
      </c>
      <c r="S242" s="95">
        <f t="shared" si="152"/>
        <v>2409.3000000000002</v>
      </c>
      <c r="T242" s="95">
        <f t="shared" si="121"/>
        <v>84.4</v>
      </c>
      <c r="U242" s="95">
        <f>IF(ISNA(VLOOKUP($CZ242,'Audit Values'!$A$2:$BW$317,2,FALSE)),'Preliminary SO66'!AM241,VLOOKUP($CZ242,'Audit Values'!$A$2:$BW$317,62,FALSE))</f>
        <v>36.799999999999997</v>
      </c>
      <c r="V242" s="95">
        <f>(U242/6)*'Weighting Factors'!$Q$7</f>
        <v>2.4</v>
      </c>
      <c r="W242" s="132">
        <f>IF(ISNA(VLOOKUP($CZ242,'Audit Values'!$A$2:$BW$353,2,FALSE)),'Preliminary SO66'!AN241,VLOOKUP($CZ242,'Audit Values'!$A$2:$BW$353,61,FALSE))</f>
        <v>37</v>
      </c>
      <c r="X242" s="95">
        <f>W242*'Weighting Factors'!$Q$8</f>
        <v>6.8</v>
      </c>
      <c r="Y242" s="95">
        <f t="shared" si="122"/>
        <v>6.8</v>
      </c>
      <c r="Z242" s="276">
        <f>IF(ISNA(VLOOKUP($CZ242,'Audit Values'!$A$2:$BW$317,2,FALSE)),'Preliminary SO66'!AO241,VLOOKUP($CZ242,'Audit Values'!$A$2:$BW$317,60,FALSE))</f>
        <v>731.2</v>
      </c>
      <c r="AA242" s="95">
        <f>Z242/6*'Weighting Factors'!$Q$6</f>
        <v>60.9</v>
      </c>
      <c r="AB242" s="99">
        <f>IF(ISNA(VLOOKUP($CZ242,'Audit Values'!$A$2:$BU$353,2,FALSE)),'Preliminary SO66'!AS241,VLOOKUP($CZ242,'Audit Values'!$A$2:$BU$353,63,FALSE))</f>
        <v>2520</v>
      </c>
      <c r="AC242" s="99">
        <v>0</v>
      </c>
      <c r="AD242" s="99">
        <f>IF(ISNA(VLOOKUP($CZ242,'Audit Values'!$A$2:$BU$353,2,FALSE)),'Preliminary SO66'!AP241,VLOOKUP($CZ242,'Audit Values'!$A$2:$BU$353,64,FALSE))</f>
        <v>269</v>
      </c>
      <c r="AE242" s="95">
        <f>IF(A242=207, AD242,MAX(AC242,AD242))*'Weighting Factors'!$Q$9</f>
        <v>130.19999999999999</v>
      </c>
      <c r="AF242" s="95">
        <f t="shared" si="123"/>
        <v>0</v>
      </c>
      <c r="AG242" s="95">
        <f>IF(ISNA(VLOOKUP($CZ242,'Audit Values'!$A$2:$BW$353,2,FALSE)),'Preliminary SO66'!AG241,VLOOKUP($CZ242,'Audit Values'!$A$2:$BW$353,70,FALSE))</f>
        <v>0</v>
      </c>
      <c r="AH242" s="95">
        <f t="shared" si="124"/>
        <v>0</v>
      </c>
      <c r="AI242" s="95">
        <f>IF(ISNA(VLOOKUP($CZ242,'Audit Values'!$A$2:$BU$353,2,FALSE)),'Preliminary SO66'!AQ241,VLOOKUP($CZ242,'Audit Values'!$A$2:$BU$353,65,FALSE))</f>
        <v>118.1</v>
      </c>
      <c r="AJ242" s="95">
        <f>AI242*'Weighting Factors'!$Q$10</f>
        <v>29.5</v>
      </c>
      <c r="AK242" s="95">
        <f>IF(ISNA(VLOOKUP($CZ242,'Audit Values'!$A$2:$BU$353,2,FALSE)),'Preliminary SO66'!AR241,VLOOKUP($CZ242,'Audit Values'!$A$2:$BU$353,66,FALSE))</f>
        <v>1355</v>
      </c>
      <c r="AL242" s="95"/>
      <c r="AM242" s="99">
        <f t="shared" si="125"/>
        <v>799450</v>
      </c>
      <c r="AN242" s="99">
        <v>680263</v>
      </c>
      <c r="AO242" s="95">
        <f>MAX(AN242, AM242)/'Weighting Factors'!$Q$5</f>
        <v>191.9</v>
      </c>
      <c r="AP242" s="95">
        <f>CN242/'Weighting Factors'!$Q$5</f>
        <v>0</v>
      </c>
      <c r="AQ242" s="95">
        <v>0</v>
      </c>
      <c r="AR242" s="95">
        <f>CS242/'Weighting Factors'!$Q$5</f>
        <v>0</v>
      </c>
      <c r="AS242" s="99">
        <v>2507303</v>
      </c>
      <c r="AT242" s="95">
        <f>AS242/'Weighting Factors'!$Q$5</f>
        <v>602</v>
      </c>
      <c r="AU242" s="95">
        <f>IF(ISNA(VLOOKUP($CZ242,'Audit Values'!$A$2:$BU$353,2,FALSE)),'Preliminary SO66'!X241,VLOOKUP($CZ242,'Audit Values'!$A$2:$BU$353,47,FALSE))</f>
        <v>1</v>
      </c>
      <c r="AV242" s="95">
        <f t="shared" si="126"/>
        <v>3516</v>
      </c>
      <c r="AW242" s="95">
        <f t="shared" si="127"/>
        <v>2914</v>
      </c>
      <c r="AX242" s="95">
        <f>IF(ISNA(VLOOKUP($CZ242,'Audit Values'!$A$2:$BU$353,2,FALSE)),'Preliminary SO66'!AA241,VLOOKUP($CZ242,'Audit Values'!$A$2:$BU$353,41,FALSE))</f>
        <v>158</v>
      </c>
      <c r="AY242" s="95">
        <f>IF(ISNA(VLOOKUP($CZ242,'Audit Values'!$A$2:$BU$353,2,FALSE)),'Preliminary SO66'!AB241,VLOOKUP($CZ242,'Audit Values'!$A$2:$BU$353,42,FALSE))</f>
        <v>6.2</v>
      </c>
      <c r="AZ242" s="114">
        <v>30</v>
      </c>
      <c r="BA242" s="99">
        <f>SUM(AX242*'Weighting Factors'!$T$10)+('2019 Legal Max'!AY242*'Weighting Factors'!$T$11)+('2019 Legal Max'!AZ242*'Weighting Factors'!$T$12)</f>
        <v>821810</v>
      </c>
      <c r="BB242" s="158">
        <v>0</v>
      </c>
      <c r="BC242" s="88">
        <f>IF(ISNA(VLOOKUP($CZ242,'Audit Values'!$A$2:$BU$353,2,FALSE)),"",IF(AND('Weighting Factors'!H242&gt;0,VLOOKUP($CZ242,'Audit Values'!$A$2:$BU$353,51,FALSE)&lt;'Weighting Factors'!H242),'Weighting Factors'!H242,VLOOKUP($CZ242,'Audit Values'!$A$2:$BU$353,50,FALSE)))</f>
        <v>25</v>
      </c>
      <c r="BD242" s="88" t="str">
        <f>IF(ISNA(VLOOKUP($CZ242,'Audit Values'!$A$2:$BV$353,2,FALSE)),"",VLOOKUP($CZ242,'Audit Values'!$A$2:$BV$353,51,FALSE))</f>
        <v>A</v>
      </c>
      <c r="BE242" s="88" t="str">
        <f>IF('Weighting Factors'!H242="","",IF('Weighting Factors'!J242="Pending","PX","R"))</f>
        <v/>
      </c>
      <c r="BF242" s="97">
        <f>SUM((S242+T242+Y242+AA242+AE242+AH242+AJ242++AO242+AP242+AQ242+AU242+AR242)*'Weighting Factors'!$Q$5)+'2019 Legal Max'!BA242+'2019 Legal Max'!BB242</f>
        <v>12958620</v>
      </c>
      <c r="BG242" s="99">
        <f>SUM((AV242+AR242)*'Weighting Factors'!$Q$5)+BA242+'2019 Legal Max'!BB242</f>
        <v>15465950</v>
      </c>
      <c r="BH242" s="108">
        <f>IF('Weighting Factors'!H242&gt;0,'Weighting Factors'!H242,'Preliminary SO66'!AV241)</f>
        <v>17139098</v>
      </c>
      <c r="BI242" s="99">
        <f t="shared" si="151"/>
        <v>15465950</v>
      </c>
      <c r="BJ242" s="112"/>
      <c r="BK242" s="112">
        <f>'Weighting Factors'!F242</f>
        <v>0</v>
      </c>
      <c r="BL242" s="112">
        <f>'Weighting Factors'!E242</f>
        <v>-14889</v>
      </c>
      <c r="BM242" s="99">
        <f t="shared" si="128"/>
        <v>-14889</v>
      </c>
      <c r="BN242" s="99">
        <f t="shared" si="129"/>
        <v>15451061</v>
      </c>
      <c r="BO242" s="99">
        <f>SUM((S242+T242+Y242+AA242+AE242+AH242+AJ242++AO242+AP242+AQ242+AR242)*'Weighting Factors'!Q$12)+(MAX(AS242,'Weighting Factors'!B242))</f>
        <v>15586673</v>
      </c>
      <c r="BP242" s="122">
        <v>0.3</v>
      </c>
      <c r="BQ242" s="99">
        <f t="shared" si="130"/>
        <v>4676002</v>
      </c>
      <c r="BR242" s="148">
        <v>5183679</v>
      </c>
      <c r="BS242" s="99">
        <f t="shared" si="131"/>
        <v>4676002</v>
      </c>
      <c r="BT242" s="167">
        <f t="shared" si="132"/>
        <v>0.3</v>
      </c>
      <c r="BU242" s="95">
        <f t="shared" si="133"/>
        <v>0</v>
      </c>
      <c r="BV242" s="87" t="b">
        <f t="shared" si="134"/>
        <v>0</v>
      </c>
      <c r="BW242" s="117">
        <f t="shared" si="135"/>
        <v>0</v>
      </c>
      <c r="BX242" s="116">
        <f t="shared" si="136"/>
        <v>0</v>
      </c>
      <c r="BY242" s="95">
        <f t="shared" si="137"/>
        <v>0</v>
      </c>
      <c r="BZ242" s="87" t="b">
        <f t="shared" si="138"/>
        <v>0</v>
      </c>
      <c r="CA242" s="87">
        <f t="shared" si="139"/>
        <v>0</v>
      </c>
      <c r="CB242" s="116">
        <f t="shared" si="140"/>
        <v>0</v>
      </c>
      <c r="CC242" s="95">
        <f t="shared" si="141"/>
        <v>0</v>
      </c>
      <c r="CD242" s="95">
        <f t="shared" si="142"/>
        <v>84.4</v>
      </c>
      <c r="CE242" s="98">
        <v>89.6</v>
      </c>
      <c r="CF242" s="250">
        <f t="shared" si="143"/>
        <v>15.122999999999999</v>
      </c>
      <c r="CG242" s="274">
        <f>IF(CF242&lt;0.06,1,IF(CF242&gt;=18.29,52,MATCH(CF242-0.001,'Weighting Factors'!$Y$5:$Y$156)+1))</f>
        <v>50</v>
      </c>
      <c r="CH242" s="243">
        <f>VLOOKUP(CG242, 'Weighting Factors'!$W$5:$Z$56,4)</f>
        <v>590</v>
      </c>
      <c r="CI242" s="118">
        <f>('Weighting Factors'!$Q$5/'Weighting Factors'!$Q$14)</f>
        <v>1</v>
      </c>
      <c r="CJ242" s="245">
        <f t="shared" si="144"/>
        <v>799450</v>
      </c>
      <c r="CK242" s="245">
        <f>CJ242*'Weighting Factors'!$S$7</f>
        <v>799450</v>
      </c>
      <c r="CL242" s="245">
        <f t="shared" si="145"/>
        <v>799450</v>
      </c>
      <c r="CM242" s="95">
        <f>AM242/'Weighting Factors'!$Q$5</f>
        <v>191.9</v>
      </c>
      <c r="CN242" s="148">
        <v>0</v>
      </c>
      <c r="CO242" s="148">
        <v>0</v>
      </c>
      <c r="CP242" s="149">
        <v>0</v>
      </c>
      <c r="CQ242" s="152">
        <v>2.6800000000000001E-2</v>
      </c>
      <c r="CR242" s="99">
        <f>SUM((AV242*'Weighting Factors'!$Q$5)+'2019 Legal Max'!BA242)*CQ242</f>
        <v>414487</v>
      </c>
      <c r="CS242" s="99">
        <f t="shared" si="146"/>
        <v>0</v>
      </c>
      <c r="CT242" s="106">
        <f t="shared" si="147"/>
        <v>0.1067</v>
      </c>
      <c r="CU242" s="95">
        <f t="shared" si="148"/>
        <v>0</v>
      </c>
      <c r="CV242" s="95">
        <f t="shared" si="149"/>
        <v>0</v>
      </c>
      <c r="CW242" s="95">
        <f t="shared" si="150"/>
        <v>3516</v>
      </c>
      <c r="CX242" s="99">
        <f>'LOB Transfers'!G241</f>
        <v>173012</v>
      </c>
      <c r="CY242" s="99">
        <f>'LOB Transfers'!J241</f>
        <v>8884</v>
      </c>
      <c r="CZ242" s="87" t="s">
        <v>434</v>
      </c>
    </row>
    <row r="243" spans="1:104" ht="15" customHeight="1">
      <c r="A243" s="88">
        <v>459</v>
      </c>
      <c r="B243" s="87" t="s">
        <v>80</v>
      </c>
      <c r="C243" s="87" t="s">
        <v>755</v>
      </c>
      <c r="D243" s="95">
        <v>216.8</v>
      </c>
      <c r="E243" s="95">
        <v>0</v>
      </c>
      <c r="F243" s="95">
        <f t="shared" si="117"/>
        <v>216.8</v>
      </c>
      <c r="G243" s="95">
        <v>224.9</v>
      </c>
      <c r="H243" s="95">
        <v>0</v>
      </c>
      <c r="I243" s="95">
        <f t="shared" si="118"/>
        <v>224.9</v>
      </c>
      <c r="J243" s="95">
        <v>229.9</v>
      </c>
      <c r="K243" s="95">
        <v>0</v>
      </c>
      <c r="L243" s="95">
        <f t="shared" si="119"/>
        <v>229.9</v>
      </c>
      <c r="M243" s="95">
        <f>IF(ISNA(VLOOKUP($CZ243,'Audit Values'!$A$2:$BW$365,2,FALSE)),'Preliminary SO66'!C242,VLOOKUP($CZ243,'Audit Values'!$A$2:$BW$365,73,FALSE))</f>
        <v>232</v>
      </c>
      <c r="N243" s="95">
        <f>IF(ISNA(VLOOKUP($CZ243,'Audit Values'!$A$2:$BW$365,2,FALSE)),'Preliminary SO66'!F242,VLOOKUP($CZ243,'Audit Values'!$A$2:$BW$365,4,FALSE))</f>
        <v>0</v>
      </c>
      <c r="O243" s="95">
        <f t="shared" si="120"/>
        <v>232</v>
      </c>
      <c r="P243" s="95">
        <f>IF('Military Provision'!J244="YES", MAX('2019 Legal Max'!L243,'2019 Legal Max'!I243,AVERAGE('2019 Legal Max'!F243,'2019 Legal Max'!I243,'2019 Legal Max'!L243)), MAX(L243, I243))</f>
        <v>229.9</v>
      </c>
      <c r="Q243" s="95">
        <f>IF(ISNA(VLOOKUP($CZ243,'Audit Values'!$A$2:$BU$353,2,FALSE)),'Preliminary SO66'!AL242,VLOOKUP($CZ243,'Audit Values'!$A$2:$BU$3955,58,FALSE))</f>
        <v>1.5</v>
      </c>
      <c r="R243" s="95">
        <v>0</v>
      </c>
      <c r="S243" s="95">
        <f t="shared" si="152"/>
        <v>231.4</v>
      </c>
      <c r="T243" s="95">
        <f t="shared" si="121"/>
        <v>154.1</v>
      </c>
      <c r="U243" s="95">
        <f>IF(ISNA(VLOOKUP($CZ243,'Audit Values'!$A$2:$BW$317,2,FALSE)),'Preliminary SO66'!AM242,VLOOKUP($CZ243,'Audit Values'!$A$2:$BW$317,62,FALSE))</f>
        <v>42</v>
      </c>
      <c r="V243" s="95">
        <f>(U243/6)*'Weighting Factors'!$Q$7</f>
        <v>2.8</v>
      </c>
      <c r="W243" s="132">
        <f>IF(ISNA(VLOOKUP($CZ243,'Audit Values'!$A$2:$BW$353,2,FALSE)),'Preliminary SO66'!AN242,VLOOKUP($CZ243,'Audit Values'!$A$2:$BW$353,61,FALSE))</f>
        <v>17</v>
      </c>
      <c r="X243" s="95">
        <f>W243*'Weighting Factors'!$Q$8</f>
        <v>3.1</v>
      </c>
      <c r="Y243" s="95">
        <f t="shared" si="122"/>
        <v>3.1</v>
      </c>
      <c r="Z243" s="276">
        <f>IF(ISNA(VLOOKUP($CZ243,'Audit Values'!$A$2:$BW$317,2,FALSE)),'Preliminary SO66'!AO242,VLOOKUP($CZ243,'Audit Values'!$A$2:$BW$317,60,FALSE))</f>
        <v>36</v>
      </c>
      <c r="AA243" s="95">
        <f>Z243/6*'Weighting Factors'!$Q$6</f>
        <v>3</v>
      </c>
      <c r="AB243" s="99">
        <f>IF(ISNA(VLOOKUP($CZ243,'Audit Values'!$A$2:$BU$353,2,FALSE)),'Preliminary SO66'!AS242,VLOOKUP($CZ243,'Audit Values'!$A$2:$BU$353,63,FALSE))</f>
        <v>236</v>
      </c>
      <c r="AC243" s="99">
        <v>0</v>
      </c>
      <c r="AD243" s="99">
        <f>IF(ISNA(VLOOKUP($CZ243,'Audit Values'!$A$2:$BU$353,2,FALSE)),'Preliminary SO66'!AP242,VLOOKUP($CZ243,'Audit Values'!$A$2:$BU$353,64,FALSE))</f>
        <v>108</v>
      </c>
      <c r="AE243" s="95">
        <f>IF(A243=207, AD243,MAX(AC243,AD243))*'Weighting Factors'!$Q$9</f>
        <v>52.3</v>
      </c>
      <c r="AF243" s="95">
        <f t="shared" si="123"/>
        <v>8.1</v>
      </c>
      <c r="AG243" s="95">
        <f>IF(ISNA(VLOOKUP($CZ243,'Audit Values'!$A$2:$BW$353,2,FALSE)),'Preliminary SO66'!AG242,VLOOKUP($CZ243,'Audit Values'!$A$2:$BW$353,70,FALSE))</f>
        <v>8.3000000000000007</v>
      </c>
      <c r="AH243" s="95">
        <f t="shared" si="124"/>
        <v>8.3000000000000007</v>
      </c>
      <c r="AI243" s="95">
        <f>IF(ISNA(VLOOKUP($CZ243,'Audit Values'!$A$2:$BU$353,2,FALSE)),'Preliminary SO66'!AQ242,VLOOKUP($CZ243,'Audit Values'!$A$2:$BU$353,65,FALSE))</f>
        <v>0</v>
      </c>
      <c r="AJ243" s="95">
        <f>AI243*'Weighting Factors'!$Q$10</f>
        <v>0</v>
      </c>
      <c r="AK243" s="95">
        <f>IF(ISNA(VLOOKUP($CZ243,'Audit Values'!$A$2:$BU$353,2,FALSE)),'Preliminary SO66'!AR242,VLOOKUP($CZ243,'Audit Values'!$A$2:$BU$353,66,FALSE))</f>
        <v>77</v>
      </c>
      <c r="AL243" s="95"/>
      <c r="AM243" s="99">
        <f t="shared" si="125"/>
        <v>97790</v>
      </c>
      <c r="AN243" s="99">
        <v>108626</v>
      </c>
      <c r="AO243" s="95">
        <f>MAX(AN243, AM243)/'Weighting Factors'!$Q$5</f>
        <v>26.1</v>
      </c>
      <c r="AP243" s="95">
        <f>CN243/'Weighting Factors'!$Q$5</f>
        <v>0</v>
      </c>
      <c r="AQ243" s="95">
        <v>0</v>
      </c>
      <c r="AR243" s="95">
        <f>CS243/'Weighting Factors'!$Q$5</f>
        <v>0</v>
      </c>
      <c r="AS243" s="99">
        <v>155385</v>
      </c>
      <c r="AT243" s="95">
        <f>AS243/'Weighting Factors'!$Q$5</f>
        <v>37.299999999999997</v>
      </c>
      <c r="AU243" s="95">
        <f>IF(ISNA(VLOOKUP($CZ243,'Audit Values'!$A$2:$BU$353,2,FALSE)),'Preliminary SO66'!X242,VLOOKUP($CZ243,'Audit Values'!$A$2:$BU$353,47,FALSE))</f>
        <v>0</v>
      </c>
      <c r="AV243" s="95">
        <f t="shared" si="126"/>
        <v>515.6</v>
      </c>
      <c r="AW243" s="95">
        <f t="shared" si="127"/>
        <v>478.3</v>
      </c>
      <c r="AX243" s="95">
        <f>IF(ISNA(VLOOKUP($CZ243,'Audit Values'!$A$2:$BU$353,2,FALSE)),'Preliminary SO66'!AA242,VLOOKUP($CZ243,'Audit Values'!$A$2:$BU$353,41,FALSE))</f>
        <v>0</v>
      </c>
      <c r="AY243" s="95">
        <f>IF(ISNA(VLOOKUP($CZ243,'Audit Values'!$A$2:$BU$353,2,FALSE)),'Preliminary SO66'!AB242,VLOOKUP($CZ243,'Audit Values'!$A$2:$BU$353,42,FALSE))</f>
        <v>0</v>
      </c>
      <c r="AZ243" s="114">
        <v>0</v>
      </c>
      <c r="BA243" s="99">
        <f>SUM(AX243*'Weighting Factors'!$T$10)+('2019 Legal Max'!AY243*'Weighting Factors'!$T$11)+('2019 Legal Max'!AZ243*'Weighting Factors'!$T$12)</f>
        <v>0</v>
      </c>
      <c r="BB243" s="158">
        <v>0</v>
      </c>
      <c r="BC243" s="88">
        <f>IF(ISNA(VLOOKUP($CZ243,'Audit Values'!$A$2:$BU$353,2,FALSE)),"",IF(AND('Weighting Factors'!H243&gt;0,VLOOKUP($CZ243,'Audit Values'!$A$2:$BU$353,51,FALSE)&lt;'Weighting Factors'!H243),'Weighting Factors'!H243,VLOOKUP($CZ243,'Audit Values'!$A$2:$BU$353,50,FALSE)))</f>
        <v>11</v>
      </c>
      <c r="BD243" s="88" t="str">
        <f>IF(ISNA(VLOOKUP($CZ243,'Audit Values'!$A$2:$BV$353,2,FALSE)),"",VLOOKUP($CZ243,'Audit Values'!$A$2:$BV$353,51,FALSE))</f>
        <v>A</v>
      </c>
      <c r="BE243" s="88" t="str">
        <f>IF('Weighting Factors'!H243="","",IF('Weighting Factors'!J243="Pending","PX","R"))</f>
        <v/>
      </c>
      <c r="BF243" s="97">
        <f>SUM((S243+T243+Y243+AA243+AE243+AH243+AJ243++AO243+AP243+AQ243+AU243+AR243)*'Weighting Factors'!$Q$5)+'2019 Legal Max'!BA243+'2019 Legal Max'!BB243</f>
        <v>1992120</v>
      </c>
      <c r="BG243" s="99">
        <f>SUM((AV243+AR243)*'Weighting Factors'!$Q$5)+BA243+'2019 Legal Max'!BB243</f>
        <v>2147474</v>
      </c>
      <c r="BH243" s="108">
        <f>IF('Weighting Factors'!H243&gt;0,'Weighting Factors'!H243,'Preliminary SO66'!AV242)</f>
        <v>2197038</v>
      </c>
      <c r="BI243" s="99">
        <f t="shared" si="151"/>
        <v>2147474</v>
      </c>
      <c r="BJ243" s="112"/>
      <c r="BK243" s="112">
        <f>'Weighting Factors'!F243</f>
        <v>-30242</v>
      </c>
      <c r="BL243" s="112">
        <f>'Weighting Factors'!E243</f>
        <v>0</v>
      </c>
      <c r="BM243" s="99">
        <f t="shared" si="128"/>
        <v>-30242</v>
      </c>
      <c r="BN243" s="99">
        <f t="shared" si="129"/>
        <v>2117232</v>
      </c>
      <c r="BO243" s="99">
        <f>SUM((S243+T243+Y243+AA243+AE243+AH243+AJ243++AO243+AP243+AQ243+AR243)*'Weighting Factors'!Q$12)+(MAX(AS243,'Weighting Factors'!B243))</f>
        <v>2345494</v>
      </c>
      <c r="BP243" s="122">
        <v>0.3</v>
      </c>
      <c r="BQ243" s="99">
        <f t="shared" si="130"/>
        <v>703648</v>
      </c>
      <c r="BR243" s="108">
        <v>706342</v>
      </c>
      <c r="BS243" s="99">
        <f t="shared" si="131"/>
        <v>703648</v>
      </c>
      <c r="BT243" s="167">
        <f t="shared" si="132"/>
        <v>0.3</v>
      </c>
      <c r="BU243" s="95">
        <f t="shared" si="133"/>
        <v>0</v>
      </c>
      <c r="BV243" s="87" t="b">
        <f t="shared" si="134"/>
        <v>1</v>
      </c>
      <c r="BW243" s="117">
        <f t="shared" si="135"/>
        <v>1268.6669999999999</v>
      </c>
      <c r="BX243" s="116">
        <f t="shared" si="136"/>
        <v>0.66602600000000001</v>
      </c>
      <c r="BY243" s="95">
        <f t="shared" si="137"/>
        <v>154.1</v>
      </c>
      <c r="BZ243" s="87" t="b">
        <f t="shared" si="138"/>
        <v>0</v>
      </c>
      <c r="CA243" s="87">
        <f t="shared" si="139"/>
        <v>0</v>
      </c>
      <c r="CB243" s="116">
        <f t="shared" si="140"/>
        <v>0</v>
      </c>
      <c r="CC243" s="95">
        <f t="shared" si="141"/>
        <v>0</v>
      </c>
      <c r="CD243" s="95">
        <f t="shared" si="142"/>
        <v>0</v>
      </c>
      <c r="CE243" s="98">
        <v>358.2</v>
      </c>
      <c r="CF243" s="250">
        <f t="shared" si="143"/>
        <v>0.215</v>
      </c>
      <c r="CG243" s="274">
        <f>IF(CF243&lt;0.06,1,IF(CF243&gt;=18.29,52,MATCH(CF243-0.001,'Weighting Factors'!$Y$5:$Y$156)+1))</f>
        <v>16</v>
      </c>
      <c r="CH243" s="243">
        <f>VLOOKUP(CG243, 'Weighting Factors'!$W$5:$Z$56,4)</f>
        <v>1270</v>
      </c>
      <c r="CI243" s="118">
        <f>('Weighting Factors'!$Q$5/'Weighting Factors'!$Q$14)</f>
        <v>1</v>
      </c>
      <c r="CJ243" s="245">
        <f t="shared" si="144"/>
        <v>97790</v>
      </c>
      <c r="CK243" s="245">
        <f>CJ243*'Weighting Factors'!$S$7</f>
        <v>97790</v>
      </c>
      <c r="CL243" s="245">
        <f t="shared" si="145"/>
        <v>97790</v>
      </c>
      <c r="CM243" s="95">
        <f>AM243/'Weighting Factors'!$Q$5</f>
        <v>23.5</v>
      </c>
      <c r="CN243" s="148">
        <v>0</v>
      </c>
      <c r="CO243" s="148">
        <v>0</v>
      </c>
      <c r="CP243" s="149">
        <v>0</v>
      </c>
      <c r="CQ243" s="151">
        <v>0</v>
      </c>
      <c r="CR243" s="99">
        <f>SUM((AV243*'Weighting Factors'!$Q$5)+'2019 Legal Max'!BA243)*CQ243</f>
        <v>0</v>
      </c>
      <c r="CS243" s="99">
        <f t="shared" si="146"/>
        <v>0</v>
      </c>
      <c r="CT243" s="106">
        <f t="shared" si="147"/>
        <v>0.45760000000000001</v>
      </c>
      <c r="CU243" s="95">
        <f t="shared" si="148"/>
        <v>0</v>
      </c>
      <c r="CV243" s="95">
        <f t="shared" si="149"/>
        <v>8.1</v>
      </c>
      <c r="CW243" s="95">
        <f t="shared" si="150"/>
        <v>515.6</v>
      </c>
      <c r="CX243" s="99">
        <f>'LOB Transfers'!G242</f>
        <v>71561</v>
      </c>
      <c r="CY243" s="99">
        <f>'LOB Transfers'!J242</f>
        <v>4222</v>
      </c>
      <c r="CZ243" s="87" t="s">
        <v>435</v>
      </c>
    </row>
    <row r="244" spans="1:104" ht="15" customHeight="1">
      <c r="A244" s="88">
        <v>460</v>
      </c>
      <c r="B244" s="87" t="s">
        <v>74</v>
      </c>
      <c r="C244" s="87" t="s">
        <v>756</v>
      </c>
      <c r="D244" s="95">
        <v>774.1</v>
      </c>
      <c r="E244" s="95">
        <v>0</v>
      </c>
      <c r="F244" s="95">
        <f t="shared" si="117"/>
        <v>774.1</v>
      </c>
      <c r="G244" s="95">
        <v>796.7</v>
      </c>
      <c r="H244" s="95">
        <v>0</v>
      </c>
      <c r="I244" s="95">
        <f t="shared" si="118"/>
        <v>796.7</v>
      </c>
      <c r="J244" s="95">
        <v>808.1</v>
      </c>
      <c r="K244" s="95">
        <v>0</v>
      </c>
      <c r="L244" s="95">
        <f t="shared" si="119"/>
        <v>808.1</v>
      </c>
      <c r="M244" s="95">
        <f>IF(ISNA(VLOOKUP($CZ244,'Audit Values'!$A$2:$BW$365,2,FALSE)),'Preliminary SO66'!C243,VLOOKUP($CZ244,'Audit Values'!$A$2:$BW$365,73,FALSE))</f>
        <v>837.6</v>
      </c>
      <c r="N244" s="95">
        <f>IF(ISNA(VLOOKUP($CZ244,'Audit Values'!$A$2:$BW$365,2,FALSE)),'Preliminary SO66'!F243,VLOOKUP($CZ244,'Audit Values'!$A$2:$BW$365,4,FALSE))</f>
        <v>0</v>
      </c>
      <c r="O244" s="95">
        <f t="shared" si="120"/>
        <v>837.6</v>
      </c>
      <c r="P244" s="95">
        <f>IF('Military Provision'!J245="YES", MAX('2019 Legal Max'!L244,'2019 Legal Max'!I244,AVERAGE('2019 Legal Max'!F244,'2019 Legal Max'!I244,'2019 Legal Max'!L244)), MAX(L244, I244))</f>
        <v>808.1</v>
      </c>
      <c r="Q244" s="95">
        <f>IF(ISNA(VLOOKUP($CZ244,'Audit Values'!$A$2:$BU$353,2,FALSE)),'Preliminary SO66'!AL243,VLOOKUP($CZ244,'Audit Values'!$A$2:$BU$3955,58,FALSE))</f>
        <v>0</v>
      </c>
      <c r="R244" s="95">
        <v>0</v>
      </c>
      <c r="S244" s="95">
        <f t="shared" si="152"/>
        <v>808.1</v>
      </c>
      <c r="T244" s="95">
        <f t="shared" si="121"/>
        <v>251.8</v>
      </c>
      <c r="U244" s="95">
        <f>IF(ISNA(VLOOKUP($CZ244,'Audit Values'!$A$2:$BW$317,2,FALSE)),'Preliminary SO66'!AM243,VLOOKUP($CZ244,'Audit Values'!$A$2:$BW$317,62,FALSE))</f>
        <v>54.6</v>
      </c>
      <c r="V244" s="95">
        <f>(U244/6)*'Weighting Factors'!$Q$7</f>
        <v>3.6</v>
      </c>
      <c r="W244" s="132">
        <f>IF(ISNA(VLOOKUP($CZ244,'Audit Values'!$A$2:$BW$353,2,FALSE)),'Preliminary SO66'!AN243,VLOOKUP($CZ244,'Audit Values'!$A$2:$BW$353,61,FALSE))</f>
        <v>18</v>
      </c>
      <c r="X244" s="95">
        <f>W244*'Weighting Factors'!$Q$8</f>
        <v>3.3</v>
      </c>
      <c r="Y244" s="95">
        <f t="shared" si="122"/>
        <v>3.6</v>
      </c>
      <c r="Z244" s="276">
        <f>IF(ISNA(VLOOKUP($CZ244,'Audit Values'!$A$2:$BW$317,2,FALSE)),'Preliminary SO66'!AO243,VLOOKUP($CZ244,'Audit Values'!$A$2:$BW$317,60,FALSE))</f>
        <v>273.5</v>
      </c>
      <c r="AA244" s="95">
        <f>Z244/6*'Weighting Factors'!$Q$6</f>
        <v>22.8</v>
      </c>
      <c r="AB244" s="99">
        <f>IF(ISNA(VLOOKUP($CZ244,'Audit Values'!$A$2:$BU$353,2,FALSE)),'Preliminary SO66'!AS243,VLOOKUP($CZ244,'Audit Values'!$A$2:$BU$353,63,FALSE))</f>
        <v>842</v>
      </c>
      <c r="AC244" s="99">
        <v>0</v>
      </c>
      <c r="AD244" s="99">
        <f>IF(ISNA(VLOOKUP($CZ244,'Audit Values'!$A$2:$BU$353,2,FALSE)),'Preliminary SO66'!AP243,VLOOKUP($CZ244,'Audit Values'!$A$2:$BU$353,64,FALSE))</f>
        <v>138</v>
      </c>
      <c r="AE244" s="95">
        <f>IF(A244=207, AD244,MAX(AC244,AD244))*'Weighting Factors'!$Q$9</f>
        <v>66.8</v>
      </c>
      <c r="AF244" s="95">
        <f t="shared" si="123"/>
        <v>0</v>
      </c>
      <c r="AG244" s="95">
        <f>IF(ISNA(VLOOKUP($CZ244,'Audit Values'!$A$2:$BW$353,2,FALSE)),'Preliminary SO66'!AG243,VLOOKUP($CZ244,'Audit Values'!$A$2:$BW$353,70,FALSE))</f>
        <v>0</v>
      </c>
      <c r="AH244" s="95">
        <f t="shared" si="124"/>
        <v>0</v>
      </c>
      <c r="AI244" s="95">
        <f>IF(ISNA(VLOOKUP($CZ244,'Audit Values'!$A$2:$BU$353,2,FALSE)),'Preliminary SO66'!AQ243,VLOOKUP($CZ244,'Audit Values'!$A$2:$BU$353,65,FALSE))</f>
        <v>0</v>
      </c>
      <c r="AJ244" s="95">
        <f>AI244*'Weighting Factors'!$Q$10</f>
        <v>0</v>
      </c>
      <c r="AK244" s="95">
        <f>IF(ISNA(VLOOKUP($CZ244,'Audit Values'!$A$2:$BU$353,2,FALSE)),'Preliminary SO66'!AR243,VLOOKUP($CZ244,'Audit Values'!$A$2:$BU$353,66,FALSE))</f>
        <v>73</v>
      </c>
      <c r="AL244" s="95"/>
      <c r="AM244" s="99">
        <f t="shared" si="125"/>
        <v>67890</v>
      </c>
      <c r="AN244" s="99">
        <v>80892</v>
      </c>
      <c r="AO244" s="95">
        <f>MAX(AN244, AM244)/'Weighting Factors'!$Q$5</f>
        <v>19.399999999999999</v>
      </c>
      <c r="AP244" s="95">
        <f>CN244/'Weighting Factors'!$Q$5</f>
        <v>0</v>
      </c>
      <c r="AQ244" s="95">
        <v>0</v>
      </c>
      <c r="AR244" s="95">
        <f>CS244/'Weighting Factors'!$Q$5</f>
        <v>0</v>
      </c>
      <c r="AS244" s="99">
        <v>621852</v>
      </c>
      <c r="AT244" s="95">
        <f>AS244/'Weighting Factors'!$Q$5</f>
        <v>149.30000000000001</v>
      </c>
      <c r="AU244" s="95">
        <f>IF(ISNA(VLOOKUP($CZ244,'Audit Values'!$A$2:$BU$353,2,FALSE)),'Preliminary SO66'!X243,VLOOKUP($CZ244,'Audit Values'!$A$2:$BU$353,47,FALSE))</f>
        <v>0</v>
      </c>
      <c r="AV244" s="95">
        <f t="shared" si="126"/>
        <v>1321.8</v>
      </c>
      <c r="AW244" s="95">
        <f t="shared" si="127"/>
        <v>1172.5</v>
      </c>
      <c r="AX244" s="95">
        <f>IF(ISNA(VLOOKUP($CZ244,'Audit Values'!$A$2:$BU$353,2,FALSE)),'Preliminary SO66'!AA243,VLOOKUP($CZ244,'Audit Values'!$A$2:$BU$353,41,FALSE))</f>
        <v>0</v>
      </c>
      <c r="AY244" s="95">
        <f>IF(ISNA(VLOOKUP($CZ244,'Audit Values'!$A$2:$BU$353,2,FALSE)),'Preliminary SO66'!AB243,VLOOKUP($CZ244,'Audit Values'!$A$2:$BU$353,42,FALSE))</f>
        <v>0</v>
      </c>
      <c r="AZ244" s="114">
        <v>0</v>
      </c>
      <c r="BA244" s="99">
        <f>SUM(AX244*'Weighting Factors'!$T$10)+('2019 Legal Max'!AY244*'Weighting Factors'!$T$11)+('2019 Legal Max'!AZ244*'Weighting Factors'!$T$12)</f>
        <v>0</v>
      </c>
      <c r="BB244" s="158">
        <v>0</v>
      </c>
      <c r="BC244" s="88">
        <f>IF(ISNA(VLOOKUP($CZ244,'Audit Values'!$A$2:$BU$353,2,FALSE)),"",IF(AND('Weighting Factors'!H244&gt;0,VLOOKUP($CZ244,'Audit Values'!$A$2:$BU$353,51,FALSE)&lt;'Weighting Factors'!H244),'Weighting Factors'!H244,VLOOKUP($CZ244,'Audit Values'!$A$2:$BU$353,50,FALSE)))</f>
        <v>17</v>
      </c>
      <c r="BD244" s="88" t="str">
        <f>IF(ISNA(VLOOKUP($CZ244,'Audit Values'!$A$2:$BV$353,2,FALSE)),"",VLOOKUP($CZ244,'Audit Values'!$A$2:$BV$353,51,FALSE))</f>
        <v>A</v>
      </c>
      <c r="BE244" s="88" t="str">
        <f>IF('Weighting Factors'!H244="","",IF('Weighting Factors'!J244="Pending","PX","R"))</f>
        <v/>
      </c>
      <c r="BF244" s="97">
        <f>SUM((S244+T244+Y244+AA244+AE244+AH244+AJ244++AO244+AP244+AQ244+AU244+AR244)*'Weighting Factors'!$Q$5)+'2019 Legal Max'!BA244+'2019 Legal Max'!BB244</f>
        <v>4883463</v>
      </c>
      <c r="BG244" s="99">
        <f>SUM((AV244+AR244)*'Weighting Factors'!$Q$5)+BA244+'2019 Legal Max'!BB244</f>
        <v>5505297</v>
      </c>
      <c r="BH244" s="108">
        <f>IF('Weighting Factors'!H244&gt;0,'Weighting Factors'!H244,'Preliminary SO66'!AV243)</f>
        <v>5530287</v>
      </c>
      <c r="BI244" s="99">
        <f t="shared" si="151"/>
        <v>5505297</v>
      </c>
      <c r="BJ244" s="112"/>
      <c r="BK244" s="112">
        <f>'Weighting Factors'!F244</f>
        <v>0</v>
      </c>
      <c r="BL244" s="112">
        <f>'Weighting Factors'!E244</f>
        <v>0</v>
      </c>
      <c r="BM244" s="99">
        <f t="shared" si="128"/>
        <v>0</v>
      </c>
      <c r="BN244" s="99">
        <f t="shared" si="129"/>
        <v>5505297</v>
      </c>
      <c r="BO244" s="99">
        <f>SUM((S244+T244+Y244+AA244+AE244+AH244+AJ244++AO244+AP244+AQ244+AR244)*'Weighting Factors'!Q$12)+(MAX(AS244,'Weighting Factors'!B244))</f>
        <v>5907348</v>
      </c>
      <c r="BP244" s="122">
        <v>0.33</v>
      </c>
      <c r="BQ244" s="99">
        <f t="shared" si="130"/>
        <v>1949425</v>
      </c>
      <c r="BR244" s="108">
        <v>1950575</v>
      </c>
      <c r="BS244" s="99">
        <f t="shared" si="131"/>
        <v>1949425</v>
      </c>
      <c r="BT244" s="167">
        <f t="shared" si="132"/>
        <v>0.33</v>
      </c>
      <c r="BU244" s="95">
        <f t="shared" si="133"/>
        <v>0</v>
      </c>
      <c r="BV244" s="87" t="b">
        <f t="shared" si="134"/>
        <v>0</v>
      </c>
      <c r="BW244" s="117">
        <f t="shared" si="135"/>
        <v>0</v>
      </c>
      <c r="BX244" s="116">
        <f t="shared" si="136"/>
        <v>0</v>
      </c>
      <c r="BY244" s="95">
        <f t="shared" si="137"/>
        <v>0</v>
      </c>
      <c r="BZ244" s="87" t="b">
        <f t="shared" si="138"/>
        <v>1</v>
      </c>
      <c r="CA244" s="87">
        <f t="shared" si="139"/>
        <v>628.77380000000005</v>
      </c>
      <c r="CB244" s="116">
        <f t="shared" si="140"/>
        <v>0.31156</v>
      </c>
      <c r="CC244" s="95">
        <f t="shared" si="141"/>
        <v>251.8</v>
      </c>
      <c r="CD244" s="95">
        <f t="shared" si="142"/>
        <v>0</v>
      </c>
      <c r="CE244" s="98">
        <v>60</v>
      </c>
      <c r="CF244" s="250">
        <f t="shared" si="143"/>
        <v>1.2170000000000001</v>
      </c>
      <c r="CG244" s="274">
        <f>IF(CF244&lt;0.06,1,IF(CF244&gt;=18.29,52,MATCH(CF244-0.001,'Weighting Factors'!$Y$5:$Y$156)+1))</f>
        <v>33</v>
      </c>
      <c r="CH244" s="243">
        <f>VLOOKUP(CG244, 'Weighting Factors'!$W$5:$Z$56,4)</f>
        <v>930</v>
      </c>
      <c r="CI244" s="118">
        <f>('Weighting Factors'!$Q$5/'Weighting Factors'!$Q$14)</f>
        <v>1</v>
      </c>
      <c r="CJ244" s="245">
        <f t="shared" si="144"/>
        <v>67890</v>
      </c>
      <c r="CK244" s="245">
        <f>CJ244*'Weighting Factors'!$S$7</f>
        <v>67890</v>
      </c>
      <c r="CL244" s="245">
        <f t="shared" si="145"/>
        <v>67890</v>
      </c>
      <c r="CM244" s="95">
        <f>AM244/'Weighting Factors'!$Q$5</f>
        <v>16.3</v>
      </c>
      <c r="CN244" s="148">
        <v>0</v>
      </c>
      <c r="CO244" s="148">
        <v>0</v>
      </c>
      <c r="CP244" s="149">
        <v>0</v>
      </c>
      <c r="CQ244" s="151">
        <v>0</v>
      </c>
      <c r="CR244" s="99">
        <f>SUM((AV244*'Weighting Factors'!$Q$5)+'2019 Legal Max'!BA244)*CQ244</f>
        <v>0</v>
      </c>
      <c r="CS244" s="99">
        <f t="shared" si="146"/>
        <v>0</v>
      </c>
      <c r="CT244" s="106">
        <f t="shared" si="147"/>
        <v>0.16389999999999999</v>
      </c>
      <c r="CU244" s="95">
        <f t="shared" si="148"/>
        <v>0</v>
      </c>
      <c r="CV244" s="95">
        <f t="shared" si="149"/>
        <v>0</v>
      </c>
      <c r="CW244" s="95">
        <f t="shared" si="150"/>
        <v>1321.8</v>
      </c>
      <c r="CX244" s="99">
        <f>'LOB Transfers'!G243</f>
        <v>98446</v>
      </c>
      <c r="CY244" s="99">
        <f>'LOB Transfers'!J243</f>
        <v>5263</v>
      </c>
      <c r="CZ244" s="87" t="s">
        <v>436</v>
      </c>
    </row>
    <row r="245" spans="1:104" ht="15" customHeight="1">
      <c r="A245" s="88">
        <v>461</v>
      </c>
      <c r="B245" s="87" t="s">
        <v>83</v>
      </c>
      <c r="C245" s="87" t="s">
        <v>757</v>
      </c>
      <c r="D245" s="95">
        <v>691</v>
      </c>
      <c r="E245" s="95">
        <v>0</v>
      </c>
      <c r="F245" s="95">
        <f t="shared" si="117"/>
        <v>691</v>
      </c>
      <c r="G245" s="95">
        <v>681</v>
      </c>
      <c r="H245" s="95">
        <v>0</v>
      </c>
      <c r="I245" s="95">
        <f t="shared" si="118"/>
        <v>681</v>
      </c>
      <c r="J245" s="95">
        <v>671</v>
      </c>
      <c r="K245" s="95">
        <v>0</v>
      </c>
      <c r="L245" s="95">
        <f t="shared" si="119"/>
        <v>671</v>
      </c>
      <c r="M245" s="95">
        <f>IF(ISNA(VLOOKUP($CZ245,'Audit Values'!$A$2:$BW$365,2,FALSE)),'Preliminary SO66'!C244,VLOOKUP($CZ245,'Audit Values'!$A$2:$BW$365,73,FALSE))</f>
        <v>689</v>
      </c>
      <c r="N245" s="95">
        <f>IF(ISNA(VLOOKUP($CZ245,'Audit Values'!$A$2:$BW$365,2,FALSE)),'Preliminary SO66'!F244,VLOOKUP($CZ245,'Audit Values'!$A$2:$BW$365,4,FALSE))</f>
        <v>0</v>
      </c>
      <c r="O245" s="95">
        <f t="shared" si="120"/>
        <v>689</v>
      </c>
      <c r="P245" s="95">
        <f>IF('Military Provision'!J246="YES", MAX('2019 Legal Max'!L245,'2019 Legal Max'!I245,AVERAGE('2019 Legal Max'!F245,'2019 Legal Max'!I245,'2019 Legal Max'!L245)), MAX(L245, I245))</f>
        <v>681</v>
      </c>
      <c r="Q245" s="95">
        <f>IF(ISNA(VLOOKUP($CZ245,'Audit Values'!$A$2:$BU$353,2,FALSE)),'Preliminary SO66'!AL244,VLOOKUP($CZ245,'Audit Values'!$A$2:$BU$3955,58,FALSE))</f>
        <v>10.5</v>
      </c>
      <c r="R245" s="95">
        <v>0</v>
      </c>
      <c r="S245" s="95">
        <f t="shared" ref="S245:S276" si="153">P245+Q245</f>
        <v>691.5</v>
      </c>
      <c r="T245" s="95">
        <f t="shared" si="121"/>
        <v>242.8</v>
      </c>
      <c r="U245" s="95">
        <f>IF(ISNA(VLOOKUP($CZ245,'Audit Values'!$A$2:$BW$317,2,FALSE)),'Preliminary SO66'!AM244,VLOOKUP($CZ245,'Audit Values'!$A$2:$BW$317,62,FALSE))</f>
        <v>0</v>
      </c>
      <c r="V245" s="95">
        <f>(U245/6)*'Weighting Factors'!$Q$7</f>
        <v>0</v>
      </c>
      <c r="W245" s="132">
        <f>IF(ISNA(VLOOKUP($CZ245,'Audit Values'!$A$2:$BW$353,2,FALSE)),'Preliminary SO66'!AN244,VLOOKUP($CZ245,'Audit Values'!$A$2:$BW$353,61,FALSE))</f>
        <v>1</v>
      </c>
      <c r="X245" s="95">
        <f>W245*'Weighting Factors'!$Q$8</f>
        <v>0.2</v>
      </c>
      <c r="Y245" s="95">
        <f t="shared" si="122"/>
        <v>0.2</v>
      </c>
      <c r="Z245" s="276">
        <f>IF(ISNA(VLOOKUP($CZ245,'Audit Values'!$A$2:$BW$317,2,FALSE)),'Preliminary SO66'!AO244,VLOOKUP($CZ245,'Audit Values'!$A$2:$BW$317,60,FALSE))</f>
        <v>171.3</v>
      </c>
      <c r="AA245" s="95">
        <f>Z245/6*'Weighting Factors'!$Q$6</f>
        <v>14.3</v>
      </c>
      <c r="AB245" s="99">
        <f>IF(ISNA(VLOOKUP($CZ245,'Audit Values'!$A$2:$BU$353,2,FALSE)),'Preliminary SO66'!AS244,VLOOKUP($CZ245,'Audit Values'!$A$2:$BU$353,63,FALSE))</f>
        <v>716</v>
      </c>
      <c r="AC245" s="99">
        <v>0</v>
      </c>
      <c r="AD245" s="99">
        <f>IF(ISNA(VLOOKUP($CZ245,'Audit Values'!$A$2:$BU$353,2,FALSE)),'Preliminary SO66'!AP244,VLOOKUP($CZ245,'Audit Values'!$A$2:$BU$353,64,FALSE))</f>
        <v>334</v>
      </c>
      <c r="AE245" s="95">
        <f>IF(A245=207, AD245,MAX(AC245,AD245))*'Weighting Factors'!$Q$9</f>
        <v>161.69999999999999</v>
      </c>
      <c r="AF245" s="95">
        <f t="shared" si="123"/>
        <v>27.2</v>
      </c>
      <c r="AG245" s="95">
        <f>IF(ISNA(VLOOKUP($CZ245,'Audit Values'!$A$2:$BW$353,2,FALSE)),'Preliminary SO66'!AG244,VLOOKUP($CZ245,'Audit Values'!$A$2:$BW$353,70,FALSE))</f>
        <v>25.1</v>
      </c>
      <c r="AH245" s="95">
        <f t="shared" si="124"/>
        <v>27.2</v>
      </c>
      <c r="AI245" s="95">
        <f>IF(ISNA(VLOOKUP($CZ245,'Audit Values'!$A$2:$BU$353,2,FALSE)),'Preliminary SO66'!AQ244,VLOOKUP($CZ245,'Audit Values'!$A$2:$BU$353,65,FALSE))</f>
        <v>0</v>
      </c>
      <c r="AJ245" s="95">
        <f>AI245*'Weighting Factors'!$Q$10</f>
        <v>0</v>
      </c>
      <c r="AK245" s="95">
        <f>IF(ISNA(VLOOKUP($CZ245,'Audit Values'!$A$2:$BU$353,2,FALSE)),'Preliminary SO66'!AR244,VLOOKUP($CZ245,'Audit Values'!$A$2:$BU$353,66,FALSE))</f>
        <v>71</v>
      </c>
      <c r="AL245" s="95"/>
      <c r="AM245" s="99">
        <f t="shared" si="125"/>
        <v>74550</v>
      </c>
      <c r="AN245" s="99">
        <v>97070</v>
      </c>
      <c r="AO245" s="95">
        <f>MAX(AN245, AM245)/'Weighting Factors'!$Q$5</f>
        <v>23.3</v>
      </c>
      <c r="AP245" s="95">
        <f>CN245/'Weighting Factors'!$Q$5</f>
        <v>0</v>
      </c>
      <c r="AQ245" s="95">
        <v>0</v>
      </c>
      <c r="AR245" s="95">
        <f>CS245/'Weighting Factors'!$Q$5</f>
        <v>0</v>
      </c>
      <c r="AS245" s="99">
        <v>571693</v>
      </c>
      <c r="AT245" s="95">
        <f>AS245/'Weighting Factors'!$Q$5</f>
        <v>137.30000000000001</v>
      </c>
      <c r="AU245" s="95">
        <f>IF(ISNA(VLOOKUP($CZ245,'Audit Values'!$A$2:$BU$353,2,FALSE)),'Preliminary SO66'!X244,VLOOKUP($CZ245,'Audit Values'!$A$2:$BU$353,47,FALSE))</f>
        <v>0</v>
      </c>
      <c r="AV245" s="95">
        <f t="shared" si="126"/>
        <v>1298.3</v>
      </c>
      <c r="AW245" s="95">
        <f t="shared" si="127"/>
        <v>1161</v>
      </c>
      <c r="AX245" s="95">
        <f>IF(ISNA(VLOOKUP($CZ245,'Audit Values'!$A$2:$BU$353,2,FALSE)),'Preliminary SO66'!AA244,VLOOKUP($CZ245,'Audit Values'!$A$2:$BU$353,41,FALSE))</f>
        <v>0</v>
      </c>
      <c r="AY245" s="95">
        <f>IF(ISNA(VLOOKUP($CZ245,'Audit Values'!$A$2:$BU$353,2,FALSE)),'Preliminary SO66'!AB244,VLOOKUP($CZ245,'Audit Values'!$A$2:$BU$353,42,FALSE))</f>
        <v>0</v>
      </c>
      <c r="AZ245" s="114">
        <v>0</v>
      </c>
      <c r="BA245" s="99">
        <f>SUM(AX245*'Weighting Factors'!$T$10)+('2019 Legal Max'!AY245*'Weighting Factors'!$T$11)+('2019 Legal Max'!AZ245*'Weighting Factors'!$T$12)</f>
        <v>0</v>
      </c>
      <c r="BB245" s="158">
        <v>0</v>
      </c>
      <c r="BC245" s="88">
        <f>IF(ISNA(VLOOKUP($CZ245,'Audit Values'!$A$2:$BU$353,2,FALSE)),"",IF(AND('Weighting Factors'!H245&gt;0,VLOOKUP($CZ245,'Audit Values'!$A$2:$BU$353,51,FALSE)&lt;'Weighting Factors'!H245),'Weighting Factors'!H245,VLOOKUP($CZ245,'Audit Values'!$A$2:$BU$353,50,FALSE)))</f>
        <v>10</v>
      </c>
      <c r="BD245" s="88" t="str">
        <f>IF(ISNA(VLOOKUP($CZ245,'Audit Values'!$A$2:$BV$353,2,FALSE)),"",VLOOKUP($CZ245,'Audit Values'!$A$2:$BV$353,51,FALSE))</f>
        <v>A</v>
      </c>
      <c r="BE245" s="88" t="str">
        <f>IF('Weighting Factors'!H245="","",IF('Weighting Factors'!J245="Pending","PX","R"))</f>
        <v>R</v>
      </c>
      <c r="BF245" s="97">
        <f>SUM((S245+T245+Y245+AA245+AE245+AH245+AJ245++AO245+AP245+AQ245+AU245+AR245)*'Weighting Factors'!$Q$5)+'2019 Legal Max'!BA245+'2019 Legal Max'!BB245</f>
        <v>4835565</v>
      </c>
      <c r="BG245" s="99">
        <f>SUM((AV245+AR245)*'Weighting Factors'!$Q$5)+BA245+'2019 Legal Max'!BB245</f>
        <v>5407420</v>
      </c>
      <c r="BH245" s="108">
        <f>IF('Weighting Factors'!H245&gt;0,'Weighting Factors'!H245,'Preliminary SO66'!AV244)</f>
        <v>5457816</v>
      </c>
      <c r="BI245" s="99">
        <f t="shared" si="151"/>
        <v>5407420</v>
      </c>
      <c r="BJ245" s="112"/>
      <c r="BK245" s="112">
        <f>'Weighting Factors'!F245</f>
        <v>0</v>
      </c>
      <c r="BL245" s="112">
        <f>'Weighting Factors'!E245</f>
        <v>0</v>
      </c>
      <c r="BM245" s="99">
        <f t="shared" si="128"/>
        <v>0</v>
      </c>
      <c r="BN245" s="99">
        <f t="shared" si="129"/>
        <v>5407420</v>
      </c>
      <c r="BO245" s="99">
        <f>SUM((S245+T245+Y245+AA245+AE245+AH245+AJ245++AO245+AP245+AQ245+AR245)*'Weighting Factors'!Q$12)+(MAX(AS245,'Weighting Factors'!B245))</f>
        <v>5802387</v>
      </c>
      <c r="BP245" s="122">
        <v>0.33</v>
      </c>
      <c r="BQ245" s="99">
        <f t="shared" si="130"/>
        <v>1914788</v>
      </c>
      <c r="BR245" s="108">
        <v>1904800</v>
      </c>
      <c r="BS245" s="99">
        <f t="shared" si="131"/>
        <v>1904800</v>
      </c>
      <c r="BT245" s="167">
        <f t="shared" si="132"/>
        <v>0.32829999999999998</v>
      </c>
      <c r="BU245" s="95">
        <f t="shared" si="133"/>
        <v>0</v>
      </c>
      <c r="BV245" s="87" t="b">
        <f t="shared" si="134"/>
        <v>0</v>
      </c>
      <c r="BW245" s="117">
        <f t="shared" si="135"/>
        <v>0</v>
      </c>
      <c r="BX245" s="116">
        <f t="shared" si="136"/>
        <v>0</v>
      </c>
      <c r="BY245" s="95">
        <f t="shared" si="137"/>
        <v>0</v>
      </c>
      <c r="BZ245" s="87" t="b">
        <f t="shared" si="138"/>
        <v>1</v>
      </c>
      <c r="CA245" s="87">
        <f t="shared" si="139"/>
        <v>484.48129999999998</v>
      </c>
      <c r="CB245" s="116">
        <f t="shared" si="140"/>
        <v>0.35117500000000001</v>
      </c>
      <c r="CC245" s="95">
        <f t="shared" si="141"/>
        <v>242.8</v>
      </c>
      <c r="CD245" s="95">
        <f t="shared" si="142"/>
        <v>0</v>
      </c>
      <c r="CE245" s="98">
        <v>119</v>
      </c>
      <c r="CF245" s="250">
        <f t="shared" si="143"/>
        <v>0.59699999999999998</v>
      </c>
      <c r="CG245" s="274">
        <f>IF(CF245&lt;0.06,1,IF(CF245&gt;=18.29,52,MATCH(CF245-0.001,'Weighting Factors'!$Y$5:$Y$156)+1))</f>
        <v>27</v>
      </c>
      <c r="CH245" s="243">
        <f>VLOOKUP(CG245, 'Weighting Factors'!$W$5:$Z$56,4)</f>
        <v>1050</v>
      </c>
      <c r="CI245" s="118">
        <f>('Weighting Factors'!$Q$5/'Weighting Factors'!$Q$14)</f>
        <v>1</v>
      </c>
      <c r="CJ245" s="245">
        <f t="shared" si="144"/>
        <v>74550</v>
      </c>
      <c r="CK245" s="245">
        <f>CJ245*'Weighting Factors'!$S$7</f>
        <v>74550</v>
      </c>
      <c r="CL245" s="245">
        <f t="shared" si="145"/>
        <v>74550</v>
      </c>
      <c r="CM245" s="95">
        <f>AM245/'Weighting Factors'!$Q$5</f>
        <v>17.899999999999999</v>
      </c>
      <c r="CN245" s="148">
        <v>0</v>
      </c>
      <c r="CO245" s="148">
        <v>0</v>
      </c>
      <c r="CP245" s="149">
        <v>0</v>
      </c>
      <c r="CQ245" s="151">
        <v>0</v>
      </c>
      <c r="CR245" s="99">
        <f>SUM((AV245*'Weighting Factors'!$Q$5)+'2019 Legal Max'!BA245)*CQ245</f>
        <v>0</v>
      </c>
      <c r="CS245" s="99">
        <f t="shared" si="146"/>
        <v>0</v>
      </c>
      <c r="CT245" s="106">
        <f t="shared" si="147"/>
        <v>0.46650000000000003</v>
      </c>
      <c r="CU245" s="95">
        <f t="shared" si="148"/>
        <v>0</v>
      </c>
      <c r="CV245" s="95">
        <f t="shared" si="149"/>
        <v>27.2</v>
      </c>
      <c r="CW245" s="95">
        <f t="shared" si="150"/>
        <v>1298.3</v>
      </c>
      <c r="CX245" s="99">
        <f>'LOB Transfers'!G244</f>
        <v>239243</v>
      </c>
      <c r="CY245" s="99">
        <f>'LOB Transfers'!J244</f>
        <v>381</v>
      </c>
      <c r="CZ245" s="87" t="s">
        <v>437</v>
      </c>
    </row>
    <row r="246" spans="1:104" ht="15" customHeight="1">
      <c r="A246" s="88">
        <v>462</v>
      </c>
      <c r="B246" s="87" t="s">
        <v>102</v>
      </c>
      <c r="C246" s="87" t="s">
        <v>758</v>
      </c>
      <c r="D246" s="95">
        <v>284.2</v>
      </c>
      <c r="E246" s="95">
        <v>0</v>
      </c>
      <c r="F246" s="95">
        <f t="shared" si="117"/>
        <v>284.2</v>
      </c>
      <c r="G246" s="95">
        <v>311.7</v>
      </c>
      <c r="H246" s="95">
        <v>0</v>
      </c>
      <c r="I246" s="95">
        <f t="shared" si="118"/>
        <v>311.7</v>
      </c>
      <c r="J246" s="95">
        <v>305.5</v>
      </c>
      <c r="K246" s="95">
        <v>0</v>
      </c>
      <c r="L246" s="95">
        <f t="shared" si="119"/>
        <v>305.5</v>
      </c>
      <c r="M246" s="95">
        <f>IF(ISNA(VLOOKUP($CZ246,'Audit Values'!$A$2:$BW$365,2,FALSE)),'Preliminary SO66'!C245,VLOOKUP($CZ246,'Audit Values'!$A$2:$BW$365,73,FALSE))</f>
        <v>299.60000000000002</v>
      </c>
      <c r="N246" s="95">
        <f>IF(ISNA(VLOOKUP($CZ246,'Audit Values'!$A$2:$BW$365,2,FALSE)),'Preliminary SO66'!F245,VLOOKUP($CZ246,'Audit Values'!$A$2:$BW$365,4,FALSE))</f>
        <v>0</v>
      </c>
      <c r="O246" s="95">
        <f t="shared" si="120"/>
        <v>299.60000000000002</v>
      </c>
      <c r="P246" s="95">
        <f>IF('Military Provision'!J247="YES", MAX('2019 Legal Max'!L246,'2019 Legal Max'!I246,AVERAGE('2019 Legal Max'!F246,'2019 Legal Max'!I246,'2019 Legal Max'!L246)), MAX(L246, I246))</f>
        <v>311.7</v>
      </c>
      <c r="Q246" s="95">
        <f>IF(ISNA(VLOOKUP($CZ246,'Audit Values'!$A$2:$BU$353,2,FALSE)),'Preliminary SO66'!AL245,VLOOKUP($CZ246,'Audit Values'!$A$2:$BU$3955,58,FALSE))</f>
        <v>0</v>
      </c>
      <c r="R246" s="95">
        <v>0</v>
      </c>
      <c r="S246" s="95">
        <f t="shared" si="153"/>
        <v>311.7</v>
      </c>
      <c r="T246" s="95">
        <f t="shared" si="121"/>
        <v>149.69999999999999</v>
      </c>
      <c r="U246" s="95">
        <f>IF(ISNA(VLOOKUP($CZ246,'Audit Values'!$A$2:$BW$317,2,FALSE)),'Preliminary SO66'!AM245,VLOOKUP($CZ246,'Audit Values'!$A$2:$BW$317,62,FALSE))</f>
        <v>0</v>
      </c>
      <c r="V246" s="95">
        <f>(U246/6)*'Weighting Factors'!$Q$7</f>
        <v>0</v>
      </c>
      <c r="W246" s="132">
        <f>IF(ISNA(VLOOKUP($CZ246,'Audit Values'!$A$2:$BW$353,2,FALSE)),'Preliminary SO66'!AN245,VLOOKUP($CZ246,'Audit Values'!$A$2:$BW$353,61,FALSE))</f>
        <v>0</v>
      </c>
      <c r="X246" s="95">
        <f>W246*'Weighting Factors'!$Q$8</f>
        <v>0</v>
      </c>
      <c r="Y246" s="95">
        <f t="shared" si="122"/>
        <v>0</v>
      </c>
      <c r="Z246" s="276">
        <f>IF(ISNA(VLOOKUP($CZ246,'Audit Values'!$A$2:$BW$317,2,FALSE)),'Preliminary SO66'!AO245,VLOOKUP($CZ246,'Audit Values'!$A$2:$BW$317,60,FALSE))</f>
        <v>102.6</v>
      </c>
      <c r="AA246" s="95">
        <f>Z246/6*'Weighting Factors'!$Q$6</f>
        <v>8.6</v>
      </c>
      <c r="AB246" s="99">
        <f>IF(ISNA(VLOOKUP($CZ246,'Audit Values'!$A$2:$BU$353,2,FALSE)),'Preliminary SO66'!AS245,VLOOKUP($CZ246,'Audit Values'!$A$2:$BU$353,63,FALSE))</f>
        <v>302</v>
      </c>
      <c r="AC246" s="99">
        <v>0</v>
      </c>
      <c r="AD246" s="99">
        <f>IF(ISNA(VLOOKUP($CZ246,'Audit Values'!$A$2:$BU$353,2,FALSE)),'Preliminary SO66'!AP245,VLOOKUP($CZ246,'Audit Values'!$A$2:$BU$353,64,FALSE))</f>
        <v>137</v>
      </c>
      <c r="AE246" s="95">
        <f>IF(A246=207, AD246,MAX(AC246,AD246))*'Weighting Factors'!$Q$9</f>
        <v>66.3</v>
      </c>
      <c r="AF246" s="95">
        <f t="shared" si="123"/>
        <v>9.9</v>
      </c>
      <c r="AG246" s="95">
        <f>IF(ISNA(VLOOKUP($CZ246,'Audit Values'!$A$2:$BW$353,2,FALSE)),'Preliminary SO66'!AG245,VLOOKUP($CZ246,'Audit Values'!$A$2:$BW$353,70,FALSE))</f>
        <v>9.9</v>
      </c>
      <c r="AH246" s="95">
        <f t="shared" si="124"/>
        <v>9.9</v>
      </c>
      <c r="AI246" s="95">
        <f>IF(ISNA(VLOOKUP($CZ246,'Audit Values'!$A$2:$BU$353,2,FALSE)),'Preliminary SO66'!AQ245,VLOOKUP($CZ246,'Audit Values'!$A$2:$BU$353,65,FALSE))</f>
        <v>0</v>
      </c>
      <c r="AJ246" s="95">
        <f>AI246*'Weighting Factors'!$Q$10</f>
        <v>0</v>
      </c>
      <c r="AK246" s="95">
        <f>IF(ISNA(VLOOKUP($CZ246,'Audit Values'!$A$2:$BU$353,2,FALSE)),'Preliminary SO66'!AR245,VLOOKUP($CZ246,'Audit Values'!$A$2:$BU$353,66,FALSE))</f>
        <v>131</v>
      </c>
      <c r="AL246" s="95"/>
      <c r="AM246" s="99">
        <f t="shared" si="125"/>
        <v>148030</v>
      </c>
      <c r="AN246" s="99">
        <v>167562</v>
      </c>
      <c r="AO246" s="95">
        <f>MAX(AN246, AM246)/'Weighting Factors'!$Q$5</f>
        <v>40.200000000000003</v>
      </c>
      <c r="AP246" s="95">
        <f>CN246/'Weighting Factors'!$Q$5</f>
        <v>0</v>
      </c>
      <c r="AQ246" s="95">
        <v>0</v>
      </c>
      <c r="AR246" s="95">
        <f>CS246/'Weighting Factors'!$Q$5</f>
        <v>0</v>
      </c>
      <c r="AS246" s="99">
        <v>341742</v>
      </c>
      <c r="AT246" s="95">
        <f>AS246/'Weighting Factors'!$Q$5</f>
        <v>82.1</v>
      </c>
      <c r="AU246" s="95">
        <f>IF(ISNA(VLOOKUP($CZ246,'Audit Values'!$A$2:$BU$353,2,FALSE)),'Preliminary SO66'!X245,VLOOKUP($CZ246,'Audit Values'!$A$2:$BU$353,47,FALSE))</f>
        <v>0</v>
      </c>
      <c r="AV246" s="95">
        <f t="shared" si="126"/>
        <v>668.5</v>
      </c>
      <c r="AW246" s="95">
        <f t="shared" si="127"/>
        <v>586.4</v>
      </c>
      <c r="AX246" s="95">
        <f>IF(ISNA(VLOOKUP($CZ246,'Audit Values'!$A$2:$BU$353,2,FALSE)),'Preliminary SO66'!AA245,VLOOKUP($CZ246,'Audit Values'!$A$2:$BU$353,41,FALSE))</f>
        <v>0</v>
      </c>
      <c r="AY246" s="95">
        <f>IF(ISNA(VLOOKUP($CZ246,'Audit Values'!$A$2:$BU$353,2,FALSE)),'Preliminary SO66'!AB245,VLOOKUP($CZ246,'Audit Values'!$A$2:$BU$353,42,FALSE))</f>
        <v>0</v>
      </c>
      <c r="AZ246" s="114">
        <v>0</v>
      </c>
      <c r="BA246" s="99">
        <f>SUM(AX246*'Weighting Factors'!$T$10)+('2019 Legal Max'!AY246*'Weighting Factors'!$T$11)+('2019 Legal Max'!AZ246*'Weighting Factors'!$T$12)</f>
        <v>0</v>
      </c>
      <c r="BB246" s="158">
        <v>0</v>
      </c>
      <c r="BC246" s="88">
        <f>IF(ISNA(VLOOKUP($CZ246,'Audit Values'!$A$2:$BU$353,2,FALSE)),"",IF(AND('Weighting Factors'!H246&gt;0,VLOOKUP($CZ246,'Audit Values'!$A$2:$BU$353,51,FALSE)&lt;'Weighting Factors'!H246),'Weighting Factors'!H246,VLOOKUP($CZ246,'Audit Values'!$A$2:$BU$353,50,FALSE)))</f>
        <v>17</v>
      </c>
      <c r="BD246" s="88" t="str">
        <f>IF(ISNA(VLOOKUP($CZ246,'Audit Values'!$A$2:$BV$353,2,FALSE)),"",VLOOKUP($CZ246,'Audit Values'!$A$2:$BV$353,51,FALSE))</f>
        <v>A</v>
      </c>
      <c r="BE246" s="88" t="str">
        <f>IF('Weighting Factors'!H246="","",IF('Weighting Factors'!J246="Pending","PX","R"))</f>
        <v/>
      </c>
      <c r="BF246" s="97">
        <f>SUM((S246+T246+Y246+AA246+AE246+AH246+AJ246++AO246+AP246+AQ246+AU246+AR246)*'Weighting Factors'!$Q$5)+'2019 Legal Max'!BA246+'2019 Legal Max'!BB246</f>
        <v>2442356</v>
      </c>
      <c r="BG246" s="99">
        <f>SUM((AV246+AR246)*'Weighting Factors'!$Q$5)+BA246+'2019 Legal Max'!BB246</f>
        <v>2784303</v>
      </c>
      <c r="BH246" s="108">
        <f>IF('Weighting Factors'!H246&gt;0,'Weighting Factors'!H246,'Preliminary SO66'!AV245)</f>
        <v>2873434</v>
      </c>
      <c r="BI246" s="99">
        <f t="shared" si="151"/>
        <v>2784303</v>
      </c>
      <c r="BJ246" s="112"/>
      <c r="BK246" s="112">
        <f>'Weighting Factors'!F246</f>
        <v>0</v>
      </c>
      <c r="BL246" s="112">
        <f>'Weighting Factors'!E246</f>
        <v>0</v>
      </c>
      <c r="BM246" s="99">
        <f t="shared" si="128"/>
        <v>0</v>
      </c>
      <c r="BN246" s="99">
        <f t="shared" si="129"/>
        <v>2784303</v>
      </c>
      <c r="BO246" s="99">
        <f>SUM((S246+T246+Y246+AA246+AE246+AH246+AJ246++AO246+AP246+AQ246+AR246)*'Weighting Factors'!Q$12)+(MAX(AS246,'Weighting Factors'!B246))</f>
        <v>2974678</v>
      </c>
      <c r="BP246" s="122">
        <v>0.3</v>
      </c>
      <c r="BQ246" s="99">
        <f t="shared" si="130"/>
        <v>892403</v>
      </c>
      <c r="BR246" s="108">
        <v>920492</v>
      </c>
      <c r="BS246" s="99">
        <f t="shared" si="131"/>
        <v>892403</v>
      </c>
      <c r="BT246" s="167">
        <f t="shared" si="132"/>
        <v>0.3</v>
      </c>
      <c r="BU246" s="95">
        <f t="shared" si="133"/>
        <v>0</v>
      </c>
      <c r="BV246" s="87" t="b">
        <f t="shared" si="134"/>
        <v>0</v>
      </c>
      <c r="BW246" s="117">
        <f t="shared" si="135"/>
        <v>0</v>
      </c>
      <c r="BX246" s="116">
        <f t="shared" si="136"/>
        <v>0</v>
      </c>
      <c r="BY246" s="95">
        <f t="shared" si="137"/>
        <v>0</v>
      </c>
      <c r="BZ246" s="87" t="b">
        <f t="shared" si="138"/>
        <v>1</v>
      </c>
      <c r="CA246" s="87">
        <f t="shared" si="139"/>
        <v>14.4788</v>
      </c>
      <c r="CB246" s="116">
        <f t="shared" si="140"/>
        <v>0.480211</v>
      </c>
      <c r="CC246" s="95">
        <f t="shared" si="141"/>
        <v>149.69999999999999</v>
      </c>
      <c r="CD246" s="95">
        <f t="shared" si="142"/>
        <v>0</v>
      </c>
      <c r="CE246" s="98">
        <v>308.89999999999998</v>
      </c>
      <c r="CF246" s="250">
        <f t="shared" si="143"/>
        <v>0.42399999999999999</v>
      </c>
      <c r="CG246" s="274">
        <f>IF(CF246&lt;0.06,1,IF(CF246&gt;=18.29,52,MATCH(CF246-0.001,'Weighting Factors'!$Y$5:$Y$156)+1))</f>
        <v>23</v>
      </c>
      <c r="CH246" s="243">
        <f>VLOOKUP(CG246, 'Weighting Factors'!$W$5:$Z$56,4)</f>
        <v>1130</v>
      </c>
      <c r="CI246" s="118">
        <f>('Weighting Factors'!$Q$5/'Weighting Factors'!$Q$14)</f>
        <v>1</v>
      </c>
      <c r="CJ246" s="245">
        <f t="shared" si="144"/>
        <v>148030</v>
      </c>
      <c r="CK246" s="245">
        <f>CJ246*'Weighting Factors'!$S$7</f>
        <v>148030</v>
      </c>
      <c r="CL246" s="245">
        <f t="shared" si="145"/>
        <v>148030</v>
      </c>
      <c r="CM246" s="95">
        <f>AM246/'Weighting Factors'!$Q$5</f>
        <v>35.5</v>
      </c>
      <c r="CN246" s="148">
        <v>0</v>
      </c>
      <c r="CO246" s="148">
        <v>0</v>
      </c>
      <c r="CP246" s="149">
        <v>0</v>
      </c>
      <c r="CQ246" s="151">
        <v>0</v>
      </c>
      <c r="CR246" s="99">
        <f>SUM((AV246*'Weighting Factors'!$Q$5)+'2019 Legal Max'!BA246)*CQ246</f>
        <v>0</v>
      </c>
      <c r="CS246" s="99">
        <f t="shared" si="146"/>
        <v>0</v>
      </c>
      <c r="CT246" s="106">
        <f t="shared" si="147"/>
        <v>0.4536</v>
      </c>
      <c r="CU246" s="95">
        <f t="shared" si="148"/>
        <v>0</v>
      </c>
      <c r="CV246" s="95">
        <f t="shared" si="149"/>
        <v>9.9</v>
      </c>
      <c r="CW246" s="95">
        <f t="shared" si="150"/>
        <v>668.5</v>
      </c>
      <c r="CX246" s="99">
        <f>'LOB Transfers'!G245</f>
        <v>88526</v>
      </c>
      <c r="CY246" s="99">
        <f>'LOB Transfers'!J245</f>
        <v>0</v>
      </c>
      <c r="CZ246" s="87" t="s">
        <v>438</v>
      </c>
    </row>
    <row r="247" spans="1:104" ht="15" customHeight="1">
      <c r="A247" s="88">
        <v>463</v>
      </c>
      <c r="B247" s="87" t="s">
        <v>102</v>
      </c>
      <c r="C247" s="87" t="s">
        <v>759</v>
      </c>
      <c r="D247" s="95">
        <v>331.2</v>
      </c>
      <c r="E247" s="95">
        <v>0</v>
      </c>
      <c r="F247" s="95">
        <f t="shared" si="117"/>
        <v>331.2</v>
      </c>
      <c r="G247" s="95">
        <v>308.7</v>
      </c>
      <c r="H247" s="95">
        <v>0</v>
      </c>
      <c r="I247" s="95">
        <f t="shared" si="118"/>
        <v>308.7</v>
      </c>
      <c r="J247" s="95">
        <v>316</v>
      </c>
      <c r="K247" s="95">
        <v>0</v>
      </c>
      <c r="L247" s="95">
        <f t="shared" si="119"/>
        <v>316</v>
      </c>
      <c r="M247" s="95">
        <f>IF(ISNA(VLOOKUP($CZ247,'Audit Values'!$A$2:$BW$365,2,FALSE)),'Preliminary SO66'!C246,VLOOKUP($CZ247,'Audit Values'!$A$2:$BW$365,73,FALSE))</f>
        <v>314</v>
      </c>
      <c r="N247" s="95">
        <f>IF(ISNA(VLOOKUP($CZ247,'Audit Values'!$A$2:$BW$365,2,FALSE)),'Preliminary SO66'!F246,VLOOKUP($CZ247,'Audit Values'!$A$2:$BW$365,4,FALSE))</f>
        <v>6</v>
      </c>
      <c r="O247" s="95">
        <f t="shared" si="120"/>
        <v>320</v>
      </c>
      <c r="P247" s="95">
        <f>IF('Military Provision'!J248="YES", MAX('2019 Legal Max'!L247,'2019 Legal Max'!I247,AVERAGE('2019 Legal Max'!F247,'2019 Legal Max'!I247,'2019 Legal Max'!L247)), MAX(L247, I247))</f>
        <v>316</v>
      </c>
      <c r="Q247" s="95">
        <f>IF(ISNA(VLOOKUP($CZ247,'Audit Values'!$A$2:$BU$353,2,FALSE)),'Preliminary SO66'!AL246,VLOOKUP($CZ247,'Audit Values'!$A$2:$BU$3955,58,FALSE))</f>
        <v>0</v>
      </c>
      <c r="R247" s="95">
        <v>0</v>
      </c>
      <c r="S247" s="95">
        <f t="shared" si="153"/>
        <v>316</v>
      </c>
      <c r="T247" s="95">
        <f t="shared" si="121"/>
        <v>151.30000000000001</v>
      </c>
      <c r="U247" s="95">
        <f>IF(ISNA(VLOOKUP($CZ247,'Audit Values'!$A$2:$BW$317,2,FALSE)),'Preliminary SO66'!AM246,VLOOKUP($CZ247,'Audit Values'!$A$2:$BW$317,62,FALSE))</f>
        <v>0</v>
      </c>
      <c r="V247" s="95">
        <f>(U247/6)*'Weighting Factors'!$Q$7</f>
        <v>0</v>
      </c>
      <c r="W247" s="132">
        <f>IF(ISNA(VLOOKUP($CZ247,'Audit Values'!$A$2:$BW$353,2,FALSE)),'Preliminary SO66'!AN246,VLOOKUP($CZ247,'Audit Values'!$A$2:$BW$353,61,FALSE))</f>
        <v>0</v>
      </c>
      <c r="X247" s="95">
        <f>W247*'Weighting Factors'!$Q$8</f>
        <v>0</v>
      </c>
      <c r="Y247" s="95">
        <f t="shared" si="122"/>
        <v>0</v>
      </c>
      <c r="Z247" s="276">
        <f>IF(ISNA(VLOOKUP($CZ247,'Audit Values'!$A$2:$BW$317,2,FALSE)),'Preliminary SO66'!AO246,VLOOKUP($CZ247,'Audit Values'!$A$2:$BW$317,60,FALSE))</f>
        <v>86.2</v>
      </c>
      <c r="AA247" s="95">
        <f>Z247/6*'Weighting Factors'!$Q$6</f>
        <v>7.2</v>
      </c>
      <c r="AB247" s="99">
        <f>IF(ISNA(VLOOKUP($CZ247,'Audit Values'!$A$2:$BU$353,2,FALSE)),'Preliminary SO66'!AS246,VLOOKUP($CZ247,'Audit Values'!$A$2:$BU$353,63,FALSE))</f>
        <v>328</v>
      </c>
      <c r="AC247" s="99">
        <v>0</v>
      </c>
      <c r="AD247" s="99">
        <f>IF(ISNA(VLOOKUP($CZ247,'Audit Values'!$A$2:$BU$353,2,FALSE)),'Preliminary SO66'!AP246,VLOOKUP($CZ247,'Audit Values'!$A$2:$BU$353,64,FALSE))</f>
        <v>106</v>
      </c>
      <c r="AE247" s="95">
        <f>IF(A247=207, AD247,MAX(AC247,AD247))*'Weighting Factors'!$Q$9</f>
        <v>51.3</v>
      </c>
      <c r="AF247" s="95">
        <f t="shared" si="123"/>
        <v>0</v>
      </c>
      <c r="AG247" s="95">
        <f>IF(ISNA(VLOOKUP($CZ247,'Audit Values'!$A$2:$BW$353,2,FALSE)),'Preliminary SO66'!AG246,VLOOKUP($CZ247,'Audit Values'!$A$2:$BW$353,70,FALSE))</f>
        <v>0.4</v>
      </c>
      <c r="AH247" s="95">
        <f t="shared" si="124"/>
        <v>0.4</v>
      </c>
      <c r="AI247" s="95">
        <f>IF(ISNA(VLOOKUP($CZ247,'Audit Values'!$A$2:$BU$353,2,FALSE)),'Preliminary SO66'!AQ246,VLOOKUP($CZ247,'Audit Values'!$A$2:$BU$353,65,FALSE))</f>
        <v>24.8</v>
      </c>
      <c r="AJ247" s="95">
        <f>AI247*'Weighting Factors'!$Q$10</f>
        <v>6.2</v>
      </c>
      <c r="AK247" s="95">
        <f>IF(ISNA(VLOOKUP($CZ247,'Audit Values'!$A$2:$BU$353,2,FALSE)),'Preliminary SO66'!AR246,VLOOKUP($CZ247,'Audit Values'!$A$2:$BU$353,66,FALSE))</f>
        <v>113</v>
      </c>
      <c r="AL247" s="95"/>
      <c r="AM247" s="99">
        <f t="shared" si="125"/>
        <v>111870</v>
      </c>
      <c r="AN247" s="99">
        <v>127116</v>
      </c>
      <c r="AO247" s="95">
        <f>MAX(AN247, AM247)/'Weighting Factors'!$Q$5</f>
        <v>30.5</v>
      </c>
      <c r="AP247" s="95">
        <f>CN247/'Weighting Factors'!$Q$5</f>
        <v>0</v>
      </c>
      <c r="AQ247" s="95">
        <v>0</v>
      </c>
      <c r="AR247" s="95">
        <f>CS247/'Weighting Factors'!$Q$5</f>
        <v>0</v>
      </c>
      <c r="AS247" s="99">
        <v>351414</v>
      </c>
      <c r="AT247" s="95">
        <f>AS247/'Weighting Factors'!$Q$5</f>
        <v>84.4</v>
      </c>
      <c r="AU247" s="95">
        <f>IF(ISNA(VLOOKUP($CZ247,'Audit Values'!$A$2:$BU$353,2,FALSE)),'Preliminary SO66'!X246,VLOOKUP($CZ247,'Audit Values'!$A$2:$BU$353,47,FALSE))</f>
        <v>0</v>
      </c>
      <c r="AV247" s="95">
        <f t="shared" si="126"/>
        <v>647.29999999999995</v>
      </c>
      <c r="AW247" s="95">
        <f t="shared" si="127"/>
        <v>562.9</v>
      </c>
      <c r="AX247" s="95">
        <f>IF(ISNA(VLOOKUP($CZ247,'Audit Values'!$A$2:$BU$353,2,FALSE)),'Preliminary SO66'!AA246,VLOOKUP($CZ247,'Audit Values'!$A$2:$BU$353,41,FALSE))</f>
        <v>1</v>
      </c>
      <c r="AY247" s="95">
        <f>IF(ISNA(VLOOKUP($CZ247,'Audit Values'!$A$2:$BU$353,2,FALSE)),'Preliminary SO66'!AB246,VLOOKUP($CZ247,'Audit Values'!$A$2:$BU$353,42,FALSE))</f>
        <v>0</v>
      </c>
      <c r="AZ247" s="114">
        <v>0</v>
      </c>
      <c r="BA247" s="99">
        <f>SUM(AX247*'Weighting Factors'!$T$10)+('2019 Legal Max'!AY247*'Weighting Factors'!$T$11)+('2019 Legal Max'!AZ247*'Weighting Factors'!$T$12)</f>
        <v>5000</v>
      </c>
      <c r="BB247" s="158">
        <v>0</v>
      </c>
      <c r="BC247" s="88">
        <f>IF(ISNA(VLOOKUP($CZ247,'Audit Values'!$A$2:$BU$353,2,FALSE)),"",IF(AND('Weighting Factors'!H247&gt;0,VLOOKUP($CZ247,'Audit Values'!$A$2:$BU$353,51,FALSE)&lt;'Weighting Factors'!H247),'Weighting Factors'!H247,VLOOKUP($CZ247,'Audit Values'!$A$2:$BU$353,50,FALSE)))</f>
        <v>23</v>
      </c>
      <c r="BD247" s="88" t="str">
        <f>IF(ISNA(VLOOKUP($CZ247,'Audit Values'!$A$2:$BV$353,2,FALSE)),"",VLOOKUP($CZ247,'Audit Values'!$A$2:$BV$353,51,FALSE))</f>
        <v>A</v>
      </c>
      <c r="BE247" s="88" t="str">
        <f>IF('Weighting Factors'!H247="","",IF('Weighting Factors'!J247="Pending","PX","R"))</f>
        <v/>
      </c>
      <c r="BF247" s="97">
        <f>SUM((S247+T247+Y247+AA247+AE247+AH247+AJ247++AO247+AP247+AQ247+AU247+AR247)*'Weighting Factors'!$Q$5)+'2019 Legal Max'!BA247+'2019 Legal Max'!BB247</f>
        <v>2349479</v>
      </c>
      <c r="BG247" s="99">
        <f>SUM((AV247+AR247)*'Weighting Factors'!$Q$5)+BA247+'2019 Legal Max'!BB247</f>
        <v>2701005</v>
      </c>
      <c r="BH247" s="108">
        <f>IF('Weighting Factors'!H247&gt;0,'Weighting Factors'!H247,'Preliminary SO66'!AV246)</f>
        <v>2760146</v>
      </c>
      <c r="BI247" s="99">
        <f t="shared" si="151"/>
        <v>2701005</v>
      </c>
      <c r="BJ247" s="112"/>
      <c r="BK247" s="112">
        <f>'Weighting Factors'!F247</f>
        <v>0</v>
      </c>
      <c r="BL247" s="112">
        <f>'Weighting Factors'!E247</f>
        <v>0</v>
      </c>
      <c r="BM247" s="99">
        <f t="shared" si="128"/>
        <v>0</v>
      </c>
      <c r="BN247" s="99">
        <f t="shared" si="129"/>
        <v>2701005</v>
      </c>
      <c r="BO247" s="99">
        <f>SUM((S247+T247+Y247+AA247+AE247+AH247+AJ247++AO247+AP247+AQ247+AR247)*'Weighting Factors'!Q$12)+(MAX(AS247,'Weighting Factors'!B247))</f>
        <v>2899014</v>
      </c>
      <c r="BP247" s="122">
        <v>0.3</v>
      </c>
      <c r="BQ247" s="99">
        <f t="shared" si="130"/>
        <v>869704</v>
      </c>
      <c r="BR247" s="108">
        <v>883328</v>
      </c>
      <c r="BS247" s="99">
        <f t="shared" si="131"/>
        <v>869704</v>
      </c>
      <c r="BT247" s="167">
        <f t="shared" si="132"/>
        <v>0.3</v>
      </c>
      <c r="BU247" s="95">
        <f t="shared" si="133"/>
        <v>0</v>
      </c>
      <c r="BV247" s="87" t="b">
        <f t="shared" si="134"/>
        <v>0</v>
      </c>
      <c r="BW247" s="117">
        <f t="shared" si="135"/>
        <v>0</v>
      </c>
      <c r="BX247" s="116">
        <f t="shared" si="136"/>
        <v>0</v>
      </c>
      <c r="BY247" s="95">
        <f t="shared" si="137"/>
        <v>0</v>
      </c>
      <c r="BZ247" s="87" t="b">
        <f t="shared" si="138"/>
        <v>1</v>
      </c>
      <c r="CA247" s="87">
        <f t="shared" si="139"/>
        <v>19.8</v>
      </c>
      <c r="CB247" s="116">
        <f t="shared" si="140"/>
        <v>0.47875000000000001</v>
      </c>
      <c r="CC247" s="95">
        <f t="shared" si="141"/>
        <v>151.30000000000001</v>
      </c>
      <c r="CD247" s="95">
        <f t="shared" si="142"/>
        <v>0</v>
      </c>
      <c r="CE247" s="98">
        <v>140</v>
      </c>
      <c r="CF247" s="250">
        <f t="shared" si="143"/>
        <v>0.80700000000000005</v>
      </c>
      <c r="CG247" s="274">
        <f>IF(CF247&lt;0.06,1,IF(CF247&gt;=18.29,52,MATCH(CF247-0.001,'Weighting Factors'!$Y$5:$Y$156)+1))</f>
        <v>30</v>
      </c>
      <c r="CH247" s="243">
        <f>VLOOKUP(CG247, 'Weighting Factors'!$W$5:$Z$56,4)</f>
        <v>990</v>
      </c>
      <c r="CI247" s="118">
        <f>('Weighting Factors'!$Q$5/'Weighting Factors'!$Q$14)</f>
        <v>1</v>
      </c>
      <c r="CJ247" s="245">
        <f t="shared" si="144"/>
        <v>111870</v>
      </c>
      <c r="CK247" s="245">
        <f>CJ247*'Weighting Factors'!$S$7</f>
        <v>111870</v>
      </c>
      <c r="CL247" s="245">
        <f t="shared" si="145"/>
        <v>111870</v>
      </c>
      <c r="CM247" s="95">
        <f>AM247/'Weighting Factors'!$Q$5</f>
        <v>26.9</v>
      </c>
      <c r="CN247" s="148">
        <v>0</v>
      </c>
      <c r="CO247" s="148">
        <v>0</v>
      </c>
      <c r="CP247" s="149">
        <v>0</v>
      </c>
      <c r="CQ247" s="151">
        <v>0</v>
      </c>
      <c r="CR247" s="99">
        <f>SUM((AV247*'Weighting Factors'!$Q$5)+'2019 Legal Max'!BA247)*CQ247</f>
        <v>0</v>
      </c>
      <c r="CS247" s="99">
        <f t="shared" si="146"/>
        <v>0</v>
      </c>
      <c r="CT247" s="106">
        <f t="shared" si="147"/>
        <v>0.32319999999999999</v>
      </c>
      <c r="CU247" s="95">
        <f t="shared" si="148"/>
        <v>0</v>
      </c>
      <c r="CV247" s="95">
        <f t="shared" si="149"/>
        <v>0</v>
      </c>
      <c r="CW247" s="95">
        <f t="shared" si="150"/>
        <v>647.29999999999995</v>
      </c>
      <c r="CX247" s="99">
        <f>'LOB Transfers'!G246</f>
        <v>68968</v>
      </c>
      <c r="CY247" s="99">
        <f>'LOB Transfers'!J246</f>
        <v>0</v>
      </c>
      <c r="CZ247" s="87" t="s">
        <v>439</v>
      </c>
    </row>
    <row r="248" spans="1:104" ht="15" customHeight="1">
      <c r="A248" s="88">
        <v>464</v>
      </c>
      <c r="B248" s="87" t="s">
        <v>11</v>
      </c>
      <c r="C248" s="87" t="s">
        <v>760</v>
      </c>
      <c r="D248" s="95">
        <v>1890.2</v>
      </c>
      <c r="E248" s="95">
        <v>0</v>
      </c>
      <c r="F248" s="95">
        <f t="shared" si="117"/>
        <v>1890.2</v>
      </c>
      <c r="G248" s="95">
        <v>1943.7</v>
      </c>
      <c r="H248" s="95">
        <v>0</v>
      </c>
      <c r="I248" s="95">
        <f t="shared" si="118"/>
        <v>1943.7</v>
      </c>
      <c r="J248" s="95">
        <v>1967.8</v>
      </c>
      <c r="K248" s="95">
        <v>0</v>
      </c>
      <c r="L248" s="95">
        <f t="shared" si="119"/>
        <v>1967.8</v>
      </c>
      <c r="M248" s="95">
        <f>IF(ISNA(VLOOKUP($CZ248,'Audit Values'!$A$2:$BW$365,2,FALSE)),'Preliminary SO66'!C247,VLOOKUP($CZ248,'Audit Values'!$A$2:$BW$365,73,FALSE))</f>
        <v>1934.5</v>
      </c>
      <c r="N248" s="95">
        <f>IF(ISNA(VLOOKUP($CZ248,'Audit Values'!$A$2:$BW$365,2,FALSE)),'Preliminary SO66'!F247,VLOOKUP($CZ248,'Audit Values'!$A$2:$BW$365,4,FALSE))</f>
        <v>0</v>
      </c>
      <c r="O248" s="95">
        <f t="shared" si="120"/>
        <v>1934.5</v>
      </c>
      <c r="P248" s="95">
        <f>IF('Military Provision'!J249="YES", MAX('2019 Legal Max'!L248,'2019 Legal Max'!I248,AVERAGE('2019 Legal Max'!F248,'2019 Legal Max'!I248,'2019 Legal Max'!L248)), MAX(L248, I248))</f>
        <v>1967.8</v>
      </c>
      <c r="Q248" s="95">
        <f>IF(ISNA(VLOOKUP($CZ248,'Audit Values'!$A$2:$BU$353,2,FALSE)),'Preliminary SO66'!AL247,VLOOKUP($CZ248,'Audit Values'!$A$2:$BU$3955,58,FALSE))</f>
        <v>0</v>
      </c>
      <c r="R248" s="95">
        <v>0</v>
      </c>
      <c r="S248" s="95">
        <f t="shared" si="153"/>
        <v>1967.8</v>
      </c>
      <c r="T248" s="95">
        <f t="shared" si="121"/>
        <v>69</v>
      </c>
      <c r="U248" s="95">
        <f>IF(ISNA(VLOOKUP($CZ248,'Audit Values'!$A$2:$BW$317,2,FALSE)),'Preliminary SO66'!AM247,VLOOKUP($CZ248,'Audit Values'!$A$2:$BW$317,62,FALSE))</f>
        <v>0</v>
      </c>
      <c r="V248" s="95">
        <f>(U248/6)*'Weighting Factors'!$Q$7</f>
        <v>0</v>
      </c>
      <c r="W248" s="132">
        <f>IF(ISNA(VLOOKUP($CZ248,'Audit Values'!$A$2:$BW$353,2,FALSE)),'Preliminary SO66'!AN247,VLOOKUP($CZ248,'Audit Values'!$A$2:$BW$353,61,FALSE))</f>
        <v>27</v>
      </c>
      <c r="X248" s="95">
        <f>W248*'Weighting Factors'!$Q$8</f>
        <v>5</v>
      </c>
      <c r="Y248" s="95">
        <f t="shared" si="122"/>
        <v>5</v>
      </c>
      <c r="Z248" s="276">
        <f>IF(ISNA(VLOOKUP($CZ248,'Audit Values'!$A$2:$BW$317,2,FALSE)),'Preliminary SO66'!AO247,VLOOKUP($CZ248,'Audit Values'!$A$2:$BW$317,60,FALSE))</f>
        <v>399.9</v>
      </c>
      <c r="AA248" s="95">
        <f>Z248/6*'Weighting Factors'!$Q$6</f>
        <v>33.299999999999997</v>
      </c>
      <c r="AB248" s="99">
        <f>IF(ISNA(VLOOKUP($CZ248,'Audit Values'!$A$2:$BU$353,2,FALSE)),'Preliminary SO66'!AS247,VLOOKUP($CZ248,'Audit Values'!$A$2:$BU$353,63,FALSE))</f>
        <v>1944</v>
      </c>
      <c r="AC248" s="99">
        <v>0</v>
      </c>
      <c r="AD248" s="99">
        <f>IF(ISNA(VLOOKUP($CZ248,'Audit Values'!$A$2:$BU$353,2,FALSE)),'Preliminary SO66'!AP247,VLOOKUP($CZ248,'Audit Values'!$A$2:$BU$353,64,FALSE))</f>
        <v>395</v>
      </c>
      <c r="AE248" s="95">
        <f>IF(A248=207, AD248,MAX(AC248,AD248))*'Weighting Factors'!$Q$9</f>
        <v>191.2</v>
      </c>
      <c r="AF248" s="95">
        <f t="shared" si="123"/>
        <v>0</v>
      </c>
      <c r="AG248" s="95">
        <f>IF(ISNA(VLOOKUP($CZ248,'Audit Values'!$A$2:$BW$353,2,FALSE)),'Preliminary SO66'!AG247,VLOOKUP($CZ248,'Audit Values'!$A$2:$BW$353,70,FALSE))</f>
        <v>0</v>
      </c>
      <c r="AH248" s="95">
        <f t="shared" si="124"/>
        <v>0</v>
      </c>
      <c r="AI248" s="95">
        <f>IF(ISNA(VLOOKUP($CZ248,'Audit Values'!$A$2:$BU$353,2,FALSE)),'Preliminary SO66'!AQ247,VLOOKUP($CZ248,'Audit Values'!$A$2:$BU$353,65,FALSE))</f>
        <v>0</v>
      </c>
      <c r="AJ248" s="95">
        <f>AI248*'Weighting Factors'!$Q$10</f>
        <v>0</v>
      </c>
      <c r="AK248" s="95">
        <f>IF(ISNA(VLOOKUP($CZ248,'Audit Values'!$A$2:$BU$353,2,FALSE)),'Preliminary SO66'!AR247,VLOOKUP($CZ248,'Audit Values'!$A$2:$BU$353,66,FALSE))</f>
        <v>695</v>
      </c>
      <c r="AL248" s="95"/>
      <c r="AM248" s="99">
        <f t="shared" si="125"/>
        <v>493450</v>
      </c>
      <c r="AN248" s="99">
        <v>583578</v>
      </c>
      <c r="AO248" s="95">
        <f>MAX(AN248, AM248)/'Weighting Factors'!$Q$5</f>
        <v>140.1</v>
      </c>
      <c r="AP248" s="95">
        <f>CN248/'Weighting Factors'!$Q$5</f>
        <v>0</v>
      </c>
      <c r="AQ248" s="95">
        <v>0</v>
      </c>
      <c r="AR248" s="95">
        <f>CS248/'Weighting Factors'!$Q$5</f>
        <v>0</v>
      </c>
      <c r="AS248" s="99">
        <v>2050880</v>
      </c>
      <c r="AT248" s="95">
        <f>AS248/'Weighting Factors'!$Q$5</f>
        <v>492.4</v>
      </c>
      <c r="AU248" s="95">
        <f>IF(ISNA(VLOOKUP($CZ248,'Audit Values'!$A$2:$BU$353,2,FALSE)),'Preliminary SO66'!X247,VLOOKUP($CZ248,'Audit Values'!$A$2:$BU$353,47,FALSE))</f>
        <v>0</v>
      </c>
      <c r="AV248" s="95">
        <f t="shared" si="126"/>
        <v>2898.8</v>
      </c>
      <c r="AW248" s="95">
        <f t="shared" si="127"/>
        <v>2406.4</v>
      </c>
      <c r="AX248" s="95">
        <f>IF(ISNA(VLOOKUP($CZ248,'Audit Values'!$A$2:$BU$353,2,FALSE)),'Preliminary SO66'!AA247,VLOOKUP($CZ248,'Audit Values'!$A$2:$BU$353,41,FALSE))</f>
        <v>0</v>
      </c>
      <c r="AY248" s="95">
        <f>IF(ISNA(VLOOKUP($CZ248,'Audit Values'!$A$2:$BU$353,2,FALSE)),'Preliminary SO66'!AB247,VLOOKUP($CZ248,'Audit Values'!$A$2:$BU$353,42,FALSE))</f>
        <v>0</v>
      </c>
      <c r="AZ248" s="114">
        <v>0</v>
      </c>
      <c r="BA248" s="99">
        <f>SUM(AX248*'Weighting Factors'!$T$10)+('2019 Legal Max'!AY248*'Weighting Factors'!$T$11)+('2019 Legal Max'!AZ248*'Weighting Factors'!$T$12)</f>
        <v>0</v>
      </c>
      <c r="BB248" s="158">
        <v>0</v>
      </c>
      <c r="BC248" s="88">
        <f>IF(ISNA(VLOOKUP($CZ248,'Audit Values'!$A$2:$BU$353,2,FALSE)),"",IF(AND('Weighting Factors'!H248&gt;0,VLOOKUP($CZ248,'Audit Values'!$A$2:$BU$353,51,FALSE)&lt;'Weighting Factors'!H248),'Weighting Factors'!H248,VLOOKUP($CZ248,'Audit Values'!$A$2:$BU$353,50,FALSE)))</f>
        <v>15</v>
      </c>
      <c r="BD248" s="88" t="str">
        <f>IF(ISNA(VLOOKUP($CZ248,'Audit Values'!$A$2:$BV$353,2,FALSE)),"",VLOOKUP($CZ248,'Audit Values'!$A$2:$BV$353,51,FALSE))</f>
        <v>A</v>
      </c>
      <c r="BE248" s="88" t="str">
        <f>IF('Weighting Factors'!H248="","",IF('Weighting Factors'!J248="Pending","PX","R"))</f>
        <v/>
      </c>
      <c r="BF248" s="97">
        <f>SUM((S248+T248+Y248+AA248+AE248+AH248+AJ248++AO248+AP248+AQ248+AU248+AR248)*'Weighting Factors'!$Q$5)+'2019 Legal Max'!BA248+'2019 Legal Max'!BB248</f>
        <v>10022656</v>
      </c>
      <c r="BG248" s="99">
        <f>SUM((AV248+AR248)*'Weighting Factors'!$Q$5)+BA248+'2019 Legal Max'!BB248</f>
        <v>12073502</v>
      </c>
      <c r="BH248" s="108">
        <f>IF('Weighting Factors'!H248&gt;0,'Weighting Factors'!H248,'Preliminary SO66'!AV247)</f>
        <v>12208865</v>
      </c>
      <c r="BI248" s="99">
        <f t="shared" si="151"/>
        <v>12073502</v>
      </c>
      <c r="BJ248" s="112"/>
      <c r="BK248" s="112">
        <f>'Weighting Factors'!F248</f>
        <v>0</v>
      </c>
      <c r="BL248" s="112">
        <f>'Weighting Factors'!E248</f>
        <v>0</v>
      </c>
      <c r="BM248" s="99">
        <f t="shared" si="128"/>
        <v>0</v>
      </c>
      <c r="BN248" s="99">
        <f t="shared" si="129"/>
        <v>12073502</v>
      </c>
      <c r="BO248" s="99">
        <f>SUM((S248+T248+Y248+AA248+AE248+AH248+AJ248++AO248+AP248+AQ248+AR248)*'Weighting Factors'!Q$12)+(MAX(AS248,'Weighting Factors'!B248))</f>
        <v>12855616</v>
      </c>
      <c r="BP248" s="122">
        <v>0.3</v>
      </c>
      <c r="BQ248" s="99">
        <f t="shared" si="130"/>
        <v>3856685</v>
      </c>
      <c r="BR248" s="108">
        <v>3903337</v>
      </c>
      <c r="BS248" s="99">
        <f t="shared" si="131"/>
        <v>3856685</v>
      </c>
      <c r="BT248" s="167">
        <f t="shared" si="132"/>
        <v>0.3</v>
      </c>
      <c r="BU248" s="95">
        <f t="shared" si="133"/>
        <v>0</v>
      </c>
      <c r="BV248" s="87" t="b">
        <f t="shared" si="134"/>
        <v>0</v>
      </c>
      <c r="BW248" s="117">
        <f t="shared" si="135"/>
        <v>0</v>
      </c>
      <c r="BX248" s="116">
        <f t="shared" si="136"/>
        <v>0</v>
      </c>
      <c r="BY248" s="95">
        <f t="shared" si="137"/>
        <v>0</v>
      </c>
      <c r="BZ248" s="87" t="b">
        <f t="shared" si="138"/>
        <v>0</v>
      </c>
      <c r="CA248" s="87">
        <f t="shared" si="139"/>
        <v>0</v>
      </c>
      <c r="CB248" s="116">
        <f t="shared" si="140"/>
        <v>0</v>
      </c>
      <c r="CC248" s="95">
        <f t="shared" si="141"/>
        <v>0</v>
      </c>
      <c r="CD248" s="95">
        <f t="shared" si="142"/>
        <v>69</v>
      </c>
      <c r="CE248" s="98">
        <v>142</v>
      </c>
      <c r="CF248" s="250">
        <f t="shared" si="143"/>
        <v>4.8940000000000001</v>
      </c>
      <c r="CG248" s="274">
        <f>IF(CF248&lt;0.06,1,IF(CF248&gt;=18.29,52,MATCH(CF248-0.001,'Weighting Factors'!$Y$5:$Y$156)+1))</f>
        <v>44</v>
      </c>
      <c r="CH248" s="243">
        <f>VLOOKUP(CG248, 'Weighting Factors'!$W$5:$Z$56,4)</f>
        <v>710</v>
      </c>
      <c r="CI248" s="118">
        <f>('Weighting Factors'!$Q$5/'Weighting Factors'!$Q$14)</f>
        <v>1</v>
      </c>
      <c r="CJ248" s="245">
        <f t="shared" si="144"/>
        <v>493450</v>
      </c>
      <c r="CK248" s="245">
        <f>CJ248*'Weighting Factors'!$S$7</f>
        <v>493450</v>
      </c>
      <c r="CL248" s="245">
        <f t="shared" si="145"/>
        <v>493450</v>
      </c>
      <c r="CM248" s="95">
        <f>AM248/'Weighting Factors'!$Q$5</f>
        <v>118.5</v>
      </c>
      <c r="CN248" s="148">
        <v>0</v>
      </c>
      <c r="CO248" s="148">
        <v>0</v>
      </c>
      <c r="CP248" s="149">
        <v>0</v>
      </c>
      <c r="CQ248" s="151">
        <v>5.1999999999999998E-3</v>
      </c>
      <c r="CR248" s="99">
        <f>SUM((AV248*'Weighting Factors'!$Q$5)+'2019 Legal Max'!BA248)*CQ248</f>
        <v>62782</v>
      </c>
      <c r="CS248" s="99">
        <f t="shared" si="146"/>
        <v>0</v>
      </c>
      <c r="CT248" s="106">
        <f t="shared" si="147"/>
        <v>0.20319999999999999</v>
      </c>
      <c r="CU248" s="95">
        <f t="shared" si="148"/>
        <v>0</v>
      </c>
      <c r="CV248" s="95">
        <f t="shared" si="149"/>
        <v>0</v>
      </c>
      <c r="CW248" s="95">
        <f t="shared" si="150"/>
        <v>2898.8</v>
      </c>
      <c r="CX248" s="99">
        <f>'LOB Transfers'!G247</f>
        <v>254541</v>
      </c>
      <c r="CY248" s="99">
        <f>'LOB Transfers'!J247</f>
        <v>6556</v>
      </c>
      <c r="CZ248" s="87" t="s">
        <v>440</v>
      </c>
    </row>
    <row r="249" spans="1:104" ht="15" customHeight="1">
      <c r="A249" s="88">
        <v>465</v>
      </c>
      <c r="B249" s="87" t="s">
        <v>102</v>
      </c>
      <c r="C249" s="87" t="s">
        <v>761</v>
      </c>
      <c r="D249" s="95">
        <v>2140.1999999999998</v>
      </c>
      <c r="E249" s="95">
        <v>0</v>
      </c>
      <c r="F249" s="95">
        <f t="shared" si="117"/>
        <v>2140.1999999999998</v>
      </c>
      <c r="G249" s="95">
        <v>2148.6</v>
      </c>
      <c r="H249" s="95">
        <v>0</v>
      </c>
      <c r="I249" s="95">
        <f t="shared" si="118"/>
        <v>2148.6</v>
      </c>
      <c r="J249" s="95">
        <v>2133.5</v>
      </c>
      <c r="K249" s="95">
        <v>0</v>
      </c>
      <c r="L249" s="95">
        <f t="shared" si="119"/>
        <v>2133.5</v>
      </c>
      <c r="M249" s="95">
        <f>IF(ISNA(VLOOKUP($CZ249,'Audit Values'!$A$2:$BW$365,2,FALSE)),'Preliminary SO66'!C248,VLOOKUP($CZ249,'Audit Values'!$A$2:$BW$365,73,FALSE))</f>
        <v>2149.9</v>
      </c>
      <c r="N249" s="95">
        <f>IF(ISNA(VLOOKUP($CZ249,'Audit Values'!$A$2:$BW$365,2,FALSE)),'Preliminary SO66'!F248,VLOOKUP($CZ249,'Audit Values'!$A$2:$BW$365,4,FALSE))</f>
        <v>0</v>
      </c>
      <c r="O249" s="95">
        <f t="shared" si="120"/>
        <v>2149.9</v>
      </c>
      <c r="P249" s="95">
        <f>IF('Military Provision'!J250="YES", MAX('2019 Legal Max'!L249,'2019 Legal Max'!I249,AVERAGE('2019 Legal Max'!F249,'2019 Legal Max'!I249,'2019 Legal Max'!L249)), MAX(L249, I249))</f>
        <v>2148.6</v>
      </c>
      <c r="Q249" s="95">
        <f>IF(ISNA(VLOOKUP($CZ249,'Audit Values'!$A$2:$BU$353,2,FALSE)),'Preliminary SO66'!AL248,VLOOKUP($CZ249,'Audit Values'!$A$2:$BU$3955,58,FALSE))</f>
        <v>32</v>
      </c>
      <c r="R249" s="95">
        <v>0</v>
      </c>
      <c r="S249" s="95">
        <f t="shared" si="153"/>
        <v>2180.6</v>
      </c>
      <c r="T249" s="95">
        <f t="shared" si="121"/>
        <v>76.400000000000006</v>
      </c>
      <c r="U249" s="95">
        <f>IF(ISNA(VLOOKUP($CZ249,'Audit Values'!$A$2:$BW$317,2,FALSE)),'Preliminary SO66'!AM248,VLOOKUP($CZ249,'Audit Values'!$A$2:$BW$317,62,FALSE))</f>
        <v>138.6</v>
      </c>
      <c r="V249" s="95">
        <f>(U249/6)*'Weighting Factors'!$Q$7</f>
        <v>9.1</v>
      </c>
      <c r="W249" s="132">
        <f>IF(ISNA(VLOOKUP($CZ249,'Audit Values'!$A$2:$BW$353,2,FALSE)),'Preliminary SO66'!AN248,VLOOKUP($CZ249,'Audit Values'!$A$2:$BW$353,61,FALSE))</f>
        <v>90</v>
      </c>
      <c r="X249" s="95">
        <f>W249*'Weighting Factors'!$Q$8</f>
        <v>16.7</v>
      </c>
      <c r="Y249" s="95">
        <f t="shared" si="122"/>
        <v>16.7</v>
      </c>
      <c r="Z249" s="276">
        <f>IF(ISNA(VLOOKUP($CZ249,'Audit Values'!$A$2:$BW$317,2,FALSE)),'Preliminary SO66'!AO248,VLOOKUP($CZ249,'Audit Values'!$A$2:$BW$317,60,FALSE))</f>
        <v>574.9</v>
      </c>
      <c r="AA249" s="95">
        <f>Z249/6*'Weighting Factors'!$Q$6</f>
        <v>47.9</v>
      </c>
      <c r="AB249" s="99">
        <f>IF(ISNA(VLOOKUP($CZ249,'Audit Values'!$A$2:$BU$353,2,FALSE)),'Preliminary SO66'!AS248,VLOOKUP($CZ249,'Audit Values'!$A$2:$BU$353,63,FALSE))</f>
        <v>2268</v>
      </c>
      <c r="AC249" s="99">
        <v>0</v>
      </c>
      <c r="AD249" s="99">
        <f>IF(ISNA(VLOOKUP($CZ249,'Audit Values'!$A$2:$BU$353,2,FALSE)),'Preliminary SO66'!AP248,VLOOKUP($CZ249,'Audit Values'!$A$2:$BU$353,64,FALSE))</f>
        <v>972</v>
      </c>
      <c r="AE249" s="95">
        <f>IF(A249=207, AD249,MAX(AC249,AD249))*'Weighting Factors'!$Q$9</f>
        <v>470.4</v>
      </c>
      <c r="AF249" s="95">
        <f t="shared" si="123"/>
        <v>53.5</v>
      </c>
      <c r="AG249" s="95">
        <f>IF(ISNA(VLOOKUP($CZ249,'Audit Values'!$A$2:$BW$353,2,FALSE)),'Preliminary SO66'!AG248,VLOOKUP($CZ249,'Audit Values'!$A$2:$BW$353,70,FALSE))</f>
        <v>45.3</v>
      </c>
      <c r="AH249" s="95">
        <f t="shared" si="124"/>
        <v>53.5</v>
      </c>
      <c r="AI249" s="95">
        <f>IF(ISNA(VLOOKUP($CZ249,'Audit Values'!$A$2:$BU$353,2,FALSE)),'Preliminary SO66'!AQ248,VLOOKUP($CZ249,'Audit Values'!$A$2:$BU$353,65,FALSE))</f>
        <v>0</v>
      </c>
      <c r="AJ249" s="95">
        <f>AI249*'Weighting Factors'!$Q$10</f>
        <v>0</v>
      </c>
      <c r="AK249" s="95">
        <f>IF(ISNA(VLOOKUP($CZ249,'Audit Values'!$A$2:$BU$353,2,FALSE)),'Preliminary SO66'!AR248,VLOOKUP($CZ249,'Audit Values'!$A$2:$BU$353,66,FALSE))</f>
        <v>533</v>
      </c>
      <c r="AL249" s="95"/>
      <c r="AM249" s="99">
        <f t="shared" si="125"/>
        <v>453050</v>
      </c>
      <c r="AN249" s="99">
        <v>521176</v>
      </c>
      <c r="AO249" s="95">
        <f>MAX(AN249, AM249)/'Weighting Factors'!$Q$5</f>
        <v>125.1</v>
      </c>
      <c r="AP249" s="95">
        <f>CN249/'Weighting Factors'!$Q$5</f>
        <v>0</v>
      </c>
      <c r="AQ249" s="95">
        <v>0</v>
      </c>
      <c r="AR249" s="95">
        <f>CS249/'Weighting Factors'!$Q$5</f>
        <v>0</v>
      </c>
      <c r="AS249" s="99">
        <v>2550528</v>
      </c>
      <c r="AT249" s="95">
        <f>AS249/'Weighting Factors'!$Q$5</f>
        <v>612.4</v>
      </c>
      <c r="AU249" s="95">
        <f>IF(ISNA(VLOOKUP($CZ249,'Audit Values'!$A$2:$BU$353,2,FALSE)),'Preliminary SO66'!X248,VLOOKUP($CZ249,'Audit Values'!$A$2:$BU$353,47,FALSE))</f>
        <v>0</v>
      </c>
      <c r="AV249" s="95">
        <f t="shared" si="126"/>
        <v>3583</v>
      </c>
      <c r="AW249" s="95">
        <f t="shared" si="127"/>
        <v>2970.6</v>
      </c>
      <c r="AX249" s="95">
        <f>IF(ISNA(VLOOKUP($CZ249,'Audit Values'!$A$2:$BU$353,2,FALSE)),'Preliminary SO66'!AA248,VLOOKUP($CZ249,'Audit Values'!$A$2:$BU$353,41,FALSE))</f>
        <v>0</v>
      </c>
      <c r="AY249" s="95">
        <f>IF(ISNA(VLOOKUP($CZ249,'Audit Values'!$A$2:$BU$353,2,FALSE)),'Preliminary SO66'!AB248,VLOOKUP($CZ249,'Audit Values'!$A$2:$BU$353,42,FALSE))</f>
        <v>0</v>
      </c>
      <c r="AZ249" s="114">
        <v>0</v>
      </c>
      <c r="BA249" s="99">
        <f>SUM(AX249*'Weighting Factors'!$T$10)+('2019 Legal Max'!AY249*'Weighting Factors'!$T$11)+('2019 Legal Max'!AZ249*'Weighting Factors'!$T$12)</f>
        <v>0</v>
      </c>
      <c r="BB249" s="158">
        <v>0</v>
      </c>
      <c r="BC249" s="88">
        <f>IF(ISNA(VLOOKUP($CZ249,'Audit Values'!$A$2:$BU$353,2,FALSE)),"",IF(AND('Weighting Factors'!H249&gt;0,VLOOKUP($CZ249,'Audit Values'!$A$2:$BU$353,51,FALSE)&lt;'Weighting Factors'!H249),'Weighting Factors'!H249,VLOOKUP($CZ249,'Audit Values'!$A$2:$BU$353,50,FALSE)))</f>
        <v>14</v>
      </c>
      <c r="BD249" s="88" t="str">
        <f>IF(ISNA(VLOOKUP($CZ249,'Audit Values'!$A$2:$BV$353,2,FALSE)),"",VLOOKUP($CZ249,'Audit Values'!$A$2:$BV$353,51,FALSE))</f>
        <v>A</v>
      </c>
      <c r="BE249" s="88" t="str">
        <f>IF('Weighting Factors'!H249="","",IF('Weighting Factors'!J249="Pending","PX","R"))</f>
        <v>R</v>
      </c>
      <c r="BF249" s="97">
        <f>SUM((S249+T249+Y249+AA249+AE249+AH249+AJ249++AO249+AP249+AQ249+AU249+AR249)*'Weighting Factors'!$Q$5)+'2019 Legal Max'!BA249+'2019 Legal Max'!BB249</f>
        <v>12372549</v>
      </c>
      <c r="BG249" s="99">
        <f>SUM((AV249+AR249)*'Weighting Factors'!$Q$5)+BA249+'2019 Legal Max'!BB249</f>
        <v>14923195</v>
      </c>
      <c r="BH249" s="108">
        <f>IF('Weighting Factors'!H249&gt;0,'Weighting Factors'!H249,'Preliminary SO66'!AV248)</f>
        <v>15153936</v>
      </c>
      <c r="BI249" s="99">
        <f t="shared" si="151"/>
        <v>14923195</v>
      </c>
      <c r="BJ249" s="112"/>
      <c r="BK249" s="112">
        <f>'Weighting Factors'!F249</f>
        <v>-115054</v>
      </c>
      <c r="BL249" s="112">
        <f>'Weighting Factors'!E249</f>
        <v>0</v>
      </c>
      <c r="BM249" s="99">
        <f t="shared" si="128"/>
        <v>-115054</v>
      </c>
      <c r="BN249" s="99">
        <f t="shared" si="129"/>
        <v>14808141</v>
      </c>
      <c r="BO249" s="99">
        <f>SUM((S249+T249+Y249+AA249+AE249+AH249+AJ249++AO249+AP249+AQ249+AR249)*'Weighting Factors'!Q$12)+(MAX(AS249,'Weighting Factors'!B249))</f>
        <v>15888522</v>
      </c>
      <c r="BP249" s="122">
        <v>0.33</v>
      </c>
      <c r="BQ249" s="99">
        <f t="shared" si="130"/>
        <v>5243212</v>
      </c>
      <c r="BR249" s="108">
        <v>5275439</v>
      </c>
      <c r="BS249" s="99">
        <f t="shared" si="131"/>
        <v>5243212</v>
      </c>
      <c r="BT249" s="167">
        <f t="shared" si="132"/>
        <v>0.33</v>
      </c>
      <c r="BU249" s="95">
        <f t="shared" si="133"/>
        <v>0</v>
      </c>
      <c r="BV249" s="87" t="b">
        <f t="shared" si="134"/>
        <v>0</v>
      </c>
      <c r="BW249" s="117">
        <f t="shared" si="135"/>
        <v>0</v>
      </c>
      <c r="BX249" s="116">
        <f t="shared" si="136"/>
        <v>0</v>
      </c>
      <c r="BY249" s="95">
        <f t="shared" si="137"/>
        <v>0</v>
      </c>
      <c r="BZ249" s="87" t="b">
        <f t="shared" si="138"/>
        <v>0</v>
      </c>
      <c r="CA249" s="87">
        <f t="shared" si="139"/>
        <v>0</v>
      </c>
      <c r="CB249" s="116">
        <f t="shared" si="140"/>
        <v>0</v>
      </c>
      <c r="CC249" s="95">
        <f t="shared" si="141"/>
        <v>0</v>
      </c>
      <c r="CD249" s="95">
        <f t="shared" si="142"/>
        <v>76.400000000000006</v>
      </c>
      <c r="CE249" s="98">
        <v>262</v>
      </c>
      <c r="CF249" s="250">
        <f t="shared" si="143"/>
        <v>2.0339999999999998</v>
      </c>
      <c r="CG249" s="274">
        <f>IF(CF249&lt;0.06,1,IF(CF249&gt;=18.29,52,MATCH(CF249-0.001,'Weighting Factors'!$Y$5:$Y$156)+1))</f>
        <v>37</v>
      </c>
      <c r="CH249" s="243">
        <f>VLOOKUP(CG249, 'Weighting Factors'!$W$5:$Z$56,4)</f>
        <v>850</v>
      </c>
      <c r="CI249" s="118">
        <f>('Weighting Factors'!$Q$5/'Weighting Factors'!$Q$14)</f>
        <v>1</v>
      </c>
      <c r="CJ249" s="245">
        <f t="shared" si="144"/>
        <v>453050</v>
      </c>
      <c r="CK249" s="245">
        <f>CJ249*'Weighting Factors'!$S$7</f>
        <v>453050</v>
      </c>
      <c r="CL249" s="245">
        <f t="shared" si="145"/>
        <v>453050</v>
      </c>
      <c r="CM249" s="95">
        <f>AM249/'Weighting Factors'!$Q$5</f>
        <v>108.8</v>
      </c>
      <c r="CN249" s="148">
        <v>0</v>
      </c>
      <c r="CO249" s="148">
        <v>0</v>
      </c>
      <c r="CP249" s="149">
        <v>0</v>
      </c>
      <c r="CQ249" s="151">
        <v>0</v>
      </c>
      <c r="CR249" s="99">
        <f>SUM((AV249*'Weighting Factors'!$Q$5)+'2019 Legal Max'!BA249)*CQ249</f>
        <v>0</v>
      </c>
      <c r="CS249" s="99">
        <f t="shared" si="146"/>
        <v>0</v>
      </c>
      <c r="CT249" s="106">
        <f t="shared" si="147"/>
        <v>0.42859999999999998</v>
      </c>
      <c r="CU249" s="95">
        <f t="shared" si="148"/>
        <v>0</v>
      </c>
      <c r="CV249" s="95">
        <f t="shared" si="149"/>
        <v>53.5</v>
      </c>
      <c r="CW249" s="95">
        <f t="shared" si="150"/>
        <v>3583</v>
      </c>
      <c r="CX249" s="99">
        <f>'LOB Transfers'!G248</f>
        <v>694726</v>
      </c>
      <c r="CY249" s="99">
        <f>'LOB Transfers'!J248</f>
        <v>24643</v>
      </c>
      <c r="CZ249" s="87" t="s">
        <v>441</v>
      </c>
    </row>
    <row r="250" spans="1:104" ht="15" customHeight="1">
      <c r="A250" s="88">
        <v>466</v>
      </c>
      <c r="B250" s="87" t="s">
        <v>103</v>
      </c>
      <c r="C250" s="87" t="s">
        <v>762</v>
      </c>
      <c r="D250" s="95">
        <v>909</v>
      </c>
      <c r="E250" s="95">
        <v>0</v>
      </c>
      <c r="F250" s="95">
        <f t="shared" si="117"/>
        <v>909</v>
      </c>
      <c r="G250" s="95">
        <v>977.5</v>
      </c>
      <c r="H250" s="95">
        <v>0</v>
      </c>
      <c r="I250" s="95">
        <f t="shared" si="118"/>
        <v>977.5</v>
      </c>
      <c r="J250" s="95">
        <v>961.5</v>
      </c>
      <c r="K250" s="95">
        <v>0</v>
      </c>
      <c r="L250" s="95">
        <f t="shared" si="119"/>
        <v>961.5</v>
      </c>
      <c r="M250" s="95">
        <f>IF(ISNA(VLOOKUP($CZ250,'Audit Values'!$A$2:$BW$365,2,FALSE)),'Preliminary SO66'!C249,VLOOKUP($CZ250,'Audit Values'!$A$2:$BW$365,73,FALSE))</f>
        <v>970.5</v>
      </c>
      <c r="N250" s="95">
        <f>IF(ISNA(VLOOKUP($CZ250,'Audit Values'!$A$2:$BW$365,2,FALSE)),'Preliminary SO66'!F249,VLOOKUP($CZ250,'Audit Values'!$A$2:$BW$365,4,FALSE))</f>
        <v>0</v>
      </c>
      <c r="O250" s="95">
        <f t="shared" si="120"/>
        <v>970.5</v>
      </c>
      <c r="P250" s="95">
        <f>IF('Military Provision'!J251="YES", MAX('2019 Legal Max'!L250,'2019 Legal Max'!I250,AVERAGE('2019 Legal Max'!F250,'2019 Legal Max'!I250,'2019 Legal Max'!L250)), MAX(L250, I250))</f>
        <v>977.5</v>
      </c>
      <c r="Q250" s="95">
        <f>IF(ISNA(VLOOKUP($CZ250,'Audit Values'!$A$2:$BU$353,2,FALSE)),'Preliminary SO66'!AL249,VLOOKUP($CZ250,'Audit Values'!$A$2:$BU$3955,58,FALSE))</f>
        <v>10.5</v>
      </c>
      <c r="R250" s="95">
        <v>0</v>
      </c>
      <c r="S250" s="95">
        <f t="shared" si="153"/>
        <v>988</v>
      </c>
      <c r="T250" s="95">
        <f t="shared" si="121"/>
        <v>247.4</v>
      </c>
      <c r="U250" s="95">
        <f>IF(ISNA(VLOOKUP($CZ250,'Audit Values'!$A$2:$BW$317,2,FALSE)),'Preliminary SO66'!AM249,VLOOKUP($CZ250,'Audit Values'!$A$2:$BW$317,62,FALSE))</f>
        <v>518.1</v>
      </c>
      <c r="V250" s="95">
        <f>(U250/6)*'Weighting Factors'!$Q$7</f>
        <v>34.1</v>
      </c>
      <c r="W250" s="132">
        <f>IF(ISNA(VLOOKUP($CZ250,'Audit Values'!$A$2:$BW$353,2,FALSE)),'Preliminary SO66'!AN249,VLOOKUP($CZ250,'Audit Values'!$A$2:$BW$353,61,FALSE))</f>
        <v>207</v>
      </c>
      <c r="X250" s="95">
        <f>W250*'Weighting Factors'!$Q$8</f>
        <v>38.299999999999997</v>
      </c>
      <c r="Y250" s="95">
        <f t="shared" si="122"/>
        <v>38.299999999999997</v>
      </c>
      <c r="Z250" s="276">
        <f>IF(ISNA(VLOOKUP($CZ250,'Audit Values'!$A$2:$BW$317,2,FALSE)),'Preliminary SO66'!AO249,VLOOKUP($CZ250,'Audit Values'!$A$2:$BW$317,60,FALSE))</f>
        <v>160.19999999999999</v>
      </c>
      <c r="AA250" s="95">
        <f>Z250/6*'Weighting Factors'!$Q$6</f>
        <v>13.4</v>
      </c>
      <c r="AB250" s="99">
        <f>IF(ISNA(VLOOKUP($CZ250,'Audit Values'!$A$2:$BU$353,2,FALSE)),'Preliminary SO66'!AS249,VLOOKUP($CZ250,'Audit Values'!$A$2:$BU$353,63,FALSE))</f>
        <v>999</v>
      </c>
      <c r="AC250" s="99">
        <v>0</v>
      </c>
      <c r="AD250" s="99">
        <f>IF(ISNA(VLOOKUP($CZ250,'Audit Values'!$A$2:$BU$353,2,FALSE)),'Preliminary SO66'!AP249,VLOOKUP($CZ250,'Audit Values'!$A$2:$BU$353,64,FALSE))</f>
        <v>364</v>
      </c>
      <c r="AE250" s="95">
        <f>IF(A250=207, AD250,MAX(AC250,AD250))*'Weighting Factors'!$Q$9</f>
        <v>176.2</v>
      </c>
      <c r="AF250" s="95">
        <f t="shared" si="123"/>
        <v>3.7</v>
      </c>
      <c r="AG250" s="95">
        <f>IF(ISNA(VLOOKUP($CZ250,'Audit Values'!$A$2:$BW$353,2,FALSE)),'Preliminary SO66'!AG249,VLOOKUP($CZ250,'Audit Values'!$A$2:$BW$353,70,FALSE))</f>
        <v>8.9</v>
      </c>
      <c r="AH250" s="95">
        <f t="shared" si="124"/>
        <v>8.9</v>
      </c>
      <c r="AI250" s="95">
        <f>IF(ISNA(VLOOKUP($CZ250,'Audit Values'!$A$2:$BU$353,2,FALSE)),'Preliminary SO66'!AQ249,VLOOKUP($CZ250,'Audit Values'!$A$2:$BU$353,65,FALSE))</f>
        <v>0</v>
      </c>
      <c r="AJ250" s="95">
        <f>AI250*'Weighting Factors'!$Q$10</f>
        <v>0</v>
      </c>
      <c r="AK250" s="95">
        <f>IF(ISNA(VLOOKUP($CZ250,'Audit Values'!$A$2:$BU$353,2,FALSE)),'Preliminary SO66'!AR249,VLOOKUP($CZ250,'Audit Values'!$A$2:$BU$353,66,FALSE))</f>
        <v>125</v>
      </c>
      <c r="AL250" s="95"/>
      <c r="AM250" s="99">
        <f t="shared" si="125"/>
        <v>167500</v>
      </c>
      <c r="AN250" s="99">
        <v>224572</v>
      </c>
      <c r="AO250" s="95">
        <f>MAX(AN250, AM250)/'Weighting Factors'!$Q$5</f>
        <v>53.9</v>
      </c>
      <c r="AP250" s="95">
        <f>CN250/'Weighting Factors'!$Q$5</f>
        <v>0</v>
      </c>
      <c r="AQ250" s="95">
        <v>0</v>
      </c>
      <c r="AR250" s="95">
        <f>CS250/'Weighting Factors'!$Q$5</f>
        <v>0</v>
      </c>
      <c r="AS250" s="99">
        <v>575173</v>
      </c>
      <c r="AT250" s="95">
        <f>AS250/'Weighting Factors'!$Q$5</f>
        <v>138.1</v>
      </c>
      <c r="AU250" s="95">
        <f>IF(ISNA(VLOOKUP($CZ250,'Audit Values'!$A$2:$BU$353,2,FALSE)),'Preliminary SO66'!X249,VLOOKUP($CZ250,'Audit Values'!$A$2:$BU$353,47,FALSE))</f>
        <v>0</v>
      </c>
      <c r="AV250" s="95">
        <f t="shared" si="126"/>
        <v>1664.2</v>
      </c>
      <c r="AW250" s="95">
        <f t="shared" si="127"/>
        <v>1526.1</v>
      </c>
      <c r="AX250" s="95">
        <f>IF(ISNA(VLOOKUP($CZ250,'Audit Values'!$A$2:$BU$353,2,FALSE)),'Preliminary SO66'!AA249,VLOOKUP($CZ250,'Audit Values'!$A$2:$BU$353,41,FALSE))</f>
        <v>3</v>
      </c>
      <c r="AY250" s="95">
        <f>IF(ISNA(VLOOKUP($CZ250,'Audit Values'!$A$2:$BU$353,2,FALSE)),'Preliminary SO66'!AB249,VLOOKUP($CZ250,'Audit Values'!$A$2:$BU$353,42,FALSE))</f>
        <v>0</v>
      </c>
      <c r="AZ250" s="114">
        <v>20</v>
      </c>
      <c r="BA250" s="99">
        <f>SUM(AX250*'Weighting Factors'!$T$10)+('2019 Legal Max'!AY250*'Weighting Factors'!$T$11)+('2019 Legal Max'!AZ250*'Weighting Factors'!$T$12)</f>
        <v>29180</v>
      </c>
      <c r="BB250" s="158">
        <v>0</v>
      </c>
      <c r="BC250" s="88">
        <f>IF(ISNA(VLOOKUP($CZ250,'Audit Values'!$A$2:$BU$353,2,FALSE)),"",IF(AND('Weighting Factors'!H250&gt;0,VLOOKUP($CZ250,'Audit Values'!$A$2:$BU$353,51,FALSE)&lt;'Weighting Factors'!H250),'Weighting Factors'!H250,VLOOKUP($CZ250,'Audit Values'!$A$2:$BU$353,50,FALSE)))</f>
        <v>15</v>
      </c>
      <c r="BD250" s="88" t="str">
        <f>IF(ISNA(VLOOKUP($CZ250,'Audit Values'!$A$2:$BV$353,2,FALSE)),"",VLOOKUP($CZ250,'Audit Values'!$A$2:$BV$353,51,FALSE))</f>
        <v>A</v>
      </c>
      <c r="BE250" s="88" t="str">
        <f>IF('Weighting Factors'!H250="","",IF('Weighting Factors'!J250="Pending","PX","R"))</f>
        <v/>
      </c>
      <c r="BF250" s="97">
        <f>SUM((S250+T250+Y250+AA250+AE250+AH250+AJ250++AO250+AP250+AQ250+AU250+AR250)*'Weighting Factors'!$Q$5)+'2019 Legal Max'!BA250+'2019 Legal Max'!BB250</f>
        <v>6385387</v>
      </c>
      <c r="BG250" s="99">
        <f>SUM((AV250+AR250)*'Weighting Factors'!$Q$5)+BA250+'2019 Legal Max'!BB250</f>
        <v>6960573</v>
      </c>
      <c r="BH250" s="108">
        <f>IF('Weighting Factors'!H250&gt;0,'Weighting Factors'!H250,'Preliminary SO66'!AV249)</f>
        <v>7122451</v>
      </c>
      <c r="BI250" s="99">
        <f t="shared" si="151"/>
        <v>6960573</v>
      </c>
      <c r="BJ250" s="112"/>
      <c r="BK250" s="112">
        <f>'Weighting Factors'!F250</f>
        <v>0</v>
      </c>
      <c r="BL250" s="112">
        <f>'Weighting Factors'!E250</f>
        <v>0</v>
      </c>
      <c r="BM250" s="99">
        <f t="shared" si="128"/>
        <v>0</v>
      </c>
      <c r="BN250" s="99">
        <f t="shared" si="129"/>
        <v>6960573</v>
      </c>
      <c r="BO250" s="99">
        <f>SUM((S250+T250+Y250+AA250+AE250+AH250+AJ250++AO250+AP250+AQ250+AR250)*'Weighting Factors'!Q$12)+(MAX(AS250,'Weighting Factors'!B250))</f>
        <v>7427362</v>
      </c>
      <c r="BP250" s="122">
        <v>0.3</v>
      </c>
      <c r="BQ250" s="99">
        <f t="shared" si="130"/>
        <v>2228209</v>
      </c>
      <c r="BR250" s="108">
        <v>2275676</v>
      </c>
      <c r="BS250" s="99">
        <f t="shared" si="131"/>
        <v>2228209</v>
      </c>
      <c r="BT250" s="167">
        <f t="shared" si="132"/>
        <v>0.3</v>
      </c>
      <c r="BU250" s="95">
        <f t="shared" si="133"/>
        <v>0</v>
      </c>
      <c r="BV250" s="87" t="b">
        <f t="shared" si="134"/>
        <v>0</v>
      </c>
      <c r="BW250" s="117">
        <f t="shared" si="135"/>
        <v>0</v>
      </c>
      <c r="BX250" s="116">
        <f t="shared" si="136"/>
        <v>0</v>
      </c>
      <c r="BY250" s="95">
        <f t="shared" si="137"/>
        <v>0</v>
      </c>
      <c r="BZ250" s="87" t="b">
        <f t="shared" si="138"/>
        <v>1</v>
      </c>
      <c r="CA250" s="87">
        <f t="shared" si="139"/>
        <v>851.4</v>
      </c>
      <c r="CB250" s="116">
        <f t="shared" si="140"/>
        <v>0.25043900000000002</v>
      </c>
      <c r="CC250" s="95">
        <f t="shared" si="141"/>
        <v>247.4</v>
      </c>
      <c r="CD250" s="95">
        <f t="shared" si="142"/>
        <v>0</v>
      </c>
      <c r="CE250" s="98">
        <v>756</v>
      </c>
      <c r="CF250" s="250">
        <f t="shared" si="143"/>
        <v>0.16500000000000001</v>
      </c>
      <c r="CG250" s="274">
        <f>IF(CF250&lt;0.06,1,IF(CF250&gt;=18.29,52,MATCH(CF250-0.001,'Weighting Factors'!$Y$5:$Y$156)+1))</f>
        <v>12</v>
      </c>
      <c r="CH250" s="243">
        <f>VLOOKUP(CG250, 'Weighting Factors'!$W$5:$Z$56,4)</f>
        <v>1340</v>
      </c>
      <c r="CI250" s="118">
        <f>('Weighting Factors'!$Q$5/'Weighting Factors'!$Q$14)</f>
        <v>1</v>
      </c>
      <c r="CJ250" s="245">
        <f t="shared" si="144"/>
        <v>167500</v>
      </c>
      <c r="CK250" s="245">
        <f>CJ250*'Weighting Factors'!$S$7</f>
        <v>167500</v>
      </c>
      <c r="CL250" s="245">
        <f t="shared" si="145"/>
        <v>167500</v>
      </c>
      <c r="CM250" s="95">
        <f>AM250/'Weighting Factors'!$Q$5</f>
        <v>40.200000000000003</v>
      </c>
      <c r="CN250" s="148">
        <v>0</v>
      </c>
      <c r="CO250" s="148">
        <v>0</v>
      </c>
      <c r="CP250" s="149">
        <v>0</v>
      </c>
      <c r="CQ250" s="151">
        <v>0</v>
      </c>
      <c r="CR250" s="99">
        <f>SUM((AV250*'Weighting Factors'!$Q$5)+'2019 Legal Max'!BA250)*CQ250</f>
        <v>0</v>
      </c>
      <c r="CS250" s="99">
        <f t="shared" si="146"/>
        <v>0</v>
      </c>
      <c r="CT250" s="106">
        <f t="shared" si="147"/>
        <v>0.3644</v>
      </c>
      <c r="CU250" s="95">
        <f t="shared" si="148"/>
        <v>0</v>
      </c>
      <c r="CV250" s="95">
        <f t="shared" si="149"/>
        <v>3.7</v>
      </c>
      <c r="CW250" s="95">
        <f t="shared" si="150"/>
        <v>1664.2</v>
      </c>
      <c r="CX250" s="99">
        <f>'LOB Transfers'!G249</f>
        <v>237304</v>
      </c>
      <c r="CY250" s="99">
        <f>'LOB Transfers'!J249</f>
        <v>51694</v>
      </c>
      <c r="CZ250" s="87" t="s">
        <v>442</v>
      </c>
    </row>
    <row r="251" spans="1:104" ht="15" customHeight="1">
      <c r="A251" s="88">
        <v>467</v>
      </c>
      <c r="B251" s="87" t="s">
        <v>34</v>
      </c>
      <c r="C251" s="87" t="s">
        <v>763</v>
      </c>
      <c r="D251" s="95">
        <v>382</v>
      </c>
      <c r="E251" s="95">
        <v>0</v>
      </c>
      <c r="F251" s="95">
        <f t="shared" si="117"/>
        <v>382</v>
      </c>
      <c r="G251" s="95">
        <v>385.5</v>
      </c>
      <c r="H251" s="95">
        <v>0</v>
      </c>
      <c r="I251" s="95">
        <f t="shared" si="118"/>
        <v>385.5</v>
      </c>
      <c r="J251" s="95">
        <v>387.5</v>
      </c>
      <c r="K251" s="95">
        <v>0</v>
      </c>
      <c r="L251" s="95">
        <f t="shared" si="119"/>
        <v>387.5</v>
      </c>
      <c r="M251" s="95">
        <f>IF(ISNA(VLOOKUP($CZ251,'Audit Values'!$A$2:$BW$365,2,FALSE)),'Preliminary SO66'!C250,VLOOKUP($CZ251,'Audit Values'!$A$2:$BW$365,73,FALSE))</f>
        <v>385.6</v>
      </c>
      <c r="N251" s="95">
        <f>IF(ISNA(VLOOKUP($CZ251,'Audit Values'!$A$2:$BW$365,2,FALSE)),'Preliminary SO66'!F250,VLOOKUP($CZ251,'Audit Values'!$A$2:$BW$365,4,FALSE))</f>
        <v>0</v>
      </c>
      <c r="O251" s="95">
        <f t="shared" si="120"/>
        <v>385.6</v>
      </c>
      <c r="P251" s="95">
        <f>IF('Military Provision'!J252="YES", MAX('2019 Legal Max'!L251,'2019 Legal Max'!I251,AVERAGE('2019 Legal Max'!F251,'2019 Legal Max'!I251,'2019 Legal Max'!L251)), MAX(L251, I251))</f>
        <v>387.5</v>
      </c>
      <c r="Q251" s="95">
        <f>IF(ISNA(VLOOKUP($CZ251,'Audit Values'!$A$2:$BU$353,2,FALSE)),'Preliminary SO66'!AL250,VLOOKUP($CZ251,'Audit Values'!$A$2:$BU$3955,58,FALSE))</f>
        <v>6</v>
      </c>
      <c r="R251" s="95">
        <v>0</v>
      </c>
      <c r="S251" s="95">
        <f t="shared" si="153"/>
        <v>393.5</v>
      </c>
      <c r="T251" s="95">
        <f t="shared" si="121"/>
        <v>178</v>
      </c>
      <c r="U251" s="95">
        <f>IF(ISNA(VLOOKUP($CZ251,'Audit Values'!$A$2:$BW$317,2,FALSE)),'Preliminary SO66'!AM250,VLOOKUP($CZ251,'Audit Values'!$A$2:$BW$317,62,FALSE))</f>
        <v>411.4</v>
      </c>
      <c r="V251" s="95">
        <f>(U251/6)*'Weighting Factors'!$Q$7</f>
        <v>27.1</v>
      </c>
      <c r="W251" s="132">
        <f>IF(ISNA(VLOOKUP($CZ251,'Audit Values'!$A$2:$BW$353,2,FALSE)),'Preliminary SO66'!AN250,VLOOKUP($CZ251,'Audit Values'!$A$2:$BW$353,61,FALSE))</f>
        <v>94</v>
      </c>
      <c r="X251" s="95">
        <f>W251*'Weighting Factors'!$Q$8</f>
        <v>17.399999999999999</v>
      </c>
      <c r="Y251" s="95">
        <f t="shared" si="122"/>
        <v>27.1</v>
      </c>
      <c r="Z251" s="276">
        <f>IF(ISNA(VLOOKUP($CZ251,'Audit Values'!$A$2:$BW$317,2,FALSE)),'Preliminary SO66'!AO250,VLOOKUP($CZ251,'Audit Values'!$A$2:$BW$317,60,FALSE))</f>
        <v>97.2</v>
      </c>
      <c r="AA251" s="95">
        <f>Z251/6*'Weighting Factors'!$Q$6</f>
        <v>8.1</v>
      </c>
      <c r="AB251" s="99">
        <f>IF(ISNA(VLOOKUP($CZ251,'Audit Values'!$A$2:$BU$353,2,FALSE)),'Preliminary SO66'!AS250,VLOOKUP($CZ251,'Audit Values'!$A$2:$BU$353,63,FALSE))</f>
        <v>402</v>
      </c>
      <c r="AC251" s="99">
        <v>0</v>
      </c>
      <c r="AD251" s="99">
        <f>IF(ISNA(VLOOKUP($CZ251,'Audit Values'!$A$2:$BU$353,2,FALSE)),'Preliminary SO66'!AP250,VLOOKUP($CZ251,'Audit Values'!$A$2:$BU$353,64,FALSE))</f>
        <v>146</v>
      </c>
      <c r="AE251" s="95">
        <f>IF(A251=207, AD251,MAX(AC251,AD251))*'Weighting Factors'!$Q$9</f>
        <v>70.7</v>
      </c>
      <c r="AF251" s="95">
        <f t="shared" si="123"/>
        <v>1.3</v>
      </c>
      <c r="AG251" s="95">
        <f>IF(ISNA(VLOOKUP($CZ251,'Audit Values'!$A$2:$BW$353,2,FALSE)),'Preliminary SO66'!AG250,VLOOKUP($CZ251,'Audit Values'!$A$2:$BW$353,70,FALSE))</f>
        <v>2.7</v>
      </c>
      <c r="AH251" s="95">
        <f t="shared" si="124"/>
        <v>2.7</v>
      </c>
      <c r="AI251" s="95">
        <f>IF(ISNA(VLOOKUP($CZ251,'Audit Values'!$A$2:$BU$353,2,FALSE)),'Preliminary SO66'!AQ250,VLOOKUP($CZ251,'Audit Values'!$A$2:$BU$353,65,FALSE))</f>
        <v>0</v>
      </c>
      <c r="AJ251" s="95">
        <f>AI251*'Weighting Factors'!$Q$10</f>
        <v>0</v>
      </c>
      <c r="AK251" s="95">
        <f>IF(ISNA(VLOOKUP($CZ251,'Audit Values'!$A$2:$BU$353,2,FALSE)),'Preliminary SO66'!AR250,VLOOKUP($CZ251,'Audit Values'!$A$2:$BU$353,66,FALSE))</f>
        <v>77</v>
      </c>
      <c r="AL251" s="95"/>
      <c r="AM251" s="99">
        <f t="shared" si="125"/>
        <v>113960</v>
      </c>
      <c r="AN251" s="99">
        <v>142524</v>
      </c>
      <c r="AO251" s="95">
        <f>MAX(AN251, AM251)/'Weighting Factors'!$Q$5</f>
        <v>34.200000000000003</v>
      </c>
      <c r="AP251" s="95">
        <f>CN251/'Weighting Factors'!$Q$5</f>
        <v>0</v>
      </c>
      <c r="AQ251" s="95">
        <v>0</v>
      </c>
      <c r="AR251" s="95">
        <f>CS251/'Weighting Factors'!$Q$5</f>
        <v>0</v>
      </c>
      <c r="AS251" s="99">
        <v>242910</v>
      </c>
      <c r="AT251" s="95">
        <f>AS251/'Weighting Factors'!$Q$5</f>
        <v>58.3</v>
      </c>
      <c r="AU251" s="95">
        <f>IF(ISNA(VLOOKUP($CZ251,'Audit Values'!$A$2:$BU$353,2,FALSE)),'Preliminary SO66'!X250,VLOOKUP($CZ251,'Audit Values'!$A$2:$BU$353,47,FALSE))</f>
        <v>0</v>
      </c>
      <c r="AV251" s="95">
        <f t="shared" si="126"/>
        <v>772.6</v>
      </c>
      <c r="AW251" s="95">
        <f t="shared" si="127"/>
        <v>714.3</v>
      </c>
      <c r="AX251" s="95">
        <f>IF(ISNA(VLOOKUP($CZ251,'Audit Values'!$A$2:$BU$353,2,FALSE)),'Preliminary SO66'!AA250,VLOOKUP($CZ251,'Audit Values'!$A$2:$BU$353,41,FALSE))</f>
        <v>0</v>
      </c>
      <c r="AY251" s="95">
        <f>IF(ISNA(VLOOKUP($CZ251,'Audit Values'!$A$2:$BU$353,2,FALSE)),'Preliminary SO66'!AB250,VLOOKUP($CZ251,'Audit Values'!$A$2:$BU$353,42,FALSE))</f>
        <v>0</v>
      </c>
      <c r="AZ251" s="114">
        <v>0</v>
      </c>
      <c r="BA251" s="99">
        <f>SUM(AX251*'Weighting Factors'!$T$10)+('2019 Legal Max'!AY251*'Weighting Factors'!$T$11)+('2019 Legal Max'!AZ251*'Weighting Factors'!$T$12)</f>
        <v>0</v>
      </c>
      <c r="BB251" s="158">
        <v>0</v>
      </c>
      <c r="BC251" s="88">
        <f>IF(ISNA(VLOOKUP($CZ251,'Audit Values'!$A$2:$BU$353,2,FALSE)),"",IF(AND('Weighting Factors'!H251&gt;0,VLOOKUP($CZ251,'Audit Values'!$A$2:$BU$353,51,FALSE)&lt;'Weighting Factors'!H251),'Weighting Factors'!H251,VLOOKUP($CZ251,'Audit Values'!$A$2:$BU$353,50,FALSE)))</f>
        <v>15</v>
      </c>
      <c r="BD251" s="88" t="str">
        <f>IF(ISNA(VLOOKUP($CZ251,'Audit Values'!$A$2:$BV$353,2,FALSE)),"",VLOOKUP($CZ251,'Audit Values'!$A$2:$BV$353,51,FALSE))</f>
        <v>A</v>
      </c>
      <c r="BE251" s="88" t="str">
        <f>IF('Weighting Factors'!H251="","",IF('Weighting Factors'!J251="Pending","PX","R"))</f>
        <v/>
      </c>
      <c r="BF251" s="97">
        <f>SUM((S251+T251+Y251+AA251+AE251+AH251+AJ251++AO251+AP251+AQ251+AU251+AR251)*'Weighting Factors'!$Q$5)+'2019 Legal Max'!BA251+'2019 Legal Max'!BB251</f>
        <v>2975060</v>
      </c>
      <c r="BG251" s="99">
        <f>SUM((AV251+AR251)*'Weighting Factors'!$Q$5)+BA251+'2019 Legal Max'!BB251</f>
        <v>3217879</v>
      </c>
      <c r="BH251" s="108">
        <f>IF('Weighting Factors'!H251&gt;0,'Weighting Factors'!H251,'Preliminary SO66'!AV250)</f>
        <v>3391976</v>
      </c>
      <c r="BI251" s="99">
        <f t="shared" si="151"/>
        <v>3217879</v>
      </c>
      <c r="BJ251" s="112"/>
      <c r="BK251" s="112">
        <f>'Weighting Factors'!F251</f>
        <v>-63237</v>
      </c>
      <c r="BL251" s="112">
        <f>'Weighting Factors'!E251</f>
        <v>0</v>
      </c>
      <c r="BM251" s="99">
        <f t="shared" si="128"/>
        <v>-63237</v>
      </c>
      <c r="BN251" s="99">
        <f t="shared" si="129"/>
        <v>3154642</v>
      </c>
      <c r="BO251" s="99">
        <f>SUM((S251+T251+Y251+AA251+AE251+AH251+AJ251++AO251+AP251+AQ251+AR251)*'Weighting Factors'!Q$12)+(MAX(AS251,'Weighting Factors'!B251))</f>
        <v>3486113</v>
      </c>
      <c r="BP251" s="122">
        <v>0.33</v>
      </c>
      <c r="BQ251" s="99">
        <f t="shared" si="130"/>
        <v>1150417</v>
      </c>
      <c r="BR251" s="108">
        <v>1199014</v>
      </c>
      <c r="BS251" s="99">
        <f t="shared" si="131"/>
        <v>1150417</v>
      </c>
      <c r="BT251" s="167">
        <f t="shared" si="132"/>
        <v>0.33</v>
      </c>
      <c r="BU251" s="95">
        <f t="shared" si="133"/>
        <v>0</v>
      </c>
      <c r="BV251" s="87" t="b">
        <f t="shared" si="134"/>
        <v>0</v>
      </c>
      <c r="BW251" s="117">
        <f t="shared" si="135"/>
        <v>0</v>
      </c>
      <c r="BX251" s="116">
        <f t="shared" si="136"/>
        <v>0</v>
      </c>
      <c r="BY251" s="95">
        <f t="shared" si="137"/>
        <v>0</v>
      </c>
      <c r="BZ251" s="87" t="b">
        <f t="shared" si="138"/>
        <v>1</v>
      </c>
      <c r="CA251" s="87">
        <f t="shared" si="139"/>
        <v>115.7063</v>
      </c>
      <c r="CB251" s="116">
        <f t="shared" si="140"/>
        <v>0.45241999999999999</v>
      </c>
      <c r="CC251" s="95">
        <f t="shared" si="141"/>
        <v>178</v>
      </c>
      <c r="CD251" s="95">
        <f t="shared" si="142"/>
        <v>0</v>
      </c>
      <c r="CE251" s="98">
        <v>775.3</v>
      </c>
      <c r="CF251" s="250">
        <f t="shared" si="143"/>
        <v>9.9000000000000005E-2</v>
      </c>
      <c r="CG251" s="274">
        <f>IF(CF251&lt;0.06,1,IF(CF251&gt;=18.29,52,MATCH(CF251-0.001,'Weighting Factors'!$Y$5:$Y$156)+1))</f>
        <v>5</v>
      </c>
      <c r="CH251" s="243">
        <f>VLOOKUP(CG251, 'Weighting Factors'!$W$5:$Z$56,4)</f>
        <v>1480</v>
      </c>
      <c r="CI251" s="118">
        <f>('Weighting Factors'!$Q$5/'Weighting Factors'!$Q$14)</f>
        <v>1</v>
      </c>
      <c r="CJ251" s="245">
        <f t="shared" si="144"/>
        <v>113960</v>
      </c>
      <c r="CK251" s="245">
        <f>CJ251*'Weighting Factors'!$S$7</f>
        <v>113960</v>
      </c>
      <c r="CL251" s="245">
        <f t="shared" si="145"/>
        <v>113960</v>
      </c>
      <c r="CM251" s="95">
        <f>AM251/'Weighting Factors'!$Q$5</f>
        <v>27.4</v>
      </c>
      <c r="CN251" s="148">
        <v>0</v>
      </c>
      <c r="CO251" s="148">
        <v>0</v>
      </c>
      <c r="CP251" s="149">
        <v>0</v>
      </c>
      <c r="CQ251" s="151">
        <v>0</v>
      </c>
      <c r="CR251" s="99">
        <f>SUM((AV251*'Weighting Factors'!$Q$5)+'2019 Legal Max'!BA251)*CQ251</f>
        <v>0</v>
      </c>
      <c r="CS251" s="99">
        <f t="shared" si="146"/>
        <v>0</v>
      </c>
      <c r="CT251" s="106">
        <f t="shared" si="147"/>
        <v>0.36320000000000002</v>
      </c>
      <c r="CU251" s="95">
        <f t="shared" si="148"/>
        <v>0</v>
      </c>
      <c r="CV251" s="95">
        <f t="shared" si="149"/>
        <v>1.3</v>
      </c>
      <c r="CW251" s="95">
        <f t="shared" si="150"/>
        <v>772.6</v>
      </c>
      <c r="CX251" s="99">
        <f>'LOB Transfers'!G250</f>
        <v>106068</v>
      </c>
      <c r="CY251" s="99">
        <f>'LOB Transfers'!J250</f>
        <v>40725</v>
      </c>
      <c r="CZ251" s="87" t="s">
        <v>443</v>
      </c>
    </row>
    <row r="252" spans="1:104" ht="15" customHeight="1">
      <c r="A252" s="88">
        <v>468</v>
      </c>
      <c r="B252" s="87" t="s">
        <v>104</v>
      </c>
      <c r="C252" s="87" t="s">
        <v>764</v>
      </c>
      <c r="D252" s="95">
        <v>67.5</v>
      </c>
      <c r="E252" s="95">
        <v>0</v>
      </c>
      <c r="F252" s="95">
        <f t="shared" si="117"/>
        <v>67.5</v>
      </c>
      <c r="G252" s="95">
        <v>67</v>
      </c>
      <c r="H252" s="95">
        <v>0</v>
      </c>
      <c r="I252" s="95">
        <f t="shared" si="118"/>
        <v>67</v>
      </c>
      <c r="J252" s="95">
        <v>57</v>
      </c>
      <c r="K252" s="95">
        <v>0</v>
      </c>
      <c r="L252" s="95">
        <f t="shared" si="119"/>
        <v>57</v>
      </c>
      <c r="M252" s="95">
        <f>IF(ISNA(VLOOKUP($CZ252,'Audit Values'!$A$2:$BW$365,2,FALSE)),'Preliminary SO66'!C251,VLOOKUP($CZ252,'Audit Values'!$A$2:$BW$365,73,FALSE))</f>
        <v>52</v>
      </c>
      <c r="N252" s="95">
        <f>IF(ISNA(VLOOKUP($CZ252,'Audit Values'!$A$2:$BW$365,2,FALSE)),'Preliminary SO66'!F251,VLOOKUP($CZ252,'Audit Values'!$A$2:$BW$365,4,FALSE))</f>
        <v>0</v>
      </c>
      <c r="O252" s="95">
        <f t="shared" si="120"/>
        <v>52</v>
      </c>
      <c r="P252" s="95">
        <f>IF('Military Provision'!J253="YES", MAX('2019 Legal Max'!L252,'2019 Legal Max'!I252,AVERAGE('2019 Legal Max'!F252,'2019 Legal Max'!I252,'2019 Legal Max'!L252)), MAX(L252, I252))</f>
        <v>67</v>
      </c>
      <c r="Q252" s="95">
        <f>IF(ISNA(VLOOKUP($CZ252,'Audit Values'!$A$2:$BU$353,2,FALSE)),'Preliminary SO66'!AL251,VLOOKUP($CZ252,'Audit Values'!$A$2:$BU$3955,58,FALSE))</f>
        <v>0</v>
      </c>
      <c r="R252" s="95">
        <v>0</v>
      </c>
      <c r="S252" s="95">
        <f t="shared" si="153"/>
        <v>67</v>
      </c>
      <c r="T252" s="95">
        <f t="shared" si="121"/>
        <v>68</v>
      </c>
      <c r="U252" s="95">
        <f>IF(ISNA(VLOOKUP($CZ252,'Audit Values'!$A$2:$BW$317,2,FALSE)),'Preliminary SO66'!AM251,VLOOKUP($CZ252,'Audit Values'!$A$2:$BW$317,62,FALSE))</f>
        <v>7.8</v>
      </c>
      <c r="V252" s="95">
        <f>(U252/6)*'Weighting Factors'!$Q$7</f>
        <v>0.5</v>
      </c>
      <c r="W252" s="132">
        <f>IF(ISNA(VLOOKUP($CZ252,'Audit Values'!$A$2:$BW$353,2,FALSE)),'Preliminary SO66'!AN251,VLOOKUP($CZ252,'Audit Values'!$A$2:$BW$353,61,FALSE))</f>
        <v>10</v>
      </c>
      <c r="X252" s="95">
        <f>W252*'Weighting Factors'!$Q$8</f>
        <v>1.9</v>
      </c>
      <c r="Y252" s="95">
        <f t="shared" si="122"/>
        <v>1.9</v>
      </c>
      <c r="Z252" s="276">
        <f>IF(ISNA(VLOOKUP($CZ252,'Audit Values'!$A$2:$BW$317,2,FALSE)),'Preliminary SO66'!AO251,VLOOKUP($CZ252,'Audit Values'!$A$2:$BW$317,60,FALSE))</f>
        <v>0</v>
      </c>
      <c r="AA252" s="95">
        <f>Z252/6*'Weighting Factors'!$Q$6</f>
        <v>0</v>
      </c>
      <c r="AB252" s="99">
        <f>IF(ISNA(VLOOKUP($CZ252,'Audit Values'!$A$2:$BU$353,2,FALSE)),'Preliminary SO66'!AS251,VLOOKUP($CZ252,'Audit Values'!$A$2:$BU$353,63,FALSE))</f>
        <v>52</v>
      </c>
      <c r="AC252" s="99">
        <v>0</v>
      </c>
      <c r="AD252" s="99">
        <f>IF(ISNA(VLOOKUP($CZ252,'Audit Values'!$A$2:$BU$353,2,FALSE)),'Preliminary SO66'!AP251,VLOOKUP($CZ252,'Audit Values'!$A$2:$BU$353,64,FALSE))</f>
        <v>35</v>
      </c>
      <c r="AE252" s="95">
        <f>IF(A252=207, AD252,MAX(AC252,AD252))*'Weighting Factors'!$Q$9</f>
        <v>16.899999999999999</v>
      </c>
      <c r="AF252" s="95">
        <f t="shared" si="123"/>
        <v>3.7</v>
      </c>
      <c r="AG252" s="95">
        <f>IF(ISNA(VLOOKUP($CZ252,'Audit Values'!$A$2:$BW$353,2,FALSE)),'Preliminary SO66'!AG251,VLOOKUP($CZ252,'Audit Values'!$A$2:$BW$353,70,FALSE))</f>
        <v>3.7</v>
      </c>
      <c r="AH252" s="95">
        <f t="shared" si="124"/>
        <v>3.7</v>
      </c>
      <c r="AI252" s="95">
        <f>IF(ISNA(VLOOKUP($CZ252,'Audit Values'!$A$2:$BU$353,2,FALSE)),'Preliminary SO66'!AQ251,VLOOKUP($CZ252,'Audit Values'!$A$2:$BU$353,65,FALSE))</f>
        <v>0</v>
      </c>
      <c r="AJ252" s="95">
        <f>AI252*'Weighting Factors'!$Q$10</f>
        <v>0</v>
      </c>
      <c r="AK252" s="95">
        <f>IF(ISNA(VLOOKUP($CZ252,'Audit Values'!$A$2:$BU$353,2,FALSE)),'Preliminary SO66'!AR251,VLOOKUP($CZ252,'Audit Values'!$A$2:$BU$353,66,FALSE))</f>
        <v>2</v>
      </c>
      <c r="AL252" s="95"/>
      <c r="AM252" s="99">
        <f t="shared" si="125"/>
        <v>3240</v>
      </c>
      <c r="AN252" s="99">
        <v>10400</v>
      </c>
      <c r="AO252" s="95">
        <f>MAX(AN252, AM252)/'Weighting Factors'!$Q$5</f>
        <v>2.5</v>
      </c>
      <c r="AP252" s="95">
        <f>CN252/'Weighting Factors'!$Q$5</f>
        <v>0</v>
      </c>
      <c r="AQ252" s="95">
        <v>0</v>
      </c>
      <c r="AR252" s="95">
        <f>CS252/'Weighting Factors'!$Q$5</f>
        <v>0</v>
      </c>
      <c r="AS252" s="99">
        <v>105409</v>
      </c>
      <c r="AT252" s="95">
        <f>AS252/'Weighting Factors'!$Q$5</f>
        <v>25.3</v>
      </c>
      <c r="AU252" s="95">
        <f>IF(ISNA(VLOOKUP($CZ252,'Audit Values'!$A$2:$BU$353,2,FALSE)),'Preliminary SO66'!X251,VLOOKUP($CZ252,'Audit Values'!$A$2:$BU$353,47,FALSE))</f>
        <v>0</v>
      </c>
      <c r="AV252" s="95">
        <f t="shared" si="126"/>
        <v>185.3</v>
      </c>
      <c r="AW252" s="95">
        <f t="shared" si="127"/>
        <v>160</v>
      </c>
      <c r="AX252" s="95">
        <f>IF(ISNA(VLOOKUP($CZ252,'Audit Values'!$A$2:$BU$353,2,FALSE)),'Preliminary SO66'!AA251,VLOOKUP($CZ252,'Audit Values'!$A$2:$BU$353,41,FALSE))</f>
        <v>0</v>
      </c>
      <c r="AY252" s="95">
        <f>IF(ISNA(VLOOKUP($CZ252,'Audit Values'!$A$2:$BU$353,2,FALSE)),'Preliminary SO66'!AB251,VLOOKUP($CZ252,'Audit Values'!$A$2:$BU$353,42,FALSE))</f>
        <v>0</v>
      </c>
      <c r="AZ252" s="114">
        <v>0</v>
      </c>
      <c r="BA252" s="99">
        <f>SUM(AX252*'Weighting Factors'!$T$10)+('2019 Legal Max'!AY252*'Weighting Factors'!$T$11)+('2019 Legal Max'!AZ252*'Weighting Factors'!$T$12)</f>
        <v>0</v>
      </c>
      <c r="BB252" s="158">
        <v>0</v>
      </c>
      <c r="BC252" s="88">
        <f>IF(ISNA(VLOOKUP($CZ252,'Audit Values'!$A$2:$BU$353,2,FALSE)),"",IF(AND('Weighting Factors'!H252&gt;0,VLOOKUP($CZ252,'Audit Values'!$A$2:$BU$353,51,FALSE)&lt;'Weighting Factors'!H252),'Weighting Factors'!H252,VLOOKUP($CZ252,'Audit Values'!$A$2:$BU$353,50,FALSE)))</f>
        <v>25</v>
      </c>
      <c r="BD252" s="88" t="str">
        <f>IF(ISNA(VLOOKUP($CZ252,'Audit Values'!$A$2:$BV$353,2,FALSE)),"",VLOOKUP($CZ252,'Audit Values'!$A$2:$BV$353,51,FALSE))</f>
        <v>A</v>
      </c>
      <c r="BE252" s="88" t="str">
        <f>IF('Weighting Factors'!H252="","",IF('Weighting Factors'!J252="Pending","PX","R"))</f>
        <v/>
      </c>
      <c r="BF252" s="97">
        <f>SUM((S252+T252+Y252+AA252+AE252+AH252+AJ252++AO252+AP252+AQ252+AU252+AR252)*'Weighting Factors'!$Q$5)+'2019 Legal Max'!BA252+'2019 Legal Max'!BB252</f>
        <v>666400</v>
      </c>
      <c r="BG252" s="99">
        <f>SUM((AV252+AR252)*'Weighting Factors'!$Q$5)+BA252+'2019 Legal Max'!BB252</f>
        <v>771775</v>
      </c>
      <c r="BH252" s="108">
        <f>IF('Weighting Factors'!H252&gt;0,'Weighting Factors'!H252,'Preliminary SO66'!AV251)</f>
        <v>833417</v>
      </c>
      <c r="BI252" s="99">
        <f t="shared" si="151"/>
        <v>771775</v>
      </c>
      <c r="BJ252" s="112"/>
      <c r="BK252" s="112">
        <f>'Weighting Factors'!F252</f>
        <v>0</v>
      </c>
      <c r="BL252" s="112">
        <f>'Weighting Factors'!E252</f>
        <v>0</v>
      </c>
      <c r="BM252" s="99">
        <f t="shared" si="128"/>
        <v>0</v>
      </c>
      <c r="BN252" s="99">
        <f t="shared" si="129"/>
        <v>771775</v>
      </c>
      <c r="BO252" s="99">
        <f>SUM((S252+T252+Y252+AA252+AE252+AH252+AJ252++AO252+AP252+AQ252+AR252)*'Weighting Factors'!Q$12)+(MAX(AS252,'Weighting Factors'!B252))</f>
        <v>833525</v>
      </c>
      <c r="BP252" s="122">
        <v>0.33</v>
      </c>
      <c r="BQ252" s="99">
        <f t="shared" si="130"/>
        <v>275063</v>
      </c>
      <c r="BR252" s="108">
        <v>292999</v>
      </c>
      <c r="BS252" s="99">
        <f t="shared" si="131"/>
        <v>275063</v>
      </c>
      <c r="BT252" s="167">
        <f t="shared" si="132"/>
        <v>0.33</v>
      </c>
      <c r="BU252" s="95">
        <f t="shared" si="133"/>
        <v>68</v>
      </c>
      <c r="BV252" s="87" t="b">
        <f t="shared" si="134"/>
        <v>0</v>
      </c>
      <c r="BW252" s="117">
        <f t="shared" si="135"/>
        <v>0</v>
      </c>
      <c r="BX252" s="116">
        <f t="shared" si="136"/>
        <v>0</v>
      </c>
      <c r="BY252" s="95">
        <f t="shared" si="137"/>
        <v>0</v>
      </c>
      <c r="BZ252" s="87" t="b">
        <f t="shared" si="138"/>
        <v>0</v>
      </c>
      <c r="CA252" s="87">
        <f t="shared" si="139"/>
        <v>0</v>
      </c>
      <c r="CB252" s="116">
        <f t="shared" si="140"/>
        <v>0</v>
      </c>
      <c r="CC252" s="95">
        <f t="shared" si="141"/>
        <v>0</v>
      </c>
      <c r="CD252" s="95">
        <f t="shared" si="142"/>
        <v>0</v>
      </c>
      <c r="CE252" s="98">
        <v>203.3</v>
      </c>
      <c r="CF252" s="250">
        <f t="shared" si="143"/>
        <v>0.01</v>
      </c>
      <c r="CG252" s="274">
        <f>IF(CF252&lt;0.06,1,IF(CF252&gt;=18.29,52,MATCH(CF252-0.001,'Weighting Factors'!$Y$5:$Y$156)+1))</f>
        <v>1</v>
      </c>
      <c r="CH252" s="243">
        <f>VLOOKUP(CG252, 'Weighting Factors'!$W$5:$Z$56,4)</f>
        <v>1620</v>
      </c>
      <c r="CI252" s="118">
        <f>('Weighting Factors'!$Q$5/'Weighting Factors'!$Q$14)</f>
        <v>1</v>
      </c>
      <c r="CJ252" s="245">
        <f t="shared" si="144"/>
        <v>3240</v>
      </c>
      <c r="CK252" s="245">
        <f>CJ252*'Weighting Factors'!$S$7</f>
        <v>3240</v>
      </c>
      <c r="CL252" s="245">
        <f t="shared" si="145"/>
        <v>3240</v>
      </c>
      <c r="CM252" s="95">
        <f>AM252/'Weighting Factors'!$Q$5</f>
        <v>0.8</v>
      </c>
      <c r="CN252" s="148">
        <v>0</v>
      </c>
      <c r="CO252" s="148">
        <v>0</v>
      </c>
      <c r="CP252" s="149">
        <v>0</v>
      </c>
      <c r="CQ252" s="151">
        <v>0</v>
      </c>
      <c r="CR252" s="99">
        <f>SUM((AV252*'Weighting Factors'!$Q$5)+'2019 Legal Max'!BA252)*CQ252</f>
        <v>0</v>
      </c>
      <c r="CS252" s="99">
        <f t="shared" si="146"/>
        <v>0</v>
      </c>
      <c r="CT252" s="106">
        <f t="shared" si="147"/>
        <v>0.67310000000000003</v>
      </c>
      <c r="CU252" s="95">
        <f t="shared" si="148"/>
        <v>3.7</v>
      </c>
      <c r="CV252" s="95">
        <f t="shared" si="149"/>
        <v>0</v>
      </c>
      <c r="CW252" s="95">
        <f t="shared" si="150"/>
        <v>185.3</v>
      </c>
      <c r="CX252" s="99">
        <f>'LOB Transfers'!G251</f>
        <v>25086</v>
      </c>
      <c r="CY252" s="99">
        <f>'LOB Transfers'!J251</f>
        <v>2833</v>
      </c>
      <c r="CZ252" s="87" t="s">
        <v>444</v>
      </c>
    </row>
    <row r="253" spans="1:104" ht="15" customHeight="1">
      <c r="A253" s="88">
        <v>469</v>
      </c>
      <c r="B253" s="87" t="s">
        <v>11</v>
      </c>
      <c r="C253" s="87" t="s">
        <v>765</v>
      </c>
      <c r="D253" s="95">
        <v>2541.5</v>
      </c>
      <c r="E253" s="95">
        <v>0</v>
      </c>
      <c r="F253" s="95">
        <f t="shared" si="117"/>
        <v>2541.5</v>
      </c>
      <c r="G253" s="95">
        <v>2629.7</v>
      </c>
      <c r="H253" s="95">
        <v>0</v>
      </c>
      <c r="I253" s="95">
        <f t="shared" si="118"/>
        <v>2629.7</v>
      </c>
      <c r="J253" s="95">
        <v>2657</v>
      </c>
      <c r="K253" s="95">
        <v>0</v>
      </c>
      <c r="L253" s="95">
        <f t="shared" si="119"/>
        <v>2657</v>
      </c>
      <c r="M253" s="95">
        <f>IF(ISNA(VLOOKUP($CZ253,'Audit Values'!$A$2:$BW$365,2,FALSE)),'Preliminary SO66'!C252,VLOOKUP($CZ253,'Audit Values'!$A$2:$BW$365,73,FALSE))</f>
        <v>2548</v>
      </c>
      <c r="N253" s="95">
        <f>IF(ISNA(VLOOKUP($CZ253,'Audit Values'!$A$2:$BW$365,2,FALSE)),'Preliminary SO66'!F252,VLOOKUP($CZ253,'Audit Values'!$A$2:$BW$365,4,FALSE))</f>
        <v>0</v>
      </c>
      <c r="O253" s="95">
        <f t="shared" si="120"/>
        <v>2548</v>
      </c>
      <c r="P253" s="95">
        <f>IF('Military Provision'!J254="YES", MAX('2019 Legal Max'!L253,'2019 Legal Max'!I253,AVERAGE('2019 Legal Max'!F253,'2019 Legal Max'!I253,'2019 Legal Max'!L253)), MAX(L253, I253))</f>
        <v>2657</v>
      </c>
      <c r="Q253" s="95">
        <f>IF(ISNA(VLOOKUP($CZ253,'Audit Values'!$A$2:$BU$353,2,FALSE)),'Preliminary SO66'!AL252,VLOOKUP($CZ253,'Audit Values'!$A$2:$BU$3955,58,FALSE))</f>
        <v>0</v>
      </c>
      <c r="R253" s="95">
        <v>0</v>
      </c>
      <c r="S253" s="95">
        <f t="shared" si="153"/>
        <v>2657</v>
      </c>
      <c r="T253" s="95">
        <f t="shared" si="121"/>
        <v>93.1</v>
      </c>
      <c r="U253" s="95">
        <f>IF(ISNA(VLOOKUP($CZ253,'Audit Values'!$A$2:$BW$317,2,FALSE)),'Preliminary SO66'!AM252,VLOOKUP($CZ253,'Audit Values'!$A$2:$BW$317,62,FALSE))</f>
        <v>61</v>
      </c>
      <c r="V253" s="95">
        <f>(U253/6)*'Weighting Factors'!$Q$7</f>
        <v>4</v>
      </c>
      <c r="W253" s="132">
        <f>IF(ISNA(VLOOKUP($CZ253,'Audit Values'!$A$2:$BW$353,2,FALSE)),'Preliminary SO66'!AN252,VLOOKUP($CZ253,'Audit Values'!$A$2:$BW$353,61,FALSE))</f>
        <v>42</v>
      </c>
      <c r="X253" s="95">
        <f>W253*'Weighting Factors'!$Q$8</f>
        <v>7.8</v>
      </c>
      <c r="Y253" s="95">
        <f t="shared" si="122"/>
        <v>7.8</v>
      </c>
      <c r="Z253" s="276">
        <f>IF(ISNA(VLOOKUP($CZ253,'Audit Values'!$A$2:$BW$317,2,FALSE)),'Preliminary SO66'!AO252,VLOOKUP($CZ253,'Audit Values'!$A$2:$BW$317,60,FALSE))</f>
        <v>297.89999999999998</v>
      </c>
      <c r="AA253" s="95">
        <f>Z253/6*'Weighting Factors'!$Q$6</f>
        <v>24.8</v>
      </c>
      <c r="AB253" s="99">
        <f>IF(ISNA(VLOOKUP($CZ253,'Audit Values'!$A$2:$BU$353,2,FALSE)),'Preliminary SO66'!AS252,VLOOKUP($CZ253,'Audit Values'!$A$2:$BU$353,63,FALSE))</f>
        <v>2571</v>
      </c>
      <c r="AC253" s="99">
        <v>0</v>
      </c>
      <c r="AD253" s="99">
        <f>IF(ISNA(VLOOKUP($CZ253,'Audit Values'!$A$2:$BU$353,2,FALSE)),'Preliminary SO66'!AP252,VLOOKUP($CZ253,'Audit Values'!$A$2:$BU$353,64,FALSE))</f>
        <v>535</v>
      </c>
      <c r="AE253" s="95">
        <f>IF(A253=207, AD253,MAX(AC253,AD253))*'Weighting Factors'!$Q$9</f>
        <v>258.89999999999998</v>
      </c>
      <c r="AF253" s="95">
        <f t="shared" si="123"/>
        <v>0</v>
      </c>
      <c r="AG253" s="95">
        <f>IF(ISNA(VLOOKUP($CZ253,'Audit Values'!$A$2:$BW$353,2,FALSE)),'Preliminary SO66'!AG252,VLOOKUP($CZ253,'Audit Values'!$A$2:$BW$353,70,FALSE))</f>
        <v>0</v>
      </c>
      <c r="AH253" s="95">
        <f t="shared" si="124"/>
        <v>0</v>
      </c>
      <c r="AI253" s="95">
        <f>IF(ISNA(VLOOKUP($CZ253,'Audit Values'!$A$2:$BU$353,2,FALSE)),'Preliminary SO66'!AQ252,VLOOKUP($CZ253,'Audit Values'!$A$2:$BU$353,65,FALSE))</f>
        <v>0</v>
      </c>
      <c r="AJ253" s="95">
        <f>AI253*'Weighting Factors'!$Q$10</f>
        <v>0</v>
      </c>
      <c r="AK253" s="95">
        <f>IF(ISNA(VLOOKUP($CZ253,'Audit Values'!$A$2:$BU$353,2,FALSE)),'Preliminary SO66'!AR252,VLOOKUP($CZ253,'Audit Values'!$A$2:$BU$353,66,FALSE))</f>
        <v>604</v>
      </c>
      <c r="AL253" s="95"/>
      <c r="AM253" s="99">
        <f t="shared" si="125"/>
        <v>368440</v>
      </c>
      <c r="AN253" s="99">
        <v>326264</v>
      </c>
      <c r="AO253" s="95">
        <f>MAX(AN253, AM253)/'Weighting Factors'!$Q$5</f>
        <v>88.5</v>
      </c>
      <c r="AP253" s="95">
        <f>CN253/'Weighting Factors'!$Q$5</f>
        <v>0</v>
      </c>
      <c r="AQ253" s="95">
        <v>0</v>
      </c>
      <c r="AR253" s="95">
        <f>CS253/'Weighting Factors'!$Q$5</f>
        <v>0</v>
      </c>
      <c r="AS253" s="99">
        <v>2812017</v>
      </c>
      <c r="AT253" s="95">
        <f>AS253/'Weighting Factors'!$Q$5</f>
        <v>675.2</v>
      </c>
      <c r="AU253" s="95">
        <f>IF(ISNA(VLOOKUP($CZ253,'Audit Values'!$A$2:$BU$353,2,FALSE)),'Preliminary SO66'!X252,VLOOKUP($CZ253,'Audit Values'!$A$2:$BU$353,47,FALSE))</f>
        <v>0</v>
      </c>
      <c r="AV253" s="95">
        <f t="shared" si="126"/>
        <v>3805.3</v>
      </c>
      <c r="AW253" s="95">
        <f t="shared" si="127"/>
        <v>3130.1</v>
      </c>
      <c r="AX253" s="95">
        <f>IF(ISNA(VLOOKUP($CZ253,'Audit Values'!$A$2:$BU$353,2,FALSE)),'Preliminary SO66'!AA252,VLOOKUP($CZ253,'Audit Values'!$A$2:$BU$353,41,FALSE))</f>
        <v>0</v>
      </c>
      <c r="AY253" s="95">
        <f>IF(ISNA(VLOOKUP($CZ253,'Audit Values'!$A$2:$BU$353,2,FALSE)),'Preliminary SO66'!AB252,VLOOKUP($CZ253,'Audit Values'!$A$2:$BU$353,42,FALSE))</f>
        <v>0</v>
      </c>
      <c r="AZ253" s="114">
        <v>0</v>
      </c>
      <c r="BA253" s="99">
        <f>SUM(AX253*'Weighting Factors'!$T$10)+('2019 Legal Max'!AY253*'Weighting Factors'!$T$11)+('2019 Legal Max'!AZ253*'Weighting Factors'!$T$12)</f>
        <v>0</v>
      </c>
      <c r="BB253" s="158">
        <v>0</v>
      </c>
      <c r="BC253" s="88">
        <f>IF(ISNA(VLOOKUP($CZ253,'Audit Values'!$A$2:$BU$353,2,FALSE)),"",IF(AND('Weighting Factors'!H253&gt;0,VLOOKUP($CZ253,'Audit Values'!$A$2:$BU$353,51,FALSE)&lt;'Weighting Factors'!H253),'Weighting Factors'!H253,VLOOKUP($CZ253,'Audit Values'!$A$2:$BU$353,50,FALSE)))</f>
        <v>18</v>
      </c>
      <c r="BD253" s="88" t="str">
        <f>IF(ISNA(VLOOKUP($CZ253,'Audit Values'!$A$2:$BV$353,2,FALSE)),"",VLOOKUP($CZ253,'Audit Values'!$A$2:$BV$353,51,FALSE))</f>
        <v>A</v>
      </c>
      <c r="BE253" s="88" t="str">
        <f>IF('Weighting Factors'!H253="","",IF('Weighting Factors'!J253="Pending","PX","R"))</f>
        <v>R</v>
      </c>
      <c r="BF253" s="97">
        <f>SUM((S253+T253+Y253+AA253+AE253+AH253+AJ253++AO253+AP253+AQ253+AU253+AR253)*'Weighting Factors'!$Q$5)+'2019 Legal Max'!BA253+'2019 Legal Max'!BB253</f>
        <v>13036867</v>
      </c>
      <c r="BG253" s="99">
        <f>SUM((AV253+AR253)*'Weighting Factors'!$Q$5)+BA253+'2019 Legal Max'!BB253</f>
        <v>15849075</v>
      </c>
      <c r="BH253" s="108">
        <f>IF('Weighting Factors'!H253&gt;0,'Weighting Factors'!H253,'Preliminary SO66'!AV252)</f>
        <v>15900000</v>
      </c>
      <c r="BI253" s="99">
        <f t="shared" si="151"/>
        <v>15849075</v>
      </c>
      <c r="BJ253" s="112"/>
      <c r="BK253" s="112"/>
      <c r="BL253" s="112">
        <f>'Weighting Factors'!E253</f>
        <v>0</v>
      </c>
      <c r="BM253" s="99">
        <f t="shared" si="128"/>
        <v>0</v>
      </c>
      <c r="BN253" s="99">
        <f t="shared" si="129"/>
        <v>15849075</v>
      </c>
      <c r="BO253" s="99">
        <f>SUM((S253+T253+Y253+AA253+AE253+AH253+AJ253++AO253+AP253+AQ253+AR253)*'Weighting Factors'!Q$12)+(MAX(AS253,'Weighting Factors'!B253))</f>
        <v>16866166</v>
      </c>
      <c r="BP253" s="122">
        <v>0.33</v>
      </c>
      <c r="BQ253" s="99">
        <f t="shared" si="130"/>
        <v>5565835</v>
      </c>
      <c r="BR253" s="108">
        <v>5508358</v>
      </c>
      <c r="BS253" s="99">
        <f t="shared" si="131"/>
        <v>5508358</v>
      </c>
      <c r="BT253" s="167">
        <f t="shared" si="132"/>
        <v>0.3266</v>
      </c>
      <c r="BU253" s="95">
        <f t="shared" si="133"/>
        <v>0</v>
      </c>
      <c r="BV253" s="87" t="b">
        <f t="shared" si="134"/>
        <v>0</v>
      </c>
      <c r="BW253" s="117">
        <f t="shared" si="135"/>
        <v>0</v>
      </c>
      <c r="BX253" s="116">
        <f t="shared" si="136"/>
        <v>0</v>
      </c>
      <c r="BY253" s="95">
        <f t="shared" si="137"/>
        <v>0</v>
      </c>
      <c r="BZ253" s="87" t="b">
        <f t="shared" si="138"/>
        <v>0</v>
      </c>
      <c r="CA253" s="87">
        <f t="shared" si="139"/>
        <v>0</v>
      </c>
      <c r="CB253" s="116">
        <f t="shared" si="140"/>
        <v>0</v>
      </c>
      <c r="CC253" s="95">
        <f t="shared" si="141"/>
        <v>0</v>
      </c>
      <c r="CD253" s="95">
        <f t="shared" si="142"/>
        <v>93.1</v>
      </c>
      <c r="CE253" s="98">
        <v>49</v>
      </c>
      <c r="CF253" s="250">
        <f t="shared" si="143"/>
        <v>12.327</v>
      </c>
      <c r="CG253" s="274">
        <f>IF(CF253&lt;0.06,1,IF(CF253&gt;=18.29,52,MATCH(CF253-0.001,'Weighting Factors'!$Y$5:$Y$156)+1))</f>
        <v>49</v>
      </c>
      <c r="CH253" s="243">
        <f>VLOOKUP(CG253, 'Weighting Factors'!$W$5:$Z$56,4)</f>
        <v>610</v>
      </c>
      <c r="CI253" s="118">
        <f>('Weighting Factors'!$Q$5/'Weighting Factors'!$Q$14)</f>
        <v>1</v>
      </c>
      <c r="CJ253" s="245">
        <f t="shared" si="144"/>
        <v>368440</v>
      </c>
      <c r="CK253" s="245">
        <f>CJ253*'Weighting Factors'!$S$7</f>
        <v>368440</v>
      </c>
      <c r="CL253" s="245">
        <f t="shared" si="145"/>
        <v>368440</v>
      </c>
      <c r="CM253" s="95">
        <f>AM253/'Weighting Factors'!$Q$5</f>
        <v>88.5</v>
      </c>
      <c r="CN253" s="148">
        <v>0</v>
      </c>
      <c r="CO253" s="148">
        <v>0</v>
      </c>
      <c r="CP253" s="149">
        <v>0</v>
      </c>
      <c r="CQ253" s="151">
        <v>1.0500000000000001E-2</v>
      </c>
      <c r="CR253" s="99">
        <f>SUM((AV253*'Weighting Factors'!$Q$5)+'2019 Legal Max'!BA253)*CQ253</f>
        <v>166415</v>
      </c>
      <c r="CS253" s="99">
        <f t="shared" si="146"/>
        <v>0</v>
      </c>
      <c r="CT253" s="106">
        <f t="shared" si="147"/>
        <v>0.20810000000000001</v>
      </c>
      <c r="CU253" s="95">
        <f t="shared" si="148"/>
        <v>0</v>
      </c>
      <c r="CV253" s="95">
        <f t="shared" si="149"/>
        <v>0</v>
      </c>
      <c r="CW253" s="95">
        <f t="shared" si="150"/>
        <v>3805.3</v>
      </c>
      <c r="CX253" s="99">
        <f>'LOB Transfers'!G252</f>
        <v>374568</v>
      </c>
      <c r="CY253" s="99">
        <f>'LOB Transfers'!J252</f>
        <v>11017</v>
      </c>
      <c r="CZ253" s="87" t="s">
        <v>445</v>
      </c>
    </row>
    <row r="254" spans="1:104" ht="15" customHeight="1">
      <c r="A254" s="88">
        <v>470</v>
      </c>
      <c r="B254" s="87" t="s">
        <v>102</v>
      </c>
      <c r="C254" s="87" t="s">
        <v>766</v>
      </c>
      <c r="D254" s="95">
        <v>2653.2</v>
      </c>
      <c r="E254" s="95">
        <v>0</v>
      </c>
      <c r="F254" s="95">
        <f t="shared" si="117"/>
        <v>2653.2</v>
      </c>
      <c r="G254" s="95">
        <v>2799</v>
      </c>
      <c r="H254" s="95">
        <v>0</v>
      </c>
      <c r="I254" s="95">
        <f t="shared" si="118"/>
        <v>2799</v>
      </c>
      <c r="J254" s="95">
        <v>2789</v>
      </c>
      <c r="K254" s="95">
        <v>0</v>
      </c>
      <c r="L254" s="95">
        <f t="shared" si="119"/>
        <v>2789</v>
      </c>
      <c r="M254" s="95">
        <f>IF(ISNA(VLOOKUP($CZ254,'Audit Values'!$A$2:$BW$365,2,FALSE)),'Preliminary SO66'!C253,VLOOKUP($CZ254,'Audit Values'!$A$2:$BW$365,73,FALSE))</f>
        <v>2781.6</v>
      </c>
      <c r="N254" s="95">
        <f>IF(ISNA(VLOOKUP($CZ254,'Audit Values'!$A$2:$BW$365,2,FALSE)),'Preliminary SO66'!F253,VLOOKUP($CZ254,'Audit Values'!$A$2:$BW$365,4,FALSE))</f>
        <v>0</v>
      </c>
      <c r="O254" s="95">
        <f t="shared" si="120"/>
        <v>2781.6</v>
      </c>
      <c r="P254" s="95">
        <f>IF('Military Provision'!J255="YES", MAX('2019 Legal Max'!L254,'2019 Legal Max'!I254,AVERAGE('2019 Legal Max'!F254,'2019 Legal Max'!I254,'2019 Legal Max'!L254)), MAX(L254, I254))</f>
        <v>2799</v>
      </c>
      <c r="Q254" s="95">
        <f>IF(ISNA(VLOOKUP($CZ254,'Audit Values'!$A$2:$BU$353,2,FALSE)),'Preliminary SO66'!AL253,VLOOKUP($CZ254,'Audit Values'!$A$2:$BU$3955,58,FALSE))</f>
        <v>35</v>
      </c>
      <c r="R254" s="95">
        <v>0</v>
      </c>
      <c r="S254" s="95">
        <f t="shared" si="153"/>
        <v>2834</v>
      </c>
      <c r="T254" s="95">
        <f t="shared" si="121"/>
        <v>99.3</v>
      </c>
      <c r="U254" s="95">
        <f>IF(ISNA(VLOOKUP($CZ254,'Audit Values'!$A$2:$BW$317,2,FALSE)),'Preliminary SO66'!AM253,VLOOKUP($CZ254,'Audit Values'!$A$2:$BW$317,62,FALSE))</f>
        <v>1526.2</v>
      </c>
      <c r="V254" s="95">
        <f>(U254/6)*'Weighting Factors'!$Q$7</f>
        <v>100.5</v>
      </c>
      <c r="W254" s="132">
        <f>IF(ISNA(VLOOKUP($CZ254,'Audit Values'!$A$2:$BW$353,2,FALSE)),'Preliminary SO66'!AN253,VLOOKUP($CZ254,'Audit Values'!$A$2:$BW$353,61,FALSE))</f>
        <v>471</v>
      </c>
      <c r="X254" s="95">
        <f>W254*'Weighting Factors'!$Q$8</f>
        <v>87.1</v>
      </c>
      <c r="Y254" s="95">
        <f t="shared" si="122"/>
        <v>100.5</v>
      </c>
      <c r="Z254" s="276">
        <f>IF(ISNA(VLOOKUP($CZ254,'Audit Values'!$A$2:$BW$317,2,FALSE)),'Preliminary SO66'!AO253,VLOOKUP($CZ254,'Audit Values'!$A$2:$BW$317,60,FALSE))</f>
        <v>765.2</v>
      </c>
      <c r="AA254" s="95">
        <f>Z254/6*'Weighting Factors'!$Q$6</f>
        <v>63.8</v>
      </c>
      <c r="AB254" s="99">
        <f>IF(ISNA(VLOOKUP($CZ254,'Audit Values'!$A$2:$BU$353,2,FALSE)),'Preliminary SO66'!AS253,VLOOKUP($CZ254,'Audit Values'!$A$2:$BU$353,63,FALSE))</f>
        <v>2898</v>
      </c>
      <c r="AC254" s="99">
        <v>0</v>
      </c>
      <c r="AD254" s="99">
        <f>IF(ISNA(VLOOKUP($CZ254,'Audit Values'!$A$2:$BU$353,2,FALSE)),'Preliminary SO66'!AP253,VLOOKUP($CZ254,'Audit Values'!$A$2:$BU$353,64,FALSE))</f>
        <v>1527</v>
      </c>
      <c r="AE254" s="95">
        <f>IF(A254=207, AD254,MAX(AC254,AD254))*'Weighting Factors'!$Q$9</f>
        <v>739.1</v>
      </c>
      <c r="AF254" s="95">
        <f t="shared" si="123"/>
        <v>160.30000000000001</v>
      </c>
      <c r="AG254" s="95">
        <f>IF(ISNA(VLOOKUP($CZ254,'Audit Values'!$A$2:$BW$353,2,FALSE)),'Preliminary SO66'!AG253,VLOOKUP($CZ254,'Audit Values'!$A$2:$BW$353,70,FALSE))</f>
        <v>141.6</v>
      </c>
      <c r="AH254" s="95">
        <f t="shared" si="124"/>
        <v>160.30000000000001</v>
      </c>
      <c r="AI254" s="95">
        <f>IF(ISNA(VLOOKUP($CZ254,'Audit Values'!$A$2:$BU$353,2,FALSE)),'Preliminary SO66'!AQ253,VLOOKUP($CZ254,'Audit Values'!$A$2:$BU$353,65,FALSE))</f>
        <v>0</v>
      </c>
      <c r="AJ254" s="95">
        <f>AI254*'Weighting Factors'!$Q$10</f>
        <v>0</v>
      </c>
      <c r="AK254" s="95">
        <f>IF(ISNA(VLOOKUP($CZ254,'Audit Values'!$A$2:$BU$353,2,FALSE)),'Preliminary SO66'!AR253,VLOOKUP($CZ254,'Audit Values'!$A$2:$BU$353,66,FALSE))</f>
        <v>737</v>
      </c>
      <c r="AL254" s="95"/>
      <c r="AM254" s="99">
        <f t="shared" si="125"/>
        <v>552750</v>
      </c>
      <c r="AN254" s="99">
        <v>629417</v>
      </c>
      <c r="AO254" s="95">
        <f>MAX(AN254, AM254)/'Weighting Factors'!$Q$5</f>
        <v>151.1</v>
      </c>
      <c r="AP254" s="95">
        <f>CN254/'Weighting Factors'!$Q$5</f>
        <v>0</v>
      </c>
      <c r="AQ254" s="95">
        <v>0</v>
      </c>
      <c r="AR254" s="95">
        <f>CS254/'Weighting Factors'!$Q$5</f>
        <v>0</v>
      </c>
      <c r="AS254" s="99">
        <v>3031590</v>
      </c>
      <c r="AT254" s="95">
        <f>AS254/'Weighting Factors'!$Q$5</f>
        <v>727.9</v>
      </c>
      <c r="AU254" s="95">
        <f>IF(ISNA(VLOOKUP($CZ254,'Audit Values'!$A$2:$BU$353,2,FALSE)),'Preliminary SO66'!X253,VLOOKUP($CZ254,'Audit Values'!$A$2:$BU$353,47,FALSE))</f>
        <v>0</v>
      </c>
      <c r="AV254" s="95">
        <f t="shared" si="126"/>
        <v>4876</v>
      </c>
      <c r="AW254" s="95">
        <f t="shared" si="127"/>
        <v>4148.1000000000004</v>
      </c>
      <c r="AX254" s="95">
        <f>IF(ISNA(VLOOKUP($CZ254,'Audit Values'!$A$2:$BU$353,2,FALSE)),'Preliminary SO66'!AA253,VLOOKUP($CZ254,'Audit Values'!$A$2:$BU$353,41,FALSE))</f>
        <v>0</v>
      </c>
      <c r="AY254" s="95">
        <f>IF(ISNA(VLOOKUP($CZ254,'Audit Values'!$A$2:$BU$353,2,FALSE)),'Preliminary SO66'!AB253,VLOOKUP($CZ254,'Audit Values'!$A$2:$BU$353,42,FALSE))</f>
        <v>0</v>
      </c>
      <c r="AZ254" s="114">
        <v>0</v>
      </c>
      <c r="BA254" s="99">
        <f>SUM(AX254*'Weighting Factors'!$T$10)+('2019 Legal Max'!AY254*'Weighting Factors'!$T$11)+('2019 Legal Max'!AZ254*'Weighting Factors'!$T$12)</f>
        <v>0</v>
      </c>
      <c r="BB254" s="158">
        <v>0</v>
      </c>
      <c r="BC254" s="88">
        <f>IF(ISNA(VLOOKUP($CZ254,'Audit Values'!$A$2:$BU$353,2,FALSE)),"",IF(AND('Weighting Factors'!H254&gt;0,VLOOKUP($CZ254,'Audit Values'!$A$2:$BU$353,51,FALSE)&lt;'Weighting Factors'!H254),'Weighting Factors'!H254,VLOOKUP($CZ254,'Audit Values'!$A$2:$BU$353,50,FALSE)))</f>
        <v>23</v>
      </c>
      <c r="BD254" s="88" t="str">
        <f>IF(ISNA(VLOOKUP($CZ254,'Audit Values'!$A$2:$BV$353,2,FALSE)),"",VLOOKUP($CZ254,'Audit Values'!$A$2:$BV$353,51,FALSE))</f>
        <v>A</v>
      </c>
      <c r="BE254" s="88" t="str">
        <f>IF('Weighting Factors'!H254="","",IF('Weighting Factors'!J254="Pending","PX","R"))</f>
        <v/>
      </c>
      <c r="BF254" s="97">
        <f>SUM((S254+T254+Y254+AA254+AE254+AH254+AJ254++AO254+AP254+AQ254+AU254+AR254)*'Weighting Factors'!$Q$5)+'2019 Legal Max'!BA254+'2019 Legal Max'!BB254</f>
        <v>17276837</v>
      </c>
      <c r="BG254" s="99">
        <f>SUM((AV254+AR254)*'Weighting Factors'!$Q$5)+BA254+'2019 Legal Max'!BB254</f>
        <v>20308540</v>
      </c>
      <c r="BH254" s="108">
        <f>IF('Weighting Factors'!H254&gt;0,'Weighting Factors'!H254,'Preliminary SO66'!AV253)</f>
        <v>21268573</v>
      </c>
      <c r="BI254" s="99">
        <f t="shared" si="151"/>
        <v>20308540</v>
      </c>
      <c r="BJ254" s="112"/>
      <c r="BK254" s="112">
        <f>'Weighting Factors'!F254</f>
        <v>0</v>
      </c>
      <c r="BL254" s="112">
        <f>'Weighting Factors'!E254</f>
        <v>0</v>
      </c>
      <c r="BM254" s="99">
        <f t="shared" si="128"/>
        <v>0</v>
      </c>
      <c r="BN254" s="99">
        <f t="shared" si="129"/>
        <v>20308540</v>
      </c>
      <c r="BO254" s="99">
        <f>SUM((S254+T254+Y254+AA254+AE254+AH254+AJ254++AO254+AP254+AQ254+AR254)*'Weighting Factors'!Q$12)+(MAX(AS254,'Weighting Factors'!B254))</f>
        <v>21656559</v>
      </c>
      <c r="BP254" s="122">
        <v>0.3</v>
      </c>
      <c r="BQ254" s="99">
        <f t="shared" si="130"/>
        <v>6496968</v>
      </c>
      <c r="BR254" s="108">
        <v>6796462</v>
      </c>
      <c r="BS254" s="99">
        <f t="shared" si="131"/>
        <v>6496968</v>
      </c>
      <c r="BT254" s="167">
        <f t="shared" si="132"/>
        <v>0.3</v>
      </c>
      <c r="BU254" s="95">
        <f t="shared" si="133"/>
        <v>0</v>
      </c>
      <c r="BV254" s="87" t="b">
        <f t="shared" si="134"/>
        <v>0</v>
      </c>
      <c r="BW254" s="117">
        <f t="shared" si="135"/>
        <v>0</v>
      </c>
      <c r="BX254" s="116">
        <f t="shared" si="136"/>
        <v>0</v>
      </c>
      <c r="BY254" s="95">
        <f t="shared" si="137"/>
        <v>0</v>
      </c>
      <c r="BZ254" s="87" t="b">
        <f t="shared" si="138"/>
        <v>0</v>
      </c>
      <c r="CA254" s="87">
        <f t="shared" si="139"/>
        <v>0</v>
      </c>
      <c r="CB254" s="116">
        <f t="shared" si="140"/>
        <v>0</v>
      </c>
      <c r="CC254" s="95">
        <f t="shared" si="141"/>
        <v>0</v>
      </c>
      <c r="CD254" s="95">
        <f t="shared" si="142"/>
        <v>99.3</v>
      </c>
      <c r="CE254" s="98">
        <v>200</v>
      </c>
      <c r="CF254" s="250">
        <f t="shared" si="143"/>
        <v>3.6850000000000001</v>
      </c>
      <c r="CG254" s="274">
        <f>IF(CF254&lt;0.06,1,IF(CF254&gt;=18.29,52,MATCH(CF254-0.001,'Weighting Factors'!$Y$5:$Y$156)+1))</f>
        <v>42</v>
      </c>
      <c r="CH254" s="243">
        <f>VLOOKUP(CG254, 'Weighting Factors'!$W$5:$Z$56,4)</f>
        <v>750</v>
      </c>
      <c r="CI254" s="118">
        <f>('Weighting Factors'!$Q$5/'Weighting Factors'!$Q$14)</f>
        <v>1</v>
      </c>
      <c r="CJ254" s="245">
        <f t="shared" si="144"/>
        <v>552750</v>
      </c>
      <c r="CK254" s="245">
        <f>CJ254*'Weighting Factors'!$S$7</f>
        <v>552750</v>
      </c>
      <c r="CL254" s="245">
        <f t="shared" si="145"/>
        <v>552750</v>
      </c>
      <c r="CM254" s="95">
        <f>AM254/'Weighting Factors'!$Q$5</f>
        <v>132.69999999999999</v>
      </c>
      <c r="CN254" s="148">
        <v>0</v>
      </c>
      <c r="CO254" s="148">
        <v>0</v>
      </c>
      <c r="CP254" s="149">
        <v>0</v>
      </c>
      <c r="CQ254" s="151">
        <v>0</v>
      </c>
      <c r="CR254" s="99">
        <f>SUM((AV254*'Weighting Factors'!$Q$5)+'2019 Legal Max'!BA254)*CQ254</f>
        <v>0</v>
      </c>
      <c r="CS254" s="99">
        <f t="shared" si="146"/>
        <v>0</v>
      </c>
      <c r="CT254" s="106">
        <f t="shared" si="147"/>
        <v>0.52690000000000003</v>
      </c>
      <c r="CU254" s="95">
        <f t="shared" si="148"/>
        <v>160.30000000000001</v>
      </c>
      <c r="CV254" s="95">
        <f t="shared" si="149"/>
        <v>0</v>
      </c>
      <c r="CW254" s="95">
        <f t="shared" si="150"/>
        <v>4876</v>
      </c>
      <c r="CX254" s="99">
        <f>'LOB Transfers'!G253</f>
        <v>992087</v>
      </c>
      <c r="CY254" s="99">
        <f>'LOB Transfers'!J253</f>
        <v>135137</v>
      </c>
      <c r="CZ254" s="87" t="s">
        <v>446</v>
      </c>
    </row>
    <row r="255" spans="1:104" ht="15" customHeight="1">
      <c r="A255" s="88">
        <v>471</v>
      </c>
      <c r="B255" s="87" t="s">
        <v>102</v>
      </c>
      <c r="C255" s="87" t="s">
        <v>767</v>
      </c>
      <c r="D255" s="95">
        <v>141.5</v>
      </c>
      <c r="E255" s="95">
        <v>0</v>
      </c>
      <c r="F255" s="95">
        <f t="shared" si="117"/>
        <v>141.5</v>
      </c>
      <c r="G255" s="95">
        <v>142.9</v>
      </c>
      <c r="H255" s="95">
        <v>0</v>
      </c>
      <c r="I255" s="95">
        <f t="shared" si="118"/>
        <v>142.9</v>
      </c>
      <c r="J255" s="95">
        <v>166</v>
      </c>
      <c r="K255" s="95">
        <v>0</v>
      </c>
      <c r="L255" s="95">
        <f t="shared" si="119"/>
        <v>166</v>
      </c>
      <c r="M255" s="95">
        <f>IF(ISNA(VLOOKUP($CZ255,'Audit Values'!$A$2:$BW$365,2,FALSE)),'Preliminary SO66'!C254,VLOOKUP($CZ255,'Audit Values'!$A$2:$BW$365,73,FALSE))</f>
        <v>189.5</v>
      </c>
      <c r="N255" s="95">
        <f>IF(ISNA(VLOOKUP($CZ255,'Audit Values'!$A$2:$BW$365,2,FALSE)),'Preliminary SO66'!F254,VLOOKUP($CZ255,'Audit Values'!$A$2:$BW$365,4,FALSE))</f>
        <v>0</v>
      </c>
      <c r="O255" s="95">
        <f t="shared" si="120"/>
        <v>189.5</v>
      </c>
      <c r="P255" s="95">
        <f>IF('Military Provision'!J256="YES", MAX('2019 Legal Max'!L255,'2019 Legal Max'!I255,AVERAGE('2019 Legal Max'!F255,'2019 Legal Max'!I255,'2019 Legal Max'!L255)), MAX(L255, I255))</f>
        <v>166</v>
      </c>
      <c r="Q255" s="95">
        <f>IF(ISNA(VLOOKUP($CZ255,'Audit Values'!$A$2:$BU$353,2,FALSE)),'Preliminary SO66'!AL254,VLOOKUP($CZ255,'Audit Values'!$A$2:$BU$3955,58,FALSE))</f>
        <v>0</v>
      </c>
      <c r="R255" s="95">
        <v>0</v>
      </c>
      <c r="S255" s="95">
        <f t="shared" si="153"/>
        <v>166</v>
      </c>
      <c r="T255" s="95">
        <f t="shared" si="121"/>
        <v>139.30000000000001</v>
      </c>
      <c r="U255" s="95">
        <f>IF(ISNA(VLOOKUP($CZ255,'Audit Values'!$A$2:$BW$317,2,FALSE)),'Preliminary SO66'!AM254,VLOOKUP($CZ255,'Audit Values'!$A$2:$BW$317,62,FALSE))</f>
        <v>0</v>
      </c>
      <c r="V255" s="95">
        <f>(U255/6)*'Weighting Factors'!$Q$7</f>
        <v>0</v>
      </c>
      <c r="W255" s="132">
        <f>IF(ISNA(VLOOKUP($CZ255,'Audit Values'!$A$2:$BW$353,2,FALSE)),'Preliminary SO66'!AN254,VLOOKUP($CZ255,'Audit Values'!$A$2:$BW$353,61,FALSE))</f>
        <v>0</v>
      </c>
      <c r="X255" s="95">
        <f>W255*'Weighting Factors'!$Q$8</f>
        <v>0</v>
      </c>
      <c r="Y255" s="95">
        <f t="shared" si="122"/>
        <v>0</v>
      </c>
      <c r="Z255" s="276">
        <f>IF(ISNA(VLOOKUP($CZ255,'Audit Values'!$A$2:$BW$317,2,FALSE)),'Preliminary SO66'!AO254,VLOOKUP($CZ255,'Audit Values'!$A$2:$BW$317,60,FALSE))</f>
        <v>0</v>
      </c>
      <c r="AA255" s="95">
        <f>Z255/6*'Weighting Factors'!$Q$6</f>
        <v>0</v>
      </c>
      <c r="AB255" s="99">
        <f>IF(ISNA(VLOOKUP($CZ255,'Audit Values'!$A$2:$BU$353,2,FALSE)),'Preliminary SO66'!AS254,VLOOKUP($CZ255,'Audit Values'!$A$2:$BU$353,63,FALSE))</f>
        <v>192</v>
      </c>
      <c r="AC255" s="99">
        <v>0</v>
      </c>
      <c r="AD255" s="99">
        <f>IF(ISNA(VLOOKUP($CZ255,'Audit Values'!$A$2:$BU$353,2,FALSE)),'Preliminary SO66'!AP254,VLOOKUP($CZ255,'Audit Values'!$A$2:$BU$353,64,FALSE))</f>
        <v>77</v>
      </c>
      <c r="AE255" s="95">
        <f>IF(A255=207, AD255,MAX(AC255,AD255))*'Weighting Factors'!$Q$9</f>
        <v>37.299999999999997</v>
      </c>
      <c r="AF255" s="95">
        <f t="shared" si="123"/>
        <v>2.7</v>
      </c>
      <c r="AG255" s="95">
        <f>IF(ISNA(VLOOKUP($CZ255,'Audit Values'!$A$2:$BW$353,2,FALSE)),'Preliminary SO66'!AG254,VLOOKUP($CZ255,'Audit Values'!$A$2:$BW$353,70,FALSE))</f>
        <v>4.2</v>
      </c>
      <c r="AH255" s="95">
        <f t="shared" si="124"/>
        <v>4.2</v>
      </c>
      <c r="AI255" s="95">
        <f>IF(ISNA(VLOOKUP($CZ255,'Audit Values'!$A$2:$BU$353,2,FALSE)),'Preliminary SO66'!AQ254,VLOOKUP($CZ255,'Audit Values'!$A$2:$BU$353,65,FALSE))</f>
        <v>0</v>
      </c>
      <c r="AJ255" s="95">
        <f>AI255*'Weighting Factors'!$Q$10</f>
        <v>0</v>
      </c>
      <c r="AK255" s="95">
        <f>IF(ISNA(VLOOKUP($CZ255,'Audit Values'!$A$2:$BU$353,2,FALSE)),'Preliminary SO66'!AR254,VLOOKUP($CZ255,'Audit Values'!$A$2:$BU$353,66,FALSE))</f>
        <v>36</v>
      </c>
      <c r="AL255" s="95"/>
      <c r="AM255" s="99">
        <f t="shared" si="125"/>
        <v>48240</v>
      </c>
      <c r="AN255" s="99">
        <v>63558</v>
      </c>
      <c r="AO255" s="95">
        <f>MAX(AN255, AM255)/'Weighting Factors'!$Q$5</f>
        <v>15.3</v>
      </c>
      <c r="AP255" s="95">
        <f>CN255/'Weighting Factors'!$Q$5</f>
        <v>0</v>
      </c>
      <c r="AQ255" s="95">
        <v>0</v>
      </c>
      <c r="AR255" s="95">
        <f>CS255/'Weighting Factors'!$Q$5</f>
        <v>0</v>
      </c>
      <c r="AS255" s="99">
        <v>196691</v>
      </c>
      <c r="AT255" s="95">
        <f>AS255/'Weighting Factors'!$Q$5</f>
        <v>47.2</v>
      </c>
      <c r="AU255" s="95">
        <f>IF(ISNA(VLOOKUP($CZ255,'Audit Values'!$A$2:$BU$353,2,FALSE)),'Preliminary SO66'!X254,VLOOKUP($CZ255,'Audit Values'!$A$2:$BU$353,47,FALSE))</f>
        <v>0</v>
      </c>
      <c r="AV255" s="95">
        <f t="shared" si="126"/>
        <v>409.3</v>
      </c>
      <c r="AW255" s="95">
        <f t="shared" si="127"/>
        <v>362.1</v>
      </c>
      <c r="AX255" s="95">
        <f>IF(ISNA(VLOOKUP($CZ255,'Audit Values'!$A$2:$BU$353,2,FALSE)),'Preliminary SO66'!AA254,VLOOKUP($CZ255,'Audit Values'!$A$2:$BU$353,41,FALSE))</f>
        <v>0</v>
      </c>
      <c r="AY255" s="95">
        <f>IF(ISNA(VLOOKUP($CZ255,'Audit Values'!$A$2:$BU$353,2,FALSE)),'Preliminary SO66'!AB254,VLOOKUP($CZ255,'Audit Values'!$A$2:$BU$353,42,FALSE))</f>
        <v>0</v>
      </c>
      <c r="AZ255" s="114">
        <v>0</v>
      </c>
      <c r="BA255" s="99">
        <f>SUM(AX255*'Weighting Factors'!$T$10)+('2019 Legal Max'!AY255*'Weighting Factors'!$T$11)+('2019 Legal Max'!AZ255*'Weighting Factors'!$T$12)</f>
        <v>0</v>
      </c>
      <c r="BB255" s="158">
        <v>0</v>
      </c>
      <c r="BC255" s="88">
        <f>IF(ISNA(VLOOKUP($CZ255,'Audit Values'!$A$2:$BU$353,2,FALSE)),"",IF(AND('Weighting Factors'!H255&gt;0,VLOOKUP($CZ255,'Audit Values'!$A$2:$BU$353,51,FALSE)&lt;'Weighting Factors'!H255),'Weighting Factors'!H255,VLOOKUP($CZ255,'Audit Values'!$A$2:$BU$353,50,FALSE)))</f>
        <v>17</v>
      </c>
      <c r="BD255" s="88" t="str">
        <f>IF(ISNA(VLOOKUP($CZ255,'Audit Values'!$A$2:$BV$353,2,FALSE)),"",VLOOKUP($CZ255,'Audit Values'!$A$2:$BV$353,51,FALSE))</f>
        <v>A</v>
      </c>
      <c r="BE255" s="88" t="str">
        <f>IF('Weighting Factors'!H255="","",IF('Weighting Factors'!J255="Pending","PX","R"))</f>
        <v>R</v>
      </c>
      <c r="BF255" s="97">
        <f>SUM((S255+T255+Y255+AA255+AE255+AH255+AJ255++AO255+AP255+AQ255+AU255+AR255)*'Weighting Factors'!$Q$5)+'2019 Legal Max'!BA255+'2019 Legal Max'!BB255</f>
        <v>1508147</v>
      </c>
      <c r="BG255" s="99">
        <f>SUM((AV255+AR255)*'Weighting Factors'!$Q$5)+BA255+'2019 Legal Max'!BB255</f>
        <v>1704735</v>
      </c>
      <c r="BH255" s="108">
        <f>IF('Weighting Factors'!H255&gt;0,'Weighting Factors'!H255,'Preliminary SO66'!AV254)</f>
        <v>1745135</v>
      </c>
      <c r="BI255" s="99">
        <f t="shared" si="151"/>
        <v>1704735</v>
      </c>
      <c r="BJ255" s="112"/>
      <c r="BK255" s="112">
        <f>'Weighting Factors'!F255</f>
        <v>0</v>
      </c>
      <c r="BL255" s="112">
        <f>'Weighting Factors'!E255</f>
        <v>0</v>
      </c>
      <c r="BM255" s="99">
        <f t="shared" si="128"/>
        <v>0</v>
      </c>
      <c r="BN255" s="99">
        <f t="shared" si="129"/>
        <v>1704735</v>
      </c>
      <c r="BO255" s="99">
        <f>SUM((S255+T255+Y255+AA255+AE255+AH255+AJ255++AO255+AP255+AQ255+AR255)*'Weighting Factors'!Q$12)+(MAX(AS255,'Weighting Factors'!B255))</f>
        <v>1822520</v>
      </c>
      <c r="BP255" s="122">
        <v>0.3</v>
      </c>
      <c r="BQ255" s="99">
        <f t="shared" si="130"/>
        <v>546756</v>
      </c>
      <c r="BR255" s="108">
        <v>547969</v>
      </c>
      <c r="BS255" s="99">
        <f t="shared" si="131"/>
        <v>546756</v>
      </c>
      <c r="BT255" s="167">
        <f t="shared" si="132"/>
        <v>0.3</v>
      </c>
      <c r="BU255" s="95">
        <f t="shared" si="133"/>
        <v>0</v>
      </c>
      <c r="BV255" s="87" t="b">
        <f t="shared" si="134"/>
        <v>1</v>
      </c>
      <c r="BW255" s="117">
        <f t="shared" si="135"/>
        <v>637.23</v>
      </c>
      <c r="BX255" s="116">
        <f t="shared" si="136"/>
        <v>0.83938299999999999</v>
      </c>
      <c r="BY255" s="95">
        <f t="shared" si="137"/>
        <v>139.30000000000001</v>
      </c>
      <c r="BZ255" s="87" t="b">
        <f t="shared" si="138"/>
        <v>0</v>
      </c>
      <c r="CA255" s="87">
        <f t="shared" si="139"/>
        <v>0</v>
      </c>
      <c r="CB255" s="116">
        <f t="shared" si="140"/>
        <v>0</v>
      </c>
      <c r="CC255" s="95">
        <f t="shared" si="141"/>
        <v>0</v>
      </c>
      <c r="CD255" s="95">
        <f t="shared" si="142"/>
        <v>0</v>
      </c>
      <c r="CE255" s="98">
        <v>213</v>
      </c>
      <c r="CF255" s="250">
        <f t="shared" si="143"/>
        <v>0.16900000000000001</v>
      </c>
      <c r="CG255" s="274">
        <f>IF(CF255&lt;0.06,1,IF(CF255&gt;=18.29,52,MATCH(CF255-0.001,'Weighting Factors'!$Y$5:$Y$156)+1))</f>
        <v>12</v>
      </c>
      <c r="CH255" s="243">
        <f>VLOOKUP(CG255, 'Weighting Factors'!$W$5:$Z$56,4)</f>
        <v>1340</v>
      </c>
      <c r="CI255" s="118">
        <f>('Weighting Factors'!$Q$5/'Weighting Factors'!$Q$14)</f>
        <v>1</v>
      </c>
      <c r="CJ255" s="245">
        <f t="shared" si="144"/>
        <v>48240</v>
      </c>
      <c r="CK255" s="245">
        <f>CJ255*'Weighting Factors'!$S$7</f>
        <v>48240</v>
      </c>
      <c r="CL255" s="245">
        <f t="shared" si="145"/>
        <v>48240</v>
      </c>
      <c r="CM255" s="95">
        <f>AM255/'Weighting Factors'!$Q$5</f>
        <v>11.6</v>
      </c>
      <c r="CN255" s="148">
        <v>0</v>
      </c>
      <c r="CO255" s="148">
        <v>0</v>
      </c>
      <c r="CP255" s="149">
        <v>0</v>
      </c>
      <c r="CQ255" s="151">
        <v>0</v>
      </c>
      <c r="CR255" s="99">
        <f>SUM((AV255*'Weighting Factors'!$Q$5)+'2019 Legal Max'!BA255)*CQ255</f>
        <v>0</v>
      </c>
      <c r="CS255" s="99">
        <f t="shared" si="146"/>
        <v>0</v>
      </c>
      <c r="CT255" s="106">
        <f t="shared" si="147"/>
        <v>0.40100000000000002</v>
      </c>
      <c r="CU255" s="95">
        <f t="shared" si="148"/>
        <v>0</v>
      </c>
      <c r="CV255" s="95">
        <f t="shared" si="149"/>
        <v>2.7</v>
      </c>
      <c r="CW255" s="95">
        <f t="shared" si="150"/>
        <v>409.3</v>
      </c>
      <c r="CX255" s="99">
        <f>'LOB Transfers'!G254</f>
        <v>49809</v>
      </c>
      <c r="CY255" s="99">
        <f>'LOB Transfers'!J254</f>
        <v>0</v>
      </c>
      <c r="CZ255" s="87" t="s">
        <v>447</v>
      </c>
    </row>
    <row r="256" spans="1:104" ht="15" customHeight="1">
      <c r="A256" s="88">
        <v>473</v>
      </c>
      <c r="B256" s="87" t="s">
        <v>87</v>
      </c>
      <c r="C256" s="87" t="s">
        <v>768</v>
      </c>
      <c r="D256" s="95">
        <v>1032.2</v>
      </c>
      <c r="E256" s="95">
        <v>0</v>
      </c>
      <c r="F256" s="95">
        <f t="shared" si="117"/>
        <v>1032.2</v>
      </c>
      <c r="G256" s="95">
        <v>1085</v>
      </c>
      <c r="H256" s="95">
        <v>0</v>
      </c>
      <c r="I256" s="95">
        <f t="shared" si="118"/>
        <v>1085</v>
      </c>
      <c r="J256" s="95">
        <v>1056.5</v>
      </c>
      <c r="K256" s="95">
        <v>0</v>
      </c>
      <c r="L256" s="95">
        <f t="shared" si="119"/>
        <v>1056.5</v>
      </c>
      <c r="M256" s="95">
        <f>IF(ISNA(VLOOKUP($CZ256,'Audit Values'!$A$2:$BW$365,2,FALSE)),'Preliminary SO66'!C255,VLOOKUP($CZ256,'Audit Values'!$A$2:$BW$365,73,FALSE))</f>
        <v>1055</v>
      </c>
      <c r="N256" s="95">
        <f>IF(ISNA(VLOOKUP($CZ256,'Audit Values'!$A$2:$BW$365,2,FALSE)),'Preliminary SO66'!F255,VLOOKUP($CZ256,'Audit Values'!$A$2:$BW$365,4,FALSE))</f>
        <v>0</v>
      </c>
      <c r="O256" s="95">
        <f t="shared" si="120"/>
        <v>1055</v>
      </c>
      <c r="P256" s="95">
        <f>IF('Military Provision'!J257="YES", MAX('2019 Legal Max'!L256,'2019 Legal Max'!I256,AVERAGE('2019 Legal Max'!F256,'2019 Legal Max'!I256,'2019 Legal Max'!L256)), MAX(L256, I256))</f>
        <v>1085</v>
      </c>
      <c r="Q256" s="95">
        <f>IF(ISNA(VLOOKUP($CZ256,'Audit Values'!$A$2:$BU$353,2,FALSE)),'Preliminary SO66'!AL255,VLOOKUP($CZ256,'Audit Values'!$A$2:$BU$3955,58,FALSE))</f>
        <v>0</v>
      </c>
      <c r="R256" s="95">
        <v>0</v>
      </c>
      <c r="S256" s="95">
        <f t="shared" si="153"/>
        <v>1085</v>
      </c>
      <c r="T256" s="95">
        <f t="shared" si="121"/>
        <v>236</v>
      </c>
      <c r="U256" s="95">
        <f>IF(ISNA(VLOOKUP($CZ256,'Audit Values'!$A$2:$BW$317,2,FALSE)),'Preliminary SO66'!AM255,VLOOKUP($CZ256,'Audit Values'!$A$2:$BW$317,62,FALSE))</f>
        <v>6.3</v>
      </c>
      <c r="V256" s="95">
        <f>(U256/6)*'Weighting Factors'!$Q$7</f>
        <v>0.4</v>
      </c>
      <c r="W256" s="132">
        <f>IF(ISNA(VLOOKUP($CZ256,'Audit Values'!$A$2:$BW$353,2,FALSE)),'Preliminary SO66'!AN255,VLOOKUP($CZ256,'Audit Values'!$A$2:$BW$353,61,FALSE))</f>
        <v>4</v>
      </c>
      <c r="X256" s="95">
        <f>W256*'Weighting Factors'!$Q$8</f>
        <v>0.7</v>
      </c>
      <c r="Y256" s="95">
        <f t="shared" si="122"/>
        <v>0.7</v>
      </c>
      <c r="Z256" s="276">
        <f>IF(ISNA(VLOOKUP($CZ256,'Audit Values'!$A$2:$BW$317,2,FALSE)),'Preliminary SO66'!AO255,VLOOKUP($CZ256,'Audit Values'!$A$2:$BW$317,60,FALSE))</f>
        <v>291.2</v>
      </c>
      <c r="AA256" s="95">
        <f>Z256/6*'Weighting Factors'!$Q$6</f>
        <v>24.3</v>
      </c>
      <c r="AB256" s="99">
        <f>IF(ISNA(VLOOKUP($CZ256,'Audit Values'!$A$2:$BU$353,2,FALSE)),'Preliminary SO66'!AS255,VLOOKUP($CZ256,'Audit Values'!$A$2:$BU$353,63,FALSE))</f>
        <v>1055</v>
      </c>
      <c r="AC256" s="99">
        <v>0</v>
      </c>
      <c r="AD256" s="99">
        <f>IF(ISNA(VLOOKUP($CZ256,'Audit Values'!$A$2:$BU$353,2,FALSE)),'Preliminary SO66'!AP255,VLOOKUP($CZ256,'Audit Values'!$A$2:$BU$353,64,FALSE))</f>
        <v>335</v>
      </c>
      <c r="AE256" s="95">
        <f>IF(A256=207, AD256,MAX(AC256,AD256))*'Weighting Factors'!$Q$9</f>
        <v>162.1</v>
      </c>
      <c r="AF256" s="95">
        <f t="shared" si="123"/>
        <v>0</v>
      </c>
      <c r="AG256" s="95">
        <f>IF(ISNA(VLOOKUP($CZ256,'Audit Values'!$A$2:$BW$353,2,FALSE)),'Preliminary SO66'!AG255,VLOOKUP($CZ256,'Audit Values'!$A$2:$BW$353,70,FALSE))</f>
        <v>5.2</v>
      </c>
      <c r="AH256" s="95">
        <f t="shared" si="124"/>
        <v>5.2</v>
      </c>
      <c r="AI256" s="95">
        <f>IF(ISNA(VLOOKUP($CZ256,'Audit Values'!$A$2:$BU$353,2,FALSE)),'Preliminary SO66'!AQ255,VLOOKUP($CZ256,'Audit Values'!$A$2:$BU$353,65,FALSE))</f>
        <v>0</v>
      </c>
      <c r="AJ256" s="95">
        <f>AI256*'Weighting Factors'!$Q$10</f>
        <v>0</v>
      </c>
      <c r="AK256" s="95">
        <f>IF(ISNA(VLOOKUP($CZ256,'Audit Values'!$A$2:$BU$353,2,FALSE)),'Preliminary SO66'!AR255,VLOOKUP($CZ256,'Audit Values'!$A$2:$BU$353,66,FALSE))</f>
        <v>408</v>
      </c>
      <c r="AL256" s="95"/>
      <c r="AM256" s="99">
        <f t="shared" si="125"/>
        <v>412080</v>
      </c>
      <c r="AN256" s="99">
        <v>500760</v>
      </c>
      <c r="AO256" s="95">
        <f>MAX(AN256, AM256)/'Weighting Factors'!$Q$5</f>
        <v>120.2</v>
      </c>
      <c r="AP256" s="95">
        <f>CN256/'Weighting Factors'!$Q$5</f>
        <v>0</v>
      </c>
      <c r="AQ256" s="95">
        <v>0</v>
      </c>
      <c r="AR256" s="95">
        <f>CS256/'Weighting Factors'!$Q$5</f>
        <v>0</v>
      </c>
      <c r="AS256" s="99">
        <v>1111315</v>
      </c>
      <c r="AT256" s="95">
        <f>AS256/'Weighting Factors'!$Q$5</f>
        <v>266.8</v>
      </c>
      <c r="AU256" s="95">
        <f>IF(ISNA(VLOOKUP($CZ256,'Audit Values'!$A$2:$BU$353,2,FALSE)),'Preliminary SO66'!X255,VLOOKUP($CZ256,'Audit Values'!$A$2:$BU$353,47,FALSE))</f>
        <v>0</v>
      </c>
      <c r="AV256" s="95">
        <f t="shared" si="126"/>
        <v>1900.3</v>
      </c>
      <c r="AW256" s="95">
        <f t="shared" si="127"/>
        <v>1633.5</v>
      </c>
      <c r="AX256" s="95">
        <f>IF(ISNA(VLOOKUP($CZ256,'Audit Values'!$A$2:$BU$353,2,FALSE)),'Preliminary SO66'!AA255,VLOOKUP($CZ256,'Audit Values'!$A$2:$BU$353,41,FALSE))</f>
        <v>0</v>
      </c>
      <c r="AY256" s="95">
        <f>IF(ISNA(VLOOKUP($CZ256,'Audit Values'!$A$2:$BU$353,2,FALSE)),'Preliminary SO66'!AB255,VLOOKUP($CZ256,'Audit Values'!$A$2:$BU$353,42,FALSE))</f>
        <v>0</v>
      </c>
      <c r="AZ256" s="114">
        <v>0</v>
      </c>
      <c r="BA256" s="99">
        <f>SUM(AX256*'Weighting Factors'!$T$10)+('2019 Legal Max'!AY256*'Weighting Factors'!$T$11)+('2019 Legal Max'!AZ256*'Weighting Factors'!$T$12)</f>
        <v>0</v>
      </c>
      <c r="BB256" s="158">
        <v>0</v>
      </c>
      <c r="BC256" s="88">
        <f>IF(ISNA(VLOOKUP($CZ256,'Audit Values'!$A$2:$BU$353,2,FALSE)),"",IF(AND('Weighting Factors'!H256&gt;0,VLOOKUP($CZ256,'Audit Values'!$A$2:$BU$353,51,FALSE)&lt;'Weighting Factors'!H256),'Weighting Factors'!H256,VLOOKUP($CZ256,'Audit Values'!$A$2:$BU$353,50,FALSE)))</f>
        <v>19</v>
      </c>
      <c r="BD256" s="88" t="str">
        <f>IF(ISNA(VLOOKUP($CZ256,'Audit Values'!$A$2:$BV$353,2,FALSE)),"",VLOOKUP($CZ256,'Audit Values'!$A$2:$BV$353,51,FALSE))</f>
        <v>A</v>
      </c>
      <c r="BE256" s="88" t="str">
        <f>IF('Weighting Factors'!H256="","",IF('Weighting Factors'!J256="Pending","PX","R"))</f>
        <v/>
      </c>
      <c r="BF256" s="97">
        <f>SUM((S256+T256+Y256+AA256+AE256+AH256+AJ256++AO256+AP256+AQ256+AU256+AR256)*'Weighting Factors'!$Q$5)+'2019 Legal Max'!BA256+'2019 Legal Max'!BB256</f>
        <v>6803528</v>
      </c>
      <c r="BG256" s="99">
        <f>SUM((AV256+AR256)*'Weighting Factors'!$Q$5)+BA256+'2019 Legal Max'!BB256</f>
        <v>7914750</v>
      </c>
      <c r="BH256" s="108">
        <f>IF('Weighting Factors'!H256&gt;0,'Weighting Factors'!H256,'Preliminary SO66'!AV255)</f>
        <v>8104676</v>
      </c>
      <c r="BI256" s="99">
        <f t="shared" si="151"/>
        <v>7914750</v>
      </c>
      <c r="BJ256" s="112"/>
      <c r="BK256" s="112">
        <f>'Weighting Factors'!F256</f>
        <v>0</v>
      </c>
      <c r="BL256" s="112">
        <f>'Weighting Factors'!E256</f>
        <v>0</v>
      </c>
      <c r="BM256" s="99">
        <f t="shared" si="128"/>
        <v>0</v>
      </c>
      <c r="BN256" s="99">
        <f t="shared" si="129"/>
        <v>7914750</v>
      </c>
      <c r="BO256" s="99">
        <f>SUM((S256+T256+Y256+AA256+AE256+AH256+AJ256++AO256+AP256+AQ256+AR256)*'Weighting Factors'!Q$12)+(MAX(AS256,'Weighting Factors'!B256))</f>
        <v>8445730</v>
      </c>
      <c r="BP256" s="122">
        <v>0.3</v>
      </c>
      <c r="BQ256" s="99">
        <f t="shared" si="130"/>
        <v>2533719</v>
      </c>
      <c r="BR256" s="108">
        <v>2590402</v>
      </c>
      <c r="BS256" s="99">
        <f t="shared" si="131"/>
        <v>2533719</v>
      </c>
      <c r="BT256" s="167">
        <f t="shared" si="132"/>
        <v>0.3</v>
      </c>
      <c r="BU256" s="95">
        <f t="shared" si="133"/>
        <v>0</v>
      </c>
      <c r="BV256" s="87" t="b">
        <f t="shared" si="134"/>
        <v>0</v>
      </c>
      <c r="BW256" s="117">
        <f t="shared" si="135"/>
        <v>0</v>
      </c>
      <c r="BX256" s="116">
        <f t="shared" si="136"/>
        <v>0</v>
      </c>
      <c r="BY256" s="95">
        <f t="shared" si="137"/>
        <v>0</v>
      </c>
      <c r="BZ256" s="87" t="b">
        <f t="shared" si="138"/>
        <v>1</v>
      </c>
      <c r="CA256" s="87">
        <f t="shared" si="139"/>
        <v>971.4375</v>
      </c>
      <c r="CB256" s="116">
        <f t="shared" si="140"/>
        <v>0.21748400000000001</v>
      </c>
      <c r="CC256" s="95">
        <f t="shared" si="141"/>
        <v>236</v>
      </c>
      <c r="CD256" s="95">
        <f t="shared" si="142"/>
        <v>0</v>
      </c>
      <c r="CE256" s="98">
        <v>550</v>
      </c>
      <c r="CF256" s="250">
        <f t="shared" si="143"/>
        <v>0.74199999999999999</v>
      </c>
      <c r="CG256" s="274">
        <f>IF(CF256&lt;0.06,1,IF(CF256&gt;=18.29,52,MATCH(CF256-0.001,'Weighting Factors'!$Y$5:$Y$156)+1))</f>
        <v>29</v>
      </c>
      <c r="CH256" s="243">
        <f>VLOOKUP(CG256, 'Weighting Factors'!$W$5:$Z$56,4)</f>
        <v>1010</v>
      </c>
      <c r="CI256" s="118">
        <f>('Weighting Factors'!$Q$5/'Weighting Factors'!$Q$14)</f>
        <v>1</v>
      </c>
      <c r="CJ256" s="245">
        <f t="shared" si="144"/>
        <v>412080</v>
      </c>
      <c r="CK256" s="245">
        <f>CJ256*'Weighting Factors'!$S$7</f>
        <v>412080</v>
      </c>
      <c r="CL256" s="245">
        <f t="shared" si="145"/>
        <v>412080</v>
      </c>
      <c r="CM256" s="95">
        <f>AM256/'Weighting Factors'!$Q$5</f>
        <v>98.9</v>
      </c>
      <c r="CN256" s="148">
        <v>0</v>
      </c>
      <c r="CO256" s="148">
        <v>0</v>
      </c>
      <c r="CP256" s="149">
        <v>0</v>
      </c>
      <c r="CQ256" s="151">
        <v>0</v>
      </c>
      <c r="CR256" s="99">
        <f>SUM((AV256*'Weighting Factors'!$Q$5)+'2019 Legal Max'!BA256)*CQ256</f>
        <v>0</v>
      </c>
      <c r="CS256" s="99">
        <f t="shared" si="146"/>
        <v>0</v>
      </c>
      <c r="CT256" s="106">
        <f t="shared" si="147"/>
        <v>0.3175</v>
      </c>
      <c r="CU256" s="95">
        <f t="shared" si="148"/>
        <v>0</v>
      </c>
      <c r="CV256" s="95">
        <f t="shared" si="149"/>
        <v>0</v>
      </c>
      <c r="CW256" s="95">
        <f t="shared" si="150"/>
        <v>1900.3</v>
      </c>
      <c r="CX256" s="99">
        <f>'LOB Transfers'!G255</f>
        <v>216126</v>
      </c>
      <c r="CY256" s="99">
        <f>'LOB Transfers'!J255</f>
        <v>1013</v>
      </c>
      <c r="CZ256" s="87" t="s">
        <v>448</v>
      </c>
    </row>
    <row r="257" spans="1:104" ht="15" customHeight="1">
      <c r="A257" s="88">
        <v>474</v>
      </c>
      <c r="B257" s="87" t="s">
        <v>97</v>
      </c>
      <c r="C257" s="87" t="s">
        <v>769</v>
      </c>
      <c r="D257" s="95">
        <v>96.5</v>
      </c>
      <c r="E257" s="95">
        <v>0</v>
      </c>
      <c r="F257" s="95">
        <f t="shared" si="117"/>
        <v>96.5</v>
      </c>
      <c r="G257" s="95">
        <v>103.5</v>
      </c>
      <c r="H257" s="95">
        <v>0</v>
      </c>
      <c r="I257" s="95">
        <f t="shared" si="118"/>
        <v>103.5</v>
      </c>
      <c r="J257" s="95">
        <v>106.5</v>
      </c>
      <c r="K257" s="95">
        <v>0</v>
      </c>
      <c r="L257" s="95">
        <f t="shared" si="119"/>
        <v>106.5</v>
      </c>
      <c r="M257" s="95">
        <f>IF(ISNA(VLOOKUP($CZ257,'Audit Values'!$A$2:$BW$365,2,FALSE)),'Preliminary SO66'!C256,VLOOKUP($CZ257,'Audit Values'!$A$2:$BW$365,73,FALSE))</f>
        <v>108.5</v>
      </c>
      <c r="N257" s="95">
        <f>IF(ISNA(VLOOKUP($CZ257,'Audit Values'!$A$2:$BW$365,2,FALSE)),'Preliminary SO66'!F256,VLOOKUP($CZ257,'Audit Values'!$A$2:$BW$365,4,FALSE))</f>
        <v>0</v>
      </c>
      <c r="O257" s="95">
        <f t="shared" si="120"/>
        <v>108.5</v>
      </c>
      <c r="P257" s="95">
        <f>IF('Military Provision'!J258="YES", MAX('2019 Legal Max'!L257,'2019 Legal Max'!I257,AVERAGE('2019 Legal Max'!F257,'2019 Legal Max'!I257,'2019 Legal Max'!L257)), MAX(L257, I257))</f>
        <v>106.5</v>
      </c>
      <c r="Q257" s="95">
        <f>IF(ISNA(VLOOKUP($CZ257,'Audit Values'!$A$2:$BU$353,2,FALSE)),'Preliminary SO66'!AL256,VLOOKUP($CZ257,'Audit Values'!$A$2:$BU$3955,58,FALSE))</f>
        <v>0</v>
      </c>
      <c r="R257" s="95">
        <v>0</v>
      </c>
      <c r="S257" s="95">
        <f t="shared" si="153"/>
        <v>106.5</v>
      </c>
      <c r="T257" s="95">
        <f t="shared" si="121"/>
        <v>106.2</v>
      </c>
      <c r="U257" s="95">
        <f>IF(ISNA(VLOOKUP($CZ257,'Audit Values'!$A$2:$BW$317,2,FALSE)),'Preliminary SO66'!AM256,VLOOKUP($CZ257,'Audit Values'!$A$2:$BW$317,62,FALSE))</f>
        <v>0</v>
      </c>
      <c r="V257" s="95">
        <f>(U257/6)*'Weighting Factors'!$Q$7</f>
        <v>0</v>
      </c>
      <c r="W257" s="132">
        <f>IF(ISNA(VLOOKUP($CZ257,'Audit Values'!$A$2:$BW$353,2,FALSE)),'Preliminary SO66'!AN256,VLOOKUP($CZ257,'Audit Values'!$A$2:$BW$353,61,FALSE))</f>
        <v>0</v>
      </c>
      <c r="X257" s="95">
        <f>W257*'Weighting Factors'!$Q$8</f>
        <v>0</v>
      </c>
      <c r="Y257" s="95">
        <f t="shared" si="122"/>
        <v>0</v>
      </c>
      <c r="Z257" s="276">
        <f>IF(ISNA(VLOOKUP($CZ257,'Audit Values'!$A$2:$BW$317,2,FALSE)),'Preliminary SO66'!AO256,VLOOKUP($CZ257,'Audit Values'!$A$2:$BW$317,60,FALSE))</f>
        <v>37.1</v>
      </c>
      <c r="AA257" s="95">
        <f>Z257/6*'Weighting Factors'!$Q$6</f>
        <v>3.1</v>
      </c>
      <c r="AB257" s="99">
        <f>IF(ISNA(VLOOKUP($CZ257,'Audit Values'!$A$2:$BU$353,2,FALSE)),'Preliminary SO66'!AS256,VLOOKUP($CZ257,'Audit Values'!$A$2:$BU$353,63,FALSE))</f>
        <v>109</v>
      </c>
      <c r="AC257" s="99">
        <v>0</v>
      </c>
      <c r="AD257" s="99">
        <f>IF(ISNA(VLOOKUP($CZ257,'Audit Values'!$A$2:$BU$353,2,FALSE)),'Preliminary SO66'!AP256,VLOOKUP($CZ257,'Audit Values'!$A$2:$BU$353,64,FALSE))</f>
        <v>37</v>
      </c>
      <c r="AE257" s="95">
        <f>IF(A257=207, AD257,MAX(AC257,AD257))*'Weighting Factors'!$Q$9</f>
        <v>17.899999999999999</v>
      </c>
      <c r="AF257" s="95">
        <f t="shared" si="123"/>
        <v>0</v>
      </c>
      <c r="AG257" s="95">
        <f>IF(ISNA(VLOOKUP($CZ257,'Audit Values'!$A$2:$BW$353,2,FALSE)),'Preliminary SO66'!AG256,VLOOKUP($CZ257,'Audit Values'!$A$2:$BW$353,70,FALSE))</f>
        <v>0</v>
      </c>
      <c r="AH257" s="95">
        <f t="shared" si="124"/>
        <v>0</v>
      </c>
      <c r="AI257" s="95">
        <f>IF(ISNA(VLOOKUP($CZ257,'Audit Values'!$A$2:$BU$353,2,FALSE)),'Preliminary SO66'!AQ256,VLOOKUP($CZ257,'Audit Values'!$A$2:$BU$353,65,FALSE))</f>
        <v>0</v>
      </c>
      <c r="AJ257" s="95">
        <f>AI257*'Weighting Factors'!$Q$10</f>
        <v>0</v>
      </c>
      <c r="AK257" s="95">
        <f>IF(ISNA(VLOOKUP($CZ257,'Audit Values'!$A$2:$BU$353,2,FALSE)),'Preliminary SO66'!AR256,VLOOKUP($CZ257,'Audit Values'!$A$2:$BU$353,66,FALSE))</f>
        <v>43</v>
      </c>
      <c r="AL257" s="95"/>
      <c r="AM257" s="99">
        <f t="shared" si="125"/>
        <v>55900</v>
      </c>
      <c r="AN257" s="99">
        <v>72032</v>
      </c>
      <c r="AO257" s="95">
        <f>MAX(AN257, AM257)/'Weighting Factors'!$Q$5</f>
        <v>17.3</v>
      </c>
      <c r="AP257" s="95">
        <f>CN257/'Weighting Factors'!$Q$5</f>
        <v>0</v>
      </c>
      <c r="AQ257" s="95">
        <v>0</v>
      </c>
      <c r="AR257" s="95">
        <f>CS257/'Weighting Factors'!$Q$5</f>
        <v>0</v>
      </c>
      <c r="AS257" s="99">
        <v>130510</v>
      </c>
      <c r="AT257" s="95">
        <f>AS257/'Weighting Factors'!$Q$5</f>
        <v>31.3</v>
      </c>
      <c r="AU257" s="95">
        <f>IF(ISNA(VLOOKUP($CZ257,'Audit Values'!$A$2:$BU$353,2,FALSE)),'Preliminary SO66'!X256,VLOOKUP($CZ257,'Audit Values'!$A$2:$BU$353,47,FALSE))</f>
        <v>0</v>
      </c>
      <c r="AV257" s="95">
        <f t="shared" si="126"/>
        <v>282.3</v>
      </c>
      <c r="AW257" s="95">
        <f t="shared" si="127"/>
        <v>251</v>
      </c>
      <c r="AX257" s="95">
        <f>IF(ISNA(VLOOKUP($CZ257,'Audit Values'!$A$2:$BU$353,2,FALSE)),'Preliminary SO66'!AA256,VLOOKUP($CZ257,'Audit Values'!$A$2:$BU$353,41,FALSE))</f>
        <v>0</v>
      </c>
      <c r="AY257" s="95">
        <f>IF(ISNA(VLOOKUP($CZ257,'Audit Values'!$A$2:$BU$353,2,FALSE)),'Preliminary SO66'!AB256,VLOOKUP($CZ257,'Audit Values'!$A$2:$BU$353,42,FALSE))</f>
        <v>0</v>
      </c>
      <c r="AZ257" s="114">
        <v>0</v>
      </c>
      <c r="BA257" s="99">
        <f>SUM(AX257*'Weighting Factors'!$T$10)+('2019 Legal Max'!AY257*'Weighting Factors'!$T$11)+('2019 Legal Max'!AZ257*'Weighting Factors'!$T$12)</f>
        <v>0</v>
      </c>
      <c r="BB257" s="158">
        <v>0</v>
      </c>
      <c r="BC257" s="88">
        <f>IF(ISNA(VLOOKUP($CZ257,'Audit Values'!$A$2:$BU$353,2,FALSE)),"",IF(AND('Weighting Factors'!H257&gt;0,VLOOKUP($CZ257,'Audit Values'!$A$2:$BU$353,51,FALSE)&lt;'Weighting Factors'!H257),'Weighting Factors'!H257,VLOOKUP($CZ257,'Audit Values'!$A$2:$BU$353,50,FALSE)))</f>
        <v>17</v>
      </c>
      <c r="BD257" s="88" t="str">
        <f>IF(ISNA(VLOOKUP($CZ257,'Audit Values'!$A$2:$BV$353,2,FALSE)),"",VLOOKUP($CZ257,'Audit Values'!$A$2:$BV$353,51,FALSE))</f>
        <v>A</v>
      </c>
      <c r="BE257" s="88" t="str">
        <f>IF('Weighting Factors'!H257="","",IF('Weighting Factors'!J257="Pending","PX","R"))</f>
        <v/>
      </c>
      <c r="BF257" s="97">
        <f>SUM((S257+T257+Y257+AA257+AE257+AH257+AJ257++AO257+AP257+AQ257+AU257+AR257)*'Weighting Factors'!$Q$5)+'2019 Legal Max'!BA257+'2019 Legal Max'!BB257</f>
        <v>1045415</v>
      </c>
      <c r="BG257" s="99">
        <f>SUM((AV257+AR257)*'Weighting Factors'!$Q$5)+BA257+'2019 Legal Max'!BB257</f>
        <v>1175780</v>
      </c>
      <c r="BH257" s="108">
        <f>IF('Weighting Factors'!H257&gt;0,'Weighting Factors'!H257,'Preliminary SO66'!AV256)</f>
        <v>1189941</v>
      </c>
      <c r="BI257" s="99">
        <f t="shared" si="151"/>
        <v>1175780</v>
      </c>
      <c r="BJ257" s="112"/>
      <c r="BK257" s="112">
        <f>'Weighting Factors'!F257</f>
        <v>0</v>
      </c>
      <c r="BL257" s="112">
        <f>'Weighting Factors'!E257</f>
        <v>0</v>
      </c>
      <c r="BM257" s="99">
        <f t="shared" si="128"/>
        <v>0</v>
      </c>
      <c r="BN257" s="99">
        <f t="shared" si="129"/>
        <v>1175780</v>
      </c>
      <c r="BO257" s="99">
        <f>SUM((S257+T257+Y257+AA257+AE257+AH257+AJ257++AO257+AP257+AQ257+AR257)*'Weighting Factors'!Q$12)+(MAX(AS257,'Weighting Factors'!B257))</f>
        <v>1290735</v>
      </c>
      <c r="BP257" s="122">
        <v>0.3</v>
      </c>
      <c r="BQ257" s="99">
        <f t="shared" si="130"/>
        <v>387221</v>
      </c>
      <c r="BR257" s="108">
        <v>380880</v>
      </c>
      <c r="BS257" s="99">
        <f t="shared" si="131"/>
        <v>380880</v>
      </c>
      <c r="BT257" s="167">
        <f t="shared" si="132"/>
        <v>0.29509999999999997</v>
      </c>
      <c r="BU257" s="95">
        <f t="shared" si="133"/>
        <v>0</v>
      </c>
      <c r="BV257" s="87" t="b">
        <f t="shared" si="134"/>
        <v>1</v>
      </c>
      <c r="BW257" s="117">
        <f t="shared" si="135"/>
        <v>62.758000000000003</v>
      </c>
      <c r="BX257" s="116">
        <f t="shared" si="136"/>
        <v>0.99710100000000002</v>
      </c>
      <c r="BY257" s="95">
        <f t="shared" si="137"/>
        <v>106.2</v>
      </c>
      <c r="BZ257" s="87" t="b">
        <f t="shared" si="138"/>
        <v>0</v>
      </c>
      <c r="CA257" s="87">
        <f t="shared" si="139"/>
        <v>0</v>
      </c>
      <c r="CB257" s="116">
        <f t="shared" si="140"/>
        <v>0</v>
      </c>
      <c r="CC257" s="95">
        <f t="shared" si="141"/>
        <v>0</v>
      </c>
      <c r="CD257" s="95">
        <f t="shared" si="142"/>
        <v>0</v>
      </c>
      <c r="CE257" s="98">
        <v>234.9</v>
      </c>
      <c r="CF257" s="250">
        <f t="shared" si="143"/>
        <v>0.183</v>
      </c>
      <c r="CG257" s="274">
        <f>IF(CF257&lt;0.06,1,IF(CF257&gt;=18.29,52,MATCH(CF257-0.001,'Weighting Factors'!$Y$5:$Y$156)+1))</f>
        <v>14</v>
      </c>
      <c r="CH257" s="243">
        <f>VLOOKUP(CG257, 'Weighting Factors'!$W$5:$Z$56,4)</f>
        <v>1300</v>
      </c>
      <c r="CI257" s="118">
        <f>('Weighting Factors'!$Q$5/'Weighting Factors'!$Q$14)</f>
        <v>1</v>
      </c>
      <c r="CJ257" s="245">
        <f t="shared" si="144"/>
        <v>55900</v>
      </c>
      <c r="CK257" s="245">
        <f>CJ257*'Weighting Factors'!$S$7</f>
        <v>55900</v>
      </c>
      <c r="CL257" s="245">
        <f t="shared" si="145"/>
        <v>55900</v>
      </c>
      <c r="CM257" s="95">
        <f>AM257/'Weighting Factors'!$Q$5</f>
        <v>13.4</v>
      </c>
      <c r="CN257" s="148">
        <v>0</v>
      </c>
      <c r="CO257" s="148">
        <v>0</v>
      </c>
      <c r="CP257" s="149">
        <v>0</v>
      </c>
      <c r="CQ257" s="151">
        <v>0</v>
      </c>
      <c r="CR257" s="99">
        <f>SUM((AV257*'Weighting Factors'!$Q$5)+'2019 Legal Max'!BA257)*CQ257</f>
        <v>0</v>
      </c>
      <c r="CS257" s="99">
        <f t="shared" si="146"/>
        <v>0</v>
      </c>
      <c r="CT257" s="106">
        <f t="shared" si="147"/>
        <v>0.33939999999999998</v>
      </c>
      <c r="CU257" s="95">
        <f t="shared" si="148"/>
        <v>0</v>
      </c>
      <c r="CV257" s="95">
        <f t="shared" si="149"/>
        <v>0</v>
      </c>
      <c r="CW257" s="95">
        <f t="shared" si="150"/>
        <v>282.3</v>
      </c>
      <c r="CX257" s="99">
        <f>'LOB Transfers'!G256</f>
        <v>24148</v>
      </c>
      <c r="CY257" s="99">
        <f>'LOB Transfers'!J256</f>
        <v>0</v>
      </c>
      <c r="CZ257" s="87" t="s">
        <v>449</v>
      </c>
    </row>
    <row r="258" spans="1:104" ht="15" customHeight="1">
      <c r="A258" s="88">
        <v>475</v>
      </c>
      <c r="B258" s="87" t="s">
        <v>105</v>
      </c>
      <c r="C258" s="87" t="s">
        <v>770</v>
      </c>
      <c r="D258" s="95">
        <v>7268.5</v>
      </c>
      <c r="E258" s="95">
        <v>461.5</v>
      </c>
      <c r="F258" s="95">
        <f t="shared" si="117"/>
        <v>7730</v>
      </c>
      <c r="G258" s="95">
        <v>7591.2</v>
      </c>
      <c r="H258" s="248">
        <v>314</v>
      </c>
      <c r="I258" s="95">
        <f t="shared" si="118"/>
        <v>7905.2</v>
      </c>
      <c r="J258" s="95">
        <v>7220.6</v>
      </c>
      <c r="K258" s="95">
        <v>418.5</v>
      </c>
      <c r="L258" s="95">
        <f t="shared" si="119"/>
        <v>7639.1</v>
      </c>
      <c r="M258" s="95">
        <f>IF(ISNA(VLOOKUP($CZ258,'Audit Values'!$A$2:$BW$365,2,FALSE)),'Preliminary SO66'!C257,VLOOKUP($CZ258,'Audit Values'!$A$2:$BW$365,73,FALSE))</f>
        <v>6988.5</v>
      </c>
      <c r="N258" s="95">
        <f>IF(ISNA(VLOOKUP($CZ258,'Audit Values'!$A$2:$BW$365,2,FALSE)),'Preliminary SO66'!F257,VLOOKUP($CZ258,'Audit Values'!$A$2:$BW$365,4,FALSE))</f>
        <v>315.8</v>
      </c>
      <c r="O258" s="95">
        <f t="shared" si="120"/>
        <v>7304.3</v>
      </c>
      <c r="P258" s="95">
        <f>IF('Military Provision'!J259="YES", MAX('2019 Legal Max'!L258,'2019 Legal Max'!I258,AVERAGE('2019 Legal Max'!F258,'2019 Legal Max'!I258,'2019 Legal Max'!L258)), MAX(L258, I258))</f>
        <v>7905.2</v>
      </c>
      <c r="Q258" s="95">
        <f>IF(ISNA(VLOOKUP($CZ258,'Audit Values'!$A$2:$BU$353,2,FALSE)),'Preliminary SO66'!AL257,VLOOKUP($CZ258,'Audit Values'!$A$2:$BU$3955,58,FALSE))</f>
        <v>57.5</v>
      </c>
      <c r="R258" s="95">
        <v>0</v>
      </c>
      <c r="S258" s="95">
        <f t="shared" si="153"/>
        <v>7962.7</v>
      </c>
      <c r="T258" s="95">
        <f t="shared" si="121"/>
        <v>279</v>
      </c>
      <c r="U258" s="95">
        <f>IF(ISNA(VLOOKUP($CZ258,'Audit Values'!$A$2:$BW$317,2,FALSE)),'Preliminary SO66'!AM257,VLOOKUP($CZ258,'Audit Values'!$A$2:$BW$317,62,FALSE))</f>
        <v>1714.7</v>
      </c>
      <c r="V258" s="95">
        <f>(U258/6)*'Weighting Factors'!$Q$7</f>
        <v>112.9</v>
      </c>
      <c r="W258" s="132">
        <f>IF(ISNA(VLOOKUP($CZ258,'Audit Values'!$A$2:$BW$353,2,FALSE)),'Preliminary SO66'!AN257,VLOOKUP($CZ258,'Audit Values'!$A$2:$BW$353,61,FALSE))</f>
        <v>599</v>
      </c>
      <c r="X258" s="95">
        <f>W258*'Weighting Factors'!$Q$8</f>
        <v>110.8</v>
      </c>
      <c r="Y258" s="95">
        <f t="shared" si="122"/>
        <v>112.9</v>
      </c>
      <c r="Z258" s="276">
        <f>IF(ISNA(VLOOKUP($CZ258,'Audit Values'!$A$2:$BW$317,2,FALSE)),'Preliminary SO66'!AO257,VLOOKUP($CZ258,'Audit Values'!$A$2:$BW$317,60,FALSE))</f>
        <v>738.3</v>
      </c>
      <c r="AA258" s="95">
        <f>Z258/6*'Weighting Factors'!$Q$6</f>
        <v>61.5</v>
      </c>
      <c r="AB258" s="99">
        <f>IF(ISNA(VLOOKUP($CZ258,'Audit Values'!$A$2:$BU$353,2,FALSE)),'Preliminary SO66'!AS257,VLOOKUP($CZ258,'Audit Values'!$A$2:$BU$353,63,FALSE))</f>
        <v>7558</v>
      </c>
      <c r="AC258" s="99">
        <v>0</v>
      </c>
      <c r="AD258" s="99">
        <f>IF(ISNA(VLOOKUP($CZ258,'Audit Values'!$A$2:$BU$353,2,FALSE)),'Preliminary SO66'!AP257,VLOOKUP($CZ258,'Audit Values'!$A$2:$BU$353,64,FALSE))</f>
        <v>2846</v>
      </c>
      <c r="AE258" s="95">
        <f>IF(A258=207, AD258,MAX(AC258,AD258))*'Weighting Factors'!$Q$9</f>
        <v>1377.5</v>
      </c>
      <c r="AF258" s="95">
        <f t="shared" si="123"/>
        <v>53</v>
      </c>
      <c r="AG258" s="95">
        <f>IF(ISNA(VLOOKUP($CZ258,'Audit Values'!$A$2:$BW$353,2,FALSE)),'Preliminary SO66'!AG257,VLOOKUP($CZ258,'Audit Values'!$A$2:$BW$353,70,FALSE))</f>
        <v>115.1</v>
      </c>
      <c r="AH258" s="95">
        <f t="shared" si="124"/>
        <v>115.1</v>
      </c>
      <c r="AI258" s="95">
        <f>IF(ISNA(VLOOKUP($CZ258,'Audit Values'!$A$2:$BU$353,2,FALSE)),'Preliminary SO66'!AQ257,VLOOKUP($CZ258,'Audit Values'!$A$2:$BU$353,65,FALSE))</f>
        <v>0</v>
      </c>
      <c r="AJ258" s="95">
        <f>AI258*'Weighting Factors'!$Q$10</f>
        <v>0</v>
      </c>
      <c r="AK258" s="95">
        <f>IF(ISNA(VLOOKUP($CZ258,'Audit Values'!$A$2:$BU$353,2,FALSE)),'Preliminary SO66'!AR257,VLOOKUP($CZ258,'Audit Values'!$A$2:$BU$353,66,FALSE))</f>
        <v>1694</v>
      </c>
      <c r="AL258" s="95"/>
      <c r="AM258" s="99">
        <f t="shared" si="125"/>
        <v>1134980</v>
      </c>
      <c r="AN258" s="99">
        <v>1313532</v>
      </c>
      <c r="AO258" s="95">
        <f>MAX(AN258, AM258)/'Weighting Factors'!$Q$5</f>
        <v>315.39999999999998</v>
      </c>
      <c r="AP258" s="95">
        <f>CN258/'Weighting Factors'!$Q$5</f>
        <v>0</v>
      </c>
      <c r="AQ258" s="95">
        <v>0</v>
      </c>
      <c r="AR258" s="95">
        <f>CS258/'Weighting Factors'!$Q$5</f>
        <v>0</v>
      </c>
      <c r="AS258" s="99">
        <v>7758865</v>
      </c>
      <c r="AT258" s="95">
        <f>AS258/'Weighting Factors'!$Q$5</f>
        <v>1862.9</v>
      </c>
      <c r="AU258" s="95">
        <f>IF(ISNA(VLOOKUP($CZ258,'Audit Values'!$A$2:$BU$353,2,FALSE)),'Preliminary SO66'!X257,VLOOKUP($CZ258,'Audit Values'!$A$2:$BU$353,47,FALSE))</f>
        <v>1</v>
      </c>
      <c r="AV258" s="95">
        <f t="shared" si="126"/>
        <v>12088</v>
      </c>
      <c r="AW258" s="95">
        <f t="shared" si="127"/>
        <v>10225.1</v>
      </c>
      <c r="AX258" s="95">
        <f>IF(ISNA(VLOOKUP($CZ258,'Audit Values'!$A$2:$BU$353,2,FALSE)),'Preliminary SO66'!AA257,VLOOKUP($CZ258,'Audit Values'!$A$2:$BU$353,41,FALSE))</f>
        <v>3</v>
      </c>
      <c r="AY258" s="95">
        <f>IF(ISNA(VLOOKUP($CZ258,'Audit Values'!$A$2:$BU$353,2,FALSE)),'Preliminary SO66'!AB257,VLOOKUP($CZ258,'Audit Values'!$A$2:$BU$353,42,FALSE))</f>
        <v>1.8</v>
      </c>
      <c r="AZ258" s="114">
        <v>80</v>
      </c>
      <c r="BA258" s="99">
        <f>SUM(AX258*'Weighting Factors'!$T$10)+('2019 Legal Max'!AY258*'Weighting Factors'!$T$11)+('2019 Legal Max'!AZ258*'Weighting Factors'!$T$12)</f>
        <v>74780</v>
      </c>
      <c r="BB258" s="158">
        <v>0</v>
      </c>
      <c r="BC258" s="88">
        <f>IF(ISNA(VLOOKUP($CZ258,'Audit Values'!$A$2:$BU$353,2,FALSE)),"",IF(AND('Weighting Factors'!H258&gt;0,VLOOKUP($CZ258,'Audit Values'!$A$2:$BU$353,51,FALSE)&lt;'Weighting Factors'!H258),'Weighting Factors'!H258,VLOOKUP($CZ258,'Audit Values'!$A$2:$BU$353,50,FALSE)))</f>
        <v>26</v>
      </c>
      <c r="BD258" s="88" t="str">
        <f>IF(ISNA(VLOOKUP($CZ258,'Audit Values'!$A$2:$BV$353,2,FALSE)),"",VLOOKUP($CZ258,'Audit Values'!$A$2:$BV$353,51,FALSE))</f>
        <v>A</v>
      </c>
      <c r="BE258" s="88" t="str">
        <f>IF('Weighting Factors'!H258="","",IF('Weighting Factors'!J258="Pending","PX","R"))</f>
        <v/>
      </c>
      <c r="BF258" s="97">
        <f>SUM((S258+T258+Y258+AA258+AE258+AH258+AJ258++AO258+AP258+AQ258+AU258+AR258)*'Weighting Factors'!$Q$5)+'2019 Legal Max'!BA258+'2019 Legal Max'!BB258</f>
        <v>42662322</v>
      </c>
      <c r="BG258" s="99">
        <f>SUM((AV258+AR258)*'Weighting Factors'!$Q$5)+BA258+'2019 Legal Max'!BB258</f>
        <v>50421300</v>
      </c>
      <c r="BH258" s="108">
        <f>IF('Weighting Factors'!H258&gt;0,'Weighting Factors'!H258,'Preliminary SO66'!AV257)</f>
        <v>51208765</v>
      </c>
      <c r="BI258" s="99">
        <f t="shared" si="151"/>
        <v>50421300</v>
      </c>
      <c r="BJ258" s="112"/>
      <c r="BK258" s="112">
        <f>'Weighting Factors'!F258</f>
        <v>0</v>
      </c>
      <c r="BL258" s="112">
        <f>'Weighting Factors'!E258</f>
        <v>-12408</v>
      </c>
      <c r="BM258" s="99">
        <f t="shared" si="128"/>
        <v>-12408</v>
      </c>
      <c r="BN258" s="99">
        <f t="shared" si="129"/>
        <v>50408892</v>
      </c>
      <c r="BO258" s="99">
        <f>SUM((S258+T258+Y258+AA258+AE258+AH258+AJ258++AO258+AP258+AQ258+AR258)*'Weighting Factors'!Q$12)+(MAX(AS258,'Weighting Factors'!B258))</f>
        <v>53665074</v>
      </c>
      <c r="BP258" s="122">
        <v>0.3</v>
      </c>
      <c r="BQ258" s="99">
        <f t="shared" si="130"/>
        <v>16099522</v>
      </c>
      <c r="BR258" s="108">
        <v>16328877</v>
      </c>
      <c r="BS258" s="99">
        <f t="shared" si="131"/>
        <v>16099522</v>
      </c>
      <c r="BT258" s="167">
        <f t="shared" si="132"/>
        <v>0.3</v>
      </c>
      <c r="BU258" s="95">
        <f t="shared" si="133"/>
        <v>0</v>
      </c>
      <c r="BV258" s="87" t="b">
        <f t="shared" si="134"/>
        <v>0</v>
      </c>
      <c r="BW258" s="117">
        <f t="shared" si="135"/>
        <v>0</v>
      </c>
      <c r="BX258" s="116">
        <f t="shared" si="136"/>
        <v>0</v>
      </c>
      <c r="BY258" s="95">
        <f t="shared" si="137"/>
        <v>0</v>
      </c>
      <c r="BZ258" s="87" t="b">
        <f t="shared" si="138"/>
        <v>0</v>
      </c>
      <c r="CA258" s="87">
        <f t="shared" si="139"/>
        <v>0</v>
      </c>
      <c r="CB258" s="116">
        <f t="shared" si="140"/>
        <v>0</v>
      </c>
      <c r="CC258" s="95">
        <f t="shared" si="141"/>
        <v>0</v>
      </c>
      <c r="CD258" s="95">
        <f t="shared" si="142"/>
        <v>279</v>
      </c>
      <c r="CE258" s="98">
        <v>262</v>
      </c>
      <c r="CF258" s="250">
        <f t="shared" si="143"/>
        <v>6.4660000000000002</v>
      </c>
      <c r="CG258" s="274">
        <f>IF(CF258&lt;0.06,1,IF(CF258&gt;=18.29,52,MATCH(CF258-0.001,'Weighting Factors'!$Y$5:$Y$156)+1))</f>
        <v>46</v>
      </c>
      <c r="CH258" s="243">
        <f>VLOOKUP(CG258, 'Weighting Factors'!$W$5:$Z$56,4)</f>
        <v>670</v>
      </c>
      <c r="CI258" s="118">
        <f>('Weighting Factors'!$Q$5/'Weighting Factors'!$Q$14)</f>
        <v>1</v>
      </c>
      <c r="CJ258" s="245">
        <f t="shared" si="144"/>
        <v>1134980</v>
      </c>
      <c r="CK258" s="245">
        <f>CJ258*'Weighting Factors'!$S$7</f>
        <v>1134980</v>
      </c>
      <c r="CL258" s="245">
        <f t="shared" si="145"/>
        <v>1134980</v>
      </c>
      <c r="CM258" s="95">
        <f>AM258/'Weighting Factors'!$Q$5</f>
        <v>272.5</v>
      </c>
      <c r="CN258" s="148">
        <v>0</v>
      </c>
      <c r="CO258" s="148">
        <v>0</v>
      </c>
      <c r="CP258" s="149">
        <v>0</v>
      </c>
      <c r="CQ258" s="151">
        <v>0</v>
      </c>
      <c r="CR258" s="99">
        <f>SUM((AV258*'Weighting Factors'!$Q$5)+'2019 Legal Max'!BA258)*CQ258</f>
        <v>0</v>
      </c>
      <c r="CS258" s="99">
        <f t="shared" si="146"/>
        <v>0</v>
      </c>
      <c r="CT258" s="106">
        <f t="shared" si="147"/>
        <v>0.37659999999999999</v>
      </c>
      <c r="CU258" s="95">
        <f t="shared" si="148"/>
        <v>0</v>
      </c>
      <c r="CV258" s="95">
        <f t="shared" si="149"/>
        <v>53</v>
      </c>
      <c r="CW258" s="95">
        <f t="shared" si="150"/>
        <v>12088</v>
      </c>
      <c r="CX258" s="99">
        <f>'LOB Transfers'!G257</f>
        <v>1843395</v>
      </c>
      <c r="CY258" s="99">
        <f>'LOB Transfers'!J257</f>
        <v>151336</v>
      </c>
      <c r="CZ258" s="87" t="s">
        <v>450</v>
      </c>
    </row>
    <row r="259" spans="1:104" ht="15" customHeight="1">
      <c r="A259" s="88">
        <v>476</v>
      </c>
      <c r="B259" s="87" t="s">
        <v>5</v>
      </c>
      <c r="C259" s="87" t="s">
        <v>771</v>
      </c>
      <c r="D259" s="95">
        <v>88.5</v>
      </c>
      <c r="E259" s="95">
        <v>0</v>
      </c>
      <c r="F259" s="95">
        <f t="shared" si="117"/>
        <v>88.5</v>
      </c>
      <c r="G259" s="95">
        <v>85</v>
      </c>
      <c r="H259" s="95">
        <v>0</v>
      </c>
      <c r="I259" s="95">
        <f t="shared" si="118"/>
        <v>85</v>
      </c>
      <c r="J259" s="95">
        <v>91</v>
      </c>
      <c r="K259" s="95">
        <v>0</v>
      </c>
      <c r="L259" s="95">
        <f t="shared" si="119"/>
        <v>91</v>
      </c>
      <c r="M259" s="95">
        <f>IF(ISNA(VLOOKUP($CZ259,'Audit Values'!$A$2:$BW$365,2,FALSE)),'Preliminary SO66'!C258,VLOOKUP($CZ259,'Audit Values'!$A$2:$BW$365,73,FALSE))</f>
        <v>99</v>
      </c>
      <c r="N259" s="95">
        <f>IF(ISNA(VLOOKUP($CZ259,'Audit Values'!$A$2:$BW$365,2,FALSE)),'Preliminary SO66'!F258,VLOOKUP($CZ259,'Audit Values'!$A$2:$BW$365,4,FALSE))</f>
        <v>0</v>
      </c>
      <c r="O259" s="95">
        <f t="shared" si="120"/>
        <v>99</v>
      </c>
      <c r="P259" s="95">
        <f>IF('Military Provision'!J260="YES", MAX('2019 Legal Max'!L259,'2019 Legal Max'!I259,AVERAGE('2019 Legal Max'!F259,'2019 Legal Max'!I259,'2019 Legal Max'!L259)), MAX(L259, I259))</f>
        <v>91</v>
      </c>
      <c r="Q259" s="95">
        <f>IF(ISNA(VLOOKUP($CZ259,'Audit Values'!$A$2:$BU$353,2,FALSE)),'Preliminary SO66'!AL258,VLOOKUP($CZ259,'Audit Values'!$A$2:$BU$3955,58,FALSE))</f>
        <v>1</v>
      </c>
      <c r="R259" s="95">
        <v>0</v>
      </c>
      <c r="S259" s="95">
        <f t="shared" si="153"/>
        <v>92</v>
      </c>
      <c r="T259" s="95">
        <f t="shared" si="121"/>
        <v>93.3</v>
      </c>
      <c r="U259" s="95">
        <f>IF(ISNA(VLOOKUP($CZ259,'Audit Values'!$A$2:$BW$317,2,FALSE)),'Preliminary SO66'!AM258,VLOOKUP($CZ259,'Audit Values'!$A$2:$BW$317,62,FALSE))</f>
        <v>236.7</v>
      </c>
      <c r="V259" s="95">
        <f>(U259/6)*'Weighting Factors'!$Q$7</f>
        <v>15.6</v>
      </c>
      <c r="W259" s="132">
        <f>IF(ISNA(VLOOKUP($CZ259,'Audit Values'!$A$2:$BW$353,2,FALSE)),'Preliminary SO66'!AN258,VLOOKUP($CZ259,'Audit Values'!$A$2:$BW$353,61,FALSE))</f>
        <v>55</v>
      </c>
      <c r="X259" s="95">
        <f>W259*'Weighting Factors'!$Q$8</f>
        <v>10.199999999999999</v>
      </c>
      <c r="Y259" s="95">
        <f t="shared" si="122"/>
        <v>15.6</v>
      </c>
      <c r="Z259" s="276">
        <f>IF(ISNA(VLOOKUP($CZ259,'Audit Values'!$A$2:$BW$317,2,FALSE)),'Preliminary SO66'!AO258,VLOOKUP($CZ259,'Audit Values'!$A$2:$BW$317,60,FALSE))</f>
        <v>31.7</v>
      </c>
      <c r="AA259" s="95">
        <f>Z259/6*'Weighting Factors'!$Q$6</f>
        <v>2.6</v>
      </c>
      <c r="AB259" s="99">
        <f>IF(ISNA(VLOOKUP($CZ259,'Audit Values'!$A$2:$BU$353,2,FALSE)),'Preliminary SO66'!AS258,VLOOKUP($CZ259,'Audit Values'!$A$2:$BU$353,63,FALSE))</f>
        <v>101</v>
      </c>
      <c r="AC259" s="99">
        <v>0</v>
      </c>
      <c r="AD259" s="99">
        <f>IF(ISNA(VLOOKUP($CZ259,'Audit Values'!$A$2:$BU$353,2,FALSE)),'Preliminary SO66'!AP258,VLOOKUP($CZ259,'Audit Values'!$A$2:$BU$353,64,FALSE))</f>
        <v>38</v>
      </c>
      <c r="AE259" s="95">
        <f>IF(A259=207, AD259,MAX(AC259,AD259))*'Weighting Factors'!$Q$9</f>
        <v>18.399999999999999</v>
      </c>
      <c r="AF259" s="95">
        <f t="shared" si="123"/>
        <v>0.7</v>
      </c>
      <c r="AG259" s="95">
        <f>IF(ISNA(VLOOKUP($CZ259,'Audit Values'!$A$2:$BW$353,2,FALSE)),'Preliminary SO66'!AG258,VLOOKUP($CZ259,'Audit Values'!$A$2:$BW$353,70,FALSE))</f>
        <v>1</v>
      </c>
      <c r="AH259" s="95">
        <f t="shared" si="124"/>
        <v>1</v>
      </c>
      <c r="AI259" s="95">
        <f>IF(ISNA(VLOOKUP($CZ259,'Audit Values'!$A$2:$BU$353,2,FALSE)),'Preliminary SO66'!AQ258,VLOOKUP($CZ259,'Audit Values'!$A$2:$BU$353,65,FALSE))</f>
        <v>0</v>
      </c>
      <c r="AJ259" s="95">
        <f>AI259*'Weighting Factors'!$Q$10</f>
        <v>0</v>
      </c>
      <c r="AK259" s="95">
        <f>IF(ISNA(VLOOKUP($CZ259,'Audit Values'!$A$2:$BU$353,2,FALSE)),'Preliminary SO66'!AR258,VLOOKUP($CZ259,'Audit Values'!$A$2:$BU$353,66,FALSE))</f>
        <v>41</v>
      </c>
      <c r="AL259" s="95"/>
      <c r="AM259" s="99">
        <f t="shared" si="125"/>
        <v>52890</v>
      </c>
      <c r="AN259" s="99">
        <v>73573</v>
      </c>
      <c r="AO259" s="95">
        <f>MAX(AN259, AM259)/'Weighting Factors'!$Q$5</f>
        <v>17.7</v>
      </c>
      <c r="AP259" s="95">
        <f>CN259/'Weighting Factors'!$Q$5</f>
        <v>0</v>
      </c>
      <c r="AQ259" s="95">
        <v>0</v>
      </c>
      <c r="AR259" s="95">
        <f>CS259/'Weighting Factors'!$Q$5</f>
        <v>0</v>
      </c>
      <c r="AS259" s="99">
        <v>70090</v>
      </c>
      <c r="AT259" s="95">
        <f>AS259/'Weighting Factors'!$Q$5</f>
        <v>16.8</v>
      </c>
      <c r="AU259" s="95">
        <f>IF(ISNA(VLOOKUP($CZ259,'Audit Values'!$A$2:$BU$353,2,FALSE)),'Preliminary SO66'!X258,VLOOKUP($CZ259,'Audit Values'!$A$2:$BU$353,47,FALSE))</f>
        <v>0</v>
      </c>
      <c r="AV259" s="95">
        <f t="shared" si="126"/>
        <v>257.39999999999998</v>
      </c>
      <c r="AW259" s="95">
        <f t="shared" si="127"/>
        <v>240.6</v>
      </c>
      <c r="AX259" s="95">
        <f>IF(ISNA(VLOOKUP($CZ259,'Audit Values'!$A$2:$BU$353,2,FALSE)),'Preliminary SO66'!AA258,VLOOKUP($CZ259,'Audit Values'!$A$2:$BU$353,41,FALSE))</f>
        <v>7</v>
      </c>
      <c r="AY259" s="95">
        <f>IF(ISNA(VLOOKUP($CZ259,'Audit Values'!$A$2:$BU$353,2,FALSE)),'Preliminary SO66'!AB258,VLOOKUP($CZ259,'Audit Values'!$A$2:$BU$353,42,FALSE))</f>
        <v>0</v>
      </c>
      <c r="AZ259" s="114">
        <v>3</v>
      </c>
      <c r="BA259" s="99">
        <f>SUM(AX259*'Weighting Factors'!$T$10)+('2019 Legal Max'!AY259*'Weighting Factors'!$T$11)+('2019 Legal Max'!AZ259*'Weighting Factors'!$T$12)</f>
        <v>37127</v>
      </c>
      <c r="BB259" s="158">
        <v>0</v>
      </c>
      <c r="BC259" s="88">
        <f>IF(ISNA(VLOOKUP($CZ259,'Audit Values'!$A$2:$BU$353,2,FALSE)),"",IF(AND('Weighting Factors'!H259&gt;0,VLOOKUP($CZ259,'Audit Values'!$A$2:$BU$353,51,FALSE)&lt;'Weighting Factors'!H259),'Weighting Factors'!H259,VLOOKUP($CZ259,'Audit Values'!$A$2:$BU$353,50,FALSE)))</f>
        <v>4</v>
      </c>
      <c r="BD259" s="88" t="str">
        <f>IF(ISNA(VLOOKUP($CZ259,'Audit Values'!$A$2:$BV$353,2,FALSE)),"",VLOOKUP($CZ259,'Audit Values'!$A$2:$BV$353,51,FALSE))</f>
        <v>A</v>
      </c>
      <c r="BE259" s="88" t="str">
        <f>IF('Weighting Factors'!H259="","",IF('Weighting Factors'!J259="Pending","PX","R"))</f>
        <v/>
      </c>
      <c r="BF259" s="97">
        <f>SUM((S259+T259+Y259+AA259+AE259+AH259+AJ259++AO259+AP259+AQ259+AU259+AR259)*'Weighting Factors'!$Q$5)+'2019 Legal Max'!BA259+'2019 Legal Max'!BB259</f>
        <v>1039226</v>
      </c>
      <c r="BG259" s="99">
        <f>SUM((AV259+AR259)*'Weighting Factors'!$Q$5)+BA259+'2019 Legal Max'!BB259</f>
        <v>1109198</v>
      </c>
      <c r="BH259" s="108">
        <f>IF('Weighting Factors'!H259&gt;0,'Weighting Factors'!H259,'Preliminary SO66'!AV258)</f>
        <v>1184544</v>
      </c>
      <c r="BI259" s="99">
        <f t="shared" si="151"/>
        <v>1109198</v>
      </c>
      <c r="BJ259" s="112"/>
      <c r="BK259" s="112">
        <f>'Weighting Factors'!F259</f>
        <v>0</v>
      </c>
      <c r="BL259" s="112">
        <f>'Weighting Factors'!E259</f>
        <v>0</v>
      </c>
      <c r="BM259" s="99">
        <f t="shared" si="128"/>
        <v>0</v>
      </c>
      <c r="BN259" s="99">
        <f t="shared" si="129"/>
        <v>1109198</v>
      </c>
      <c r="BO259" s="99">
        <f>SUM((S259+T259+Y259+AA259+AE259+AH259+AJ259++AO259+AP259+AQ259+AR259)*'Weighting Factors'!Q$12)+(MAX(AS259,'Weighting Factors'!B259))</f>
        <v>1182444</v>
      </c>
      <c r="BP259" s="122">
        <v>0.3</v>
      </c>
      <c r="BQ259" s="99">
        <f t="shared" si="130"/>
        <v>354733</v>
      </c>
      <c r="BR259" s="108">
        <v>371975</v>
      </c>
      <c r="BS259" s="99">
        <f t="shared" si="131"/>
        <v>354733</v>
      </c>
      <c r="BT259" s="167">
        <f t="shared" si="132"/>
        <v>0.3</v>
      </c>
      <c r="BU259" s="95">
        <f t="shared" si="133"/>
        <v>93.3</v>
      </c>
      <c r="BV259" s="87" t="b">
        <f t="shared" si="134"/>
        <v>0</v>
      </c>
      <c r="BW259" s="117">
        <f t="shared" si="135"/>
        <v>0</v>
      </c>
      <c r="BX259" s="116">
        <f t="shared" si="136"/>
        <v>0</v>
      </c>
      <c r="BY259" s="95">
        <f t="shared" si="137"/>
        <v>0</v>
      </c>
      <c r="BZ259" s="87" t="b">
        <f t="shared" si="138"/>
        <v>0</v>
      </c>
      <c r="CA259" s="87">
        <f t="shared" si="139"/>
        <v>0</v>
      </c>
      <c r="CB259" s="116">
        <f t="shared" si="140"/>
        <v>0</v>
      </c>
      <c r="CC259" s="95">
        <f t="shared" si="141"/>
        <v>0</v>
      </c>
      <c r="CD259" s="95">
        <f t="shared" si="142"/>
        <v>0</v>
      </c>
      <c r="CE259" s="98">
        <v>200</v>
      </c>
      <c r="CF259" s="250">
        <f t="shared" si="143"/>
        <v>0.20499999999999999</v>
      </c>
      <c r="CG259" s="274">
        <f>IF(CF259&lt;0.06,1,IF(CF259&gt;=18.29,52,MATCH(CF259-0.001,'Weighting Factors'!$Y$5:$Y$156)+1))</f>
        <v>15</v>
      </c>
      <c r="CH259" s="243">
        <f>VLOOKUP(CG259, 'Weighting Factors'!$W$5:$Z$56,4)</f>
        <v>1290</v>
      </c>
      <c r="CI259" s="118">
        <f>('Weighting Factors'!$Q$5/'Weighting Factors'!$Q$14)</f>
        <v>1</v>
      </c>
      <c r="CJ259" s="245">
        <f t="shared" si="144"/>
        <v>52890</v>
      </c>
      <c r="CK259" s="245">
        <f>CJ259*'Weighting Factors'!$S$7</f>
        <v>52890</v>
      </c>
      <c r="CL259" s="245">
        <f t="shared" si="145"/>
        <v>52890</v>
      </c>
      <c r="CM259" s="95">
        <f>AM259/'Weighting Factors'!$Q$5</f>
        <v>12.7</v>
      </c>
      <c r="CN259" s="148">
        <v>0</v>
      </c>
      <c r="CO259" s="148">
        <v>0</v>
      </c>
      <c r="CP259" s="149">
        <v>0</v>
      </c>
      <c r="CQ259" s="151">
        <v>0</v>
      </c>
      <c r="CR259" s="99">
        <f>SUM((AV259*'Weighting Factors'!$Q$5)+'2019 Legal Max'!BA259)*CQ259</f>
        <v>0</v>
      </c>
      <c r="CS259" s="99">
        <f t="shared" si="146"/>
        <v>0</v>
      </c>
      <c r="CT259" s="106">
        <f t="shared" si="147"/>
        <v>0.37619999999999998</v>
      </c>
      <c r="CU259" s="95">
        <f t="shared" si="148"/>
        <v>0</v>
      </c>
      <c r="CV259" s="95">
        <f t="shared" si="149"/>
        <v>0.7</v>
      </c>
      <c r="CW259" s="95">
        <f t="shared" si="150"/>
        <v>257.39999999999998</v>
      </c>
      <c r="CX259" s="99">
        <f>'LOB Transfers'!G258</f>
        <v>25470</v>
      </c>
      <c r="CY259" s="99">
        <f>'LOB Transfers'!J258</f>
        <v>21568</v>
      </c>
      <c r="CZ259" s="87" t="s">
        <v>451</v>
      </c>
    </row>
    <row r="260" spans="1:104" ht="15" customHeight="1">
      <c r="A260" s="88">
        <v>477</v>
      </c>
      <c r="B260" s="87" t="s">
        <v>5</v>
      </c>
      <c r="C260" s="87" t="s">
        <v>772</v>
      </c>
      <c r="D260" s="95">
        <v>230</v>
      </c>
      <c r="E260" s="95">
        <v>0</v>
      </c>
      <c r="F260" s="95">
        <f t="shared" si="117"/>
        <v>230</v>
      </c>
      <c r="G260" s="95">
        <v>210</v>
      </c>
      <c r="H260" s="95">
        <v>0</v>
      </c>
      <c r="I260" s="95">
        <f t="shared" si="118"/>
        <v>210</v>
      </c>
      <c r="J260" s="95">
        <v>234</v>
      </c>
      <c r="K260" s="95">
        <v>0</v>
      </c>
      <c r="L260" s="95">
        <f t="shared" si="119"/>
        <v>234</v>
      </c>
      <c r="M260" s="95">
        <f>IF(ISNA(VLOOKUP($CZ260,'Audit Values'!$A$2:$BW$365,2,FALSE)),'Preliminary SO66'!C259,VLOOKUP($CZ260,'Audit Values'!$A$2:$BW$365,73,FALSE))</f>
        <v>217</v>
      </c>
      <c r="N260" s="95">
        <f>IF(ISNA(VLOOKUP($CZ260,'Audit Values'!$A$2:$BW$365,2,FALSE)),'Preliminary SO66'!F259,VLOOKUP($CZ260,'Audit Values'!$A$2:$BW$365,4,FALSE))</f>
        <v>0</v>
      </c>
      <c r="O260" s="95">
        <f t="shared" si="120"/>
        <v>217</v>
      </c>
      <c r="P260" s="95">
        <f>IF('Military Provision'!J261="YES", MAX('2019 Legal Max'!L260,'2019 Legal Max'!I260,AVERAGE('2019 Legal Max'!F260,'2019 Legal Max'!I260,'2019 Legal Max'!L260)), MAX(L260, I260))</f>
        <v>234</v>
      </c>
      <c r="Q260" s="95">
        <f>IF(ISNA(VLOOKUP($CZ260,'Audit Values'!$A$2:$BU$353,2,FALSE)),'Preliminary SO66'!AL259,VLOOKUP($CZ260,'Audit Values'!$A$2:$BU$3955,58,FALSE))</f>
        <v>3.5</v>
      </c>
      <c r="R260" s="95">
        <v>0</v>
      </c>
      <c r="S260" s="95">
        <f t="shared" si="153"/>
        <v>237.5</v>
      </c>
      <c r="T260" s="95">
        <f t="shared" si="121"/>
        <v>154.30000000000001</v>
      </c>
      <c r="U260" s="95">
        <f>IF(ISNA(VLOOKUP($CZ260,'Audit Values'!$A$2:$BW$317,2,FALSE)),'Preliminary SO66'!AM259,VLOOKUP($CZ260,'Audit Values'!$A$2:$BW$317,62,FALSE))</f>
        <v>93.7</v>
      </c>
      <c r="V260" s="95">
        <f>(U260/6)*'Weighting Factors'!$Q$7</f>
        <v>6.2</v>
      </c>
      <c r="W260" s="132">
        <f>IF(ISNA(VLOOKUP($CZ260,'Audit Values'!$A$2:$BW$353,2,FALSE)),'Preliminary SO66'!AN259,VLOOKUP($CZ260,'Audit Values'!$A$2:$BW$353,61,FALSE))</f>
        <v>19</v>
      </c>
      <c r="X260" s="95">
        <f>W260*'Weighting Factors'!$Q$8</f>
        <v>3.5</v>
      </c>
      <c r="Y260" s="95">
        <f t="shared" si="122"/>
        <v>6.2</v>
      </c>
      <c r="Z260" s="276">
        <f>IF(ISNA(VLOOKUP($CZ260,'Audit Values'!$A$2:$BW$317,2,FALSE)),'Preliminary SO66'!AO259,VLOOKUP($CZ260,'Audit Values'!$A$2:$BW$317,60,FALSE))</f>
        <v>0</v>
      </c>
      <c r="AA260" s="95">
        <f>Z260/6*'Weighting Factors'!$Q$6</f>
        <v>0</v>
      </c>
      <c r="AB260" s="99">
        <f>IF(ISNA(VLOOKUP($CZ260,'Audit Values'!$A$2:$BU$353,2,FALSE)),'Preliminary SO66'!AS259,VLOOKUP($CZ260,'Audit Values'!$A$2:$BU$353,63,FALSE))</f>
        <v>224</v>
      </c>
      <c r="AC260" s="99">
        <v>0</v>
      </c>
      <c r="AD260" s="99">
        <f>IF(ISNA(VLOOKUP($CZ260,'Audit Values'!$A$2:$BU$353,2,FALSE)),'Preliminary SO66'!AP259,VLOOKUP($CZ260,'Audit Values'!$A$2:$BU$353,64,FALSE))</f>
        <v>55</v>
      </c>
      <c r="AE260" s="95">
        <f>IF(A260=207, AD260,MAX(AC260,AD260))*'Weighting Factors'!$Q$9</f>
        <v>26.6</v>
      </c>
      <c r="AF260" s="95">
        <f t="shared" si="123"/>
        <v>0</v>
      </c>
      <c r="AG260" s="95">
        <f>IF(ISNA(VLOOKUP($CZ260,'Audit Values'!$A$2:$BW$353,2,FALSE)),'Preliminary SO66'!AG259,VLOOKUP($CZ260,'Audit Values'!$A$2:$BW$353,70,FALSE))</f>
        <v>0</v>
      </c>
      <c r="AH260" s="95">
        <f t="shared" si="124"/>
        <v>0</v>
      </c>
      <c r="AI260" s="95">
        <f>IF(ISNA(VLOOKUP($CZ260,'Audit Values'!$A$2:$BU$353,2,FALSE)),'Preliminary SO66'!AQ259,VLOOKUP($CZ260,'Audit Values'!$A$2:$BU$353,65,FALSE))</f>
        <v>0</v>
      </c>
      <c r="AJ260" s="95">
        <f>AI260*'Weighting Factors'!$Q$10</f>
        <v>0</v>
      </c>
      <c r="AK260" s="95">
        <f>IF(ISNA(VLOOKUP($CZ260,'Audit Values'!$A$2:$BU$353,2,FALSE)),'Preliminary SO66'!AR259,VLOOKUP($CZ260,'Audit Values'!$A$2:$BU$353,66,FALSE))</f>
        <v>48</v>
      </c>
      <c r="AL260" s="95"/>
      <c r="AM260" s="99">
        <f t="shared" si="125"/>
        <v>62400</v>
      </c>
      <c r="AN260" s="99">
        <v>93989</v>
      </c>
      <c r="AO260" s="95">
        <f>MAX(AN260, AM260)/'Weighting Factors'!$Q$5</f>
        <v>22.6</v>
      </c>
      <c r="AP260" s="95">
        <f>CN260/'Weighting Factors'!$Q$5</f>
        <v>0</v>
      </c>
      <c r="AQ260" s="95">
        <v>0</v>
      </c>
      <c r="AR260" s="95">
        <f>CS260/'Weighting Factors'!$Q$5</f>
        <v>0</v>
      </c>
      <c r="AS260" s="99">
        <v>160444</v>
      </c>
      <c r="AT260" s="95">
        <f>AS260/'Weighting Factors'!$Q$5</f>
        <v>38.5</v>
      </c>
      <c r="AU260" s="95">
        <f>IF(ISNA(VLOOKUP($CZ260,'Audit Values'!$A$2:$BU$353,2,FALSE)),'Preliminary SO66'!X259,VLOOKUP($CZ260,'Audit Values'!$A$2:$BU$353,47,FALSE))</f>
        <v>0</v>
      </c>
      <c r="AV260" s="95">
        <f t="shared" si="126"/>
        <v>485.7</v>
      </c>
      <c r="AW260" s="95">
        <f t="shared" si="127"/>
        <v>447.2</v>
      </c>
      <c r="AX260" s="95">
        <f>IF(ISNA(VLOOKUP($CZ260,'Audit Values'!$A$2:$BU$353,2,FALSE)),'Preliminary SO66'!AA259,VLOOKUP($CZ260,'Audit Values'!$A$2:$BU$353,41,FALSE))</f>
        <v>0</v>
      </c>
      <c r="AY260" s="95">
        <f>IF(ISNA(VLOOKUP($CZ260,'Audit Values'!$A$2:$BU$353,2,FALSE)),'Preliminary SO66'!AB259,VLOOKUP($CZ260,'Audit Values'!$A$2:$BU$353,42,FALSE))</f>
        <v>0</v>
      </c>
      <c r="AZ260" s="114">
        <v>0</v>
      </c>
      <c r="BA260" s="99">
        <f>SUM(AX260*'Weighting Factors'!$T$10)+('2019 Legal Max'!AY260*'Weighting Factors'!$T$11)+('2019 Legal Max'!AZ260*'Weighting Factors'!$T$12)</f>
        <v>0</v>
      </c>
      <c r="BB260" s="158">
        <v>0</v>
      </c>
      <c r="BC260" s="88">
        <f>IF(ISNA(VLOOKUP($CZ260,'Audit Values'!$A$2:$BU$353,2,FALSE)),"",IF(AND('Weighting Factors'!H260&gt;0,VLOOKUP($CZ260,'Audit Values'!$A$2:$BU$353,51,FALSE)&lt;'Weighting Factors'!H260),'Weighting Factors'!H260,VLOOKUP($CZ260,'Audit Values'!$A$2:$BU$353,50,FALSE)))</f>
        <v>4</v>
      </c>
      <c r="BD260" s="88" t="str">
        <f>IF(ISNA(VLOOKUP($CZ260,'Audit Values'!$A$2:$BV$353,2,FALSE)),"",VLOOKUP($CZ260,'Audit Values'!$A$2:$BV$353,51,FALSE))</f>
        <v>A</v>
      </c>
      <c r="BE260" s="88" t="str">
        <f>IF('Weighting Factors'!H260="","",IF('Weighting Factors'!J260="Pending","PX","R"))</f>
        <v/>
      </c>
      <c r="BF260" s="97">
        <f>SUM((S260+T260+Y260+AA260+AE260+AH260+AJ260++AO260+AP260+AQ260+AU260+AR260)*'Weighting Factors'!$Q$5)+'2019 Legal Max'!BA260+'2019 Legal Max'!BB260</f>
        <v>1862588</v>
      </c>
      <c r="BG260" s="99">
        <f>SUM((AV260+AR260)*'Weighting Factors'!$Q$5)+BA260+'2019 Legal Max'!BB260</f>
        <v>2022941</v>
      </c>
      <c r="BH260" s="108">
        <f>IF('Weighting Factors'!H260&gt;0,'Weighting Factors'!H260,'Preliminary SO66'!AV259)</f>
        <v>2090414</v>
      </c>
      <c r="BI260" s="99">
        <f t="shared" si="151"/>
        <v>2022941</v>
      </c>
      <c r="BJ260" s="112"/>
      <c r="BK260" s="112">
        <f>'Weighting Factors'!F260</f>
        <v>0</v>
      </c>
      <c r="BL260" s="112">
        <f>'Weighting Factors'!E260</f>
        <v>0</v>
      </c>
      <c r="BM260" s="99">
        <f t="shared" si="128"/>
        <v>0</v>
      </c>
      <c r="BN260" s="99">
        <f t="shared" si="129"/>
        <v>2022941</v>
      </c>
      <c r="BO260" s="99">
        <f>SUM((S260+T260+Y260+AA260+AE260+AH260+AJ260++AO260+AP260+AQ260+AR260)*'Weighting Factors'!Q$12)+(MAX(AS260,'Weighting Factors'!B260))</f>
        <v>2215887</v>
      </c>
      <c r="BP260" s="122">
        <v>0.33</v>
      </c>
      <c r="BQ260" s="99">
        <f t="shared" si="130"/>
        <v>731243</v>
      </c>
      <c r="BR260" s="108">
        <v>741170</v>
      </c>
      <c r="BS260" s="99">
        <f t="shared" si="131"/>
        <v>731243</v>
      </c>
      <c r="BT260" s="167">
        <f t="shared" si="132"/>
        <v>0.33</v>
      </c>
      <c r="BU260" s="95">
        <f t="shared" si="133"/>
        <v>0</v>
      </c>
      <c r="BV260" s="87" t="b">
        <f t="shared" si="134"/>
        <v>1</v>
      </c>
      <c r="BW260" s="117">
        <f t="shared" si="135"/>
        <v>1327.5630000000001</v>
      </c>
      <c r="BX260" s="116">
        <f t="shared" si="136"/>
        <v>0.64985599999999999</v>
      </c>
      <c r="BY260" s="95">
        <f t="shared" si="137"/>
        <v>154.30000000000001</v>
      </c>
      <c r="BZ260" s="87" t="b">
        <f t="shared" si="138"/>
        <v>0</v>
      </c>
      <c r="CA260" s="87">
        <f t="shared" si="139"/>
        <v>0</v>
      </c>
      <c r="CB260" s="116">
        <f t="shared" si="140"/>
        <v>0</v>
      </c>
      <c r="CC260" s="95">
        <f t="shared" si="141"/>
        <v>0</v>
      </c>
      <c r="CD260" s="95">
        <f t="shared" si="142"/>
        <v>0</v>
      </c>
      <c r="CE260" s="98">
        <v>267</v>
      </c>
      <c r="CF260" s="250">
        <f t="shared" si="143"/>
        <v>0.18</v>
      </c>
      <c r="CG260" s="274">
        <f>IF(CF260&lt;0.06,1,IF(CF260&gt;=18.29,52,MATCH(CF260-0.001,'Weighting Factors'!$Y$5:$Y$156)+1))</f>
        <v>14</v>
      </c>
      <c r="CH260" s="243">
        <f>VLOOKUP(CG260, 'Weighting Factors'!$W$5:$Z$56,4)</f>
        <v>1300</v>
      </c>
      <c r="CI260" s="118">
        <f>('Weighting Factors'!$Q$5/'Weighting Factors'!$Q$14)</f>
        <v>1</v>
      </c>
      <c r="CJ260" s="245">
        <f t="shared" si="144"/>
        <v>62400</v>
      </c>
      <c r="CK260" s="245">
        <f>CJ260*'Weighting Factors'!$S$7</f>
        <v>62400</v>
      </c>
      <c r="CL260" s="245">
        <f t="shared" si="145"/>
        <v>62400</v>
      </c>
      <c r="CM260" s="95">
        <f>AM260/'Weighting Factors'!$Q$5</f>
        <v>15</v>
      </c>
      <c r="CN260" s="148">
        <v>0</v>
      </c>
      <c r="CO260" s="148">
        <v>0</v>
      </c>
      <c r="CP260" s="149">
        <v>0</v>
      </c>
      <c r="CQ260" s="151">
        <v>0</v>
      </c>
      <c r="CR260" s="99">
        <f>SUM((AV260*'Weighting Factors'!$Q$5)+'2019 Legal Max'!BA260)*CQ260</f>
        <v>0</v>
      </c>
      <c r="CS260" s="99">
        <f t="shared" si="146"/>
        <v>0</v>
      </c>
      <c r="CT260" s="106">
        <f t="shared" si="147"/>
        <v>0.2455</v>
      </c>
      <c r="CU260" s="95">
        <f t="shared" si="148"/>
        <v>0</v>
      </c>
      <c r="CV260" s="95">
        <f t="shared" si="149"/>
        <v>0</v>
      </c>
      <c r="CW260" s="95">
        <f t="shared" si="150"/>
        <v>485.7</v>
      </c>
      <c r="CX260" s="99">
        <f>'LOB Transfers'!G259</f>
        <v>40365</v>
      </c>
      <c r="CY260" s="99">
        <f>'LOB Transfers'!J259</f>
        <v>9433</v>
      </c>
      <c r="CZ260" s="87" t="s">
        <v>452</v>
      </c>
    </row>
    <row r="261" spans="1:104" ht="15" customHeight="1">
      <c r="A261" s="88">
        <v>479</v>
      </c>
      <c r="B261" s="87" t="s">
        <v>71</v>
      </c>
      <c r="C261" s="87" t="s">
        <v>773</v>
      </c>
      <c r="D261" s="95">
        <v>190</v>
      </c>
      <c r="E261" s="95">
        <v>0</v>
      </c>
      <c r="F261" s="95">
        <f t="shared" ref="F261:F290" si="154">D261+E261</f>
        <v>190</v>
      </c>
      <c r="G261" s="95">
        <v>217</v>
      </c>
      <c r="H261" s="95">
        <v>0</v>
      </c>
      <c r="I261" s="95">
        <f t="shared" ref="I261:I290" si="155">G261+H261</f>
        <v>217</v>
      </c>
      <c r="J261" s="95">
        <v>219</v>
      </c>
      <c r="K261" s="95">
        <v>0</v>
      </c>
      <c r="L261" s="95">
        <f t="shared" ref="L261:L290" si="156">J261+K261</f>
        <v>219</v>
      </c>
      <c r="M261" s="95">
        <f>IF(ISNA(VLOOKUP($CZ261,'Audit Values'!$A$2:$BW$365,2,FALSE)),'Preliminary SO66'!C260,VLOOKUP($CZ261,'Audit Values'!$A$2:$BW$365,73,FALSE))</f>
        <v>210.7</v>
      </c>
      <c r="N261" s="95">
        <f>IF(ISNA(VLOOKUP($CZ261,'Audit Values'!$A$2:$BW$365,2,FALSE)),'Preliminary SO66'!F260,VLOOKUP($CZ261,'Audit Values'!$A$2:$BW$365,4,FALSE))</f>
        <v>0</v>
      </c>
      <c r="O261" s="95">
        <f t="shared" ref="O261:O290" si="157">M261+N261</f>
        <v>210.7</v>
      </c>
      <c r="P261" s="95">
        <f>IF('Military Provision'!J262="YES", MAX('2019 Legal Max'!L261,'2019 Legal Max'!I261,AVERAGE('2019 Legal Max'!F261,'2019 Legal Max'!I261,'2019 Legal Max'!L261)), MAX(L261, I261))</f>
        <v>219</v>
      </c>
      <c r="Q261" s="95">
        <f>IF(ISNA(VLOOKUP($CZ261,'Audit Values'!$A$2:$BU$353,2,FALSE)),'Preliminary SO66'!AL260,VLOOKUP($CZ261,'Audit Values'!$A$2:$BU$3955,58,FALSE))</f>
        <v>2.5</v>
      </c>
      <c r="R261" s="95">
        <v>0</v>
      </c>
      <c r="S261" s="95">
        <f t="shared" si="153"/>
        <v>221.5</v>
      </c>
      <c r="T261" s="95">
        <f t="shared" ref="T261:T290" si="158">MAX(BU261, BY261, CC261, CD261)</f>
        <v>153.30000000000001</v>
      </c>
      <c r="U261" s="95">
        <f>IF(ISNA(VLOOKUP($CZ261,'Audit Values'!$A$2:$BW$317,2,FALSE)),'Preliminary SO66'!AM260,VLOOKUP($CZ261,'Audit Values'!$A$2:$BW$317,62,FALSE))</f>
        <v>0</v>
      </c>
      <c r="V261" s="95">
        <f>(U261/6)*'Weighting Factors'!$Q$7</f>
        <v>0</v>
      </c>
      <c r="W261" s="132">
        <f>IF(ISNA(VLOOKUP($CZ261,'Audit Values'!$A$2:$BW$353,2,FALSE)),'Preliminary SO66'!AN260,VLOOKUP($CZ261,'Audit Values'!$A$2:$BW$353,61,FALSE))</f>
        <v>0</v>
      </c>
      <c r="X261" s="95">
        <f>W261*'Weighting Factors'!$Q$8</f>
        <v>0</v>
      </c>
      <c r="Y261" s="95">
        <f t="shared" ref="Y261:Y290" si="159">MAX(V261,X261)</f>
        <v>0</v>
      </c>
      <c r="Z261" s="276">
        <f>IF(ISNA(VLOOKUP($CZ261,'Audit Values'!$A$2:$BW$317,2,FALSE)),'Preliminary SO66'!AO260,VLOOKUP($CZ261,'Audit Values'!$A$2:$BW$317,60,FALSE))</f>
        <v>88.4</v>
      </c>
      <c r="AA261" s="95">
        <f>Z261/6*'Weighting Factors'!$Q$6</f>
        <v>7.4</v>
      </c>
      <c r="AB261" s="99">
        <f>IF(ISNA(VLOOKUP($CZ261,'Audit Values'!$A$2:$BU$353,2,FALSE)),'Preliminary SO66'!AS260,VLOOKUP($CZ261,'Audit Values'!$A$2:$BU$353,63,FALSE))</f>
        <v>218</v>
      </c>
      <c r="AC261" s="99">
        <v>0</v>
      </c>
      <c r="AD261" s="99">
        <f>IF(ISNA(VLOOKUP($CZ261,'Audit Values'!$A$2:$BU$353,2,FALSE)),'Preliminary SO66'!AP260,VLOOKUP($CZ261,'Audit Values'!$A$2:$BU$353,64,FALSE))</f>
        <v>80</v>
      </c>
      <c r="AE261" s="95">
        <f>IF(A261=207, AD261,MAX(AC261,AD261))*'Weighting Factors'!$Q$9</f>
        <v>38.700000000000003</v>
      </c>
      <c r="AF261" s="95">
        <f t="shared" ref="AF261:AF290" si="160">MAX(CU261,CV261)</f>
        <v>1</v>
      </c>
      <c r="AG261" s="95">
        <f>IF(ISNA(VLOOKUP($CZ261,'Audit Values'!$A$2:$BW$353,2,FALSE)),'Preliminary SO66'!AG260,VLOOKUP($CZ261,'Audit Values'!$A$2:$BW$353,70,FALSE))</f>
        <v>1</v>
      </c>
      <c r="AH261" s="95">
        <f t="shared" ref="AH261:AH290" si="161">MAX(AF261, AG261)</f>
        <v>1</v>
      </c>
      <c r="AI261" s="95">
        <f>IF(ISNA(VLOOKUP($CZ261,'Audit Values'!$A$2:$BU$353,2,FALSE)),'Preliminary SO66'!AQ260,VLOOKUP($CZ261,'Audit Values'!$A$2:$BU$353,65,FALSE))</f>
        <v>0</v>
      </c>
      <c r="AJ261" s="95">
        <f>AI261*'Weighting Factors'!$Q$10</f>
        <v>0</v>
      </c>
      <c r="AK261" s="95">
        <f>IF(ISNA(VLOOKUP($CZ261,'Audit Values'!$A$2:$BU$353,2,FALSE)),'Preliminary SO66'!AR260,VLOOKUP($CZ261,'Audit Values'!$A$2:$BU$353,66,FALSE))</f>
        <v>87</v>
      </c>
      <c r="AL261" s="95"/>
      <c r="AM261" s="99">
        <f t="shared" ref="AM261:AM290" si="162">CL261</f>
        <v>94830</v>
      </c>
      <c r="AN261" s="99">
        <v>107471</v>
      </c>
      <c r="AO261" s="95">
        <f>MAX(AN261, AM261)/'Weighting Factors'!$Q$5</f>
        <v>25.8</v>
      </c>
      <c r="AP261" s="95">
        <f>CN261/'Weighting Factors'!$Q$5</f>
        <v>0</v>
      </c>
      <c r="AQ261" s="95">
        <v>0</v>
      </c>
      <c r="AR261" s="95">
        <f>CS261/'Weighting Factors'!$Q$5</f>
        <v>0</v>
      </c>
      <c r="AS261" s="99">
        <v>322869</v>
      </c>
      <c r="AT261" s="95">
        <f>AS261/'Weighting Factors'!$Q$5</f>
        <v>77.5</v>
      </c>
      <c r="AU261" s="95">
        <f>IF(ISNA(VLOOKUP($CZ261,'Audit Values'!$A$2:$BU$353,2,FALSE)),'Preliminary SO66'!X260,VLOOKUP($CZ261,'Audit Values'!$A$2:$BU$353,47,FALSE))</f>
        <v>0</v>
      </c>
      <c r="AV261" s="95">
        <f t="shared" ref="AV261:AV290" si="163">SUM(S261+T261+Y261+AA261+AE261+AH261+AJ261++AO261+AP261+AQ261+AT261+AU261)</f>
        <v>525.20000000000005</v>
      </c>
      <c r="AW261" s="95">
        <f t="shared" ref="AW261:AW290" si="164">SUM(S261+T261+Y261+AA261+AE261+AH261+AJ261++AO261+AP261+AQ261+AR261+AU261)</f>
        <v>447.7</v>
      </c>
      <c r="AX261" s="95">
        <f>IF(ISNA(VLOOKUP($CZ261,'Audit Values'!$A$2:$BU$353,2,FALSE)),'Preliminary SO66'!AA260,VLOOKUP($CZ261,'Audit Values'!$A$2:$BU$353,41,FALSE))</f>
        <v>0</v>
      </c>
      <c r="AY261" s="95">
        <f>IF(ISNA(VLOOKUP($CZ261,'Audit Values'!$A$2:$BU$353,2,FALSE)),'Preliminary SO66'!AB260,VLOOKUP($CZ261,'Audit Values'!$A$2:$BU$353,42,FALSE))</f>
        <v>0</v>
      </c>
      <c r="AZ261" s="114">
        <v>0</v>
      </c>
      <c r="BA261" s="99">
        <f>SUM(AX261*'Weighting Factors'!$T$10)+('2019 Legal Max'!AY261*'Weighting Factors'!$T$11)+('2019 Legal Max'!AZ261*'Weighting Factors'!$T$12)</f>
        <v>0</v>
      </c>
      <c r="BB261" s="158">
        <v>0</v>
      </c>
      <c r="BC261" s="88">
        <f>IF(ISNA(VLOOKUP($CZ261,'Audit Values'!$A$2:$BU$353,2,FALSE)),"",IF(AND('Weighting Factors'!H261&gt;0,VLOOKUP($CZ261,'Audit Values'!$A$2:$BU$353,51,FALSE)&lt;'Weighting Factors'!H261),'Weighting Factors'!H261,VLOOKUP($CZ261,'Audit Values'!$A$2:$BU$353,50,FALSE)))</f>
        <v>19</v>
      </c>
      <c r="BD261" s="88" t="str">
        <f>IF(ISNA(VLOOKUP($CZ261,'Audit Values'!$A$2:$BV$353,2,FALSE)),"",VLOOKUP($CZ261,'Audit Values'!$A$2:$BV$353,51,FALSE))</f>
        <v>A</v>
      </c>
      <c r="BE261" s="88" t="str">
        <f>IF('Weighting Factors'!H261="","",IF('Weighting Factors'!J261="Pending","PX","R"))</f>
        <v/>
      </c>
      <c r="BF261" s="97">
        <f>SUM((S261+T261+Y261+AA261+AE261+AH261+AJ261++AO261+AP261+AQ261+AU261+AR261)*'Weighting Factors'!$Q$5)+'2019 Legal Max'!BA261+'2019 Legal Max'!BB261</f>
        <v>1864671</v>
      </c>
      <c r="BG261" s="99">
        <f>SUM((AV261+AR261)*'Weighting Factors'!$Q$5)+BA261+'2019 Legal Max'!BB261</f>
        <v>2187458</v>
      </c>
      <c r="BH261" s="108">
        <f>IF('Weighting Factors'!H261&gt;0,'Weighting Factors'!H261,'Preliminary SO66'!AV260)</f>
        <v>2343229</v>
      </c>
      <c r="BI261" s="99">
        <f t="shared" si="151"/>
        <v>2187458</v>
      </c>
      <c r="BJ261" s="112"/>
      <c r="BK261" s="112">
        <f>'Weighting Factors'!F261</f>
        <v>0</v>
      </c>
      <c r="BL261" s="112">
        <f>'Weighting Factors'!E261</f>
        <v>0</v>
      </c>
      <c r="BM261" s="99">
        <f t="shared" ref="BM261:BM290" si="165">SUM(BJ261:BL261)</f>
        <v>0</v>
      </c>
      <c r="BN261" s="99">
        <f t="shared" ref="BN261:BN290" si="166">BI261+BM261</f>
        <v>2187458</v>
      </c>
      <c r="BO261" s="99">
        <f>SUM((S261+T261+Y261+AA261+AE261+AH261+AJ261++AO261+AP261+AQ261+AR261)*'Weighting Factors'!Q$12)+(MAX(AS261,'Weighting Factors'!B261))</f>
        <v>2333042</v>
      </c>
      <c r="BP261" s="122">
        <v>0.3</v>
      </c>
      <c r="BQ261" s="99">
        <f t="shared" ref="BQ261:BQ290" si="167">BO261*BP261</f>
        <v>699913</v>
      </c>
      <c r="BR261" s="108">
        <v>476500</v>
      </c>
      <c r="BS261" s="99">
        <f t="shared" ref="BS261:BS290" si="168">MIN(BQ261,BR261)</f>
        <v>476500</v>
      </c>
      <c r="BT261" s="167">
        <f t="shared" ref="BT261:BT290" si="169">BS261/BO261</f>
        <v>0.20419999999999999</v>
      </c>
      <c r="BU261" s="95">
        <f t="shared" ref="BU261:BU290" si="170">ROUND(IF(S261&lt;=99.9,(S261*1.014331),0),1)</f>
        <v>0</v>
      </c>
      <c r="BV261" s="87" t="b">
        <f t="shared" ref="BV261:BV290" si="171">AND(S261&gt;99.9,S261&lt;=299.9)</f>
        <v>1</v>
      </c>
      <c r="BW261" s="117">
        <f t="shared" ref="BW261:BW290" si="172">IF(BV261=TRUE,ROUND((S261-100)*9.655,3),0)</f>
        <v>1173.0830000000001</v>
      </c>
      <c r="BX261" s="116">
        <f t="shared" ref="BX261:BX290" si="173">IF(BV261=TRUE,ROUND(((7337-BW261)/3642.4)-1,6),0)</f>
        <v>0.69226799999999999</v>
      </c>
      <c r="BY261" s="95">
        <f t="shared" ref="BY261:BY290" si="174">ROUND(BX261*S261,1)</f>
        <v>153.30000000000001</v>
      </c>
      <c r="BZ261" s="87" t="b">
        <f t="shared" ref="BZ261:BZ290" si="175">AND(S261&gt;299.9,S261&lt;=1621.9)</f>
        <v>0</v>
      </c>
      <c r="CA261" s="87">
        <f t="shared" ref="CA261:CA290" si="176">IF(BZ261=TRUE,ROUND((S261-300)*1.2375,4),0)</f>
        <v>0</v>
      </c>
      <c r="CB261" s="116">
        <f t="shared" ref="CB261:CB290" si="177">IF(BZ261=TRUE,ROUND(((5406-CA261)/3642.4)-1,6),0)</f>
        <v>0</v>
      </c>
      <c r="CC261" s="95">
        <f t="shared" ref="CC261:CC290" si="178">ROUND(CB261*S261,1)</f>
        <v>0</v>
      </c>
      <c r="CD261" s="95">
        <f t="shared" ref="CD261:CD290" si="179">ROUND(IF(S261&gt;=1622,(S261*0.03504),0),1)</f>
        <v>0</v>
      </c>
      <c r="CE261" s="98">
        <v>177</v>
      </c>
      <c r="CF261" s="250">
        <f t="shared" ref="CF261:CF290" si="180">AK261/CE261</f>
        <v>0.49199999999999999</v>
      </c>
      <c r="CG261" s="274">
        <f>IF(CF261&lt;0.06,1,IF(CF261&gt;=18.29,52,MATCH(CF261-0.001,'Weighting Factors'!$Y$5:$Y$156)+1))</f>
        <v>25</v>
      </c>
      <c r="CH261" s="243">
        <f>VLOOKUP(CG261, 'Weighting Factors'!$W$5:$Z$56,4)</f>
        <v>1090</v>
      </c>
      <c r="CI261" s="118">
        <f>('Weighting Factors'!$Q$5/'Weighting Factors'!$Q$14)</f>
        <v>1</v>
      </c>
      <c r="CJ261" s="245">
        <f t="shared" ref="CJ261:CJ290" si="181">AK261*CH261</f>
        <v>94830</v>
      </c>
      <c r="CK261" s="245">
        <f>CJ261*'Weighting Factors'!$S$7</f>
        <v>94830</v>
      </c>
      <c r="CL261" s="245">
        <f t="shared" ref="CL261:CL290" si="182">CK261*CI261</f>
        <v>94830</v>
      </c>
      <c r="CM261" s="95">
        <f>AM261/'Weighting Factors'!$Q$5</f>
        <v>22.8</v>
      </c>
      <c r="CN261" s="148">
        <v>0</v>
      </c>
      <c r="CO261" s="148">
        <v>0</v>
      </c>
      <c r="CP261" s="149">
        <v>0</v>
      </c>
      <c r="CQ261" s="151">
        <v>0</v>
      </c>
      <c r="CR261" s="99">
        <f>SUM((AV261*'Weighting Factors'!$Q$5)+'2019 Legal Max'!BA261)*CQ261</f>
        <v>0</v>
      </c>
      <c r="CS261" s="99">
        <f t="shared" ref="CS261:CS290" si="183">IF(CP261&gt;CR261,CR261,CP261)</f>
        <v>0</v>
      </c>
      <c r="CT261" s="106">
        <f t="shared" ref="CT261:CT290" si="184">AD261/AB261</f>
        <v>0.36699999999999999</v>
      </c>
      <c r="CU261" s="95">
        <f t="shared" ref="CU261:CU290" si="185">IF(CT261&gt;=50%,AD261*10.5%,0)</f>
        <v>0</v>
      </c>
      <c r="CV261" s="95">
        <f t="shared" ref="CV261:CV290" si="186">IF(AND(CT261&gt;35%,CT261&lt;50%),AD261*(CT261-35%)*0.7,0)</f>
        <v>1</v>
      </c>
      <c r="CW261" s="95">
        <f t="shared" ref="CW261:CW290" si="187">AW261+AT261</f>
        <v>525.20000000000005</v>
      </c>
      <c r="CX261" s="99">
        <f>'LOB Transfers'!G260</f>
        <v>35261</v>
      </c>
      <c r="CY261" s="99">
        <f>'LOB Transfers'!J260</f>
        <v>0</v>
      </c>
      <c r="CZ261" s="87" t="s">
        <v>453</v>
      </c>
    </row>
    <row r="262" spans="1:104" ht="15" customHeight="1">
      <c r="A262" s="88">
        <v>480</v>
      </c>
      <c r="B262" s="87" t="s">
        <v>106</v>
      </c>
      <c r="C262" s="87" t="s">
        <v>774</v>
      </c>
      <c r="D262" s="95">
        <v>4666.5</v>
      </c>
      <c r="E262" s="95">
        <v>0</v>
      </c>
      <c r="F262" s="95">
        <f t="shared" si="154"/>
        <v>4666.5</v>
      </c>
      <c r="G262" s="95">
        <v>4775.5</v>
      </c>
      <c r="H262" s="95">
        <v>0</v>
      </c>
      <c r="I262" s="95">
        <f t="shared" si="155"/>
        <v>4775.5</v>
      </c>
      <c r="J262" s="95">
        <v>4756</v>
      </c>
      <c r="K262" s="95">
        <v>0</v>
      </c>
      <c r="L262" s="95">
        <f t="shared" si="156"/>
        <v>4756</v>
      </c>
      <c r="M262" s="95">
        <f>IF(ISNA(VLOOKUP($CZ262,'Audit Values'!$A$2:$BW$365,2,FALSE)),'Preliminary SO66'!C261,VLOOKUP($CZ262,'Audit Values'!$A$2:$BW$365,73,FALSE))</f>
        <v>4666</v>
      </c>
      <c r="N262" s="95">
        <f>IF(ISNA(VLOOKUP($CZ262,'Audit Values'!$A$2:$BW$365,2,FALSE)),'Preliminary SO66'!F261,VLOOKUP($CZ262,'Audit Values'!$A$2:$BW$365,4,FALSE))</f>
        <v>0</v>
      </c>
      <c r="O262" s="95">
        <f t="shared" si="157"/>
        <v>4666</v>
      </c>
      <c r="P262" s="95">
        <f>IF('Military Provision'!J263="YES", MAX('2019 Legal Max'!L262,'2019 Legal Max'!I262,AVERAGE('2019 Legal Max'!F262,'2019 Legal Max'!I262,'2019 Legal Max'!L262)), MAX(L262, I262))</f>
        <v>4775.5</v>
      </c>
      <c r="Q262" s="95">
        <f>IF(ISNA(VLOOKUP($CZ262,'Audit Values'!$A$2:$BU$353,2,FALSE)),'Preliminary SO66'!AL261,VLOOKUP($CZ262,'Audit Values'!$A$2:$BU$3955,58,FALSE))</f>
        <v>84.5</v>
      </c>
      <c r="R262" s="95">
        <v>0</v>
      </c>
      <c r="S262" s="95">
        <f t="shared" si="153"/>
        <v>4860</v>
      </c>
      <c r="T262" s="95">
        <f t="shared" si="158"/>
        <v>170.3</v>
      </c>
      <c r="U262" s="95">
        <f>IF(ISNA(VLOOKUP($CZ262,'Audit Values'!$A$2:$BW$317,2,FALSE)),'Preliminary SO66'!AM261,VLOOKUP($CZ262,'Audit Values'!$A$2:$BW$317,62,FALSE))</f>
        <v>8809.1</v>
      </c>
      <c r="V262" s="95">
        <f>(U262/6)*'Weighting Factors'!$Q$7</f>
        <v>579.9</v>
      </c>
      <c r="W262" s="132">
        <f>IF(ISNA(VLOOKUP($CZ262,'Audit Values'!$A$2:$BW$353,2,FALSE)),'Preliminary SO66'!AN261,VLOOKUP($CZ262,'Audit Values'!$A$2:$BW$353,61,FALSE))</f>
        <v>2611</v>
      </c>
      <c r="X262" s="95">
        <f>W262*'Weighting Factors'!$Q$8</f>
        <v>483</v>
      </c>
      <c r="Y262" s="95">
        <f t="shared" si="159"/>
        <v>579.9</v>
      </c>
      <c r="Z262" s="276">
        <f>IF(ISNA(VLOOKUP($CZ262,'Audit Values'!$A$2:$BW$317,2,FALSE)),'Preliminary SO66'!AO261,VLOOKUP($CZ262,'Audit Values'!$A$2:$BW$317,60,FALSE))</f>
        <v>736.9</v>
      </c>
      <c r="AA262" s="95">
        <f>Z262/6*'Weighting Factors'!$Q$6</f>
        <v>61.4</v>
      </c>
      <c r="AB262" s="99">
        <f>IF(ISNA(VLOOKUP($CZ262,'Audit Values'!$A$2:$BU$353,2,FALSE)),'Preliminary SO66'!AS261,VLOOKUP($CZ262,'Audit Values'!$A$2:$BU$353,63,FALSE))</f>
        <v>4856</v>
      </c>
      <c r="AC262" s="99">
        <v>0</v>
      </c>
      <c r="AD262" s="99">
        <f>IF(ISNA(VLOOKUP($CZ262,'Audit Values'!$A$2:$BU$353,2,FALSE)),'Preliminary SO66'!AP261,VLOOKUP($CZ262,'Audit Values'!$A$2:$BU$353,64,FALSE))</f>
        <v>3266</v>
      </c>
      <c r="AE262" s="95">
        <f>IF(A262=207, AD262,MAX(AC262,AD262))*'Weighting Factors'!$Q$9</f>
        <v>1580.7</v>
      </c>
      <c r="AF262" s="95">
        <f t="shared" si="160"/>
        <v>342.9</v>
      </c>
      <c r="AG262" s="95">
        <f>IF(ISNA(VLOOKUP($CZ262,'Audit Values'!$A$2:$BW$353,2,FALSE)),'Preliminary SO66'!AG261,VLOOKUP($CZ262,'Audit Values'!$A$2:$BW$353,70,FALSE))</f>
        <v>343</v>
      </c>
      <c r="AH262" s="95">
        <f t="shared" si="161"/>
        <v>343</v>
      </c>
      <c r="AI262" s="95">
        <f>IF(ISNA(VLOOKUP($CZ262,'Audit Values'!$A$2:$BU$353,2,FALSE)),'Preliminary SO66'!AQ261,VLOOKUP($CZ262,'Audit Values'!$A$2:$BU$353,65,FALSE))</f>
        <v>1274</v>
      </c>
      <c r="AJ262" s="95">
        <f>AI262*'Weighting Factors'!$Q$10</f>
        <v>318.5</v>
      </c>
      <c r="AK262" s="95">
        <f>IF(ISNA(VLOOKUP($CZ262,'Audit Values'!$A$2:$BU$353,2,FALSE)),'Preliminary SO66'!AR261,VLOOKUP($CZ262,'Audit Values'!$A$2:$BU$353,66,FALSE))</f>
        <v>80.5</v>
      </c>
      <c r="AL262" s="95"/>
      <c r="AM262" s="99">
        <f t="shared" si="162"/>
        <v>90965</v>
      </c>
      <c r="AN262" s="99">
        <v>243832</v>
      </c>
      <c r="AO262" s="95">
        <f>MAX(AN262, AM262)/'Weighting Factors'!$Q$5</f>
        <v>58.5</v>
      </c>
      <c r="AP262" s="95">
        <f>CN262/'Weighting Factors'!$Q$5</f>
        <v>0</v>
      </c>
      <c r="AQ262" s="95">
        <v>0</v>
      </c>
      <c r="AR262" s="95">
        <f>CS262/'Weighting Factors'!$Q$5</f>
        <v>0</v>
      </c>
      <c r="AS262" s="99">
        <v>2737851</v>
      </c>
      <c r="AT262" s="95">
        <f>AS262/'Weighting Factors'!$Q$5</f>
        <v>657.3</v>
      </c>
      <c r="AU262" s="95">
        <f>IF(ISNA(VLOOKUP($CZ262,'Audit Values'!$A$2:$BU$353,2,FALSE)),'Preliminary SO66'!X261,VLOOKUP($CZ262,'Audit Values'!$A$2:$BU$353,47,FALSE))</f>
        <v>0</v>
      </c>
      <c r="AV262" s="95">
        <f t="shared" si="163"/>
        <v>8629.6</v>
      </c>
      <c r="AW262" s="95">
        <f t="shared" si="164"/>
        <v>7972.3</v>
      </c>
      <c r="AX262" s="95">
        <f>IF(ISNA(VLOOKUP($CZ262,'Audit Values'!$A$2:$BU$353,2,FALSE)),'Preliminary SO66'!AA261,VLOOKUP($CZ262,'Audit Values'!$A$2:$BU$353,41,FALSE))</f>
        <v>0</v>
      </c>
      <c r="AY262" s="95">
        <f>IF(ISNA(VLOOKUP($CZ262,'Audit Values'!$A$2:$BU$353,2,FALSE)),'Preliminary SO66'!AB261,VLOOKUP($CZ262,'Audit Values'!$A$2:$BU$353,42,FALSE))</f>
        <v>0</v>
      </c>
      <c r="AZ262" s="114">
        <v>0</v>
      </c>
      <c r="BA262" s="99">
        <f>SUM(AX262*'Weighting Factors'!$T$10)+('2019 Legal Max'!AY262*'Weighting Factors'!$T$11)+('2019 Legal Max'!AZ262*'Weighting Factors'!$T$12)</f>
        <v>0</v>
      </c>
      <c r="BB262" s="158">
        <v>0</v>
      </c>
      <c r="BC262" s="88">
        <f>IF(ISNA(VLOOKUP($CZ262,'Audit Values'!$A$2:$BU$353,2,FALSE)),"",IF(AND('Weighting Factors'!H262&gt;0,VLOOKUP($CZ262,'Audit Values'!$A$2:$BU$353,51,FALSE)&lt;'Weighting Factors'!H262),'Weighting Factors'!H262,VLOOKUP($CZ262,'Audit Values'!$A$2:$BU$353,50,FALSE)))</f>
        <v>18</v>
      </c>
      <c r="BD262" s="88" t="str">
        <f>IF(ISNA(VLOOKUP($CZ262,'Audit Values'!$A$2:$BV$353,2,FALSE)),"",VLOOKUP($CZ262,'Audit Values'!$A$2:$BV$353,51,FALSE))</f>
        <v>A</v>
      </c>
      <c r="BE262" s="88" t="str">
        <f>IF('Weighting Factors'!H262="","",IF('Weighting Factors'!J262="Pending","PX","R"))</f>
        <v/>
      </c>
      <c r="BF262" s="97">
        <f>SUM((S262+T262+Y262+AA262+AE262+AH262+AJ262++AO262+AP262+AQ262+AU262+AR262)*'Weighting Factors'!$Q$5)+'2019 Legal Max'!BA262+'2019 Legal Max'!BB262</f>
        <v>33204630</v>
      </c>
      <c r="BG262" s="99">
        <f>SUM((AV262+AR262)*'Weighting Factors'!$Q$5)+BA262+'2019 Legal Max'!BB262</f>
        <v>35942284</v>
      </c>
      <c r="BH262" s="108">
        <f>IF('Weighting Factors'!H262&gt;0,'Weighting Factors'!H262,'Preliminary SO66'!AV261)</f>
        <v>36785280</v>
      </c>
      <c r="BI262" s="99">
        <f t="shared" ref="BI262:BI290" si="188">MIN(BG262,BH262)</f>
        <v>35942284</v>
      </c>
      <c r="BJ262" s="112"/>
      <c r="BK262" s="112">
        <f>'Weighting Factors'!F262</f>
        <v>0</v>
      </c>
      <c r="BL262" s="112">
        <f>'Weighting Factors'!E262</f>
        <v>0</v>
      </c>
      <c r="BM262" s="99">
        <f t="shared" si="165"/>
        <v>0</v>
      </c>
      <c r="BN262" s="99">
        <f t="shared" si="166"/>
        <v>35942284</v>
      </c>
      <c r="BO262" s="99">
        <f>SUM((S262+T262+Y262+AA262+AE262+AH262+AJ262++AO262+AP262+AQ262+AR262)*'Weighting Factors'!Q$12)+(MAX(AS262,'Weighting Factors'!B262))</f>
        <v>38533478</v>
      </c>
      <c r="BP262" s="122">
        <v>0.3</v>
      </c>
      <c r="BQ262" s="99">
        <f t="shared" si="167"/>
        <v>11560043</v>
      </c>
      <c r="BR262" s="108">
        <v>10750000</v>
      </c>
      <c r="BS262" s="99">
        <f t="shared" si="168"/>
        <v>10750000</v>
      </c>
      <c r="BT262" s="167">
        <f t="shared" si="169"/>
        <v>0.27900000000000003</v>
      </c>
      <c r="BU262" s="95">
        <f t="shared" si="170"/>
        <v>0</v>
      </c>
      <c r="BV262" s="87" t="b">
        <f t="shared" si="171"/>
        <v>0</v>
      </c>
      <c r="BW262" s="117">
        <f t="shared" si="172"/>
        <v>0</v>
      </c>
      <c r="BX262" s="116">
        <f t="shared" si="173"/>
        <v>0</v>
      </c>
      <c r="BY262" s="95">
        <f t="shared" si="174"/>
        <v>0</v>
      </c>
      <c r="BZ262" s="87" t="b">
        <f t="shared" si="175"/>
        <v>0</v>
      </c>
      <c r="CA262" s="87">
        <f t="shared" si="176"/>
        <v>0</v>
      </c>
      <c r="CB262" s="116">
        <f t="shared" si="177"/>
        <v>0</v>
      </c>
      <c r="CC262" s="95">
        <f t="shared" si="178"/>
        <v>0</v>
      </c>
      <c r="CD262" s="95">
        <f t="shared" si="179"/>
        <v>170.3</v>
      </c>
      <c r="CE262" s="98">
        <v>205</v>
      </c>
      <c r="CF262" s="250">
        <f t="shared" si="180"/>
        <v>0.39300000000000002</v>
      </c>
      <c r="CG262" s="274">
        <f>IF(CF262&lt;0.06,1,IF(CF262&gt;=18.29,52,MATCH(CF262-0.001,'Weighting Factors'!$Y$5:$Y$156)+1))</f>
        <v>23</v>
      </c>
      <c r="CH262" s="243">
        <f>VLOOKUP(CG262, 'Weighting Factors'!$W$5:$Z$56,4)</f>
        <v>1130</v>
      </c>
      <c r="CI262" s="118">
        <f>('Weighting Factors'!$Q$5/'Weighting Factors'!$Q$14)</f>
        <v>1</v>
      </c>
      <c r="CJ262" s="245">
        <f t="shared" si="181"/>
        <v>90965</v>
      </c>
      <c r="CK262" s="245">
        <f>CJ262*'Weighting Factors'!$S$7</f>
        <v>90965</v>
      </c>
      <c r="CL262" s="245">
        <f t="shared" si="182"/>
        <v>90965</v>
      </c>
      <c r="CM262" s="95">
        <f>AM262/'Weighting Factors'!$Q$5</f>
        <v>21.8</v>
      </c>
      <c r="CN262" s="148">
        <v>0</v>
      </c>
      <c r="CO262" s="148">
        <v>0</v>
      </c>
      <c r="CP262" s="149">
        <v>0</v>
      </c>
      <c r="CQ262" s="151">
        <v>0</v>
      </c>
      <c r="CR262" s="99">
        <f>SUM((AV262*'Weighting Factors'!$Q$5)+'2019 Legal Max'!BA262)*CQ262</f>
        <v>0</v>
      </c>
      <c r="CS262" s="99">
        <f t="shared" si="183"/>
        <v>0</v>
      </c>
      <c r="CT262" s="106">
        <f t="shared" si="184"/>
        <v>0.67259999999999998</v>
      </c>
      <c r="CU262" s="95">
        <f t="shared" si="185"/>
        <v>342.9</v>
      </c>
      <c r="CV262" s="95">
        <f t="shared" si="186"/>
        <v>0</v>
      </c>
      <c r="CW262" s="95">
        <f t="shared" si="187"/>
        <v>8629.6</v>
      </c>
      <c r="CX262" s="99">
        <f>'LOB Transfers'!G261</f>
        <v>1988750</v>
      </c>
      <c r="CY262" s="99">
        <f>'LOB Transfers'!J261</f>
        <v>729925</v>
      </c>
      <c r="CZ262" s="87" t="s">
        <v>454</v>
      </c>
    </row>
    <row r="263" spans="1:104" ht="15" customHeight="1">
      <c r="A263" s="88">
        <v>481</v>
      </c>
      <c r="B263" s="87" t="s">
        <v>87</v>
      </c>
      <c r="C263" s="87" t="s">
        <v>775</v>
      </c>
      <c r="D263" s="95">
        <v>293</v>
      </c>
      <c r="E263" s="95">
        <v>0</v>
      </c>
      <c r="F263" s="95">
        <f t="shared" si="154"/>
        <v>293</v>
      </c>
      <c r="G263" s="95">
        <v>285</v>
      </c>
      <c r="H263" s="95">
        <v>0</v>
      </c>
      <c r="I263" s="95">
        <f t="shared" si="155"/>
        <v>285</v>
      </c>
      <c r="J263" s="95">
        <v>251</v>
      </c>
      <c r="K263" s="95">
        <v>0</v>
      </c>
      <c r="L263" s="95">
        <f t="shared" si="156"/>
        <v>251</v>
      </c>
      <c r="M263" s="95">
        <f>IF(ISNA(VLOOKUP($CZ263,'Audit Values'!$A$2:$BW$365,2,FALSE)),'Preliminary SO66'!C262,VLOOKUP($CZ263,'Audit Values'!$A$2:$BW$365,73,FALSE))</f>
        <v>258</v>
      </c>
      <c r="N263" s="95">
        <f>IF(ISNA(VLOOKUP($CZ263,'Audit Values'!$A$2:$BW$365,2,FALSE)),'Preliminary SO66'!F262,VLOOKUP($CZ263,'Audit Values'!$A$2:$BW$365,4,FALSE))</f>
        <v>0</v>
      </c>
      <c r="O263" s="95">
        <f t="shared" si="157"/>
        <v>258</v>
      </c>
      <c r="P263" s="95">
        <f>IF('Military Provision'!J264="YES", MAX('2019 Legal Max'!L263,'2019 Legal Max'!I263,AVERAGE('2019 Legal Max'!F263,'2019 Legal Max'!I263,'2019 Legal Max'!L263)), MAX(L263, I263))</f>
        <v>285</v>
      </c>
      <c r="Q263" s="95">
        <f>IF(ISNA(VLOOKUP($CZ263,'Audit Values'!$A$2:$BU$353,2,FALSE)),'Preliminary SO66'!AL262,VLOOKUP($CZ263,'Audit Values'!$A$2:$BU$3955,58,FALSE))</f>
        <v>5</v>
      </c>
      <c r="R263" s="95">
        <v>0</v>
      </c>
      <c r="S263" s="95">
        <f t="shared" si="153"/>
        <v>290</v>
      </c>
      <c r="T263" s="95">
        <f t="shared" si="158"/>
        <v>148.1</v>
      </c>
      <c r="U263" s="95">
        <f>IF(ISNA(VLOOKUP($CZ263,'Audit Values'!$A$2:$BW$317,2,FALSE)),'Preliminary SO66'!AM262,VLOOKUP($CZ263,'Audit Values'!$A$2:$BW$317,62,FALSE))</f>
        <v>0</v>
      </c>
      <c r="V263" s="95">
        <f>(U263/6)*'Weighting Factors'!$Q$7</f>
        <v>0</v>
      </c>
      <c r="W263" s="132">
        <f>IF(ISNA(VLOOKUP($CZ263,'Audit Values'!$A$2:$BW$353,2,FALSE)),'Preliminary SO66'!AN262,VLOOKUP($CZ263,'Audit Values'!$A$2:$BW$353,61,FALSE))</f>
        <v>0</v>
      </c>
      <c r="X263" s="95">
        <f>W263*'Weighting Factors'!$Q$8</f>
        <v>0</v>
      </c>
      <c r="Y263" s="95">
        <f t="shared" si="159"/>
        <v>0</v>
      </c>
      <c r="Z263" s="276">
        <f>IF(ISNA(VLOOKUP($CZ263,'Audit Values'!$A$2:$BW$317,2,FALSE)),'Preliminary SO66'!AO262,VLOOKUP($CZ263,'Audit Values'!$A$2:$BW$317,60,FALSE))</f>
        <v>90.2</v>
      </c>
      <c r="AA263" s="95">
        <f>Z263/6*'Weighting Factors'!$Q$6</f>
        <v>7.5</v>
      </c>
      <c r="AB263" s="99">
        <f>IF(ISNA(VLOOKUP($CZ263,'Audit Values'!$A$2:$BU$353,2,FALSE)),'Preliminary SO66'!AS262,VLOOKUP($CZ263,'Audit Values'!$A$2:$BU$353,63,FALSE))</f>
        <v>268</v>
      </c>
      <c r="AC263" s="99">
        <v>0</v>
      </c>
      <c r="AD263" s="99">
        <f>IF(ISNA(VLOOKUP($CZ263,'Audit Values'!$A$2:$BU$353,2,FALSE)),'Preliminary SO66'!AP262,VLOOKUP($CZ263,'Audit Values'!$A$2:$BU$353,64,FALSE))</f>
        <v>103</v>
      </c>
      <c r="AE263" s="95">
        <f>IF(A263=207, AD263,MAX(AC263,AD263))*'Weighting Factors'!$Q$9</f>
        <v>49.9</v>
      </c>
      <c r="AF263" s="95">
        <f t="shared" si="160"/>
        <v>2.5</v>
      </c>
      <c r="AG263" s="95">
        <f>IF(ISNA(VLOOKUP($CZ263,'Audit Values'!$A$2:$BW$353,2,FALSE)),'Preliminary SO66'!AG262,VLOOKUP($CZ263,'Audit Values'!$A$2:$BW$353,70,FALSE))</f>
        <v>3.7</v>
      </c>
      <c r="AH263" s="95">
        <f t="shared" si="161"/>
        <v>3.7</v>
      </c>
      <c r="AI263" s="95">
        <f>IF(ISNA(VLOOKUP($CZ263,'Audit Values'!$A$2:$BU$353,2,FALSE)),'Preliminary SO66'!AQ262,VLOOKUP($CZ263,'Audit Values'!$A$2:$BU$353,65,FALSE))</f>
        <v>0</v>
      </c>
      <c r="AJ263" s="95">
        <f>AI263*'Weighting Factors'!$Q$10</f>
        <v>0</v>
      </c>
      <c r="AK263" s="95">
        <f>IF(ISNA(VLOOKUP($CZ263,'Audit Values'!$A$2:$BU$353,2,FALSE)),'Preliminary SO66'!AR262,VLOOKUP($CZ263,'Audit Values'!$A$2:$BU$353,66,FALSE))</f>
        <v>116.5</v>
      </c>
      <c r="AL263" s="95"/>
      <c r="AM263" s="99">
        <f t="shared" si="162"/>
        <v>133975</v>
      </c>
      <c r="AN263" s="99">
        <v>164480</v>
      </c>
      <c r="AO263" s="95">
        <f>MAX(AN263, AM263)/'Weighting Factors'!$Q$5</f>
        <v>39.5</v>
      </c>
      <c r="AP263" s="95">
        <f>CN263/'Weighting Factors'!$Q$5</f>
        <v>0</v>
      </c>
      <c r="AQ263" s="95">
        <v>0</v>
      </c>
      <c r="AR263" s="95">
        <f>CS263/'Weighting Factors'!$Q$5</f>
        <v>0</v>
      </c>
      <c r="AS263" s="99">
        <v>253141</v>
      </c>
      <c r="AT263" s="95">
        <f>AS263/'Weighting Factors'!$Q$5</f>
        <v>60.8</v>
      </c>
      <c r="AU263" s="95">
        <f>IF(ISNA(VLOOKUP($CZ263,'Audit Values'!$A$2:$BU$353,2,FALSE)),'Preliminary SO66'!X262,VLOOKUP($CZ263,'Audit Values'!$A$2:$BU$353,47,FALSE))</f>
        <v>0</v>
      </c>
      <c r="AV263" s="95">
        <f t="shared" si="163"/>
        <v>599.5</v>
      </c>
      <c r="AW263" s="95">
        <f t="shared" si="164"/>
        <v>538.70000000000005</v>
      </c>
      <c r="AX263" s="95">
        <f>IF(ISNA(VLOOKUP($CZ263,'Audit Values'!$A$2:$BU$353,2,FALSE)),'Preliminary SO66'!AA262,VLOOKUP($CZ263,'Audit Values'!$A$2:$BU$353,41,FALSE))</f>
        <v>0</v>
      </c>
      <c r="AY263" s="95">
        <f>IF(ISNA(VLOOKUP($CZ263,'Audit Values'!$A$2:$BU$353,2,FALSE)),'Preliminary SO66'!AB262,VLOOKUP($CZ263,'Audit Values'!$A$2:$BU$353,42,FALSE))</f>
        <v>0</v>
      </c>
      <c r="AZ263" s="114">
        <v>0</v>
      </c>
      <c r="BA263" s="99">
        <f>SUM(AX263*'Weighting Factors'!$T$10)+('2019 Legal Max'!AY263*'Weighting Factors'!$T$11)+('2019 Legal Max'!AZ263*'Weighting Factors'!$T$12)</f>
        <v>0</v>
      </c>
      <c r="BB263" s="158">
        <v>0</v>
      </c>
      <c r="BC263" s="88">
        <f>IF(ISNA(VLOOKUP($CZ263,'Audit Values'!$A$2:$BU$353,2,FALSE)),"",IF(AND('Weighting Factors'!H263&gt;0,VLOOKUP($CZ263,'Audit Values'!$A$2:$BU$353,51,FALSE)&lt;'Weighting Factors'!H263),'Weighting Factors'!H263,VLOOKUP($CZ263,'Audit Values'!$A$2:$BU$353,50,FALSE)))</f>
        <v>18</v>
      </c>
      <c r="BD263" s="88" t="str">
        <f>IF(ISNA(VLOOKUP($CZ263,'Audit Values'!$A$2:$BV$353,2,FALSE)),"",VLOOKUP($CZ263,'Audit Values'!$A$2:$BV$353,51,FALSE))</f>
        <v>A</v>
      </c>
      <c r="BE263" s="88" t="str">
        <f>IF('Weighting Factors'!H263="","",IF('Weighting Factors'!J263="Pending","PX","R"))</f>
        <v>R</v>
      </c>
      <c r="BF263" s="97">
        <f>SUM((S263+T263+Y263+AA263+AE263+AH263+AJ263++AO263+AP263+AQ263+AU263+AR263)*'Weighting Factors'!$Q$5)+'2019 Legal Max'!BA263+'2019 Legal Max'!BB263</f>
        <v>2243686</v>
      </c>
      <c r="BG263" s="99">
        <f>SUM((AV263+AR263)*'Weighting Factors'!$Q$5)+BA263+'2019 Legal Max'!BB263</f>
        <v>2496918</v>
      </c>
      <c r="BH263" s="108">
        <f>IF('Weighting Factors'!H263&gt;0,'Weighting Factors'!H263,'Preliminary SO66'!AV262)</f>
        <v>2600000</v>
      </c>
      <c r="BI263" s="99">
        <f t="shared" si="188"/>
        <v>2496918</v>
      </c>
      <c r="BJ263" s="112"/>
      <c r="BK263" s="112">
        <f>'Weighting Factors'!F263</f>
        <v>0</v>
      </c>
      <c r="BL263" s="112">
        <f>'Weighting Factors'!E263</f>
        <v>0</v>
      </c>
      <c r="BM263" s="99">
        <f t="shared" si="165"/>
        <v>0</v>
      </c>
      <c r="BN263" s="99">
        <f t="shared" si="166"/>
        <v>2496918</v>
      </c>
      <c r="BO263" s="99">
        <f>SUM((S263+T263+Y263+AA263+AE263+AH263+AJ263++AO263+AP263+AQ263+AR263)*'Weighting Factors'!Q$12)+(MAX(AS263,'Weighting Factors'!B263))</f>
        <v>2819787</v>
      </c>
      <c r="BP263" s="122">
        <v>0.33</v>
      </c>
      <c r="BQ263" s="99">
        <f t="shared" si="167"/>
        <v>930530</v>
      </c>
      <c r="BR263" s="108">
        <v>929789</v>
      </c>
      <c r="BS263" s="99">
        <f t="shared" si="168"/>
        <v>929789</v>
      </c>
      <c r="BT263" s="167">
        <f t="shared" si="169"/>
        <v>0.32969999999999999</v>
      </c>
      <c r="BU263" s="95">
        <f t="shared" si="170"/>
        <v>0</v>
      </c>
      <c r="BV263" s="87" t="b">
        <f t="shared" si="171"/>
        <v>1</v>
      </c>
      <c r="BW263" s="117">
        <f t="shared" si="172"/>
        <v>1834.45</v>
      </c>
      <c r="BX263" s="116">
        <f t="shared" si="173"/>
        <v>0.51069299999999995</v>
      </c>
      <c r="BY263" s="95">
        <f t="shared" si="174"/>
        <v>148.1</v>
      </c>
      <c r="BZ263" s="87" t="b">
        <f t="shared" si="175"/>
        <v>0</v>
      </c>
      <c r="CA263" s="87">
        <f t="shared" si="176"/>
        <v>0</v>
      </c>
      <c r="CB263" s="116">
        <f t="shared" si="177"/>
        <v>0</v>
      </c>
      <c r="CC263" s="95">
        <f t="shared" si="178"/>
        <v>0</v>
      </c>
      <c r="CD263" s="95">
        <f t="shared" si="179"/>
        <v>0</v>
      </c>
      <c r="CE263" s="98">
        <v>303.8</v>
      </c>
      <c r="CF263" s="250">
        <f t="shared" si="180"/>
        <v>0.38300000000000001</v>
      </c>
      <c r="CG263" s="274">
        <f>IF(CF263&lt;0.06,1,IF(CF263&gt;=18.29,52,MATCH(CF263-0.001,'Weighting Factors'!$Y$5:$Y$156)+1))</f>
        <v>22</v>
      </c>
      <c r="CH263" s="243">
        <f>VLOOKUP(CG263, 'Weighting Factors'!$W$5:$Z$56,4)</f>
        <v>1150</v>
      </c>
      <c r="CI263" s="118">
        <f>('Weighting Factors'!$Q$5/'Weighting Factors'!$Q$14)</f>
        <v>1</v>
      </c>
      <c r="CJ263" s="245">
        <f t="shared" si="181"/>
        <v>133975</v>
      </c>
      <c r="CK263" s="245">
        <f>CJ263*'Weighting Factors'!$S$7</f>
        <v>133975</v>
      </c>
      <c r="CL263" s="245">
        <f t="shared" si="182"/>
        <v>133975</v>
      </c>
      <c r="CM263" s="95">
        <f>AM263/'Weighting Factors'!$Q$5</f>
        <v>32.200000000000003</v>
      </c>
      <c r="CN263" s="148">
        <v>0</v>
      </c>
      <c r="CO263" s="148">
        <v>0</v>
      </c>
      <c r="CP263" s="149">
        <v>0</v>
      </c>
      <c r="CQ263" s="151">
        <v>0</v>
      </c>
      <c r="CR263" s="99">
        <f>SUM((AV263*'Weighting Factors'!$Q$5)+'2019 Legal Max'!BA263)*CQ263</f>
        <v>0</v>
      </c>
      <c r="CS263" s="99">
        <f t="shared" si="183"/>
        <v>0</v>
      </c>
      <c r="CT263" s="106">
        <f t="shared" si="184"/>
        <v>0.38429999999999997</v>
      </c>
      <c r="CU263" s="95">
        <f t="shared" si="185"/>
        <v>0</v>
      </c>
      <c r="CV263" s="95">
        <f t="shared" si="186"/>
        <v>2.5</v>
      </c>
      <c r="CW263" s="95">
        <f t="shared" si="187"/>
        <v>599.5</v>
      </c>
      <c r="CX263" s="99">
        <f>'LOB Transfers'!G262</f>
        <v>78009</v>
      </c>
      <c r="CY263" s="99">
        <f>'LOB Transfers'!J262</f>
        <v>0</v>
      </c>
      <c r="CZ263" s="87" t="s">
        <v>455</v>
      </c>
    </row>
    <row r="264" spans="1:104" ht="15" customHeight="1">
      <c r="A264" s="88">
        <v>482</v>
      </c>
      <c r="B264" s="87" t="s">
        <v>104</v>
      </c>
      <c r="C264" s="87" t="s">
        <v>776</v>
      </c>
      <c r="D264" s="95">
        <v>212.5</v>
      </c>
      <c r="E264" s="95">
        <v>0</v>
      </c>
      <c r="F264" s="95">
        <f t="shared" si="154"/>
        <v>212.5</v>
      </c>
      <c r="G264" s="95">
        <v>221.6</v>
      </c>
      <c r="H264" s="95">
        <v>0</v>
      </c>
      <c r="I264" s="95">
        <f t="shared" si="155"/>
        <v>221.6</v>
      </c>
      <c r="J264" s="95">
        <v>236.5</v>
      </c>
      <c r="K264" s="95">
        <v>0</v>
      </c>
      <c r="L264" s="95">
        <f t="shared" si="156"/>
        <v>236.5</v>
      </c>
      <c r="M264" s="95">
        <f>IF(ISNA(VLOOKUP($CZ264,'Audit Values'!$A$2:$BW$365,2,FALSE)),'Preliminary SO66'!C263,VLOOKUP($CZ264,'Audit Values'!$A$2:$BW$365,73,FALSE))</f>
        <v>234.5</v>
      </c>
      <c r="N264" s="95">
        <f>IF(ISNA(VLOOKUP($CZ264,'Audit Values'!$A$2:$BW$365,2,FALSE)),'Preliminary SO66'!F263,VLOOKUP($CZ264,'Audit Values'!$A$2:$BW$365,4,FALSE))</f>
        <v>0</v>
      </c>
      <c r="O264" s="95">
        <f t="shared" si="157"/>
        <v>234.5</v>
      </c>
      <c r="P264" s="95">
        <f>IF('Military Provision'!J265="YES", MAX('2019 Legal Max'!L264,'2019 Legal Max'!I264,AVERAGE('2019 Legal Max'!F264,'2019 Legal Max'!I264,'2019 Legal Max'!L264)), MAX(L264, I264))</f>
        <v>236.5</v>
      </c>
      <c r="Q264" s="95">
        <f>IF(ISNA(VLOOKUP($CZ264,'Audit Values'!$A$2:$BU$353,2,FALSE)),'Preliminary SO66'!AL263,VLOOKUP($CZ264,'Audit Values'!$A$2:$BU$3955,58,FALSE))</f>
        <v>2</v>
      </c>
      <c r="R264" s="95">
        <v>0</v>
      </c>
      <c r="S264" s="95">
        <f t="shared" si="153"/>
        <v>238.5</v>
      </c>
      <c r="T264" s="95">
        <f t="shared" si="158"/>
        <v>154.4</v>
      </c>
      <c r="U264" s="95">
        <f>IF(ISNA(VLOOKUP($CZ264,'Audit Values'!$A$2:$BW$317,2,FALSE)),'Preliminary SO66'!AM263,VLOOKUP($CZ264,'Audit Values'!$A$2:$BW$317,62,FALSE))</f>
        <v>1.9</v>
      </c>
      <c r="V264" s="95">
        <f>(U264/6)*'Weighting Factors'!$Q$7</f>
        <v>0.1</v>
      </c>
      <c r="W264" s="132">
        <f>IF(ISNA(VLOOKUP($CZ264,'Audit Values'!$A$2:$BW$353,2,FALSE)),'Preliminary SO66'!AN263,VLOOKUP($CZ264,'Audit Values'!$A$2:$BW$353,61,FALSE))</f>
        <v>9</v>
      </c>
      <c r="X264" s="95">
        <f>W264*'Weighting Factors'!$Q$8</f>
        <v>1.7</v>
      </c>
      <c r="Y264" s="95">
        <f t="shared" si="159"/>
        <v>1.7</v>
      </c>
      <c r="Z264" s="276">
        <f>IF(ISNA(VLOOKUP($CZ264,'Audit Values'!$A$2:$BW$317,2,FALSE)),'Preliminary SO66'!AO263,VLOOKUP($CZ264,'Audit Values'!$A$2:$BW$317,60,FALSE))</f>
        <v>46.4</v>
      </c>
      <c r="AA264" s="95">
        <f>Z264/6*'Weighting Factors'!$Q$6</f>
        <v>3.9</v>
      </c>
      <c r="AB264" s="99">
        <f>IF(ISNA(VLOOKUP($CZ264,'Audit Values'!$A$2:$BU$353,2,FALSE)),'Preliminary SO66'!AS263,VLOOKUP($CZ264,'Audit Values'!$A$2:$BU$353,63,FALSE))</f>
        <v>241</v>
      </c>
      <c r="AC264" s="99">
        <v>0</v>
      </c>
      <c r="AD264" s="99">
        <f>IF(ISNA(VLOOKUP($CZ264,'Audit Values'!$A$2:$BU$353,2,FALSE)),'Preliminary SO66'!AP263,VLOOKUP($CZ264,'Audit Values'!$A$2:$BU$353,64,FALSE))</f>
        <v>84</v>
      </c>
      <c r="AE264" s="95">
        <f>IF(A264=207, AD264,MAX(AC264,AD264))*'Weighting Factors'!$Q$9</f>
        <v>40.700000000000003</v>
      </c>
      <c r="AF264" s="95">
        <f t="shared" si="160"/>
        <v>0</v>
      </c>
      <c r="AG264" s="95">
        <f>IF(ISNA(VLOOKUP($CZ264,'Audit Values'!$A$2:$BW$353,2,FALSE)),'Preliminary SO66'!AG263,VLOOKUP($CZ264,'Audit Values'!$A$2:$BW$353,70,FALSE))</f>
        <v>0.8</v>
      </c>
      <c r="AH264" s="95">
        <f t="shared" si="161"/>
        <v>0.8</v>
      </c>
      <c r="AI264" s="95">
        <f>IF(ISNA(VLOOKUP($CZ264,'Audit Values'!$A$2:$BU$353,2,FALSE)),'Preliminary SO66'!AQ263,VLOOKUP($CZ264,'Audit Values'!$A$2:$BU$353,65,FALSE))</f>
        <v>0</v>
      </c>
      <c r="AJ264" s="95">
        <f>AI264*'Weighting Factors'!$Q$10</f>
        <v>0</v>
      </c>
      <c r="AK264" s="95">
        <f>IF(ISNA(VLOOKUP($CZ264,'Audit Values'!$A$2:$BU$353,2,FALSE)),'Preliminary SO66'!AR263,VLOOKUP($CZ264,'Audit Values'!$A$2:$BU$353,66,FALSE))</f>
        <v>38</v>
      </c>
      <c r="AL264" s="95"/>
      <c r="AM264" s="99">
        <f t="shared" si="162"/>
        <v>60040</v>
      </c>
      <c r="AN264" s="99">
        <v>74344</v>
      </c>
      <c r="AO264" s="95">
        <f>MAX(AN264, AM264)/'Weighting Factors'!$Q$5</f>
        <v>17.8</v>
      </c>
      <c r="AP264" s="95">
        <f>CN264/'Weighting Factors'!$Q$5</f>
        <v>0</v>
      </c>
      <c r="AQ264" s="95">
        <v>0</v>
      </c>
      <c r="AR264" s="95">
        <f>CS264/'Weighting Factors'!$Q$5</f>
        <v>0</v>
      </c>
      <c r="AS264" s="99">
        <v>162335</v>
      </c>
      <c r="AT264" s="95">
        <f>AS264/'Weighting Factors'!$Q$5</f>
        <v>39</v>
      </c>
      <c r="AU264" s="95">
        <f>IF(ISNA(VLOOKUP($CZ264,'Audit Values'!$A$2:$BU$353,2,FALSE)),'Preliminary SO66'!X263,VLOOKUP($CZ264,'Audit Values'!$A$2:$BU$353,47,FALSE))</f>
        <v>0</v>
      </c>
      <c r="AV264" s="95">
        <f t="shared" si="163"/>
        <v>496.8</v>
      </c>
      <c r="AW264" s="95">
        <f t="shared" si="164"/>
        <v>457.8</v>
      </c>
      <c r="AX264" s="95">
        <f>IF(ISNA(VLOOKUP($CZ264,'Audit Values'!$A$2:$BU$353,2,FALSE)),'Preliminary SO66'!AA263,VLOOKUP($CZ264,'Audit Values'!$A$2:$BU$353,41,FALSE))</f>
        <v>0</v>
      </c>
      <c r="AY264" s="95">
        <f>IF(ISNA(VLOOKUP($CZ264,'Audit Values'!$A$2:$BU$353,2,FALSE)),'Preliminary SO66'!AB263,VLOOKUP($CZ264,'Audit Values'!$A$2:$BU$353,42,FALSE))</f>
        <v>0</v>
      </c>
      <c r="AZ264" s="114">
        <v>0</v>
      </c>
      <c r="BA264" s="99">
        <f>SUM(AX264*'Weighting Factors'!$T$10)+('2019 Legal Max'!AY264*'Weighting Factors'!$T$11)+('2019 Legal Max'!AZ264*'Weighting Factors'!$T$12)</f>
        <v>0</v>
      </c>
      <c r="BB264" s="158">
        <v>0</v>
      </c>
      <c r="BC264" s="88">
        <f>IF(ISNA(VLOOKUP($CZ264,'Audit Values'!$A$2:$BU$353,2,FALSE)),"",IF(AND('Weighting Factors'!H264&gt;0,VLOOKUP($CZ264,'Audit Values'!$A$2:$BU$353,51,FALSE)&lt;'Weighting Factors'!H264),'Weighting Factors'!H264,VLOOKUP($CZ264,'Audit Values'!$A$2:$BU$353,50,FALSE)))</f>
        <v>20</v>
      </c>
      <c r="BD264" s="88" t="str">
        <f>IF(ISNA(VLOOKUP($CZ264,'Audit Values'!$A$2:$BV$353,2,FALSE)),"",VLOOKUP($CZ264,'Audit Values'!$A$2:$BV$353,51,FALSE))</f>
        <v>A</v>
      </c>
      <c r="BE264" s="88" t="str">
        <f>IF('Weighting Factors'!H264="","",IF('Weighting Factors'!J264="Pending","PX","R"))</f>
        <v/>
      </c>
      <c r="BF264" s="97">
        <f>SUM((S264+T264+Y264+AA264+AE264+AH264+AJ264++AO264+AP264+AQ264+AU264+AR264)*'Weighting Factors'!$Q$5)+'2019 Legal Max'!BA264+'2019 Legal Max'!BB264</f>
        <v>1906737</v>
      </c>
      <c r="BG264" s="99">
        <f>SUM((AV264+AR264)*'Weighting Factors'!$Q$5)+BA264+'2019 Legal Max'!BB264</f>
        <v>2069172</v>
      </c>
      <c r="BH264" s="108">
        <f>IF('Weighting Factors'!H264&gt;0,'Weighting Factors'!H264,'Preliminary SO66'!AV263)</f>
        <v>2168299</v>
      </c>
      <c r="BI264" s="99">
        <f t="shared" si="188"/>
        <v>2069172</v>
      </c>
      <c r="BJ264" s="112"/>
      <c r="BK264" s="112">
        <f>'Weighting Factors'!F264</f>
        <v>0</v>
      </c>
      <c r="BL264" s="112">
        <f>'Weighting Factors'!E264</f>
        <v>0</v>
      </c>
      <c r="BM264" s="99">
        <f t="shared" si="165"/>
        <v>0</v>
      </c>
      <c r="BN264" s="99">
        <f t="shared" si="166"/>
        <v>2069172</v>
      </c>
      <c r="BO264" s="99">
        <f>SUM((S264+T264+Y264+AA264+AE264+AH264+AJ264++AO264+AP264+AQ264+AR264)*'Weighting Factors'!Q$12)+(MAX(AS264,'Weighting Factors'!B264))</f>
        <v>2260800</v>
      </c>
      <c r="BP264" s="122">
        <v>0.3</v>
      </c>
      <c r="BQ264" s="99">
        <f t="shared" si="167"/>
        <v>678240</v>
      </c>
      <c r="BR264" s="108">
        <v>630000</v>
      </c>
      <c r="BS264" s="99">
        <f t="shared" si="168"/>
        <v>630000</v>
      </c>
      <c r="BT264" s="167">
        <f t="shared" si="169"/>
        <v>0.2787</v>
      </c>
      <c r="BU264" s="95">
        <f t="shared" si="170"/>
        <v>0</v>
      </c>
      <c r="BV264" s="87" t="b">
        <f t="shared" si="171"/>
        <v>1</v>
      </c>
      <c r="BW264" s="117">
        <f t="shared" si="172"/>
        <v>1337.2180000000001</v>
      </c>
      <c r="BX264" s="116">
        <f t="shared" si="173"/>
        <v>0.64720599999999995</v>
      </c>
      <c r="BY264" s="95">
        <f t="shared" si="174"/>
        <v>154.4</v>
      </c>
      <c r="BZ264" s="87" t="b">
        <f t="shared" si="175"/>
        <v>0</v>
      </c>
      <c r="CA264" s="87">
        <f t="shared" si="176"/>
        <v>0</v>
      </c>
      <c r="CB264" s="116">
        <f t="shared" si="177"/>
        <v>0</v>
      </c>
      <c r="CC264" s="95">
        <f t="shared" si="178"/>
        <v>0</v>
      </c>
      <c r="CD264" s="95">
        <f t="shared" si="179"/>
        <v>0</v>
      </c>
      <c r="CE264" s="98">
        <v>619.5</v>
      </c>
      <c r="CF264" s="250">
        <f t="shared" si="180"/>
        <v>6.0999999999999999E-2</v>
      </c>
      <c r="CG264" s="274">
        <f>IF(CF264&lt;0.06,1,IF(CF264&gt;=18.29,52,MATCH(CF264-0.001,'Weighting Factors'!$Y$5:$Y$156)+1))</f>
        <v>2</v>
      </c>
      <c r="CH264" s="243">
        <f>VLOOKUP(CG264, 'Weighting Factors'!$W$5:$Z$56,4)</f>
        <v>1580</v>
      </c>
      <c r="CI264" s="118">
        <f>('Weighting Factors'!$Q$5/'Weighting Factors'!$Q$14)</f>
        <v>1</v>
      </c>
      <c r="CJ264" s="245">
        <f t="shared" si="181"/>
        <v>60040</v>
      </c>
      <c r="CK264" s="245">
        <f>CJ264*'Weighting Factors'!$S$7</f>
        <v>60040</v>
      </c>
      <c r="CL264" s="245">
        <f t="shared" si="182"/>
        <v>60040</v>
      </c>
      <c r="CM264" s="95">
        <f>AM264/'Weighting Factors'!$Q$5</f>
        <v>14.4</v>
      </c>
      <c r="CN264" s="148">
        <v>0</v>
      </c>
      <c r="CO264" s="148">
        <v>0</v>
      </c>
      <c r="CP264" s="149">
        <v>0</v>
      </c>
      <c r="CQ264" s="151">
        <v>0</v>
      </c>
      <c r="CR264" s="99">
        <f>SUM((AV264*'Weighting Factors'!$Q$5)+'2019 Legal Max'!BA264)*CQ264</f>
        <v>0</v>
      </c>
      <c r="CS264" s="99">
        <f t="shared" si="183"/>
        <v>0</v>
      </c>
      <c r="CT264" s="106">
        <f t="shared" si="184"/>
        <v>0.34849999999999998</v>
      </c>
      <c r="CU264" s="95">
        <f t="shared" si="185"/>
        <v>0</v>
      </c>
      <c r="CV264" s="95">
        <f t="shared" si="186"/>
        <v>0</v>
      </c>
      <c r="CW264" s="95">
        <f t="shared" si="187"/>
        <v>496.8</v>
      </c>
      <c r="CX264" s="99">
        <f>'LOB Transfers'!G263</f>
        <v>51849</v>
      </c>
      <c r="CY264" s="99">
        <f>'LOB Transfers'!J263</f>
        <v>2142</v>
      </c>
      <c r="CZ264" s="87" t="s">
        <v>456</v>
      </c>
    </row>
    <row r="265" spans="1:104" ht="15" customHeight="1">
      <c r="A265" s="88">
        <v>483</v>
      </c>
      <c r="B265" s="87" t="s">
        <v>106</v>
      </c>
      <c r="C265" s="87" t="s">
        <v>777</v>
      </c>
      <c r="D265" s="95">
        <v>667</v>
      </c>
      <c r="E265" s="95">
        <v>0</v>
      </c>
      <c r="F265" s="95">
        <f t="shared" si="154"/>
        <v>667</v>
      </c>
      <c r="G265" s="95">
        <v>674.5</v>
      </c>
      <c r="H265" s="95">
        <v>0</v>
      </c>
      <c r="I265" s="95">
        <f t="shared" si="155"/>
        <v>674.5</v>
      </c>
      <c r="J265" s="95">
        <v>618.5</v>
      </c>
      <c r="K265" s="95">
        <v>0</v>
      </c>
      <c r="L265" s="95">
        <f t="shared" si="156"/>
        <v>618.5</v>
      </c>
      <c r="M265" s="95">
        <f>IF(ISNA(VLOOKUP($CZ265,'Audit Values'!$A$2:$BW$365,2,FALSE)),'Preliminary SO66'!C264,VLOOKUP($CZ265,'Audit Values'!$A$2:$BW$365,73,FALSE))</f>
        <v>607</v>
      </c>
      <c r="N265" s="95">
        <f>IF(ISNA(VLOOKUP($CZ265,'Audit Values'!$A$2:$BW$365,2,FALSE)),'Preliminary SO66'!F264,VLOOKUP($CZ265,'Audit Values'!$A$2:$BW$365,4,FALSE))</f>
        <v>0</v>
      </c>
      <c r="O265" s="95">
        <f t="shared" si="157"/>
        <v>607</v>
      </c>
      <c r="P265" s="95">
        <f>IF('Military Provision'!J266="YES", MAX('2019 Legal Max'!L265,'2019 Legal Max'!I265,AVERAGE('2019 Legal Max'!F265,'2019 Legal Max'!I265,'2019 Legal Max'!L265)), MAX(L265, I265))</f>
        <v>674.5</v>
      </c>
      <c r="Q265" s="95">
        <f>IF(ISNA(VLOOKUP($CZ265,'Audit Values'!$A$2:$BU$353,2,FALSE)),'Preliminary SO66'!AL264,VLOOKUP($CZ265,'Audit Values'!$A$2:$BU$3955,58,FALSE))</f>
        <v>14.5</v>
      </c>
      <c r="R265" s="95">
        <v>0</v>
      </c>
      <c r="S265" s="95">
        <f t="shared" si="153"/>
        <v>689</v>
      </c>
      <c r="T265" s="95">
        <f t="shared" si="158"/>
        <v>242.5</v>
      </c>
      <c r="U265" s="95">
        <f>IF(ISNA(VLOOKUP($CZ265,'Audit Values'!$A$2:$BW$317,2,FALSE)),'Preliminary SO66'!AM264,VLOOKUP($CZ265,'Audit Values'!$A$2:$BW$317,62,FALSE))</f>
        <v>2047.7</v>
      </c>
      <c r="V265" s="95">
        <f>(U265/6)*'Weighting Factors'!$Q$7</f>
        <v>134.80000000000001</v>
      </c>
      <c r="W265" s="132">
        <f>IF(ISNA(VLOOKUP($CZ265,'Audit Values'!$A$2:$BW$353,2,FALSE)),'Preliminary SO66'!AN264,VLOOKUP($CZ265,'Audit Values'!$A$2:$BW$353,61,FALSE))</f>
        <v>361</v>
      </c>
      <c r="X265" s="95">
        <f>W265*'Weighting Factors'!$Q$8</f>
        <v>66.8</v>
      </c>
      <c r="Y265" s="95">
        <f t="shared" si="159"/>
        <v>134.80000000000001</v>
      </c>
      <c r="Z265" s="276">
        <f>IF(ISNA(VLOOKUP($CZ265,'Audit Values'!$A$2:$BW$317,2,FALSE)),'Preliminary SO66'!AO264,VLOOKUP($CZ265,'Audit Values'!$A$2:$BW$317,60,FALSE))</f>
        <v>45.1</v>
      </c>
      <c r="AA265" s="95">
        <f>Z265/6*'Weighting Factors'!$Q$6</f>
        <v>3.8</v>
      </c>
      <c r="AB265" s="99">
        <f>IF(ISNA(VLOOKUP($CZ265,'Audit Values'!$A$2:$BU$353,2,FALSE)),'Preliminary SO66'!AS264,VLOOKUP($CZ265,'Audit Values'!$A$2:$BU$353,63,FALSE))</f>
        <v>643</v>
      </c>
      <c r="AC265" s="99">
        <v>0</v>
      </c>
      <c r="AD265" s="99">
        <f>IF(ISNA(VLOOKUP($CZ265,'Audit Values'!$A$2:$BU$353,2,FALSE)),'Preliminary SO66'!AP264,VLOOKUP($CZ265,'Audit Values'!$A$2:$BU$353,64,FALSE))</f>
        <v>389</v>
      </c>
      <c r="AE265" s="95">
        <f>IF(A265=207, AD265,MAX(AC265,AD265))*'Weighting Factors'!$Q$9</f>
        <v>188.3</v>
      </c>
      <c r="AF265" s="95">
        <f t="shared" si="160"/>
        <v>40.799999999999997</v>
      </c>
      <c r="AG265" s="95">
        <f>IF(ISNA(VLOOKUP($CZ265,'Audit Values'!$A$2:$BW$353,2,FALSE)),'Preliminary SO66'!AG264,VLOOKUP($CZ265,'Audit Values'!$A$2:$BW$353,70,FALSE))</f>
        <v>40.9</v>
      </c>
      <c r="AH265" s="95">
        <f t="shared" si="161"/>
        <v>40.9</v>
      </c>
      <c r="AI265" s="95">
        <f>IF(ISNA(VLOOKUP($CZ265,'Audit Values'!$A$2:$BU$353,2,FALSE)),'Preliminary SO66'!AQ264,VLOOKUP($CZ265,'Audit Values'!$A$2:$BU$353,65,FALSE))</f>
        <v>0</v>
      </c>
      <c r="AJ265" s="95">
        <f>AI265*'Weighting Factors'!$Q$10</f>
        <v>0</v>
      </c>
      <c r="AK265" s="95">
        <f>IF(ISNA(VLOOKUP($CZ265,'Audit Values'!$A$2:$BU$353,2,FALSE)),'Preliminary SO66'!AR264,VLOOKUP($CZ265,'Audit Values'!$A$2:$BU$353,66,FALSE))</f>
        <v>542</v>
      </c>
      <c r="AL265" s="95"/>
      <c r="AM265" s="99">
        <f t="shared" si="162"/>
        <v>514900</v>
      </c>
      <c r="AN265" s="99">
        <v>621713</v>
      </c>
      <c r="AO265" s="95">
        <f>MAX(AN265, AM265)/'Weighting Factors'!$Q$5</f>
        <v>149.30000000000001</v>
      </c>
      <c r="AP265" s="95">
        <f>CN265/'Weighting Factors'!$Q$5</f>
        <v>0</v>
      </c>
      <c r="AQ265" s="95">
        <v>0</v>
      </c>
      <c r="AR265" s="95">
        <f>CS265/'Weighting Factors'!$Q$5</f>
        <v>0</v>
      </c>
      <c r="AS265" s="99">
        <v>475056</v>
      </c>
      <c r="AT265" s="95">
        <f>AS265/'Weighting Factors'!$Q$5</f>
        <v>114.1</v>
      </c>
      <c r="AU265" s="95">
        <f>IF(ISNA(VLOOKUP($CZ265,'Audit Values'!$A$2:$BU$353,2,FALSE)),'Preliminary SO66'!X264,VLOOKUP($CZ265,'Audit Values'!$A$2:$BU$353,47,FALSE))</f>
        <v>0</v>
      </c>
      <c r="AV265" s="95">
        <f t="shared" si="163"/>
        <v>1562.7</v>
      </c>
      <c r="AW265" s="95">
        <f t="shared" si="164"/>
        <v>1448.6</v>
      </c>
      <c r="AX265" s="95">
        <f>IF(ISNA(VLOOKUP($CZ265,'Audit Values'!$A$2:$BU$353,2,FALSE)),'Preliminary SO66'!AA264,VLOOKUP($CZ265,'Audit Values'!$A$2:$BU$353,41,FALSE))</f>
        <v>0</v>
      </c>
      <c r="AY265" s="95">
        <f>IF(ISNA(VLOOKUP($CZ265,'Audit Values'!$A$2:$BU$353,2,FALSE)),'Preliminary SO66'!AB264,VLOOKUP($CZ265,'Audit Values'!$A$2:$BU$353,42,FALSE))</f>
        <v>0</v>
      </c>
      <c r="AZ265" s="114">
        <v>0</v>
      </c>
      <c r="BA265" s="99">
        <f>SUM(AX265*'Weighting Factors'!$T$10)+('2019 Legal Max'!AY265*'Weighting Factors'!$T$11)+('2019 Legal Max'!AZ265*'Weighting Factors'!$T$12)</f>
        <v>0</v>
      </c>
      <c r="BB265" s="158">
        <v>0</v>
      </c>
      <c r="BC265" s="88">
        <f>IF(ISNA(VLOOKUP($CZ265,'Audit Values'!$A$2:$BU$353,2,FALSE)),"",IF(AND('Weighting Factors'!H265&gt;0,VLOOKUP($CZ265,'Audit Values'!$A$2:$BU$353,51,FALSE)&lt;'Weighting Factors'!H265),'Weighting Factors'!H265,VLOOKUP($CZ265,'Audit Values'!$A$2:$BU$353,50,FALSE)))</f>
        <v>4</v>
      </c>
      <c r="BD265" s="88" t="str">
        <f>IF(ISNA(VLOOKUP($CZ265,'Audit Values'!$A$2:$BV$353,2,FALSE)),"",VLOOKUP($CZ265,'Audit Values'!$A$2:$BV$353,51,FALSE))</f>
        <v>A</v>
      </c>
      <c r="BE265" s="88" t="str">
        <f>IF('Weighting Factors'!H265="","",IF('Weighting Factors'!J265="Pending","PX","R"))</f>
        <v/>
      </c>
      <c r="BF265" s="97">
        <f>SUM((S265+T265+Y265+AA265+AE265+AH265+AJ265++AO265+AP265+AQ265+AU265+AR265)*'Weighting Factors'!$Q$5)+'2019 Legal Max'!BA265+'2019 Legal Max'!BB265</f>
        <v>6033419</v>
      </c>
      <c r="BG265" s="99">
        <f>SUM((AV265+AR265)*'Weighting Factors'!$Q$5)+BA265+'2019 Legal Max'!BB265</f>
        <v>6508646</v>
      </c>
      <c r="BH265" s="108">
        <f>IF('Weighting Factors'!H265&gt;0,'Weighting Factors'!H265,'Preliminary SO66'!AV264)</f>
        <v>6850176</v>
      </c>
      <c r="BI265" s="99">
        <f t="shared" si="188"/>
        <v>6508646</v>
      </c>
      <c r="BJ265" s="112"/>
      <c r="BK265" s="112">
        <f>'Weighting Factors'!F265</f>
        <v>-49057</v>
      </c>
      <c r="BL265" s="112">
        <f>'Weighting Factors'!E265</f>
        <v>0</v>
      </c>
      <c r="BM265" s="99">
        <f t="shared" si="165"/>
        <v>-49057</v>
      </c>
      <c r="BN265" s="99">
        <f t="shared" si="166"/>
        <v>6459589</v>
      </c>
      <c r="BO265" s="99">
        <f>SUM((S265+T265+Y265+AA265+AE265+AH265+AJ265++AO265+AP265+AQ265+AR265)*'Weighting Factors'!Q$12)+(MAX(AS265,'Weighting Factors'!B265))</f>
        <v>7104059</v>
      </c>
      <c r="BP265" s="122">
        <v>0.3</v>
      </c>
      <c r="BQ265" s="99">
        <f t="shared" si="167"/>
        <v>2131218</v>
      </c>
      <c r="BR265" s="108">
        <v>1900000</v>
      </c>
      <c r="BS265" s="99">
        <f t="shared" si="168"/>
        <v>1900000</v>
      </c>
      <c r="BT265" s="167">
        <f t="shared" si="169"/>
        <v>0.26750000000000002</v>
      </c>
      <c r="BU265" s="95">
        <f t="shared" si="170"/>
        <v>0</v>
      </c>
      <c r="BV265" s="87" t="b">
        <f t="shared" si="171"/>
        <v>0</v>
      </c>
      <c r="BW265" s="117">
        <f t="shared" si="172"/>
        <v>0</v>
      </c>
      <c r="BX265" s="116">
        <f t="shared" si="173"/>
        <v>0</v>
      </c>
      <c r="BY265" s="95">
        <f t="shared" si="174"/>
        <v>0</v>
      </c>
      <c r="BZ265" s="87" t="b">
        <f t="shared" si="175"/>
        <v>1</v>
      </c>
      <c r="CA265" s="87">
        <f t="shared" si="176"/>
        <v>481.38749999999999</v>
      </c>
      <c r="CB265" s="116">
        <f t="shared" si="177"/>
        <v>0.352024</v>
      </c>
      <c r="CC265" s="95">
        <f t="shared" si="178"/>
        <v>242.5</v>
      </c>
      <c r="CD265" s="95">
        <f t="shared" si="179"/>
        <v>0</v>
      </c>
      <c r="CE265" s="98">
        <v>541</v>
      </c>
      <c r="CF265" s="250">
        <f t="shared" si="180"/>
        <v>1.002</v>
      </c>
      <c r="CG265" s="274">
        <f>IF(CF265&lt;0.06,1,IF(CF265&gt;=18.29,52,MATCH(CF265-0.001,'Weighting Factors'!$Y$5:$Y$156)+1))</f>
        <v>32</v>
      </c>
      <c r="CH265" s="243">
        <f>VLOOKUP(CG265, 'Weighting Factors'!$W$5:$Z$56,4)</f>
        <v>950</v>
      </c>
      <c r="CI265" s="118">
        <f>('Weighting Factors'!$Q$5/'Weighting Factors'!$Q$14)</f>
        <v>1</v>
      </c>
      <c r="CJ265" s="245">
        <f t="shared" si="181"/>
        <v>514900</v>
      </c>
      <c r="CK265" s="245">
        <f>CJ265*'Weighting Factors'!$S$7</f>
        <v>514900</v>
      </c>
      <c r="CL265" s="245">
        <f t="shared" si="182"/>
        <v>514900</v>
      </c>
      <c r="CM265" s="95">
        <f>AM265/'Weighting Factors'!$Q$5</f>
        <v>123.6</v>
      </c>
      <c r="CN265" s="148">
        <v>0</v>
      </c>
      <c r="CO265" s="148">
        <v>0</v>
      </c>
      <c r="CP265" s="149">
        <v>0</v>
      </c>
      <c r="CQ265" s="151">
        <v>0</v>
      </c>
      <c r="CR265" s="99">
        <f>SUM((AV265*'Weighting Factors'!$Q$5)+'2019 Legal Max'!BA265)*CQ265</f>
        <v>0</v>
      </c>
      <c r="CS265" s="99">
        <f t="shared" si="183"/>
        <v>0</v>
      </c>
      <c r="CT265" s="106">
        <f t="shared" si="184"/>
        <v>0.60499999999999998</v>
      </c>
      <c r="CU265" s="95">
        <f t="shared" si="185"/>
        <v>40.799999999999997</v>
      </c>
      <c r="CV265" s="95">
        <f t="shared" si="186"/>
        <v>0</v>
      </c>
      <c r="CW265" s="95">
        <f t="shared" si="187"/>
        <v>1562.7</v>
      </c>
      <c r="CX265" s="99">
        <f>'LOB Transfers'!G264</f>
        <v>231040</v>
      </c>
      <c r="CY265" s="99">
        <f>'LOB Transfers'!J264</f>
        <v>165490</v>
      </c>
      <c r="CZ265" s="87" t="s">
        <v>457</v>
      </c>
    </row>
    <row r="266" spans="1:104" ht="15" customHeight="1">
      <c r="A266" s="88">
        <v>484</v>
      </c>
      <c r="B266" s="87" t="s">
        <v>83</v>
      </c>
      <c r="C266" s="87" t="s">
        <v>778</v>
      </c>
      <c r="D266" s="95">
        <v>631.29999999999995</v>
      </c>
      <c r="E266" s="95">
        <v>0</v>
      </c>
      <c r="F266" s="95">
        <f t="shared" si="154"/>
        <v>631.29999999999995</v>
      </c>
      <c r="G266" s="95">
        <v>654.5</v>
      </c>
      <c r="H266" s="95">
        <v>0</v>
      </c>
      <c r="I266" s="95">
        <f t="shared" si="155"/>
        <v>654.5</v>
      </c>
      <c r="J266" s="95">
        <v>686.5</v>
      </c>
      <c r="K266" s="95">
        <v>0</v>
      </c>
      <c r="L266" s="95">
        <f t="shared" si="156"/>
        <v>686.5</v>
      </c>
      <c r="M266" s="95">
        <f>IF(ISNA(VLOOKUP($CZ266,'Audit Values'!$A$2:$BW$365,2,FALSE)),'Preliminary SO66'!C265,VLOOKUP($CZ266,'Audit Values'!$A$2:$BW$365,73,FALSE))</f>
        <v>697.5</v>
      </c>
      <c r="N266" s="95">
        <f>IF(ISNA(VLOOKUP($CZ266,'Audit Values'!$A$2:$BW$365,2,FALSE)),'Preliminary SO66'!F265,VLOOKUP($CZ266,'Audit Values'!$A$2:$BW$365,4,FALSE))</f>
        <v>0</v>
      </c>
      <c r="O266" s="95">
        <f t="shared" si="157"/>
        <v>697.5</v>
      </c>
      <c r="P266" s="95">
        <f>IF('Military Provision'!J267="YES", MAX('2019 Legal Max'!L266,'2019 Legal Max'!I266,AVERAGE('2019 Legal Max'!F266,'2019 Legal Max'!I266,'2019 Legal Max'!L266)), MAX(L266, I266))</f>
        <v>686.5</v>
      </c>
      <c r="Q266" s="95">
        <f>IF(ISNA(VLOOKUP($CZ266,'Audit Values'!$A$2:$BU$353,2,FALSE)),'Preliminary SO66'!AL265,VLOOKUP($CZ266,'Audit Values'!$A$2:$BU$3955,58,FALSE))</f>
        <v>6.5</v>
      </c>
      <c r="R266" s="95">
        <v>0</v>
      </c>
      <c r="S266" s="95">
        <f t="shared" si="153"/>
        <v>693</v>
      </c>
      <c r="T266" s="95">
        <f t="shared" si="158"/>
        <v>243</v>
      </c>
      <c r="U266" s="95">
        <f>IF(ISNA(VLOOKUP($CZ266,'Audit Values'!$A$2:$BW$317,2,FALSE)),'Preliminary SO66'!AM265,VLOOKUP($CZ266,'Audit Values'!$A$2:$BW$317,62,FALSE))</f>
        <v>0</v>
      </c>
      <c r="V266" s="95">
        <f>(U266/6)*'Weighting Factors'!$Q$7</f>
        <v>0</v>
      </c>
      <c r="W266" s="132">
        <f>IF(ISNA(VLOOKUP($CZ266,'Audit Values'!$A$2:$BW$353,2,FALSE)),'Preliminary SO66'!AN265,VLOOKUP($CZ266,'Audit Values'!$A$2:$BW$353,61,FALSE))</f>
        <v>0</v>
      </c>
      <c r="X266" s="95">
        <f>W266*'Weighting Factors'!$Q$8</f>
        <v>0</v>
      </c>
      <c r="Y266" s="95">
        <f t="shared" si="159"/>
        <v>0</v>
      </c>
      <c r="Z266" s="276">
        <f>IF(ISNA(VLOOKUP($CZ266,'Audit Values'!$A$2:$BW$317,2,FALSE)),'Preliminary SO66'!AO265,VLOOKUP($CZ266,'Audit Values'!$A$2:$BW$317,60,FALSE))</f>
        <v>199.9</v>
      </c>
      <c r="AA266" s="95">
        <f>Z266/6*'Weighting Factors'!$Q$6</f>
        <v>16.7</v>
      </c>
      <c r="AB266" s="99">
        <f>IF(ISNA(VLOOKUP($CZ266,'Audit Values'!$A$2:$BU$353,2,FALSE)),'Preliminary SO66'!AS265,VLOOKUP($CZ266,'Audit Values'!$A$2:$BU$353,63,FALSE))</f>
        <v>712</v>
      </c>
      <c r="AC266" s="99">
        <v>0</v>
      </c>
      <c r="AD266" s="99">
        <f>IF(ISNA(VLOOKUP($CZ266,'Audit Values'!$A$2:$BU$353,2,FALSE)),'Preliminary SO66'!AP265,VLOOKUP($CZ266,'Audit Values'!$A$2:$BU$353,64,FALSE))</f>
        <v>308</v>
      </c>
      <c r="AE266" s="95">
        <f>IF(A266=207, AD266,MAX(AC266,AD266))*'Weighting Factors'!$Q$9</f>
        <v>149.1</v>
      </c>
      <c r="AF266" s="95">
        <f t="shared" si="160"/>
        <v>17.8</v>
      </c>
      <c r="AG266" s="95">
        <f>IF(ISNA(VLOOKUP($CZ266,'Audit Values'!$A$2:$BW$353,2,FALSE)),'Preliminary SO66'!AG265,VLOOKUP($CZ266,'Audit Values'!$A$2:$BW$353,70,FALSE))</f>
        <v>19.399999999999999</v>
      </c>
      <c r="AH266" s="95">
        <f t="shared" si="161"/>
        <v>19.399999999999999</v>
      </c>
      <c r="AI266" s="95">
        <f>IF(ISNA(VLOOKUP($CZ266,'Audit Values'!$A$2:$BU$353,2,FALSE)),'Preliminary SO66'!AQ265,VLOOKUP($CZ266,'Audit Values'!$A$2:$BU$353,65,FALSE))</f>
        <v>0</v>
      </c>
      <c r="AJ266" s="95">
        <f>AI266*'Weighting Factors'!$Q$10</f>
        <v>0</v>
      </c>
      <c r="AK266" s="95">
        <f>IF(ISNA(VLOOKUP($CZ266,'Audit Values'!$A$2:$BU$353,2,FALSE)),'Preliminary SO66'!AR265,VLOOKUP($CZ266,'Audit Values'!$A$2:$BU$353,66,FALSE))</f>
        <v>202</v>
      </c>
      <c r="AL266" s="95"/>
      <c r="AM266" s="99">
        <f t="shared" si="162"/>
        <v>220180</v>
      </c>
      <c r="AN266" s="99">
        <v>247684</v>
      </c>
      <c r="AO266" s="95">
        <f>MAX(AN266, AM266)/'Weighting Factors'!$Q$5</f>
        <v>59.5</v>
      </c>
      <c r="AP266" s="95">
        <f>CN266/'Weighting Factors'!$Q$5</f>
        <v>0</v>
      </c>
      <c r="AQ266" s="95">
        <v>0</v>
      </c>
      <c r="AR266" s="95">
        <f>CS266/'Weighting Factors'!$Q$5</f>
        <v>0</v>
      </c>
      <c r="AS266" s="99">
        <v>521795</v>
      </c>
      <c r="AT266" s="95">
        <f>AS266/'Weighting Factors'!$Q$5</f>
        <v>125.3</v>
      </c>
      <c r="AU266" s="95">
        <f>IF(ISNA(VLOOKUP($CZ266,'Audit Values'!$A$2:$BU$353,2,FALSE)),'Preliminary SO66'!X265,VLOOKUP($CZ266,'Audit Values'!$A$2:$BU$353,47,FALSE))</f>
        <v>0</v>
      </c>
      <c r="AV266" s="95">
        <f t="shared" si="163"/>
        <v>1306</v>
      </c>
      <c r="AW266" s="95">
        <f t="shared" si="164"/>
        <v>1180.7</v>
      </c>
      <c r="AX266" s="95">
        <f>IF(ISNA(VLOOKUP($CZ266,'Audit Values'!$A$2:$BU$353,2,FALSE)),'Preliminary SO66'!AA265,VLOOKUP($CZ266,'Audit Values'!$A$2:$BU$353,41,FALSE))</f>
        <v>0</v>
      </c>
      <c r="AY266" s="95">
        <f>IF(ISNA(VLOOKUP($CZ266,'Audit Values'!$A$2:$BU$353,2,FALSE)),'Preliminary SO66'!AB265,VLOOKUP($CZ266,'Audit Values'!$A$2:$BU$353,42,FALSE))</f>
        <v>0</v>
      </c>
      <c r="AZ266" s="114">
        <v>21.5</v>
      </c>
      <c r="BA266" s="99">
        <f>SUM(AX266*'Weighting Factors'!$T$10)+('2019 Legal Max'!AY266*'Weighting Factors'!$T$11)+('2019 Legal Max'!AZ266*'Weighting Factors'!$T$12)</f>
        <v>15244</v>
      </c>
      <c r="BB266" s="158">
        <v>0</v>
      </c>
      <c r="BC266" s="88">
        <f>IF(ISNA(VLOOKUP($CZ266,'Audit Values'!$A$2:$BU$353,2,FALSE)),"",IF(AND('Weighting Factors'!H266&gt;0,VLOOKUP($CZ266,'Audit Values'!$A$2:$BU$353,51,FALSE)&lt;'Weighting Factors'!H266),'Weighting Factors'!H266,VLOOKUP($CZ266,'Audit Values'!$A$2:$BU$353,50,FALSE)))</f>
        <v>16</v>
      </c>
      <c r="BD266" s="88" t="str">
        <f>IF(ISNA(VLOOKUP($CZ266,'Audit Values'!$A$2:$BV$353,2,FALSE)),"",VLOOKUP($CZ266,'Audit Values'!$A$2:$BV$353,51,FALSE))</f>
        <v>A</v>
      </c>
      <c r="BE266" s="88" t="str">
        <f>IF('Weighting Factors'!H266="","",IF('Weighting Factors'!J266="Pending","PX","R"))</f>
        <v/>
      </c>
      <c r="BF266" s="97">
        <f>SUM((S266+T266+Y266+AA266+AE266+AH266+AJ266++AO266+AP266+AQ266+AU266+AR266)*'Weighting Factors'!$Q$5)+'2019 Legal Max'!BA266+'2019 Legal Max'!BB266</f>
        <v>4932860</v>
      </c>
      <c r="BG266" s="99">
        <f>SUM((AV266+AR266)*'Weighting Factors'!$Q$5)+BA266+'2019 Legal Max'!BB266</f>
        <v>5454734</v>
      </c>
      <c r="BH266" s="108">
        <f>IF('Weighting Factors'!H266&gt;0,'Weighting Factors'!H266,'Preliminary SO66'!AV265)</f>
        <v>5523005</v>
      </c>
      <c r="BI266" s="99">
        <f t="shared" si="188"/>
        <v>5454734</v>
      </c>
      <c r="BJ266" s="112"/>
      <c r="BK266" s="112">
        <f>'Weighting Factors'!F266</f>
        <v>0</v>
      </c>
      <c r="BL266" s="112">
        <f>'Weighting Factors'!E266</f>
        <v>-355</v>
      </c>
      <c r="BM266" s="99">
        <f t="shared" si="165"/>
        <v>-355</v>
      </c>
      <c r="BN266" s="99">
        <f t="shared" si="166"/>
        <v>5454379</v>
      </c>
      <c r="BO266" s="99">
        <f>SUM((S266+T266+Y266+AA266+AE266+AH266+AJ266++AO266+AP266+AQ266+AR266)*'Weighting Factors'!Q$12)+(MAX(AS266,'Weighting Factors'!B266))</f>
        <v>5960075</v>
      </c>
      <c r="BP266" s="122">
        <v>0.3</v>
      </c>
      <c r="BQ266" s="99">
        <f t="shared" si="167"/>
        <v>1788023</v>
      </c>
      <c r="BR266" s="148">
        <v>1795296</v>
      </c>
      <c r="BS266" s="99">
        <f t="shared" si="168"/>
        <v>1788023</v>
      </c>
      <c r="BT266" s="167">
        <f t="shared" si="169"/>
        <v>0.3</v>
      </c>
      <c r="BU266" s="95">
        <f t="shared" si="170"/>
        <v>0</v>
      </c>
      <c r="BV266" s="87" t="b">
        <f t="shared" si="171"/>
        <v>0</v>
      </c>
      <c r="BW266" s="117">
        <f t="shared" si="172"/>
        <v>0</v>
      </c>
      <c r="BX266" s="116">
        <f t="shared" si="173"/>
        <v>0</v>
      </c>
      <c r="BY266" s="95">
        <f t="shared" si="174"/>
        <v>0</v>
      </c>
      <c r="BZ266" s="87" t="b">
        <f t="shared" si="175"/>
        <v>1</v>
      </c>
      <c r="CA266" s="87">
        <f t="shared" si="176"/>
        <v>486.33749999999998</v>
      </c>
      <c r="CB266" s="116">
        <f t="shared" si="177"/>
        <v>0.350665</v>
      </c>
      <c r="CC266" s="95">
        <f t="shared" si="178"/>
        <v>243</v>
      </c>
      <c r="CD266" s="95">
        <f t="shared" si="179"/>
        <v>0</v>
      </c>
      <c r="CE266" s="98">
        <v>402</v>
      </c>
      <c r="CF266" s="250">
        <f t="shared" si="180"/>
        <v>0.502</v>
      </c>
      <c r="CG266" s="274">
        <f>IF(CF266&lt;0.06,1,IF(CF266&gt;=18.29,52,MATCH(CF266-0.001,'Weighting Factors'!$Y$5:$Y$156)+1))</f>
        <v>25</v>
      </c>
      <c r="CH266" s="243">
        <f>VLOOKUP(CG266, 'Weighting Factors'!$W$5:$Z$56,4)</f>
        <v>1090</v>
      </c>
      <c r="CI266" s="118">
        <f>('Weighting Factors'!$Q$5/'Weighting Factors'!$Q$14)</f>
        <v>1</v>
      </c>
      <c r="CJ266" s="245">
        <f t="shared" si="181"/>
        <v>220180</v>
      </c>
      <c r="CK266" s="245">
        <f>CJ266*'Weighting Factors'!$S$7</f>
        <v>220180</v>
      </c>
      <c r="CL266" s="245">
        <f t="shared" si="182"/>
        <v>220180</v>
      </c>
      <c r="CM266" s="95">
        <f>AM266/'Weighting Factors'!$Q$5</f>
        <v>52.9</v>
      </c>
      <c r="CN266" s="148">
        <v>0</v>
      </c>
      <c r="CO266" s="148">
        <v>0</v>
      </c>
      <c r="CP266" s="149">
        <v>0</v>
      </c>
      <c r="CQ266" s="152">
        <v>0</v>
      </c>
      <c r="CR266" s="99">
        <f>SUM((AV266*'Weighting Factors'!$Q$5)+'2019 Legal Max'!BA266)*CQ266</f>
        <v>0</v>
      </c>
      <c r="CS266" s="99">
        <f t="shared" si="183"/>
        <v>0</v>
      </c>
      <c r="CT266" s="106">
        <f t="shared" si="184"/>
        <v>0.43259999999999998</v>
      </c>
      <c r="CU266" s="95">
        <f t="shared" si="185"/>
        <v>0</v>
      </c>
      <c r="CV266" s="95">
        <f t="shared" si="186"/>
        <v>17.8</v>
      </c>
      <c r="CW266" s="95">
        <f t="shared" si="187"/>
        <v>1306</v>
      </c>
      <c r="CX266" s="99">
        <f>'LOB Transfers'!G265</f>
        <v>205086</v>
      </c>
      <c r="CY266" s="99">
        <f>'LOB Transfers'!J265</f>
        <v>0</v>
      </c>
      <c r="CZ266" s="87" t="s">
        <v>458</v>
      </c>
    </row>
    <row r="267" spans="1:104" ht="15" customHeight="1">
      <c r="A267" s="88">
        <v>487</v>
      </c>
      <c r="B267" s="87" t="s">
        <v>87</v>
      </c>
      <c r="C267" s="87" t="s">
        <v>779</v>
      </c>
      <c r="D267" s="95">
        <v>421.5</v>
      </c>
      <c r="E267" s="95">
        <v>0</v>
      </c>
      <c r="F267" s="95">
        <f t="shared" si="154"/>
        <v>421.5</v>
      </c>
      <c r="G267" s="95">
        <v>445.1</v>
      </c>
      <c r="H267" s="95">
        <v>0</v>
      </c>
      <c r="I267" s="95">
        <f t="shared" si="155"/>
        <v>445.1</v>
      </c>
      <c r="J267" s="95">
        <v>463.5</v>
      </c>
      <c r="K267" s="95">
        <v>0</v>
      </c>
      <c r="L267" s="95">
        <f t="shared" si="156"/>
        <v>463.5</v>
      </c>
      <c r="M267" s="95">
        <f>IF(ISNA(VLOOKUP($CZ267,'Audit Values'!$A$2:$BW$365,2,FALSE)),'Preliminary SO66'!C266,VLOOKUP($CZ267,'Audit Values'!$A$2:$BW$365,73,FALSE))</f>
        <v>429.5</v>
      </c>
      <c r="N267" s="95">
        <f>IF(ISNA(VLOOKUP($CZ267,'Audit Values'!$A$2:$BW$365,2,FALSE)),'Preliminary SO66'!F266,VLOOKUP($CZ267,'Audit Values'!$A$2:$BW$365,4,FALSE))</f>
        <v>0</v>
      </c>
      <c r="O267" s="95">
        <f t="shared" si="157"/>
        <v>429.5</v>
      </c>
      <c r="P267" s="95">
        <f>IF('Military Provision'!J268="YES", MAX('2019 Legal Max'!L267,'2019 Legal Max'!I267,AVERAGE('2019 Legal Max'!F267,'2019 Legal Max'!I267,'2019 Legal Max'!L267)), MAX(L267, I267))</f>
        <v>463.5</v>
      </c>
      <c r="Q267" s="95">
        <f>IF(ISNA(VLOOKUP($CZ267,'Audit Values'!$A$2:$BU$353,2,FALSE)),'Preliminary SO66'!AL266,VLOOKUP($CZ267,'Audit Values'!$A$2:$BU$3955,58,FALSE))</f>
        <v>6.5</v>
      </c>
      <c r="R267" s="95">
        <v>0</v>
      </c>
      <c r="S267" s="95">
        <f t="shared" si="153"/>
        <v>470</v>
      </c>
      <c r="T267" s="95">
        <f t="shared" si="158"/>
        <v>200.4</v>
      </c>
      <c r="U267" s="95">
        <f>IF(ISNA(VLOOKUP($CZ267,'Audit Values'!$A$2:$BW$317,2,FALSE)),'Preliminary SO66'!AM266,VLOOKUP($CZ267,'Audit Values'!$A$2:$BW$317,62,FALSE))</f>
        <v>0</v>
      </c>
      <c r="V267" s="95">
        <f>(U267/6)*'Weighting Factors'!$Q$7</f>
        <v>0</v>
      </c>
      <c r="W267" s="132">
        <f>IF(ISNA(VLOOKUP($CZ267,'Audit Values'!$A$2:$BW$353,2,FALSE)),'Preliminary SO66'!AN266,VLOOKUP($CZ267,'Audit Values'!$A$2:$BW$353,61,FALSE))</f>
        <v>0</v>
      </c>
      <c r="X267" s="95">
        <f>W267*'Weighting Factors'!$Q$8</f>
        <v>0</v>
      </c>
      <c r="Y267" s="95">
        <f t="shared" si="159"/>
        <v>0</v>
      </c>
      <c r="Z267" s="276">
        <f>IF(ISNA(VLOOKUP($CZ267,'Audit Values'!$A$2:$BW$317,2,FALSE)),'Preliminary SO66'!AO266,VLOOKUP($CZ267,'Audit Values'!$A$2:$BW$317,60,FALSE))</f>
        <v>216.6</v>
      </c>
      <c r="AA267" s="95">
        <f>Z267/6*'Weighting Factors'!$Q$6</f>
        <v>18.100000000000001</v>
      </c>
      <c r="AB267" s="99">
        <f>IF(ISNA(VLOOKUP($CZ267,'Audit Values'!$A$2:$BU$353,2,FALSE)),'Preliminary SO66'!AS266,VLOOKUP($CZ267,'Audit Values'!$A$2:$BU$353,63,FALSE))</f>
        <v>445</v>
      </c>
      <c r="AC267" s="99">
        <v>0</v>
      </c>
      <c r="AD267" s="99">
        <f>IF(ISNA(VLOOKUP($CZ267,'Audit Values'!$A$2:$BU$353,2,FALSE)),'Preliminary SO66'!AP266,VLOOKUP($CZ267,'Audit Values'!$A$2:$BU$353,64,FALSE))</f>
        <v>219</v>
      </c>
      <c r="AE267" s="95">
        <f>IF(A267=207, AD267,MAX(AC267,AD267))*'Weighting Factors'!$Q$9</f>
        <v>106</v>
      </c>
      <c r="AF267" s="95">
        <f t="shared" si="160"/>
        <v>21.8</v>
      </c>
      <c r="AG267" s="95">
        <f>IF(ISNA(VLOOKUP($CZ267,'Audit Values'!$A$2:$BW$353,2,FALSE)),'Preliminary SO66'!AG266,VLOOKUP($CZ267,'Audit Values'!$A$2:$BW$353,70,FALSE))</f>
        <v>19.600000000000001</v>
      </c>
      <c r="AH267" s="95">
        <f t="shared" si="161"/>
        <v>21.8</v>
      </c>
      <c r="AI267" s="95">
        <f>IF(ISNA(VLOOKUP($CZ267,'Audit Values'!$A$2:$BU$353,2,FALSE)),'Preliminary SO66'!AQ266,VLOOKUP($CZ267,'Audit Values'!$A$2:$BU$353,65,FALSE))</f>
        <v>0</v>
      </c>
      <c r="AJ267" s="95">
        <f>AI267*'Weighting Factors'!$Q$10</f>
        <v>0</v>
      </c>
      <c r="AK267" s="95">
        <f>IF(ISNA(VLOOKUP($CZ267,'Audit Values'!$A$2:$BU$353,2,FALSE)),'Preliminary SO66'!AR266,VLOOKUP($CZ267,'Audit Values'!$A$2:$BU$353,66,FALSE))</f>
        <v>39</v>
      </c>
      <c r="AL267" s="95"/>
      <c r="AM267" s="99">
        <f t="shared" si="162"/>
        <v>44070</v>
      </c>
      <c r="AN267" s="99">
        <v>61247</v>
      </c>
      <c r="AO267" s="95">
        <f>MAX(AN267, AM267)/'Weighting Factors'!$Q$5</f>
        <v>14.7</v>
      </c>
      <c r="AP267" s="95">
        <f>CN267/'Weighting Factors'!$Q$5</f>
        <v>0</v>
      </c>
      <c r="AQ267" s="95">
        <v>0</v>
      </c>
      <c r="AR267" s="95">
        <f>CS267/'Weighting Factors'!$Q$5</f>
        <v>0</v>
      </c>
      <c r="AS267" s="99">
        <v>487186</v>
      </c>
      <c r="AT267" s="95">
        <f>AS267/'Weighting Factors'!$Q$5</f>
        <v>117</v>
      </c>
      <c r="AU267" s="95">
        <f>IF(ISNA(VLOOKUP($CZ267,'Audit Values'!$A$2:$BU$353,2,FALSE)),'Preliminary SO66'!X266,VLOOKUP($CZ267,'Audit Values'!$A$2:$BU$353,47,FALSE))</f>
        <v>1</v>
      </c>
      <c r="AV267" s="95">
        <f t="shared" si="163"/>
        <v>949</v>
      </c>
      <c r="AW267" s="95">
        <f t="shared" si="164"/>
        <v>832</v>
      </c>
      <c r="AX267" s="95">
        <f>IF(ISNA(VLOOKUP($CZ267,'Audit Values'!$A$2:$BU$353,2,FALSE)),'Preliminary SO66'!AA266,VLOOKUP($CZ267,'Audit Values'!$A$2:$BU$353,41,FALSE))</f>
        <v>5</v>
      </c>
      <c r="AY267" s="95">
        <f>IF(ISNA(VLOOKUP($CZ267,'Audit Values'!$A$2:$BU$353,2,FALSE)),'Preliminary SO66'!AB266,VLOOKUP($CZ267,'Audit Values'!$A$2:$BU$353,42,FALSE))</f>
        <v>0.7</v>
      </c>
      <c r="AZ267" s="114">
        <v>1.5</v>
      </c>
      <c r="BA267" s="99">
        <f>SUM(AX267*'Weighting Factors'!$T$10)+('2019 Legal Max'!AY267*'Weighting Factors'!$T$11)+('2019 Legal Max'!AZ267*'Weighting Factors'!$T$12)</f>
        <v>27254</v>
      </c>
      <c r="BB267" s="158">
        <v>0</v>
      </c>
      <c r="BC267" s="88">
        <f>IF(ISNA(VLOOKUP($CZ267,'Audit Values'!$A$2:$BU$353,2,FALSE)),"",IF(AND('Weighting Factors'!H267&gt;0,VLOOKUP($CZ267,'Audit Values'!$A$2:$BU$353,51,FALSE)&lt;'Weighting Factors'!H267),'Weighting Factors'!H267,VLOOKUP($CZ267,'Audit Values'!$A$2:$BU$353,50,FALSE)))</f>
        <v>21</v>
      </c>
      <c r="BD267" s="88" t="str">
        <f>IF(ISNA(VLOOKUP($CZ267,'Audit Values'!$A$2:$BV$353,2,FALSE)),"",VLOOKUP($CZ267,'Audit Values'!$A$2:$BV$353,51,FALSE))</f>
        <v>A</v>
      </c>
      <c r="BE267" s="88" t="str">
        <f>IF('Weighting Factors'!H267="","",IF('Weighting Factors'!J267="Pending","PX","R"))</f>
        <v/>
      </c>
      <c r="BF267" s="97">
        <f>SUM((S267+T267+Y267+AA267+AE267+AH267+AJ267++AO267+AP267+AQ267+AU267+AR267)*'Weighting Factors'!$Q$5)+'2019 Legal Max'!BA267+'2019 Legal Max'!BB267</f>
        <v>3492534</v>
      </c>
      <c r="BG267" s="99">
        <f>SUM((AV267+AR267)*'Weighting Factors'!$Q$5)+BA267+'2019 Legal Max'!BB267</f>
        <v>3979839</v>
      </c>
      <c r="BH267" s="108">
        <f>IF('Weighting Factors'!H267&gt;0,'Weighting Factors'!H267,'Preliminary SO66'!AV266)</f>
        <v>4210807</v>
      </c>
      <c r="BI267" s="99">
        <f t="shared" si="188"/>
        <v>3979839</v>
      </c>
      <c r="BJ267" s="112"/>
      <c r="BK267" s="112">
        <f>'Weighting Factors'!F267</f>
        <v>0</v>
      </c>
      <c r="BL267" s="112">
        <f>'Weighting Factors'!E267</f>
        <v>0</v>
      </c>
      <c r="BM267" s="99">
        <f t="shared" si="165"/>
        <v>0</v>
      </c>
      <c r="BN267" s="99">
        <f t="shared" si="166"/>
        <v>3979839</v>
      </c>
      <c r="BO267" s="99">
        <f>SUM((S267+T267+Y267+AA267+AE267+AH267+AJ267++AO267+AP267+AQ267+AR267)*'Weighting Factors'!Q$12)+(MAX(AS267,'Weighting Factors'!B267))</f>
        <v>4218376</v>
      </c>
      <c r="BP267" s="122">
        <v>0.3</v>
      </c>
      <c r="BQ267" s="99">
        <f t="shared" si="167"/>
        <v>1265513</v>
      </c>
      <c r="BR267" s="108">
        <v>1334287</v>
      </c>
      <c r="BS267" s="99">
        <f t="shared" si="168"/>
        <v>1265513</v>
      </c>
      <c r="BT267" s="167">
        <f t="shared" si="169"/>
        <v>0.3</v>
      </c>
      <c r="BU267" s="95">
        <f t="shared" si="170"/>
        <v>0</v>
      </c>
      <c r="BV267" s="87" t="b">
        <f t="shared" si="171"/>
        <v>0</v>
      </c>
      <c r="BW267" s="117">
        <f t="shared" si="172"/>
        <v>0</v>
      </c>
      <c r="BX267" s="116">
        <f t="shared" si="173"/>
        <v>0</v>
      </c>
      <c r="BY267" s="95">
        <f t="shared" si="174"/>
        <v>0</v>
      </c>
      <c r="BZ267" s="87" t="b">
        <f t="shared" si="175"/>
        <v>1</v>
      </c>
      <c r="CA267" s="87">
        <f t="shared" si="176"/>
        <v>210.375</v>
      </c>
      <c r="CB267" s="116">
        <f t="shared" si="177"/>
        <v>0.426429</v>
      </c>
      <c r="CC267" s="95">
        <f t="shared" si="178"/>
        <v>200.4</v>
      </c>
      <c r="CD267" s="95">
        <f t="shared" si="179"/>
        <v>0</v>
      </c>
      <c r="CE267" s="98">
        <v>93.7</v>
      </c>
      <c r="CF267" s="250">
        <f t="shared" si="180"/>
        <v>0.41599999999999998</v>
      </c>
      <c r="CG267" s="274">
        <f>IF(CF267&lt;0.06,1,IF(CF267&gt;=18.29,52,MATCH(CF267-0.001,'Weighting Factors'!$Y$5:$Y$156)+1))</f>
        <v>23</v>
      </c>
      <c r="CH267" s="243">
        <f>VLOOKUP(CG267, 'Weighting Factors'!$W$5:$Z$56,4)</f>
        <v>1130</v>
      </c>
      <c r="CI267" s="118">
        <f>('Weighting Factors'!$Q$5/'Weighting Factors'!$Q$14)</f>
        <v>1</v>
      </c>
      <c r="CJ267" s="245">
        <f t="shared" si="181"/>
        <v>44070</v>
      </c>
      <c r="CK267" s="245">
        <f>CJ267*'Weighting Factors'!$S$7</f>
        <v>44070</v>
      </c>
      <c r="CL267" s="245">
        <f t="shared" si="182"/>
        <v>44070</v>
      </c>
      <c r="CM267" s="95">
        <f>AM267/'Weighting Factors'!$Q$5</f>
        <v>10.6</v>
      </c>
      <c r="CN267" s="148">
        <v>0</v>
      </c>
      <c r="CO267" s="148">
        <v>0</v>
      </c>
      <c r="CP267" s="149">
        <v>0</v>
      </c>
      <c r="CQ267" s="151">
        <v>0</v>
      </c>
      <c r="CR267" s="99">
        <f>SUM((AV267*'Weighting Factors'!$Q$5)+'2019 Legal Max'!BA267)*CQ267</f>
        <v>0</v>
      </c>
      <c r="CS267" s="99">
        <f t="shared" si="183"/>
        <v>0</v>
      </c>
      <c r="CT267" s="106">
        <f t="shared" si="184"/>
        <v>0.49209999999999998</v>
      </c>
      <c r="CU267" s="95">
        <f t="shared" si="185"/>
        <v>0</v>
      </c>
      <c r="CV267" s="95">
        <f t="shared" si="186"/>
        <v>21.8</v>
      </c>
      <c r="CW267" s="95">
        <f t="shared" si="187"/>
        <v>949</v>
      </c>
      <c r="CX267" s="99">
        <f>'LOB Transfers'!G266</f>
        <v>142497</v>
      </c>
      <c r="CY267" s="99">
        <f>'LOB Transfers'!J266</f>
        <v>0</v>
      </c>
      <c r="CZ267" s="87" t="s">
        <v>459</v>
      </c>
    </row>
    <row r="268" spans="1:104" ht="15" customHeight="1">
      <c r="A268" s="88">
        <v>489</v>
      </c>
      <c r="B268" s="87" t="s">
        <v>84</v>
      </c>
      <c r="C268" s="87" t="s">
        <v>780</v>
      </c>
      <c r="D268" s="95">
        <v>2787.5</v>
      </c>
      <c r="E268" s="95">
        <v>0</v>
      </c>
      <c r="F268" s="95">
        <f t="shared" si="154"/>
        <v>2787.5</v>
      </c>
      <c r="G268" s="95">
        <v>2966.1</v>
      </c>
      <c r="H268" s="95">
        <v>0</v>
      </c>
      <c r="I268" s="95">
        <f t="shared" si="155"/>
        <v>2966.1</v>
      </c>
      <c r="J268" s="95">
        <v>2969.6</v>
      </c>
      <c r="K268" s="95">
        <v>0</v>
      </c>
      <c r="L268" s="95">
        <f t="shared" si="156"/>
        <v>2969.6</v>
      </c>
      <c r="M268" s="95">
        <f>IF(ISNA(VLOOKUP($CZ268,'Audit Values'!$A$2:$BW$365,2,FALSE)),'Preliminary SO66'!C267,VLOOKUP($CZ268,'Audit Values'!$A$2:$BW$365,73,FALSE))</f>
        <v>3029.3</v>
      </c>
      <c r="N268" s="95">
        <f>IF(ISNA(VLOOKUP($CZ268,'Audit Values'!$A$2:$BW$365,2,FALSE)),'Preliminary SO66'!F267,VLOOKUP($CZ268,'Audit Values'!$A$2:$BW$365,4,FALSE))</f>
        <v>0</v>
      </c>
      <c r="O268" s="95">
        <f t="shared" si="157"/>
        <v>3029.3</v>
      </c>
      <c r="P268" s="95">
        <f>IF('Military Provision'!J269="YES", MAX('2019 Legal Max'!L268,'2019 Legal Max'!I268,AVERAGE('2019 Legal Max'!F268,'2019 Legal Max'!I268,'2019 Legal Max'!L268)), MAX(L268, I268))</f>
        <v>2969.6</v>
      </c>
      <c r="Q268" s="95">
        <f>IF(ISNA(VLOOKUP($CZ268,'Audit Values'!$A$2:$BU$353,2,FALSE)),'Preliminary SO66'!AL267,VLOOKUP($CZ268,'Audit Values'!$A$2:$BU$3955,58,FALSE))</f>
        <v>20</v>
      </c>
      <c r="R268" s="95">
        <v>0</v>
      </c>
      <c r="S268" s="95">
        <f t="shared" si="153"/>
        <v>2989.6</v>
      </c>
      <c r="T268" s="95">
        <f t="shared" si="158"/>
        <v>104.8</v>
      </c>
      <c r="U268" s="95">
        <f>IF(ISNA(VLOOKUP($CZ268,'Audit Values'!$A$2:$BW$317,2,FALSE)),'Preliminary SO66'!AM267,VLOOKUP($CZ268,'Audit Values'!$A$2:$BW$317,62,FALSE))</f>
        <v>560.29999999999995</v>
      </c>
      <c r="V268" s="95">
        <f>(U268/6)*'Weighting Factors'!$Q$7</f>
        <v>36.9</v>
      </c>
      <c r="W268" s="132">
        <f>IF(ISNA(VLOOKUP($CZ268,'Audit Values'!$A$2:$BW$353,2,FALSE)),'Preliminary SO66'!AN267,VLOOKUP($CZ268,'Audit Values'!$A$2:$BW$353,61,FALSE))</f>
        <v>189</v>
      </c>
      <c r="X268" s="95">
        <f>W268*'Weighting Factors'!$Q$8</f>
        <v>35</v>
      </c>
      <c r="Y268" s="95">
        <f t="shared" si="159"/>
        <v>36.9</v>
      </c>
      <c r="Z268" s="276">
        <f>IF(ISNA(VLOOKUP($CZ268,'Audit Values'!$A$2:$BW$317,2,FALSE)),'Preliminary SO66'!AO267,VLOOKUP($CZ268,'Audit Values'!$A$2:$BW$317,60,FALSE))</f>
        <v>704.8</v>
      </c>
      <c r="AA268" s="95">
        <f>Z268/6*'Weighting Factors'!$Q$6</f>
        <v>58.7</v>
      </c>
      <c r="AB268" s="99">
        <f>IF(ISNA(VLOOKUP($CZ268,'Audit Values'!$A$2:$BU$353,2,FALSE)),'Preliminary SO66'!AS267,VLOOKUP($CZ268,'Audit Values'!$A$2:$BU$353,63,FALSE))</f>
        <v>3114</v>
      </c>
      <c r="AC268" s="99">
        <v>0</v>
      </c>
      <c r="AD268" s="99">
        <f>IF(ISNA(VLOOKUP($CZ268,'Audit Values'!$A$2:$BU$353,2,FALSE)),'Preliminary SO66'!AP267,VLOOKUP($CZ268,'Audit Values'!$A$2:$BU$353,64,FALSE))</f>
        <v>966</v>
      </c>
      <c r="AE268" s="95">
        <f>IF(A268=207, AD268,MAX(AC268,AD268))*'Weighting Factors'!$Q$9</f>
        <v>467.5</v>
      </c>
      <c r="AF268" s="95">
        <f t="shared" si="160"/>
        <v>0</v>
      </c>
      <c r="AG268" s="95">
        <f>IF(ISNA(VLOOKUP($CZ268,'Audit Values'!$A$2:$BW$353,2,FALSE)),'Preliminary SO66'!AG267,VLOOKUP($CZ268,'Audit Values'!$A$2:$BW$353,70,FALSE))</f>
        <v>14.1</v>
      </c>
      <c r="AH268" s="95">
        <f t="shared" si="161"/>
        <v>14.1</v>
      </c>
      <c r="AI268" s="95">
        <f>IF(ISNA(VLOOKUP($CZ268,'Audit Values'!$A$2:$BU$353,2,FALSE)),'Preliminary SO66'!AQ267,VLOOKUP($CZ268,'Audit Values'!$A$2:$BU$353,65,FALSE))</f>
        <v>0</v>
      </c>
      <c r="AJ268" s="95">
        <f>AI268*'Weighting Factors'!$Q$10</f>
        <v>0</v>
      </c>
      <c r="AK268" s="95">
        <f>IF(ISNA(VLOOKUP($CZ268,'Audit Values'!$A$2:$BU$353,2,FALSE)),'Preliminary SO66'!AR267,VLOOKUP($CZ268,'Audit Values'!$A$2:$BU$353,66,FALSE))</f>
        <v>677</v>
      </c>
      <c r="AL268" s="95"/>
      <c r="AM268" s="99">
        <f t="shared" si="162"/>
        <v>588990</v>
      </c>
      <c r="AN268" s="99">
        <v>515012</v>
      </c>
      <c r="AO268" s="95">
        <f>MAX(AN268, AM268)/'Weighting Factors'!$Q$5</f>
        <v>141.4</v>
      </c>
      <c r="AP268" s="95">
        <f>CN268/'Weighting Factors'!$Q$5</f>
        <v>0</v>
      </c>
      <c r="AQ268" s="95">
        <v>0</v>
      </c>
      <c r="AR268" s="95">
        <f>CS268/'Weighting Factors'!$Q$5</f>
        <v>0</v>
      </c>
      <c r="AS268" s="99">
        <v>2891091</v>
      </c>
      <c r="AT268" s="95">
        <f>AS268/'Weighting Factors'!$Q$5</f>
        <v>694.1</v>
      </c>
      <c r="AU268" s="95">
        <f>IF(ISNA(VLOOKUP($CZ268,'Audit Values'!$A$2:$BU$353,2,FALSE)),'Preliminary SO66'!X267,VLOOKUP($CZ268,'Audit Values'!$A$2:$BU$353,47,FALSE))</f>
        <v>4</v>
      </c>
      <c r="AV268" s="95">
        <f t="shared" si="163"/>
        <v>4511.1000000000004</v>
      </c>
      <c r="AW268" s="95">
        <f t="shared" si="164"/>
        <v>3817</v>
      </c>
      <c r="AX268" s="95">
        <f>IF(ISNA(VLOOKUP($CZ268,'Audit Values'!$A$2:$BU$353,2,FALSE)),'Preliminary SO66'!AA267,VLOOKUP($CZ268,'Audit Values'!$A$2:$BU$353,41,FALSE))</f>
        <v>31</v>
      </c>
      <c r="AY268" s="95">
        <f>IF(ISNA(VLOOKUP($CZ268,'Audit Values'!$A$2:$BU$353,2,FALSE)),'Preliminary SO66'!AB267,VLOOKUP($CZ268,'Audit Values'!$A$2:$BU$353,42,FALSE))</f>
        <v>0</v>
      </c>
      <c r="AZ268" s="114">
        <v>36.25</v>
      </c>
      <c r="BA268" s="99">
        <f>SUM(AX268*'Weighting Factors'!$T$10)+('2019 Legal Max'!AY268*'Weighting Factors'!$T$11)+('2019 Legal Max'!AZ268*'Weighting Factors'!$T$12)</f>
        <v>180701</v>
      </c>
      <c r="BB268" s="158">
        <v>0</v>
      </c>
      <c r="BC268" s="88">
        <f>IF(ISNA(VLOOKUP($CZ268,'Audit Values'!$A$2:$BU$353,2,FALSE)),"",IF(AND('Weighting Factors'!H268&gt;0,VLOOKUP($CZ268,'Audit Values'!$A$2:$BU$353,51,FALSE)&lt;'Weighting Factors'!H268),'Weighting Factors'!H268,VLOOKUP($CZ268,'Audit Values'!$A$2:$BU$353,50,FALSE)))</f>
        <v>23</v>
      </c>
      <c r="BD268" s="88" t="str">
        <f>IF(ISNA(VLOOKUP($CZ268,'Audit Values'!$A$2:$BV$353,2,FALSE)),"",VLOOKUP($CZ268,'Audit Values'!$A$2:$BV$353,51,FALSE))</f>
        <v>A</v>
      </c>
      <c r="BE268" s="88" t="str">
        <f>IF('Weighting Factors'!H268="","",IF('Weighting Factors'!J268="Pending","PX","R"))</f>
        <v>R</v>
      </c>
      <c r="BF268" s="97">
        <f>SUM((S268+T268+Y268+AA268+AE268+AH268+AJ268++AO268+AP268+AQ268+AU268+AR268)*'Weighting Factors'!$Q$5)+'2019 Legal Max'!BA268+'2019 Legal Max'!BB268</f>
        <v>16078506</v>
      </c>
      <c r="BG268" s="99">
        <f>SUM((AV268+AR268)*'Weighting Factors'!$Q$5)+BA268+'2019 Legal Max'!BB268</f>
        <v>18969433</v>
      </c>
      <c r="BH268" s="108">
        <f>IF('Weighting Factors'!H268&gt;0,'Weighting Factors'!H268,'Preliminary SO66'!AV267)</f>
        <v>19043877</v>
      </c>
      <c r="BI268" s="99">
        <f t="shared" si="188"/>
        <v>18969433</v>
      </c>
      <c r="BJ268" s="112"/>
      <c r="BK268" s="112">
        <f>'Weighting Factors'!F268</f>
        <v>0</v>
      </c>
      <c r="BL268" s="112">
        <f>'Weighting Factors'!E268</f>
        <v>-886</v>
      </c>
      <c r="BM268" s="99">
        <f t="shared" si="165"/>
        <v>-886</v>
      </c>
      <c r="BN268" s="99">
        <f t="shared" si="166"/>
        <v>18968547</v>
      </c>
      <c r="BO268" s="99">
        <f>SUM((S268+T268+Y268+AA268+AE268+AH268+AJ268++AO268+AP268+AQ268+AR268)*'Weighting Factors'!Q$12)+(MAX(AS268,'Weighting Factors'!B268))</f>
        <v>20258782</v>
      </c>
      <c r="BP268" s="122">
        <v>0.3</v>
      </c>
      <c r="BQ268" s="99">
        <f t="shared" si="167"/>
        <v>6077635</v>
      </c>
      <c r="BR268" s="108">
        <v>6032645</v>
      </c>
      <c r="BS268" s="99">
        <f t="shared" si="168"/>
        <v>6032645</v>
      </c>
      <c r="BT268" s="167">
        <f t="shared" si="169"/>
        <v>0.29780000000000001</v>
      </c>
      <c r="BU268" s="95">
        <f t="shared" si="170"/>
        <v>0</v>
      </c>
      <c r="BV268" s="87" t="b">
        <f t="shared" si="171"/>
        <v>0</v>
      </c>
      <c r="BW268" s="117">
        <f t="shared" si="172"/>
        <v>0</v>
      </c>
      <c r="BX268" s="116">
        <f t="shared" si="173"/>
        <v>0</v>
      </c>
      <c r="BY268" s="95">
        <f t="shared" si="174"/>
        <v>0</v>
      </c>
      <c r="BZ268" s="87" t="b">
        <f t="shared" si="175"/>
        <v>0</v>
      </c>
      <c r="CA268" s="87">
        <f t="shared" si="176"/>
        <v>0</v>
      </c>
      <c r="CB268" s="116">
        <f t="shared" si="177"/>
        <v>0</v>
      </c>
      <c r="CC268" s="95">
        <f t="shared" si="178"/>
        <v>0</v>
      </c>
      <c r="CD268" s="95">
        <f t="shared" si="179"/>
        <v>104.8</v>
      </c>
      <c r="CE268" s="98">
        <v>380.5</v>
      </c>
      <c r="CF268" s="250">
        <f t="shared" si="180"/>
        <v>1.7789999999999999</v>
      </c>
      <c r="CG268" s="274">
        <f>IF(CF268&lt;0.06,1,IF(CF268&gt;=18.29,52,MATCH(CF268-0.001,'Weighting Factors'!$Y$5:$Y$156)+1))</f>
        <v>36</v>
      </c>
      <c r="CH268" s="243">
        <f>VLOOKUP(CG268, 'Weighting Factors'!$W$5:$Z$56,4)</f>
        <v>870</v>
      </c>
      <c r="CI268" s="118">
        <f>('Weighting Factors'!$Q$5/'Weighting Factors'!$Q$14)</f>
        <v>1</v>
      </c>
      <c r="CJ268" s="245">
        <f t="shared" si="181"/>
        <v>588990</v>
      </c>
      <c r="CK268" s="245">
        <f>CJ268*'Weighting Factors'!$S$7</f>
        <v>588990</v>
      </c>
      <c r="CL268" s="245">
        <f t="shared" si="182"/>
        <v>588990</v>
      </c>
      <c r="CM268" s="95">
        <f>AM268/'Weighting Factors'!$Q$5</f>
        <v>141.4</v>
      </c>
      <c r="CN268" s="148">
        <v>0</v>
      </c>
      <c r="CO268" s="148">
        <v>0</v>
      </c>
      <c r="CP268" s="149">
        <v>0</v>
      </c>
      <c r="CQ268" s="151">
        <v>2.8E-3</v>
      </c>
      <c r="CR268" s="99">
        <f>SUM((AV268*'Weighting Factors'!$Q$5)+'2019 Legal Max'!BA268)*CQ268</f>
        <v>53114</v>
      </c>
      <c r="CS268" s="99">
        <f t="shared" si="183"/>
        <v>0</v>
      </c>
      <c r="CT268" s="106">
        <f t="shared" si="184"/>
        <v>0.31019999999999998</v>
      </c>
      <c r="CU268" s="95">
        <f t="shared" si="185"/>
        <v>0</v>
      </c>
      <c r="CV268" s="95">
        <f t="shared" si="186"/>
        <v>0</v>
      </c>
      <c r="CW268" s="95">
        <f t="shared" si="187"/>
        <v>4511.1000000000004</v>
      </c>
      <c r="CX268" s="99">
        <f>'LOB Transfers'!G267</f>
        <v>628602</v>
      </c>
      <c r="CY268" s="99">
        <f>'LOB Transfers'!J267</f>
        <v>49468</v>
      </c>
      <c r="CZ268" s="87" t="s">
        <v>460</v>
      </c>
    </row>
    <row r="269" spans="1:104" ht="15" customHeight="1">
      <c r="A269" s="88">
        <v>490</v>
      </c>
      <c r="B269" s="87" t="s">
        <v>10</v>
      </c>
      <c r="C269" s="87" t="s">
        <v>781</v>
      </c>
      <c r="D269" s="95">
        <v>1834</v>
      </c>
      <c r="E269" s="95">
        <v>0</v>
      </c>
      <c r="F269" s="95">
        <f t="shared" si="154"/>
        <v>1834</v>
      </c>
      <c r="G269" s="95">
        <v>1889.3</v>
      </c>
      <c r="H269" s="95">
        <v>0</v>
      </c>
      <c r="I269" s="95">
        <f t="shared" si="155"/>
        <v>1889.3</v>
      </c>
      <c r="J269" s="95">
        <v>1859.4</v>
      </c>
      <c r="K269" s="95">
        <v>0</v>
      </c>
      <c r="L269" s="95">
        <f t="shared" si="156"/>
        <v>1859.4</v>
      </c>
      <c r="M269" s="95">
        <f>IF(ISNA(VLOOKUP($CZ269,'Audit Values'!$A$2:$BW$365,2,FALSE)),'Preliminary SO66'!C268,VLOOKUP($CZ269,'Audit Values'!$A$2:$BW$365,73,FALSE))</f>
        <v>1872.1</v>
      </c>
      <c r="N269" s="95">
        <f>IF(ISNA(VLOOKUP($CZ269,'Audit Values'!$A$2:$BW$365,2,FALSE)),'Preliminary SO66'!F268,VLOOKUP($CZ269,'Audit Values'!$A$2:$BW$365,4,FALSE))</f>
        <v>0</v>
      </c>
      <c r="O269" s="95">
        <f t="shared" si="157"/>
        <v>1872.1</v>
      </c>
      <c r="P269" s="95">
        <f>IF('Military Provision'!J270="YES", MAX('2019 Legal Max'!L269,'2019 Legal Max'!I269,AVERAGE('2019 Legal Max'!F269,'2019 Legal Max'!I269,'2019 Legal Max'!L269)), MAX(L269, I269))</f>
        <v>1889.3</v>
      </c>
      <c r="Q269" s="95">
        <f>IF(ISNA(VLOOKUP($CZ269,'Audit Values'!$A$2:$BU$353,2,FALSE)),'Preliminary SO66'!AL268,VLOOKUP($CZ269,'Audit Values'!$A$2:$BU$3955,58,FALSE))</f>
        <v>16.5</v>
      </c>
      <c r="R269" s="95">
        <v>0</v>
      </c>
      <c r="S269" s="95">
        <f t="shared" si="153"/>
        <v>1905.8</v>
      </c>
      <c r="T269" s="95">
        <f t="shared" si="158"/>
        <v>66.8</v>
      </c>
      <c r="U269" s="95">
        <f>IF(ISNA(VLOOKUP($CZ269,'Audit Values'!$A$2:$BW$317,2,FALSE)),'Preliminary SO66'!AM268,VLOOKUP($CZ269,'Audit Values'!$A$2:$BW$317,62,FALSE))</f>
        <v>6.6</v>
      </c>
      <c r="V269" s="95">
        <f>(U269/6)*'Weighting Factors'!$Q$7</f>
        <v>0.4</v>
      </c>
      <c r="W269" s="132">
        <f>IF(ISNA(VLOOKUP($CZ269,'Audit Values'!$A$2:$BW$353,2,FALSE)),'Preliminary SO66'!AN268,VLOOKUP($CZ269,'Audit Values'!$A$2:$BW$353,61,FALSE))</f>
        <v>29</v>
      </c>
      <c r="X269" s="95">
        <f>W269*'Weighting Factors'!$Q$8</f>
        <v>5.4</v>
      </c>
      <c r="Y269" s="95">
        <f t="shared" si="159"/>
        <v>5.4</v>
      </c>
      <c r="Z269" s="276">
        <f>IF(ISNA(VLOOKUP($CZ269,'Audit Values'!$A$2:$BW$317,2,FALSE)),'Preliminary SO66'!AO268,VLOOKUP($CZ269,'Audit Values'!$A$2:$BW$317,60,FALSE))</f>
        <v>335</v>
      </c>
      <c r="AA269" s="95">
        <f>Z269/6*'Weighting Factors'!$Q$6</f>
        <v>27.9</v>
      </c>
      <c r="AB269" s="99">
        <f>IF(ISNA(VLOOKUP($CZ269,'Audit Values'!$A$2:$BU$353,2,FALSE)),'Preliminary SO66'!AS268,VLOOKUP($CZ269,'Audit Values'!$A$2:$BU$353,63,FALSE))</f>
        <v>1934</v>
      </c>
      <c r="AC269" s="99">
        <v>0</v>
      </c>
      <c r="AD269" s="99">
        <f>IF(ISNA(VLOOKUP($CZ269,'Audit Values'!$A$2:$BU$353,2,FALSE)),'Preliminary SO66'!AP268,VLOOKUP($CZ269,'Audit Values'!$A$2:$BU$353,64,FALSE))</f>
        <v>856</v>
      </c>
      <c r="AE269" s="95">
        <f>IF(A269=207, AD269,MAX(AC269,AD269))*'Weighting Factors'!$Q$9</f>
        <v>414.3</v>
      </c>
      <c r="AF269" s="95">
        <f t="shared" si="160"/>
        <v>55.5</v>
      </c>
      <c r="AG269" s="95">
        <f>IF(ISNA(VLOOKUP($CZ269,'Audit Values'!$A$2:$BW$353,2,FALSE)),'Preliminary SO66'!AG268,VLOOKUP($CZ269,'Audit Values'!$A$2:$BW$353,70,FALSE))</f>
        <v>56.8</v>
      </c>
      <c r="AH269" s="95">
        <f t="shared" si="161"/>
        <v>56.8</v>
      </c>
      <c r="AI269" s="95">
        <f>IF(ISNA(VLOOKUP($CZ269,'Audit Values'!$A$2:$BU$353,2,FALSE)),'Preliminary SO66'!AQ268,VLOOKUP($CZ269,'Audit Values'!$A$2:$BU$353,65,FALSE))</f>
        <v>0</v>
      </c>
      <c r="AJ269" s="95">
        <f>AI269*'Weighting Factors'!$Q$10</f>
        <v>0</v>
      </c>
      <c r="AK269" s="95">
        <f>IF(ISNA(VLOOKUP($CZ269,'Audit Values'!$A$2:$BU$353,2,FALSE)),'Preliminary SO66'!AR268,VLOOKUP($CZ269,'Audit Values'!$A$2:$BU$353,66,FALSE))</f>
        <v>684</v>
      </c>
      <c r="AL269" s="95"/>
      <c r="AM269" s="99">
        <f t="shared" si="162"/>
        <v>485640</v>
      </c>
      <c r="AN269" s="99">
        <v>463781</v>
      </c>
      <c r="AO269" s="95">
        <f>MAX(AN269, AM269)/'Weighting Factors'!$Q$5</f>
        <v>116.6</v>
      </c>
      <c r="AP269" s="95">
        <f>CN269/'Weighting Factors'!$Q$5</f>
        <v>0</v>
      </c>
      <c r="AQ269" s="95">
        <v>0</v>
      </c>
      <c r="AR269" s="95">
        <f>CS269/'Weighting Factors'!$Q$5</f>
        <v>0</v>
      </c>
      <c r="AS269" s="99">
        <v>1669084</v>
      </c>
      <c r="AT269" s="95">
        <f>AS269/'Weighting Factors'!$Q$5</f>
        <v>400.7</v>
      </c>
      <c r="AU269" s="95">
        <f>IF(ISNA(VLOOKUP($CZ269,'Audit Values'!$A$2:$BU$353,2,FALSE)),'Preliminary SO66'!X268,VLOOKUP($CZ269,'Audit Values'!$A$2:$BU$353,47,FALSE))</f>
        <v>0</v>
      </c>
      <c r="AV269" s="95">
        <f t="shared" si="163"/>
        <v>2994.3</v>
      </c>
      <c r="AW269" s="95">
        <f t="shared" si="164"/>
        <v>2593.6</v>
      </c>
      <c r="AX269" s="95">
        <f>IF(ISNA(VLOOKUP($CZ269,'Audit Values'!$A$2:$BU$353,2,FALSE)),'Preliminary SO66'!AA268,VLOOKUP($CZ269,'Audit Values'!$A$2:$BU$353,41,FALSE))</f>
        <v>7</v>
      </c>
      <c r="AY269" s="95">
        <f>IF(ISNA(VLOOKUP($CZ269,'Audit Values'!$A$2:$BU$353,2,FALSE)),'Preliminary SO66'!AB268,VLOOKUP($CZ269,'Audit Values'!$A$2:$BU$353,42,FALSE))</f>
        <v>2.9</v>
      </c>
      <c r="AZ269" s="114">
        <v>11</v>
      </c>
      <c r="BA269" s="99">
        <f>SUM(AX269*'Weighting Factors'!$T$10)+('2019 Legal Max'!AY269*'Weighting Factors'!$T$11)+('2019 Legal Max'!AZ269*'Weighting Factors'!$T$12)</f>
        <v>47729</v>
      </c>
      <c r="BB269" s="158">
        <v>0</v>
      </c>
      <c r="BC269" s="88">
        <f>IF(ISNA(VLOOKUP($CZ269,'Audit Values'!$A$2:$BU$353,2,FALSE)),"",IF(AND('Weighting Factors'!H269&gt;0,VLOOKUP($CZ269,'Audit Values'!$A$2:$BU$353,51,FALSE)&lt;'Weighting Factors'!H269),'Weighting Factors'!H269,VLOOKUP($CZ269,'Audit Values'!$A$2:$BU$353,50,FALSE)))</f>
        <v>8</v>
      </c>
      <c r="BD269" s="88" t="str">
        <f>IF(ISNA(VLOOKUP($CZ269,'Audit Values'!$A$2:$BV$353,2,FALSE)),"",VLOOKUP($CZ269,'Audit Values'!$A$2:$BV$353,51,FALSE))</f>
        <v>A</v>
      </c>
      <c r="BE269" s="88" t="str">
        <f>IF('Weighting Factors'!H269="","",IF('Weighting Factors'!J269="Pending","PX","R"))</f>
        <v/>
      </c>
      <c r="BF269" s="97">
        <f>SUM((S269+T269+Y269+AA269+AE269+AH269+AJ269++AO269+AP269+AQ269+AU269+AR269)*'Weighting Factors'!$Q$5)+'2019 Legal Max'!BA269+'2019 Legal Max'!BB269</f>
        <v>10850073</v>
      </c>
      <c r="BG269" s="99">
        <f>SUM((AV269+AR269)*'Weighting Factors'!$Q$5)+BA269+'2019 Legal Max'!BB269</f>
        <v>12518989</v>
      </c>
      <c r="BH269" s="108">
        <f>IF('Weighting Factors'!H269&gt;0,'Weighting Factors'!H269,'Preliminary SO66'!AV268)</f>
        <v>12975138</v>
      </c>
      <c r="BI269" s="99">
        <f t="shared" si="188"/>
        <v>12518989</v>
      </c>
      <c r="BJ269" s="112"/>
      <c r="BK269" s="112">
        <f>'Weighting Factors'!F269</f>
        <v>-128489</v>
      </c>
      <c r="BL269" s="112">
        <f>'Weighting Factors'!E269</f>
        <v>0</v>
      </c>
      <c r="BM269" s="99">
        <f t="shared" si="165"/>
        <v>-128489</v>
      </c>
      <c r="BN269" s="99">
        <f t="shared" si="166"/>
        <v>12390500</v>
      </c>
      <c r="BO269" s="99">
        <f>SUM((S269+T269+Y269+AA269+AE269+AH269+AJ269++AO269+AP269+AQ269+AR269)*'Weighting Factors'!Q$12)+(MAX(AS269,'Weighting Factors'!B269))</f>
        <v>13528666</v>
      </c>
      <c r="BP269" s="122">
        <v>0.33</v>
      </c>
      <c r="BQ269" s="99">
        <f t="shared" si="167"/>
        <v>4464460</v>
      </c>
      <c r="BR269" s="108">
        <v>4570846</v>
      </c>
      <c r="BS269" s="99">
        <f t="shared" si="168"/>
        <v>4464460</v>
      </c>
      <c r="BT269" s="167">
        <f t="shared" si="169"/>
        <v>0.33</v>
      </c>
      <c r="BU269" s="95">
        <f t="shared" si="170"/>
        <v>0</v>
      </c>
      <c r="BV269" s="87" t="b">
        <f t="shared" si="171"/>
        <v>0</v>
      </c>
      <c r="BW269" s="117">
        <f t="shared" si="172"/>
        <v>0</v>
      </c>
      <c r="BX269" s="116">
        <f t="shared" si="173"/>
        <v>0</v>
      </c>
      <c r="BY269" s="95">
        <f t="shared" si="174"/>
        <v>0</v>
      </c>
      <c r="BZ269" s="87" t="b">
        <f t="shared" si="175"/>
        <v>0</v>
      </c>
      <c r="CA269" s="87">
        <f t="shared" si="176"/>
        <v>0</v>
      </c>
      <c r="CB269" s="116">
        <f t="shared" si="177"/>
        <v>0</v>
      </c>
      <c r="CC269" s="95">
        <f t="shared" si="178"/>
        <v>0</v>
      </c>
      <c r="CD269" s="95">
        <f t="shared" si="179"/>
        <v>66.8</v>
      </c>
      <c r="CE269" s="98">
        <v>128</v>
      </c>
      <c r="CF269" s="250">
        <f t="shared" si="180"/>
        <v>5.3440000000000003</v>
      </c>
      <c r="CG269" s="274">
        <f>IF(CF269&lt;0.06,1,IF(CF269&gt;=18.29,52,MATCH(CF269-0.001,'Weighting Factors'!$Y$5:$Y$156)+1))</f>
        <v>44</v>
      </c>
      <c r="CH269" s="243">
        <f>VLOOKUP(CG269, 'Weighting Factors'!$W$5:$Z$56,4)</f>
        <v>710</v>
      </c>
      <c r="CI269" s="118">
        <f>('Weighting Factors'!$Q$5/'Weighting Factors'!$Q$14)</f>
        <v>1</v>
      </c>
      <c r="CJ269" s="245">
        <f t="shared" si="181"/>
        <v>485640</v>
      </c>
      <c r="CK269" s="245">
        <f>CJ269*'Weighting Factors'!$S$7</f>
        <v>485640</v>
      </c>
      <c r="CL269" s="245">
        <f t="shared" si="182"/>
        <v>485640</v>
      </c>
      <c r="CM269" s="95">
        <f>AM269/'Weighting Factors'!$Q$5</f>
        <v>116.6</v>
      </c>
      <c r="CN269" s="148">
        <v>0</v>
      </c>
      <c r="CO269" s="148">
        <v>0</v>
      </c>
      <c r="CP269" s="149">
        <v>0</v>
      </c>
      <c r="CQ269" s="151">
        <v>0</v>
      </c>
      <c r="CR269" s="99">
        <f>SUM((AV269*'Weighting Factors'!$Q$5)+'2019 Legal Max'!BA269)*CQ269</f>
        <v>0</v>
      </c>
      <c r="CS269" s="99">
        <f t="shared" si="183"/>
        <v>0</v>
      </c>
      <c r="CT269" s="106">
        <f t="shared" si="184"/>
        <v>0.44259999999999999</v>
      </c>
      <c r="CU269" s="95">
        <f t="shared" si="185"/>
        <v>0</v>
      </c>
      <c r="CV269" s="95">
        <f t="shared" si="186"/>
        <v>55.5</v>
      </c>
      <c r="CW269" s="95">
        <f t="shared" si="187"/>
        <v>2994.3</v>
      </c>
      <c r="CX269" s="99">
        <f>'LOB Transfers'!G268</f>
        <v>621006</v>
      </c>
      <c r="CY269" s="99">
        <f>'LOB Transfers'!J268</f>
        <v>8036</v>
      </c>
      <c r="CZ269" s="87" t="s">
        <v>461</v>
      </c>
    </row>
    <row r="270" spans="1:104" ht="15" customHeight="1">
      <c r="A270" s="88">
        <v>491</v>
      </c>
      <c r="B270" s="87" t="s">
        <v>63</v>
      </c>
      <c r="C270" s="87" t="s">
        <v>782</v>
      </c>
      <c r="D270" s="95">
        <v>1629.7</v>
      </c>
      <c r="E270" s="95">
        <v>0</v>
      </c>
      <c r="F270" s="95">
        <f t="shared" si="154"/>
        <v>1629.7</v>
      </c>
      <c r="G270" s="95">
        <v>1682.1</v>
      </c>
      <c r="H270" s="95">
        <v>0</v>
      </c>
      <c r="I270" s="95">
        <f t="shared" si="155"/>
        <v>1682.1</v>
      </c>
      <c r="J270" s="95">
        <v>1697.4</v>
      </c>
      <c r="K270" s="95">
        <v>0</v>
      </c>
      <c r="L270" s="95">
        <f t="shared" si="156"/>
        <v>1697.4</v>
      </c>
      <c r="M270" s="95">
        <f>IF(ISNA(VLOOKUP($CZ270,'Audit Values'!$A$2:$BW$365,2,FALSE)),'Preliminary SO66'!C269,VLOOKUP($CZ270,'Audit Values'!$A$2:$BW$365,73,FALSE))</f>
        <v>1711.5</v>
      </c>
      <c r="N270" s="95">
        <f>IF(ISNA(VLOOKUP($CZ270,'Audit Values'!$A$2:$BW$365,2,FALSE)),'Preliminary SO66'!F269,VLOOKUP($CZ270,'Audit Values'!$A$2:$BW$365,4,FALSE))</f>
        <v>0</v>
      </c>
      <c r="O270" s="95">
        <f t="shared" si="157"/>
        <v>1711.5</v>
      </c>
      <c r="P270" s="95">
        <f>IF('Military Provision'!J271="YES", MAX('2019 Legal Max'!L270,'2019 Legal Max'!I270,AVERAGE('2019 Legal Max'!F270,'2019 Legal Max'!I270,'2019 Legal Max'!L270)), MAX(L270, I270))</f>
        <v>1697.4</v>
      </c>
      <c r="Q270" s="95">
        <f>IF(ISNA(VLOOKUP($CZ270,'Audit Values'!$A$2:$BU$353,2,FALSE)),'Preliminary SO66'!AL269,VLOOKUP($CZ270,'Audit Values'!$A$2:$BU$3955,58,FALSE))</f>
        <v>7</v>
      </c>
      <c r="R270" s="95">
        <v>0</v>
      </c>
      <c r="S270" s="95">
        <f t="shared" si="153"/>
        <v>1704.4</v>
      </c>
      <c r="T270" s="95">
        <f t="shared" si="158"/>
        <v>59.7</v>
      </c>
      <c r="U270" s="95">
        <f>IF(ISNA(VLOOKUP($CZ270,'Audit Values'!$A$2:$BW$317,2,FALSE)),'Preliminary SO66'!AM269,VLOOKUP($CZ270,'Audit Values'!$A$2:$BW$317,62,FALSE))</f>
        <v>20.9</v>
      </c>
      <c r="V270" s="95">
        <f>(U270/6)*'Weighting Factors'!$Q$7</f>
        <v>1.4</v>
      </c>
      <c r="W270" s="132">
        <f>IF(ISNA(VLOOKUP($CZ270,'Audit Values'!$A$2:$BW$353,2,FALSE)),'Preliminary SO66'!AN269,VLOOKUP($CZ270,'Audit Values'!$A$2:$BW$353,61,FALSE))</f>
        <v>12</v>
      </c>
      <c r="X270" s="95">
        <f>W270*'Weighting Factors'!$Q$8</f>
        <v>2.2000000000000002</v>
      </c>
      <c r="Y270" s="95">
        <f t="shared" si="159"/>
        <v>2.2000000000000002</v>
      </c>
      <c r="Z270" s="276">
        <f>IF(ISNA(VLOOKUP($CZ270,'Audit Values'!$A$2:$BW$317,2,FALSE)),'Preliminary SO66'!AO269,VLOOKUP($CZ270,'Audit Values'!$A$2:$BW$317,60,FALSE))</f>
        <v>485.8</v>
      </c>
      <c r="AA270" s="95">
        <f>Z270/6*'Weighting Factors'!$Q$6</f>
        <v>40.5</v>
      </c>
      <c r="AB270" s="99">
        <f>IF(ISNA(VLOOKUP($CZ270,'Audit Values'!$A$2:$BU$353,2,FALSE)),'Preliminary SO66'!AS269,VLOOKUP($CZ270,'Audit Values'!$A$2:$BU$353,63,FALSE))</f>
        <v>1750</v>
      </c>
      <c r="AC270" s="99">
        <v>0</v>
      </c>
      <c r="AD270" s="99">
        <f>IF(ISNA(VLOOKUP($CZ270,'Audit Values'!$A$2:$BU$353,2,FALSE)),'Preliminary SO66'!AP269,VLOOKUP($CZ270,'Audit Values'!$A$2:$BU$353,64,FALSE))</f>
        <v>395</v>
      </c>
      <c r="AE270" s="95">
        <f>IF(A270=207, AD270,MAX(AC270,AD270))*'Weighting Factors'!$Q$9</f>
        <v>191.2</v>
      </c>
      <c r="AF270" s="95">
        <f t="shared" si="160"/>
        <v>0</v>
      </c>
      <c r="AG270" s="95">
        <f>IF(ISNA(VLOOKUP($CZ270,'Audit Values'!$A$2:$BW$353,2,FALSE)),'Preliminary SO66'!AG269,VLOOKUP($CZ270,'Audit Values'!$A$2:$BW$353,70,FALSE))</f>
        <v>0</v>
      </c>
      <c r="AH270" s="95">
        <f t="shared" si="161"/>
        <v>0</v>
      </c>
      <c r="AI270" s="95">
        <f>IF(ISNA(VLOOKUP($CZ270,'Audit Values'!$A$2:$BU$353,2,FALSE)),'Preliminary SO66'!AQ269,VLOOKUP($CZ270,'Audit Values'!$A$2:$BU$353,65,FALSE))</f>
        <v>0</v>
      </c>
      <c r="AJ270" s="95">
        <f>AI270*'Weighting Factors'!$Q$10</f>
        <v>0</v>
      </c>
      <c r="AK270" s="95">
        <f>IF(ISNA(VLOOKUP($CZ270,'Audit Values'!$A$2:$BU$353,2,FALSE)),'Preliminary SO66'!AR269,VLOOKUP($CZ270,'Audit Values'!$A$2:$BU$353,66,FALSE))</f>
        <v>182</v>
      </c>
      <c r="AL270" s="95"/>
      <c r="AM270" s="99">
        <f t="shared" si="162"/>
        <v>140140</v>
      </c>
      <c r="AN270" s="99">
        <v>132509</v>
      </c>
      <c r="AO270" s="95">
        <f>MAX(AN270, AM270)/'Weighting Factors'!$Q$5</f>
        <v>33.6</v>
      </c>
      <c r="AP270" s="95">
        <f>CN270/'Weighting Factors'!$Q$5</f>
        <v>0</v>
      </c>
      <c r="AQ270" s="95">
        <v>0</v>
      </c>
      <c r="AR270" s="95">
        <f>CS270/'Weighting Factors'!$Q$5</f>
        <v>0</v>
      </c>
      <c r="AS270" s="99">
        <v>1893091</v>
      </c>
      <c r="AT270" s="95">
        <f>AS270/'Weighting Factors'!$Q$5</f>
        <v>454.5</v>
      </c>
      <c r="AU270" s="95">
        <f>IF(ISNA(VLOOKUP($CZ270,'Audit Values'!$A$2:$BU$353,2,FALSE)),'Preliminary SO66'!X269,VLOOKUP($CZ270,'Audit Values'!$A$2:$BU$353,47,FALSE))</f>
        <v>0</v>
      </c>
      <c r="AV270" s="95">
        <f t="shared" si="163"/>
        <v>2486.1</v>
      </c>
      <c r="AW270" s="95">
        <f t="shared" si="164"/>
        <v>2031.6</v>
      </c>
      <c r="AX270" s="95">
        <f>IF(ISNA(VLOOKUP($CZ270,'Audit Values'!$A$2:$BU$353,2,FALSE)),'Preliminary SO66'!AA269,VLOOKUP($CZ270,'Audit Values'!$A$2:$BU$353,41,FALSE))</f>
        <v>13</v>
      </c>
      <c r="AY270" s="95">
        <f>IF(ISNA(VLOOKUP($CZ270,'Audit Values'!$A$2:$BU$353,2,FALSE)),'Preliminary SO66'!AB269,VLOOKUP($CZ270,'Audit Values'!$A$2:$BU$353,42,FALSE))</f>
        <v>3</v>
      </c>
      <c r="AZ270" s="114">
        <v>14.5</v>
      </c>
      <c r="BA270" s="99">
        <f>SUM(AX270*'Weighting Factors'!$T$10)+('2019 Legal Max'!AY270*'Weighting Factors'!$T$11)+('2019 Legal Max'!AZ270*'Weighting Factors'!$T$12)</f>
        <v>80381</v>
      </c>
      <c r="BB270" s="158">
        <v>0</v>
      </c>
      <c r="BC270" s="88">
        <f>IF(ISNA(VLOOKUP($CZ270,'Audit Values'!$A$2:$BU$353,2,FALSE)),"",IF(AND('Weighting Factors'!H270&gt;0,VLOOKUP($CZ270,'Audit Values'!$A$2:$BU$353,51,FALSE)&lt;'Weighting Factors'!H270),'Weighting Factors'!H270,VLOOKUP($CZ270,'Audit Values'!$A$2:$BU$353,50,FALSE)))</f>
        <v>25</v>
      </c>
      <c r="BD270" s="88" t="str">
        <f>IF(ISNA(VLOOKUP($CZ270,'Audit Values'!$A$2:$BV$353,2,FALSE)),"",VLOOKUP($CZ270,'Audit Values'!$A$2:$BV$353,51,FALSE))</f>
        <v>A</v>
      </c>
      <c r="BE270" s="88" t="str">
        <f>IF('Weighting Factors'!H270="","",IF('Weighting Factors'!J270="Pending","PX","R"))</f>
        <v/>
      </c>
      <c r="BF270" s="97">
        <f>SUM((S270+T270+Y270+AA270+AE270+AH270+AJ270++AO270+AP270+AQ270+AU270+AR270)*'Weighting Factors'!$Q$5)+'2019 Legal Max'!BA270+'2019 Legal Max'!BB270</f>
        <v>8541995</v>
      </c>
      <c r="BG270" s="99">
        <f>SUM((AV270+AR270)*'Weighting Factors'!$Q$5)+BA270+'2019 Legal Max'!BB270</f>
        <v>10434988</v>
      </c>
      <c r="BH270" s="108">
        <f>IF('Weighting Factors'!H270&gt;0,'Weighting Factors'!H270,'Preliminary SO66'!AV269)</f>
        <v>10754103</v>
      </c>
      <c r="BI270" s="99">
        <f t="shared" si="188"/>
        <v>10434988</v>
      </c>
      <c r="BJ270" s="112"/>
      <c r="BK270" s="112">
        <f>'Weighting Factors'!F270</f>
        <v>0</v>
      </c>
      <c r="BL270" s="112">
        <f>'Weighting Factors'!E270</f>
        <v>-709</v>
      </c>
      <c r="BM270" s="99">
        <f t="shared" si="165"/>
        <v>-709</v>
      </c>
      <c r="BN270" s="99">
        <f t="shared" si="166"/>
        <v>10434279</v>
      </c>
      <c r="BO270" s="99">
        <f>SUM((S270+T270+Y270+AA270+AE270+AH270+AJ270++AO270+AP270+AQ270+AR270)*'Weighting Factors'!Q$12)+(MAX(AS270,'Weighting Factors'!B270))</f>
        <v>11014975</v>
      </c>
      <c r="BP270" s="122">
        <v>0.3</v>
      </c>
      <c r="BQ270" s="99">
        <f t="shared" si="167"/>
        <v>3304493</v>
      </c>
      <c r="BR270" s="108">
        <v>3402744</v>
      </c>
      <c r="BS270" s="99">
        <f t="shared" si="168"/>
        <v>3304493</v>
      </c>
      <c r="BT270" s="167">
        <f t="shared" si="169"/>
        <v>0.3</v>
      </c>
      <c r="BU270" s="95">
        <f t="shared" si="170"/>
        <v>0</v>
      </c>
      <c r="BV270" s="87" t="b">
        <f t="shared" si="171"/>
        <v>0</v>
      </c>
      <c r="BW270" s="117">
        <f t="shared" si="172"/>
        <v>0</v>
      </c>
      <c r="BX270" s="116">
        <f t="shared" si="173"/>
        <v>0</v>
      </c>
      <c r="BY270" s="95">
        <f t="shared" si="174"/>
        <v>0</v>
      </c>
      <c r="BZ270" s="87" t="b">
        <f t="shared" si="175"/>
        <v>0</v>
      </c>
      <c r="CA270" s="87">
        <f t="shared" si="176"/>
        <v>0</v>
      </c>
      <c r="CB270" s="116">
        <f t="shared" si="177"/>
        <v>0</v>
      </c>
      <c r="CC270" s="95">
        <f t="shared" si="178"/>
        <v>0</v>
      </c>
      <c r="CD270" s="95">
        <f t="shared" si="179"/>
        <v>59.7</v>
      </c>
      <c r="CE270" s="98">
        <v>53</v>
      </c>
      <c r="CF270" s="250">
        <f t="shared" si="180"/>
        <v>3.4340000000000002</v>
      </c>
      <c r="CG270" s="274">
        <f>IF(CF270&lt;0.06,1,IF(CF270&gt;=18.29,52,MATCH(CF270-0.001,'Weighting Factors'!$Y$5:$Y$156)+1))</f>
        <v>41</v>
      </c>
      <c r="CH270" s="243">
        <f>VLOOKUP(CG270, 'Weighting Factors'!$W$5:$Z$56,4)</f>
        <v>770</v>
      </c>
      <c r="CI270" s="118">
        <f>('Weighting Factors'!$Q$5/'Weighting Factors'!$Q$14)</f>
        <v>1</v>
      </c>
      <c r="CJ270" s="245">
        <f t="shared" si="181"/>
        <v>140140</v>
      </c>
      <c r="CK270" s="245">
        <f>CJ270*'Weighting Factors'!$S$7</f>
        <v>140140</v>
      </c>
      <c r="CL270" s="245">
        <f t="shared" si="182"/>
        <v>140140</v>
      </c>
      <c r="CM270" s="95">
        <f>AM270/'Weighting Factors'!$Q$5</f>
        <v>33.6</v>
      </c>
      <c r="CN270" s="148">
        <v>0</v>
      </c>
      <c r="CO270" s="148">
        <v>0</v>
      </c>
      <c r="CP270" s="149">
        <v>0</v>
      </c>
      <c r="CQ270" s="151">
        <v>0</v>
      </c>
      <c r="CR270" s="99">
        <f>SUM((AV270*'Weighting Factors'!$Q$5)+'2019 Legal Max'!BA270)*CQ270</f>
        <v>0</v>
      </c>
      <c r="CS270" s="99">
        <f t="shared" si="183"/>
        <v>0</v>
      </c>
      <c r="CT270" s="106">
        <f t="shared" si="184"/>
        <v>0.22570000000000001</v>
      </c>
      <c r="CU270" s="95">
        <f t="shared" si="185"/>
        <v>0</v>
      </c>
      <c r="CV270" s="95">
        <f t="shared" si="186"/>
        <v>0</v>
      </c>
      <c r="CW270" s="95">
        <f t="shared" si="187"/>
        <v>2486.1</v>
      </c>
      <c r="CX270" s="99">
        <f>'LOB Transfers'!G269</f>
        <v>254776</v>
      </c>
      <c r="CY270" s="99">
        <f>'LOB Transfers'!J269</f>
        <v>2974</v>
      </c>
      <c r="CZ270" s="87" t="s">
        <v>462</v>
      </c>
    </row>
    <row r="271" spans="1:104" ht="15" customHeight="1">
      <c r="A271" s="88">
        <v>492</v>
      </c>
      <c r="B271" s="87" t="s">
        <v>10</v>
      </c>
      <c r="C271" s="87" t="s">
        <v>783</v>
      </c>
      <c r="D271" s="95">
        <v>250.4</v>
      </c>
      <c r="E271" s="95">
        <v>0</v>
      </c>
      <c r="F271" s="95">
        <f t="shared" si="154"/>
        <v>250.4</v>
      </c>
      <c r="G271" s="95">
        <v>269.7</v>
      </c>
      <c r="H271" s="95">
        <v>0</v>
      </c>
      <c r="I271" s="95">
        <f t="shared" si="155"/>
        <v>269.7</v>
      </c>
      <c r="J271" s="95">
        <v>265.2</v>
      </c>
      <c r="K271" s="95">
        <v>0</v>
      </c>
      <c r="L271" s="95">
        <f t="shared" si="156"/>
        <v>265.2</v>
      </c>
      <c r="M271" s="95">
        <f>IF(ISNA(VLOOKUP($CZ271,'Audit Values'!$A$2:$BW$365,2,FALSE)),'Preliminary SO66'!C270,VLOOKUP($CZ271,'Audit Values'!$A$2:$BW$365,73,FALSE))</f>
        <v>275.5</v>
      </c>
      <c r="N271" s="95">
        <f>IF(ISNA(VLOOKUP($CZ271,'Audit Values'!$A$2:$BW$365,2,FALSE)),'Preliminary SO66'!F270,VLOOKUP($CZ271,'Audit Values'!$A$2:$BW$365,4,FALSE))</f>
        <v>0</v>
      </c>
      <c r="O271" s="95">
        <f t="shared" si="157"/>
        <v>275.5</v>
      </c>
      <c r="P271" s="95">
        <f>IF('Military Provision'!J272="YES", MAX('2019 Legal Max'!L271,'2019 Legal Max'!I271,AVERAGE('2019 Legal Max'!F271,'2019 Legal Max'!I271,'2019 Legal Max'!L271)), MAX(L271, I271))</f>
        <v>269.7</v>
      </c>
      <c r="Q271" s="95">
        <f>IF(ISNA(VLOOKUP($CZ271,'Audit Values'!$A$2:$BU$353,2,FALSE)),'Preliminary SO66'!AL270,VLOOKUP($CZ271,'Audit Values'!$A$2:$BU$3955,58,FALSE))</f>
        <v>3.5</v>
      </c>
      <c r="R271" s="95">
        <v>0</v>
      </c>
      <c r="S271" s="95">
        <f t="shared" si="153"/>
        <v>273.2</v>
      </c>
      <c r="T271" s="95">
        <f t="shared" si="158"/>
        <v>151.69999999999999</v>
      </c>
      <c r="U271" s="95">
        <f>IF(ISNA(VLOOKUP($CZ271,'Audit Values'!$A$2:$BW$317,2,FALSE)),'Preliminary SO66'!AM270,VLOOKUP($CZ271,'Audit Values'!$A$2:$BW$317,62,FALSE))</f>
        <v>0</v>
      </c>
      <c r="V271" s="95">
        <f>(U271/6)*'Weighting Factors'!$Q$7</f>
        <v>0</v>
      </c>
      <c r="W271" s="132">
        <f>IF(ISNA(VLOOKUP($CZ271,'Audit Values'!$A$2:$BW$353,2,FALSE)),'Preliminary SO66'!AN270,VLOOKUP($CZ271,'Audit Values'!$A$2:$BW$353,61,FALSE))</f>
        <v>0</v>
      </c>
      <c r="X271" s="95">
        <f>W271*'Weighting Factors'!$Q$8</f>
        <v>0</v>
      </c>
      <c r="Y271" s="95">
        <f t="shared" si="159"/>
        <v>0</v>
      </c>
      <c r="Z271" s="276">
        <f>IF(ISNA(VLOOKUP($CZ271,'Audit Values'!$A$2:$BW$317,2,FALSE)),'Preliminary SO66'!AO270,VLOOKUP($CZ271,'Audit Values'!$A$2:$BW$317,60,FALSE))</f>
        <v>84.5</v>
      </c>
      <c r="AA271" s="95">
        <f>Z271/6*'Weighting Factors'!$Q$6</f>
        <v>7</v>
      </c>
      <c r="AB271" s="99">
        <f>IF(ISNA(VLOOKUP($CZ271,'Audit Values'!$A$2:$BU$353,2,FALSE)),'Preliminary SO66'!AS270,VLOOKUP($CZ271,'Audit Values'!$A$2:$BU$353,63,FALSE))</f>
        <v>283</v>
      </c>
      <c r="AC271" s="99">
        <v>0</v>
      </c>
      <c r="AD271" s="99">
        <f>IF(ISNA(VLOOKUP($CZ271,'Audit Values'!$A$2:$BU$353,2,FALSE)),'Preliminary SO66'!AP270,VLOOKUP($CZ271,'Audit Values'!$A$2:$BU$353,64,FALSE))</f>
        <v>97</v>
      </c>
      <c r="AE271" s="95">
        <f>IF(A271=207, AD271,MAX(AC271,AD271))*'Weighting Factors'!$Q$9</f>
        <v>46.9</v>
      </c>
      <c r="AF271" s="95">
        <f t="shared" si="160"/>
        <v>0</v>
      </c>
      <c r="AG271" s="95">
        <f>IF(ISNA(VLOOKUP($CZ271,'Audit Values'!$A$2:$BW$353,2,FALSE)),'Preliminary SO66'!AG270,VLOOKUP($CZ271,'Audit Values'!$A$2:$BW$353,70,FALSE))</f>
        <v>1.2</v>
      </c>
      <c r="AH271" s="95">
        <f t="shared" si="161"/>
        <v>1.2</v>
      </c>
      <c r="AI271" s="95">
        <f>IF(ISNA(VLOOKUP($CZ271,'Audit Values'!$A$2:$BU$353,2,FALSE)),'Preliminary SO66'!AQ270,VLOOKUP($CZ271,'Audit Values'!$A$2:$BU$353,65,FALSE))</f>
        <v>0</v>
      </c>
      <c r="AJ271" s="95">
        <f>AI271*'Weighting Factors'!$Q$10</f>
        <v>0</v>
      </c>
      <c r="AK271" s="95">
        <f>IF(ISNA(VLOOKUP($CZ271,'Audit Values'!$A$2:$BU$353,2,FALSE)),'Preliminary SO66'!AR270,VLOOKUP($CZ271,'Audit Values'!$A$2:$BU$353,66,FALSE))</f>
        <v>147</v>
      </c>
      <c r="AL271" s="95"/>
      <c r="AM271" s="99">
        <f t="shared" si="162"/>
        <v>169050</v>
      </c>
      <c r="AN271" s="99">
        <v>187592</v>
      </c>
      <c r="AO271" s="95">
        <f>MAX(AN271, AM271)/'Weighting Factors'!$Q$5</f>
        <v>45</v>
      </c>
      <c r="AP271" s="95">
        <f>CN271/'Weighting Factors'!$Q$5</f>
        <v>0</v>
      </c>
      <c r="AQ271" s="95">
        <v>0</v>
      </c>
      <c r="AR271" s="95">
        <f>CS271/'Weighting Factors'!$Q$5</f>
        <v>0</v>
      </c>
      <c r="AS271" s="99">
        <v>314660</v>
      </c>
      <c r="AT271" s="95">
        <f>AS271/'Weighting Factors'!$Q$5</f>
        <v>75.5</v>
      </c>
      <c r="AU271" s="95">
        <f>IF(ISNA(VLOOKUP($CZ271,'Audit Values'!$A$2:$BU$353,2,FALSE)),'Preliminary SO66'!X270,VLOOKUP($CZ271,'Audit Values'!$A$2:$BU$353,47,FALSE))</f>
        <v>0</v>
      </c>
      <c r="AV271" s="95">
        <f t="shared" si="163"/>
        <v>600.5</v>
      </c>
      <c r="AW271" s="95">
        <f t="shared" si="164"/>
        <v>525</v>
      </c>
      <c r="AX271" s="95">
        <f>IF(ISNA(VLOOKUP($CZ271,'Audit Values'!$A$2:$BU$353,2,FALSE)),'Preliminary SO66'!AA270,VLOOKUP($CZ271,'Audit Values'!$A$2:$BU$353,41,FALSE))</f>
        <v>0</v>
      </c>
      <c r="AY271" s="95">
        <f>IF(ISNA(VLOOKUP($CZ271,'Audit Values'!$A$2:$BU$353,2,FALSE)),'Preliminary SO66'!AB270,VLOOKUP($CZ271,'Audit Values'!$A$2:$BU$353,42,FALSE))</f>
        <v>0</v>
      </c>
      <c r="AZ271" s="114">
        <v>0</v>
      </c>
      <c r="BA271" s="99">
        <f>SUM(AX271*'Weighting Factors'!$T$10)+('2019 Legal Max'!AY271*'Weighting Factors'!$T$11)+('2019 Legal Max'!AZ271*'Weighting Factors'!$T$12)</f>
        <v>0</v>
      </c>
      <c r="BB271" s="158">
        <v>0</v>
      </c>
      <c r="BC271" s="88">
        <f>IF(ISNA(VLOOKUP($CZ271,'Audit Values'!$A$2:$BU$353,2,FALSE)),"",IF(AND('Weighting Factors'!H271&gt;0,VLOOKUP($CZ271,'Audit Values'!$A$2:$BU$353,51,FALSE)&lt;'Weighting Factors'!H271),'Weighting Factors'!H271,VLOOKUP($CZ271,'Audit Values'!$A$2:$BU$353,50,FALSE)))</f>
        <v>19</v>
      </c>
      <c r="BD271" s="88" t="str">
        <f>IF(ISNA(VLOOKUP($CZ271,'Audit Values'!$A$2:$BV$353,2,FALSE)),"",VLOOKUP($CZ271,'Audit Values'!$A$2:$BV$353,51,FALSE))</f>
        <v>A</v>
      </c>
      <c r="BE271" s="88" t="str">
        <f>IF('Weighting Factors'!H271="","",IF('Weighting Factors'!J271="Pending","PX","R"))</f>
        <v/>
      </c>
      <c r="BF271" s="97">
        <f>SUM((S271+T271+Y271+AA271+AE271+AH271+AJ271++AO271+AP271+AQ271+AU271+AR271)*'Weighting Factors'!$Q$5)+'2019 Legal Max'!BA271+'2019 Legal Max'!BB271</f>
        <v>2186625</v>
      </c>
      <c r="BG271" s="99">
        <f>SUM((AV271+AR271)*'Weighting Factors'!$Q$5)+BA271+'2019 Legal Max'!BB271</f>
        <v>2501083</v>
      </c>
      <c r="BH271" s="108">
        <f>IF('Weighting Factors'!H271&gt;0,'Weighting Factors'!H271,'Preliminary SO66'!AV270)</f>
        <v>2612288</v>
      </c>
      <c r="BI271" s="99">
        <f t="shared" si="188"/>
        <v>2501083</v>
      </c>
      <c r="BJ271" s="112"/>
      <c r="BK271" s="112">
        <f>'Weighting Factors'!F271</f>
        <v>-59854</v>
      </c>
      <c r="BL271" s="112">
        <f>'Weighting Factors'!E271</f>
        <v>0</v>
      </c>
      <c r="BM271" s="99">
        <f t="shared" si="165"/>
        <v>-59854</v>
      </c>
      <c r="BN271" s="99">
        <f t="shared" si="166"/>
        <v>2441229</v>
      </c>
      <c r="BO271" s="99">
        <f>SUM((S271+T271+Y271+AA271+AE271+AH271+AJ271++AO271+AP271+AQ271+AR271)*'Weighting Factors'!Q$12)+(MAX(AS271,'Weighting Factors'!B271))</f>
        <v>2671910</v>
      </c>
      <c r="BP271" s="122">
        <v>0.3</v>
      </c>
      <c r="BQ271" s="99">
        <f t="shared" si="167"/>
        <v>801573</v>
      </c>
      <c r="BR271" s="108">
        <v>836573</v>
      </c>
      <c r="BS271" s="99">
        <f t="shared" si="168"/>
        <v>801573</v>
      </c>
      <c r="BT271" s="167">
        <f t="shared" si="169"/>
        <v>0.3</v>
      </c>
      <c r="BU271" s="95">
        <f t="shared" si="170"/>
        <v>0</v>
      </c>
      <c r="BV271" s="87" t="b">
        <f t="shared" si="171"/>
        <v>1</v>
      </c>
      <c r="BW271" s="117">
        <f t="shared" si="172"/>
        <v>1672.2460000000001</v>
      </c>
      <c r="BX271" s="116">
        <f t="shared" si="173"/>
        <v>0.555226</v>
      </c>
      <c r="BY271" s="95">
        <f t="shared" si="174"/>
        <v>151.69999999999999</v>
      </c>
      <c r="BZ271" s="87" t="b">
        <f t="shared" si="175"/>
        <v>0</v>
      </c>
      <c r="CA271" s="87">
        <f t="shared" si="176"/>
        <v>0</v>
      </c>
      <c r="CB271" s="116">
        <f t="shared" si="177"/>
        <v>0</v>
      </c>
      <c r="CC271" s="95">
        <f t="shared" si="178"/>
        <v>0</v>
      </c>
      <c r="CD271" s="95">
        <f t="shared" si="179"/>
        <v>0</v>
      </c>
      <c r="CE271" s="98">
        <v>389</v>
      </c>
      <c r="CF271" s="250">
        <f t="shared" si="180"/>
        <v>0.378</v>
      </c>
      <c r="CG271" s="274">
        <f>IF(CF271&lt;0.06,1,IF(CF271&gt;=18.29,52,MATCH(CF271-0.001,'Weighting Factors'!$Y$5:$Y$156)+1))</f>
        <v>22</v>
      </c>
      <c r="CH271" s="243">
        <f>VLOOKUP(CG271, 'Weighting Factors'!$W$5:$Z$56,4)</f>
        <v>1150</v>
      </c>
      <c r="CI271" s="118">
        <f>('Weighting Factors'!$Q$5/'Weighting Factors'!$Q$14)</f>
        <v>1</v>
      </c>
      <c r="CJ271" s="245">
        <f t="shared" si="181"/>
        <v>169050</v>
      </c>
      <c r="CK271" s="245">
        <f>CJ271*'Weighting Factors'!$S$7</f>
        <v>169050</v>
      </c>
      <c r="CL271" s="245">
        <f t="shared" si="182"/>
        <v>169050</v>
      </c>
      <c r="CM271" s="95">
        <f>AM271/'Weighting Factors'!$Q$5</f>
        <v>40.6</v>
      </c>
      <c r="CN271" s="148">
        <v>0</v>
      </c>
      <c r="CO271" s="148">
        <v>0</v>
      </c>
      <c r="CP271" s="149">
        <v>0</v>
      </c>
      <c r="CQ271" s="151">
        <v>0</v>
      </c>
      <c r="CR271" s="99">
        <f>SUM((AV271*'Weighting Factors'!$Q$5)+'2019 Legal Max'!BA271)*CQ271</f>
        <v>0</v>
      </c>
      <c r="CS271" s="99">
        <f t="shared" si="183"/>
        <v>0</v>
      </c>
      <c r="CT271" s="106">
        <f t="shared" si="184"/>
        <v>0.34279999999999999</v>
      </c>
      <c r="CU271" s="95">
        <f t="shared" si="185"/>
        <v>0</v>
      </c>
      <c r="CV271" s="95">
        <f t="shared" si="186"/>
        <v>0</v>
      </c>
      <c r="CW271" s="95">
        <f t="shared" si="187"/>
        <v>600.5</v>
      </c>
      <c r="CX271" s="99">
        <f>'LOB Transfers'!G270</f>
        <v>63004</v>
      </c>
      <c r="CY271" s="99">
        <f>'LOB Transfers'!J270</f>
        <v>0</v>
      </c>
      <c r="CZ271" s="87" t="s">
        <v>463</v>
      </c>
    </row>
    <row r="272" spans="1:104" ht="15" customHeight="1">
      <c r="A272" s="88">
        <v>493</v>
      </c>
      <c r="B272" s="87" t="s">
        <v>29</v>
      </c>
      <c r="C272" s="87" t="s">
        <v>784</v>
      </c>
      <c r="D272" s="95">
        <v>919</v>
      </c>
      <c r="E272" s="95">
        <v>0</v>
      </c>
      <c r="F272" s="95">
        <f t="shared" si="154"/>
        <v>919</v>
      </c>
      <c r="G272" s="95">
        <v>951.5</v>
      </c>
      <c r="H272" s="95">
        <v>0</v>
      </c>
      <c r="I272" s="95">
        <f t="shared" si="155"/>
        <v>951.5</v>
      </c>
      <c r="J272" s="95">
        <v>926</v>
      </c>
      <c r="K272" s="95">
        <v>0</v>
      </c>
      <c r="L272" s="95">
        <f t="shared" si="156"/>
        <v>926</v>
      </c>
      <c r="M272" s="95">
        <f>IF(ISNA(VLOOKUP($CZ272,'Audit Values'!$A$2:$BW$365,2,FALSE)),'Preliminary SO66'!C271,VLOOKUP($CZ272,'Audit Values'!$A$2:$BW$365,73,FALSE))</f>
        <v>916.5</v>
      </c>
      <c r="N272" s="95">
        <f>IF(ISNA(VLOOKUP($CZ272,'Audit Values'!$A$2:$BW$365,2,FALSE)),'Preliminary SO66'!F271,VLOOKUP($CZ272,'Audit Values'!$A$2:$BW$365,4,FALSE))</f>
        <v>0</v>
      </c>
      <c r="O272" s="95">
        <f t="shared" si="157"/>
        <v>916.5</v>
      </c>
      <c r="P272" s="95">
        <f>IF('Military Provision'!J273="YES", MAX('2019 Legal Max'!L272,'2019 Legal Max'!I272,AVERAGE('2019 Legal Max'!F272,'2019 Legal Max'!I272,'2019 Legal Max'!L272)), MAX(L272, I272))</f>
        <v>951.5</v>
      </c>
      <c r="Q272" s="95">
        <f>IF(ISNA(VLOOKUP($CZ272,'Audit Values'!$A$2:$BU$353,2,FALSE)),'Preliminary SO66'!AL271,VLOOKUP($CZ272,'Audit Values'!$A$2:$BU$3955,58,FALSE))</f>
        <v>11</v>
      </c>
      <c r="R272" s="95">
        <v>0</v>
      </c>
      <c r="S272" s="95">
        <f t="shared" si="153"/>
        <v>962.5</v>
      </c>
      <c r="T272" s="95">
        <f t="shared" si="158"/>
        <v>249.4</v>
      </c>
      <c r="U272" s="95">
        <f>IF(ISNA(VLOOKUP($CZ272,'Audit Values'!$A$2:$BW$317,2,FALSE)),'Preliminary SO66'!AM271,VLOOKUP($CZ272,'Audit Values'!$A$2:$BW$317,62,FALSE))</f>
        <v>0.5</v>
      </c>
      <c r="V272" s="95">
        <f>(U272/6)*'Weighting Factors'!$Q$7</f>
        <v>0</v>
      </c>
      <c r="W272" s="132">
        <f>IF(ISNA(VLOOKUP($CZ272,'Audit Values'!$A$2:$BW$353,2,FALSE)),'Preliminary SO66'!AN271,VLOOKUP($CZ272,'Audit Values'!$A$2:$BW$353,61,FALSE))</f>
        <v>1</v>
      </c>
      <c r="X272" s="95">
        <f>W272*'Weighting Factors'!$Q$8</f>
        <v>0.2</v>
      </c>
      <c r="Y272" s="95">
        <f t="shared" si="159"/>
        <v>0.2</v>
      </c>
      <c r="Z272" s="276">
        <f>IF(ISNA(VLOOKUP($CZ272,'Audit Values'!$A$2:$BW$317,2,FALSE)),'Preliminary SO66'!AO271,VLOOKUP($CZ272,'Audit Values'!$A$2:$BW$317,60,FALSE))</f>
        <v>333.8</v>
      </c>
      <c r="AA272" s="95">
        <f>Z272/6*'Weighting Factors'!$Q$6</f>
        <v>27.8</v>
      </c>
      <c r="AB272" s="99">
        <f>IF(ISNA(VLOOKUP($CZ272,'Audit Values'!$A$2:$BU$353,2,FALSE)),'Preliminary SO66'!AS271,VLOOKUP($CZ272,'Audit Values'!$A$2:$BU$353,63,FALSE))</f>
        <v>946</v>
      </c>
      <c r="AC272" s="99">
        <v>0</v>
      </c>
      <c r="AD272" s="99">
        <f>IF(ISNA(VLOOKUP($CZ272,'Audit Values'!$A$2:$BU$353,2,FALSE)),'Preliminary SO66'!AP271,VLOOKUP($CZ272,'Audit Values'!$A$2:$BU$353,64,FALSE))</f>
        <v>435</v>
      </c>
      <c r="AE272" s="95">
        <f>IF(A272=207, AD272,MAX(AC272,AD272))*'Weighting Factors'!$Q$9</f>
        <v>210.5</v>
      </c>
      <c r="AF272" s="95">
        <f t="shared" si="160"/>
        <v>33.4</v>
      </c>
      <c r="AG272" s="95">
        <f>IF(ISNA(VLOOKUP($CZ272,'Audit Values'!$A$2:$BW$353,2,FALSE)),'Preliminary SO66'!AG271,VLOOKUP($CZ272,'Audit Values'!$A$2:$BW$353,70,FALSE))</f>
        <v>32.6</v>
      </c>
      <c r="AH272" s="95">
        <f t="shared" si="161"/>
        <v>33.4</v>
      </c>
      <c r="AI272" s="95">
        <f>IF(ISNA(VLOOKUP($CZ272,'Audit Values'!$A$2:$BU$353,2,FALSE)),'Preliminary SO66'!AQ271,VLOOKUP($CZ272,'Audit Values'!$A$2:$BU$353,65,FALSE))</f>
        <v>0</v>
      </c>
      <c r="AJ272" s="95">
        <f>AI272*'Weighting Factors'!$Q$10</f>
        <v>0</v>
      </c>
      <c r="AK272" s="95">
        <f>IF(ISNA(VLOOKUP($CZ272,'Audit Values'!$A$2:$BU$353,2,FALSE)),'Preliminary SO66'!AR271,VLOOKUP($CZ272,'Audit Values'!$A$2:$BU$353,66,FALSE))</f>
        <v>342</v>
      </c>
      <c r="AL272" s="95"/>
      <c r="AM272" s="99">
        <f t="shared" si="162"/>
        <v>331740</v>
      </c>
      <c r="AN272" s="99">
        <v>359392</v>
      </c>
      <c r="AO272" s="95">
        <f>MAX(AN272, AM272)/'Weighting Factors'!$Q$5</f>
        <v>86.3</v>
      </c>
      <c r="AP272" s="95">
        <f>CN272/'Weighting Factors'!$Q$5</f>
        <v>0</v>
      </c>
      <c r="AQ272" s="95">
        <v>0</v>
      </c>
      <c r="AR272" s="95">
        <f>CS272/'Weighting Factors'!$Q$5</f>
        <v>0</v>
      </c>
      <c r="AS272" s="99">
        <v>1056061</v>
      </c>
      <c r="AT272" s="95">
        <f>AS272/'Weighting Factors'!$Q$5</f>
        <v>253.6</v>
      </c>
      <c r="AU272" s="95">
        <f>IF(ISNA(VLOOKUP($CZ272,'Audit Values'!$A$2:$BU$353,2,FALSE)),'Preliminary SO66'!X271,VLOOKUP($CZ272,'Audit Values'!$A$2:$BU$353,47,FALSE))</f>
        <v>0</v>
      </c>
      <c r="AV272" s="95">
        <f t="shared" si="163"/>
        <v>1823.7</v>
      </c>
      <c r="AW272" s="95">
        <f t="shared" si="164"/>
        <v>1570.1</v>
      </c>
      <c r="AX272" s="95">
        <f>IF(ISNA(VLOOKUP($CZ272,'Audit Values'!$A$2:$BU$353,2,FALSE)),'Preliminary SO66'!AA271,VLOOKUP($CZ272,'Audit Values'!$A$2:$BU$353,41,FALSE))</f>
        <v>0</v>
      </c>
      <c r="AY272" s="95">
        <f>IF(ISNA(VLOOKUP($CZ272,'Audit Values'!$A$2:$BU$353,2,FALSE)),'Preliminary SO66'!AB271,VLOOKUP($CZ272,'Audit Values'!$A$2:$BU$353,42,FALSE))</f>
        <v>0</v>
      </c>
      <c r="AZ272" s="114">
        <v>0</v>
      </c>
      <c r="BA272" s="99">
        <f>SUM(AX272*'Weighting Factors'!$T$10)+('2019 Legal Max'!AY272*'Weighting Factors'!$T$11)+('2019 Legal Max'!AZ272*'Weighting Factors'!$T$12)</f>
        <v>0</v>
      </c>
      <c r="BB272" s="158">
        <v>0</v>
      </c>
      <c r="BC272" s="88">
        <f>IF(ISNA(VLOOKUP($CZ272,'Audit Values'!$A$2:$BU$353,2,FALSE)),"",IF(AND('Weighting Factors'!H272&gt;0,VLOOKUP($CZ272,'Audit Values'!$A$2:$BU$353,51,FALSE)&lt;'Weighting Factors'!H272),'Weighting Factors'!H272,VLOOKUP($CZ272,'Audit Values'!$A$2:$BU$353,50,FALSE)))</f>
        <v>7</v>
      </c>
      <c r="BD272" s="88" t="str">
        <f>IF(ISNA(VLOOKUP($CZ272,'Audit Values'!$A$2:$BV$353,2,FALSE)),"",VLOOKUP($CZ272,'Audit Values'!$A$2:$BV$353,51,FALSE))</f>
        <v>A</v>
      </c>
      <c r="BE272" s="88" t="str">
        <f>IF('Weighting Factors'!H272="","",IF('Weighting Factors'!J272="Pending","PX","R"))</f>
        <v/>
      </c>
      <c r="BF272" s="97">
        <f>SUM((S272+T272+Y272+AA272+AE272+AH272+AJ272++AO272+AP272+AQ272+AU272+AR272)*'Weighting Factors'!$Q$5)+'2019 Legal Max'!BA272+'2019 Legal Max'!BB272</f>
        <v>6539467</v>
      </c>
      <c r="BG272" s="99">
        <f>SUM((AV272+AR272)*'Weighting Factors'!$Q$5)+BA272+'2019 Legal Max'!BB272</f>
        <v>7595711</v>
      </c>
      <c r="BH272" s="108">
        <f>IF('Weighting Factors'!H272&gt;0,'Weighting Factors'!H272,'Preliminary SO66'!AV271)</f>
        <v>7679844</v>
      </c>
      <c r="BI272" s="99">
        <f t="shared" si="188"/>
        <v>7595711</v>
      </c>
      <c r="BJ272" s="112"/>
      <c r="BK272" s="112">
        <f>'Weighting Factors'!F272</f>
        <v>0</v>
      </c>
      <c r="BL272" s="112">
        <f>'Weighting Factors'!E272</f>
        <v>0</v>
      </c>
      <c r="BM272" s="99">
        <f t="shared" si="165"/>
        <v>0</v>
      </c>
      <c r="BN272" s="99">
        <f t="shared" si="166"/>
        <v>7595711</v>
      </c>
      <c r="BO272" s="99">
        <f>SUM((S272+T272+Y272+AA272+AE272+AH272+AJ272++AO272+AP272+AQ272+AR272)*'Weighting Factors'!Q$12)+(MAX(AS272,'Weighting Factors'!B272))</f>
        <v>8105810</v>
      </c>
      <c r="BP272" s="122">
        <v>0.3</v>
      </c>
      <c r="BQ272" s="99">
        <f t="shared" si="167"/>
        <v>2431743</v>
      </c>
      <c r="BR272" s="108">
        <v>2457901</v>
      </c>
      <c r="BS272" s="99">
        <f t="shared" si="168"/>
        <v>2431743</v>
      </c>
      <c r="BT272" s="167">
        <f t="shared" si="169"/>
        <v>0.3</v>
      </c>
      <c r="BU272" s="95">
        <f t="shared" si="170"/>
        <v>0</v>
      </c>
      <c r="BV272" s="87" t="b">
        <f t="shared" si="171"/>
        <v>0</v>
      </c>
      <c r="BW272" s="117">
        <f t="shared" si="172"/>
        <v>0</v>
      </c>
      <c r="BX272" s="116">
        <f t="shared" si="173"/>
        <v>0</v>
      </c>
      <c r="BY272" s="95">
        <f t="shared" si="174"/>
        <v>0</v>
      </c>
      <c r="BZ272" s="87" t="b">
        <f t="shared" si="175"/>
        <v>1</v>
      </c>
      <c r="CA272" s="87">
        <f t="shared" si="176"/>
        <v>819.84379999999999</v>
      </c>
      <c r="CB272" s="116">
        <f t="shared" si="177"/>
        <v>0.25910300000000003</v>
      </c>
      <c r="CC272" s="95">
        <f t="shared" si="178"/>
        <v>249.4</v>
      </c>
      <c r="CD272" s="95">
        <f t="shared" si="179"/>
        <v>0</v>
      </c>
      <c r="CE272" s="98">
        <v>354</v>
      </c>
      <c r="CF272" s="250">
        <f t="shared" si="180"/>
        <v>0.96599999999999997</v>
      </c>
      <c r="CG272" s="274">
        <f>IF(CF272&lt;0.06,1,IF(CF272&gt;=18.29,52,MATCH(CF272-0.001,'Weighting Factors'!$Y$5:$Y$156)+1))</f>
        <v>31</v>
      </c>
      <c r="CH272" s="243">
        <f>VLOOKUP(CG272, 'Weighting Factors'!$W$5:$Z$56,4)</f>
        <v>970</v>
      </c>
      <c r="CI272" s="118">
        <f>('Weighting Factors'!$Q$5/'Weighting Factors'!$Q$14)</f>
        <v>1</v>
      </c>
      <c r="CJ272" s="245">
        <f t="shared" si="181"/>
        <v>331740</v>
      </c>
      <c r="CK272" s="245">
        <f>CJ272*'Weighting Factors'!$S$7</f>
        <v>331740</v>
      </c>
      <c r="CL272" s="245">
        <f t="shared" si="182"/>
        <v>331740</v>
      </c>
      <c r="CM272" s="95">
        <f>AM272/'Weighting Factors'!$Q$5</f>
        <v>79.599999999999994</v>
      </c>
      <c r="CN272" s="148">
        <v>0</v>
      </c>
      <c r="CO272" s="148">
        <v>0</v>
      </c>
      <c r="CP272" s="149">
        <v>0</v>
      </c>
      <c r="CQ272" s="151">
        <v>0</v>
      </c>
      <c r="CR272" s="99">
        <f>SUM((AV272*'Weighting Factors'!$Q$5)+'2019 Legal Max'!BA272)*CQ272</f>
        <v>0</v>
      </c>
      <c r="CS272" s="99">
        <f t="shared" si="183"/>
        <v>0</v>
      </c>
      <c r="CT272" s="106">
        <f t="shared" si="184"/>
        <v>0.45979999999999999</v>
      </c>
      <c r="CU272" s="95">
        <f t="shared" si="185"/>
        <v>0</v>
      </c>
      <c r="CV272" s="95">
        <f t="shared" si="186"/>
        <v>33.4</v>
      </c>
      <c r="CW272" s="95">
        <f t="shared" si="187"/>
        <v>1823.7</v>
      </c>
      <c r="CX272" s="99">
        <f>'LOB Transfers'!G271</f>
        <v>282325</v>
      </c>
      <c r="CY272" s="99">
        <f>'LOB Transfers'!J271</f>
        <v>243</v>
      </c>
      <c r="CZ272" s="87" t="s">
        <v>464</v>
      </c>
    </row>
    <row r="273" spans="1:104" ht="15" customHeight="1">
      <c r="A273" s="88">
        <v>494</v>
      </c>
      <c r="B273" s="87" t="s">
        <v>85</v>
      </c>
      <c r="C273" s="87" t="s">
        <v>785</v>
      </c>
      <c r="D273" s="95">
        <v>495</v>
      </c>
      <c r="E273" s="95">
        <v>0</v>
      </c>
      <c r="F273" s="95">
        <f t="shared" si="154"/>
        <v>495</v>
      </c>
      <c r="G273" s="95">
        <v>511</v>
      </c>
      <c r="H273" s="95">
        <v>0</v>
      </c>
      <c r="I273" s="95">
        <f t="shared" si="155"/>
        <v>511</v>
      </c>
      <c r="J273" s="95">
        <v>549.5</v>
      </c>
      <c r="K273" s="95">
        <v>0</v>
      </c>
      <c r="L273" s="95">
        <f t="shared" si="156"/>
        <v>549.5</v>
      </c>
      <c r="M273" s="95">
        <f>IF(ISNA(VLOOKUP($CZ273,'Audit Values'!$A$2:$BW$365,2,FALSE)),'Preliminary SO66'!C272,VLOOKUP($CZ273,'Audit Values'!$A$2:$BW$365,73,FALSE))</f>
        <v>542.5</v>
      </c>
      <c r="N273" s="95">
        <f>IF(ISNA(VLOOKUP($CZ273,'Audit Values'!$A$2:$BW$365,2,FALSE)),'Preliminary SO66'!F272,VLOOKUP($CZ273,'Audit Values'!$A$2:$BW$365,4,FALSE))</f>
        <v>0</v>
      </c>
      <c r="O273" s="95">
        <f t="shared" si="157"/>
        <v>542.5</v>
      </c>
      <c r="P273" s="95">
        <f>IF('Military Provision'!J274="YES", MAX('2019 Legal Max'!L273,'2019 Legal Max'!I273,AVERAGE('2019 Legal Max'!F273,'2019 Legal Max'!I273,'2019 Legal Max'!L273)), MAX(L273, I273))</f>
        <v>549.5</v>
      </c>
      <c r="Q273" s="95">
        <f>IF(ISNA(VLOOKUP($CZ273,'Audit Values'!$A$2:$BU$353,2,FALSE)),'Preliminary SO66'!AL272,VLOOKUP($CZ273,'Audit Values'!$A$2:$BU$3955,58,FALSE))</f>
        <v>8</v>
      </c>
      <c r="R273" s="95">
        <v>0</v>
      </c>
      <c r="S273" s="95">
        <f t="shared" si="153"/>
        <v>557.5</v>
      </c>
      <c r="T273" s="95">
        <f t="shared" si="158"/>
        <v>221.2</v>
      </c>
      <c r="U273" s="95">
        <f>IF(ISNA(VLOOKUP($CZ273,'Audit Values'!$A$2:$BW$317,2,FALSE)),'Preliminary SO66'!AM272,VLOOKUP($CZ273,'Audit Values'!$A$2:$BW$317,62,FALSE))</f>
        <v>913.1</v>
      </c>
      <c r="V273" s="95">
        <f>(U273/6)*'Weighting Factors'!$Q$7</f>
        <v>60.1</v>
      </c>
      <c r="W273" s="132">
        <f>IF(ISNA(VLOOKUP($CZ273,'Audit Values'!$A$2:$BW$353,2,FALSE)),'Preliminary SO66'!AN272,VLOOKUP($CZ273,'Audit Values'!$A$2:$BW$353,61,FALSE))</f>
        <v>244</v>
      </c>
      <c r="X273" s="95">
        <f>W273*'Weighting Factors'!$Q$8</f>
        <v>45.1</v>
      </c>
      <c r="Y273" s="95">
        <f t="shared" si="159"/>
        <v>60.1</v>
      </c>
      <c r="Z273" s="276">
        <f>IF(ISNA(VLOOKUP($CZ273,'Audit Values'!$A$2:$BW$317,2,FALSE)),'Preliminary SO66'!AO272,VLOOKUP($CZ273,'Audit Values'!$A$2:$BW$317,60,FALSE))</f>
        <v>137.19999999999999</v>
      </c>
      <c r="AA273" s="95">
        <f>Z273/6*'Weighting Factors'!$Q$6</f>
        <v>11.4</v>
      </c>
      <c r="AB273" s="99">
        <f>IF(ISNA(VLOOKUP($CZ273,'Audit Values'!$A$2:$BU$353,2,FALSE)),'Preliminary SO66'!AS272,VLOOKUP($CZ273,'Audit Values'!$A$2:$BU$353,63,FALSE))</f>
        <v>565</v>
      </c>
      <c r="AC273" s="99">
        <v>0</v>
      </c>
      <c r="AD273" s="99">
        <f>IF(ISNA(VLOOKUP($CZ273,'Audit Values'!$A$2:$BU$353,2,FALSE)),'Preliminary SO66'!AP272,VLOOKUP($CZ273,'Audit Values'!$A$2:$BU$353,64,FALSE))</f>
        <v>300</v>
      </c>
      <c r="AE273" s="95">
        <f>IF(A273=207, AD273,MAX(AC273,AD273))*'Weighting Factors'!$Q$9</f>
        <v>145.19999999999999</v>
      </c>
      <c r="AF273" s="95">
        <f t="shared" si="160"/>
        <v>31.5</v>
      </c>
      <c r="AG273" s="95">
        <f>IF(ISNA(VLOOKUP($CZ273,'Audit Values'!$A$2:$BW$353,2,FALSE)),'Preliminary SO66'!AG272,VLOOKUP($CZ273,'Audit Values'!$A$2:$BW$353,70,FALSE))</f>
        <v>31.5</v>
      </c>
      <c r="AH273" s="95">
        <f t="shared" si="161"/>
        <v>31.5</v>
      </c>
      <c r="AI273" s="95">
        <f>IF(ISNA(VLOOKUP($CZ273,'Audit Values'!$A$2:$BU$353,2,FALSE)),'Preliminary SO66'!AQ272,VLOOKUP($CZ273,'Audit Values'!$A$2:$BU$353,65,FALSE))</f>
        <v>20.100000000000001</v>
      </c>
      <c r="AJ273" s="95">
        <f>AI273*'Weighting Factors'!$Q$10</f>
        <v>5</v>
      </c>
      <c r="AK273" s="95">
        <f>IF(ISNA(VLOOKUP($CZ273,'Audit Values'!$A$2:$BU$353,2,FALSE)),'Preliminary SO66'!AR272,VLOOKUP($CZ273,'Audit Values'!$A$2:$BU$353,66,FALSE))</f>
        <v>78</v>
      </c>
      <c r="AL273" s="95"/>
      <c r="AM273" s="99">
        <f t="shared" si="162"/>
        <v>120120</v>
      </c>
      <c r="AN273" s="99">
        <v>169488</v>
      </c>
      <c r="AO273" s="95">
        <f>MAX(AN273, AM273)/'Weighting Factors'!$Q$5</f>
        <v>40.700000000000003</v>
      </c>
      <c r="AP273" s="95">
        <f>CN273/'Weighting Factors'!$Q$5</f>
        <v>0</v>
      </c>
      <c r="AQ273" s="95">
        <v>0</v>
      </c>
      <c r="AR273" s="95">
        <f>CS273/'Weighting Factors'!$Q$5</f>
        <v>0</v>
      </c>
      <c r="AS273" s="99">
        <v>311931</v>
      </c>
      <c r="AT273" s="95">
        <f>AS273/'Weighting Factors'!$Q$5</f>
        <v>74.900000000000006</v>
      </c>
      <c r="AU273" s="95">
        <f>IF(ISNA(VLOOKUP($CZ273,'Audit Values'!$A$2:$BU$353,2,FALSE)),'Preliminary SO66'!X272,VLOOKUP($CZ273,'Audit Values'!$A$2:$BU$353,47,FALSE))</f>
        <v>0</v>
      </c>
      <c r="AV273" s="95">
        <f t="shared" si="163"/>
        <v>1147.5</v>
      </c>
      <c r="AW273" s="95">
        <f t="shared" si="164"/>
        <v>1072.5999999999999</v>
      </c>
      <c r="AX273" s="95">
        <f>IF(ISNA(VLOOKUP($CZ273,'Audit Values'!$A$2:$BU$353,2,FALSE)),'Preliminary SO66'!AA272,VLOOKUP($CZ273,'Audit Values'!$A$2:$BU$353,41,FALSE))</f>
        <v>0</v>
      </c>
      <c r="AY273" s="95">
        <f>IF(ISNA(VLOOKUP($CZ273,'Audit Values'!$A$2:$BU$353,2,FALSE)),'Preliminary SO66'!AB272,VLOOKUP($CZ273,'Audit Values'!$A$2:$BU$353,42,FALSE))</f>
        <v>0</v>
      </c>
      <c r="AZ273" s="114">
        <v>0</v>
      </c>
      <c r="BA273" s="99">
        <f>SUM(AX273*'Weighting Factors'!$T$10)+('2019 Legal Max'!AY273*'Weighting Factors'!$T$11)+('2019 Legal Max'!AZ273*'Weighting Factors'!$T$12)</f>
        <v>0</v>
      </c>
      <c r="BB273" s="158">
        <v>0</v>
      </c>
      <c r="BC273" s="88">
        <f>IF(ISNA(VLOOKUP($CZ273,'Audit Values'!$A$2:$BU$353,2,FALSE)),"",IF(AND('Weighting Factors'!H273&gt;0,VLOOKUP($CZ273,'Audit Values'!$A$2:$BU$353,51,FALSE)&lt;'Weighting Factors'!H273),'Weighting Factors'!H273,VLOOKUP($CZ273,'Audit Values'!$A$2:$BU$353,50,FALSE)))</f>
        <v>19</v>
      </c>
      <c r="BD273" s="88" t="str">
        <f>IF(ISNA(VLOOKUP($CZ273,'Audit Values'!$A$2:$BV$353,2,FALSE)),"",VLOOKUP($CZ273,'Audit Values'!$A$2:$BV$353,51,FALSE))</f>
        <v>A</v>
      </c>
      <c r="BE273" s="88" t="str">
        <f>IF('Weighting Factors'!H273="","",IF('Weighting Factors'!J273="Pending","PX","R"))</f>
        <v/>
      </c>
      <c r="BF273" s="97">
        <f>SUM((S273+T273+Y273+AA273+AE273+AH273+AJ273++AO273+AP273+AQ273+AU273+AR273)*'Weighting Factors'!$Q$5)+'2019 Legal Max'!BA273+'2019 Legal Max'!BB273</f>
        <v>4467379</v>
      </c>
      <c r="BG273" s="99">
        <f>SUM((AV273+AR273)*'Weighting Factors'!$Q$5)+BA273+'2019 Legal Max'!BB273</f>
        <v>4779338</v>
      </c>
      <c r="BH273" s="108">
        <f>IF('Weighting Factors'!H273&gt;0,'Weighting Factors'!H273,'Preliminary SO66'!AV272)</f>
        <v>4861388</v>
      </c>
      <c r="BI273" s="99">
        <f t="shared" si="188"/>
        <v>4779338</v>
      </c>
      <c r="BJ273" s="112"/>
      <c r="BK273" s="112">
        <f>'Weighting Factors'!F273</f>
        <v>0</v>
      </c>
      <c r="BL273" s="112">
        <f>'Weighting Factors'!E273</f>
        <v>0</v>
      </c>
      <c r="BM273" s="99">
        <f t="shared" si="165"/>
        <v>0</v>
      </c>
      <c r="BN273" s="99">
        <f t="shared" si="166"/>
        <v>4779338</v>
      </c>
      <c r="BO273" s="99">
        <f>SUM((S273+T273+Y273+AA273+AE273+AH273+AJ273++AO273+AP273+AQ273+AR273)*'Weighting Factors'!Q$12)+(MAX(AS273,'Weighting Factors'!B273))</f>
        <v>5127905</v>
      </c>
      <c r="BP273" s="122">
        <v>0.3</v>
      </c>
      <c r="BQ273" s="99">
        <f t="shared" si="167"/>
        <v>1538372</v>
      </c>
      <c r="BR273" s="108">
        <v>1563697</v>
      </c>
      <c r="BS273" s="99">
        <f t="shared" si="168"/>
        <v>1538372</v>
      </c>
      <c r="BT273" s="167">
        <f t="shared" si="169"/>
        <v>0.3</v>
      </c>
      <c r="BU273" s="95">
        <f t="shared" si="170"/>
        <v>0</v>
      </c>
      <c r="BV273" s="87" t="b">
        <f t="shared" si="171"/>
        <v>0</v>
      </c>
      <c r="BW273" s="117">
        <f t="shared" si="172"/>
        <v>0</v>
      </c>
      <c r="BX273" s="116">
        <f t="shared" si="173"/>
        <v>0</v>
      </c>
      <c r="BY273" s="95">
        <f t="shared" si="174"/>
        <v>0</v>
      </c>
      <c r="BZ273" s="87" t="b">
        <f t="shared" si="175"/>
        <v>1</v>
      </c>
      <c r="CA273" s="87">
        <f t="shared" si="176"/>
        <v>318.65629999999999</v>
      </c>
      <c r="CB273" s="116">
        <f t="shared" si="177"/>
        <v>0.39670100000000003</v>
      </c>
      <c r="CC273" s="95">
        <f t="shared" si="178"/>
        <v>221.2</v>
      </c>
      <c r="CD273" s="95">
        <f t="shared" si="179"/>
        <v>0</v>
      </c>
      <c r="CE273" s="98">
        <v>992</v>
      </c>
      <c r="CF273" s="250">
        <f t="shared" si="180"/>
        <v>7.9000000000000001E-2</v>
      </c>
      <c r="CG273" s="274">
        <f>IF(CF273&lt;0.06,1,IF(CF273&gt;=18.29,52,MATCH(CF273-0.001,'Weighting Factors'!$Y$5:$Y$156)+1))</f>
        <v>3</v>
      </c>
      <c r="CH273" s="243">
        <f>VLOOKUP(CG273, 'Weighting Factors'!$W$5:$Z$56,4)</f>
        <v>1540</v>
      </c>
      <c r="CI273" s="118">
        <f>('Weighting Factors'!$Q$5/'Weighting Factors'!$Q$14)</f>
        <v>1</v>
      </c>
      <c r="CJ273" s="245">
        <f t="shared" si="181"/>
        <v>120120</v>
      </c>
      <c r="CK273" s="245">
        <f>CJ273*'Weighting Factors'!$S$7</f>
        <v>120120</v>
      </c>
      <c r="CL273" s="245">
        <f t="shared" si="182"/>
        <v>120120</v>
      </c>
      <c r="CM273" s="95">
        <f>AM273/'Weighting Factors'!$Q$5</f>
        <v>28.8</v>
      </c>
      <c r="CN273" s="148">
        <v>0</v>
      </c>
      <c r="CO273" s="148">
        <v>0</v>
      </c>
      <c r="CP273" s="149">
        <v>0</v>
      </c>
      <c r="CQ273" s="151">
        <v>0</v>
      </c>
      <c r="CR273" s="99">
        <f>SUM((AV273*'Weighting Factors'!$Q$5)+'2019 Legal Max'!BA273)*CQ273</f>
        <v>0</v>
      </c>
      <c r="CS273" s="99">
        <f t="shared" si="183"/>
        <v>0</v>
      </c>
      <c r="CT273" s="106">
        <f t="shared" si="184"/>
        <v>0.53100000000000003</v>
      </c>
      <c r="CU273" s="95">
        <f t="shared" si="185"/>
        <v>31.5</v>
      </c>
      <c r="CV273" s="95">
        <f t="shared" si="186"/>
        <v>0</v>
      </c>
      <c r="CW273" s="95">
        <f t="shared" si="187"/>
        <v>1147.5</v>
      </c>
      <c r="CX273" s="99">
        <f>'LOB Transfers'!G272</f>
        <v>195989</v>
      </c>
      <c r="CY273" s="99">
        <f>'LOB Transfers'!J272</f>
        <v>81072</v>
      </c>
      <c r="CZ273" s="87" t="s">
        <v>465</v>
      </c>
    </row>
    <row r="274" spans="1:104" ht="15" customHeight="1">
      <c r="A274" s="88">
        <v>495</v>
      </c>
      <c r="B274" s="87" t="s">
        <v>107</v>
      </c>
      <c r="C274" s="87" t="s">
        <v>786</v>
      </c>
      <c r="D274" s="95">
        <v>839.5</v>
      </c>
      <c r="E274" s="95">
        <v>0</v>
      </c>
      <c r="F274" s="95">
        <f t="shared" si="154"/>
        <v>839.5</v>
      </c>
      <c r="G274" s="95">
        <v>902.1</v>
      </c>
      <c r="H274" s="95">
        <v>0</v>
      </c>
      <c r="I274" s="95">
        <f t="shared" si="155"/>
        <v>902.1</v>
      </c>
      <c r="J274" s="95">
        <v>858</v>
      </c>
      <c r="K274" s="95">
        <v>0</v>
      </c>
      <c r="L274" s="95">
        <f t="shared" si="156"/>
        <v>858</v>
      </c>
      <c r="M274" s="95">
        <f>IF(ISNA(VLOOKUP($CZ274,'Audit Values'!$A$2:$BW$365,2,FALSE)),'Preliminary SO66'!C273,VLOOKUP($CZ274,'Audit Values'!$A$2:$BW$365,73,FALSE))</f>
        <v>838.6</v>
      </c>
      <c r="N274" s="95">
        <f>IF(ISNA(VLOOKUP($CZ274,'Audit Values'!$A$2:$BW$365,2,FALSE)),'Preliminary SO66'!F273,VLOOKUP($CZ274,'Audit Values'!$A$2:$BW$365,4,FALSE))</f>
        <v>0</v>
      </c>
      <c r="O274" s="95">
        <f t="shared" si="157"/>
        <v>838.6</v>
      </c>
      <c r="P274" s="95">
        <f>IF('Military Provision'!J275="YES", MAX('2019 Legal Max'!L274,'2019 Legal Max'!I274,AVERAGE('2019 Legal Max'!F274,'2019 Legal Max'!I274,'2019 Legal Max'!L274)), MAX(L274, I274))</f>
        <v>902.1</v>
      </c>
      <c r="Q274" s="95">
        <f>IF(ISNA(VLOOKUP($CZ274,'Audit Values'!$A$2:$BU$353,2,FALSE)),'Preliminary SO66'!AL273,VLOOKUP($CZ274,'Audit Values'!$A$2:$BU$3955,58,FALSE))</f>
        <v>8.5</v>
      </c>
      <c r="R274" s="95">
        <v>0</v>
      </c>
      <c r="S274" s="95">
        <f t="shared" si="153"/>
        <v>910.6</v>
      </c>
      <c r="T274" s="95">
        <f t="shared" si="158"/>
        <v>252</v>
      </c>
      <c r="U274" s="95">
        <f>IF(ISNA(VLOOKUP($CZ274,'Audit Values'!$A$2:$BW$317,2,FALSE)),'Preliminary SO66'!AM273,VLOOKUP($CZ274,'Audit Values'!$A$2:$BW$317,62,FALSE))</f>
        <v>23.2</v>
      </c>
      <c r="V274" s="95">
        <f>(U274/6)*'Weighting Factors'!$Q$7</f>
        <v>1.5</v>
      </c>
      <c r="W274" s="132">
        <f>IF(ISNA(VLOOKUP($CZ274,'Audit Values'!$A$2:$BW$353,2,FALSE)),'Preliminary SO66'!AN273,VLOOKUP($CZ274,'Audit Values'!$A$2:$BW$353,61,FALSE))</f>
        <v>20</v>
      </c>
      <c r="X274" s="95">
        <f>W274*'Weighting Factors'!$Q$8</f>
        <v>3.7</v>
      </c>
      <c r="Y274" s="95">
        <f t="shared" si="159"/>
        <v>3.7</v>
      </c>
      <c r="Z274" s="276">
        <f>IF(ISNA(VLOOKUP($CZ274,'Audit Values'!$A$2:$BW$317,2,FALSE)),'Preliminary SO66'!AO273,VLOOKUP($CZ274,'Audit Values'!$A$2:$BW$317,60,FALSE))</f>
        <v>333.5</v>
      </c>
      <c r="AA274" s="95">
        <f>Z274/6*'Weighting Factors'!$Q$6</f>
        <v>27.8</v>
      </c>
      <c r="AB274" s="99">
        <f>IF(ISNA(VLOOKUP($CZ274,'Audit Values'!$A$2:$BU$353,2,FALSE)),'Preliminary SO66'!AS273,VLOOKUP($CZ274,'Audit Values'!$A$2:$BU$353,63,FALSE))</f>
        <v>868</v>
      </c>
      <c r="AC274" s="99">
        <v>0</v>
      </c>
      <c r="AD274" s="99">
        <f>IF(ISNA(VLOOKUP($CZ274,'Audit Values'!$A$2:$BU$353,2,FALSE)),'Preliminary SO66'!AP273,VLOOKUP($CZ274,'Audit Values'!$A$2:$BU$353,64,FALSE))</f>
        <v>360</v>
      </c>
      <c r="AE274" s="95">
        <f>IF(A274=207, AD274,MAX(AC274,AD274))*'Weighting Factors'!$Q$9</f>
        <v>174.2</v>
      </c>
      <c r="AF274" s="95">
        <f t="shared" si="160"/>
        <v>16.3</v>
      </c>
      <c r="AG274" s="95">
        <f>IF(ISNA(VLOOKUP($CZ274,'Audit Values'!$A$2:$BW$353,2,FALSE)),'Preliminary SO66'!AG273,VLOOKUP($CZ274,'Audit Values'!$A$2:$BW$353,70,FALSE))</f>
        <v>17</v>
      </c>
      <c r="AH274" s="95">
        <f t="shared" si="161"/>
        <v>17</v>
      </c>
      <c r="AI274" s="95">
        <f>IF(ISNA(VLOOKUP($CZ274,'Audit Values'!$A$2:$BU$353,2,FALSE)),'Preliminary SO66'!AQ273,VLOOKUP($CZ274,'Audit Values'!$A$2:$BU$353,65,FALSE))</f>
        <v>430.2</v>
      </c>
      <c r="AJ274" s="95">
        <f>AI274*'Weighting Factors'!$Q$10</f>
        <v>107.6</v>
      </c>
      <c r="AK274" s="95">
        <f>IF(ISNA(VLOOKUP($CZ274,'Audit Values'!$A$2:$BU$353,2,FALSE)),'Preliminary SO66'!AR273,VLOOKUP($CZ274,'Audit Values'!$A$2:$BU$353,66,FALSE))</f>
        <v>162</v>
      </c>
      <c r="AL274" s="95"/>
      <c r="AM274" s="99">
        <f t="shared" si="162"/>
        <v>192780</v>
      </c>
      <c r="AN274" s="99">
        <v>258084</v>
      </c>
      <c r="AO274" s="95">
        <f>MAX(AN274, AM274)/'Weighting Factors'!$Q$5</f>
        <v>62</v>
      </c>
      <c r="AP274" s="95">
        <f>CN274/'Weighting Factors'!$Q$5</f>
        <v>0</v>
      </c>
      <c r="AQ274" s="95">
        <v>0</v>
      </c>
      <c r="AR274" s="95">
        <f>CS274/'Weighting Factors'!$Q$5</f>
        <v>0</v>
      </c>
      <c r="AS274" s="99">
        <v>1034145</v>
      </c>
      <c r="AT274" s="95">
        <f>AS274/'Weighting Factors'!$Q$5</f>
        <v>248.3</v>
      </c>
      <c r="AU274" s="95">
        <f>IF(ISNA(VLOOKUP($CZ274,'Audit Values'!$A$2:$BU$353,2,FALSE)),'Preliminary SO66'!X273,VLOOKUP($CZ274,'Audit Values'!$A$2:$BU$353,47,FALSE))</f>
        <v>0</v>
      </c>
      <c r="AV274" s="95">
        <f t="shared" si="163"/>
        <v>1803.2</v>
      </c>
      <c r="AW274" s="95">
        <f t="shared" si="164"/>
        <v>1554.9</v>
      </c>
      <c r="AX274" s="95">
        <f>IF(ISNA(VLOOKUP($CZ274,'Audit Values'!$A$2:$BU$353,2,FALSE)),'Preliminary SO66'!AA273,VLOOKUP($CZ274,'Audit Values'!$A$2:$BU$353,41,FALSE))</f>
        <v>0</v>
      </c>
      <c r="AY274" s="95">
        <f>IF(ISNA(VLOOKUP($CZ274,'Audit Values'!$A$2:$BU$353,2,FALSE)),'Preliminary SO66'!AB273,VLOOKUP($CZ274,'Audit Values'!$A$2:$BU$353,42,FALSE))</f>
        <v>0</v>
      </c>
      <c r="AZ274" s="114">
        <v>0</v>
      </c>
      <c r="BA274" s="99">
        <f>SUM(AX274*'Weighting Factors'!$T$10)+('2019 Legal Max'!AY274*'Weighting Factors'!$T$11)+('2019 Legal Max'!AZ274*'Weighting Factors'!$T$12)</f>
        <v>0</v>
      </c>
      <c r="BB274" s="158">
        <v>0</v>
      </c>
      <c r="BC274" s="88">
        <f>IF(ISNA(VLOOKUP($CZ274,'Audit Values'!$A$2:$BU$353,2,FALSE)),"",IF(AND('Weighting Factors'!H274&gt;0,VLOOKUP($CZ274,'Audit Values'!$A$2:$BU$353,51,FALSE)&lt;'Weighting Factors'!H274),'Weighting Factors'!H274,VLOOKUP($CZ274,'Audit Values'!$A$2:$BU$353,50,FALSE)))</f>
        <v>4</v>
      </c>
      <c r="BD274" s="88" t="str">
        <f>IF(ISNA(VLOOKUP($CZ274,'Audit Values'!$A$2:$BV$353,2,FALSE)),"",VLOOKUP($CZ274,'Audit Values'!$A$2:$BV$353,51,FALSE))</f>
        <v>A</v>
      </c>
      <c r="BE274" s="88" t="str">
        <f>IF('Weighting Factors'!H274="","",IF('Weighting Factors'!J274="Pending","PX","R"))</f>
        <v/>
      </c>
      <c r="BF274" s="97">
        <f>SUM((S274+T274+Y274+AA274+AE274+AH274+AJ274++AO274+AP274+AQ274+AU274+AR274)*'Weighting Factors'!$Q$5)+'2019 Legal Max'!BA274+'2019 Legal Max'!BB274</f>
        <v>6476159</v>
      </c>
      <c r="BG274" s="99">
        <f>SUM((AV274+AR274)*'Weighting Factors'!$Q$5)+BA274+'2019 Legal Max'!BB274</f>
        <v>7510328</v>
      </c>
      <c r="BH274" s="108">
        <f>IF('Weighting Factors'!H274&gt;0,'Weighting Factors'!H274,'Preliminary SO66'!AV273)</f>
        <v>7891842</v>
      </c>
      <c r="BI274" s="99">
        <f t="shared" si="188"/>
        <v>7510328</v>
      </c>
      <c r="BJ274" s="112"/>
      <c r="BK274" s="112">
        <f>'Weighting Factors'!F274</f>
        <v>0</v>
      </c>
      <c r="BL274" s="112">
        <f>'Weighting Factors'!E274</f>
        <v>0</v>
      </c>
      <c r="BM274" s="99">
        <f t="shared" si="165"/>
        <v>0</v>
      </c>
      <c r="BN274" s="99">
        <f t="shared" si="166"/>
        <v>7510328</v>
      </c>
      <c r="BO274" s="99">
        <f>SUM((S274+T274+Y274+AA274+AE274+AH274+AJ274++AO274+AP274+AQ274+AR274)*'Weighting Factors'!Q$12)+(MAX(AS274,'Weighting Factors'!B274))</f>
        <v>8051092</v>
      </c>
      <c r="BP274" s="122">
        <v>0.3</v>
      </c>
      <c r="BQ274" s="99">
        <f t="shared" si="167"/>
        <v>2415328</v>
      </c>
      <c r="BR274" s="108">
        <v>2520745</v>
      </c>
      <c r="BS274" s="99">
        <f t="shared" si="168"/>
        <v>2415328</v>
      </c>
      <c r="BT274" s="167">
        <f t="shared" si="169"/>
        <v>0.3</v>
      </c>
      <c r="BU274" s="95">
        <f t="shared" si="170"/>
        <v>0</v>
      </c>
      <c r="BV274" s="87" t="b">
        <f t="shared" si="171"/>
        <v>0</v>
      </c>
      <c r="BW274" s="117">
        <f t="shared" si="172"/>
        <v>0</v>
      </c>
      <c r="BX274" s="116">
        <f t="shared" si="173"/>
        <v>0</v>
      </c>
      <c r="BY274" s="95">
        <f t="shared" si="174"/>
        <v>0</v>
      </c>
      <c r="BZ274" s="87" t="b">
        <f t="shared" si="175"/>
        <v>1</v>
      </c>
      <c r="CA274" s="87">
        <f t="shared" si="176"/>
        <v>755.61749999999995</v>
      </c>
      <c r="CB274" s="116">
        <f t="shared" si="177"/>
        <v>0.27673599999999998</v>
      </c>
      <c r="CC274" s="95">
        <f t="shared" si="178"/>
        <v>252</v>
      </c>
      <c r="CD274" s="95">
        <f t="shared" si="179"/>
        <v>0</v>
      </c>
      <c r="CE274" s="98">
        <v>518</v>
      </c>
      <c r="CF274" s="250">
        <f t="shared" si="180"/>
        <v>0.313</v>
      </c>
      <c r="CG274" s="274">
        <f>IF(CF274&lt;0.06,1,IF(CF274&gt;=18.29,52,MATCH(CF274-0.001,'Weighting Factors'!$Y$5:$Y$156)+1))</f>
        <v>20</v>
      </c>
      <c r="CH274" s="243">
        <f>VLOOKUP(CG274, 'Weighting Factors'!$W$5:$Z$56,4)</f>
        <v>1190</v>
      </c>
      <c r="CI274" s="118">
        <f>('Weighting Factors'!$Q$5/'Weighting Factors'!$Q$14)</f>
        <v>1</v>
      </c>
      <c r="CJ274" s="245">
        <f t="shared" si="181"/>
        <v>192780</v>
      </c>
      <c r="CK274" s="245">
        <f>CJ274*'Weighting Factors'!$S$7</f>
        <v>192780</v>
      </c>
      <c r="CL274" s="245">
        <f t="shared" si="182"/>
        <v>192780</v>
      </c>
      <c r="CM274" s="95">
        <f>AM274/'Weighting Factors'!$Q$5</f>
        <v>46.3</v>
      </c>
      <c r="CN274" s="148">
        <v>0</v>
      </c>
      <c r="CO274" s="148">
        <v>0</v>
      </c>
      <c r="CP274" s="149">
        <v>0</v>
      </c>
      <c r="CQ274" s="151">
        <v>0</v>
      </c>
      <c r="CR274" s="99">
        <f>SUM((AV274*'Weighting Factors'!$Q$5)+'2019 Legal Max'!BA274)*CQ274</f>
        <v>0</v>
      </c>
      <c r="CS274" s="99">
        <f t="shared" si="183"/>
        <v>0</v>
      </c>
      <c r="CT274" s="106">
        <f t="shared" si="184"/>
        <v>0.41470000000000001</v>
      </c>
      <c r="CU274" s="95">
        <f t="shared" si="185"/>
        <v>0</v>
      </c>
      <c r="CV274" s="95">
        <f t="shared" si="186"/>
        <v>16.3</v>
      </c>
      <c r="CW274" s="95">
        <f t="shared" si="187"/>
        <v>1803.2</v>
      </c>
      <c r="CX274" s="99">
        <f>'LOB Transfers'!G273</f>
        <v>234528</v>
      </c>
      <c r="CY274" s="99">
        <f>'LOB Transfers'!J273</f>
        <v>5072</v>
      </c>
      <c r="CZ274" s="87" t="s">
        <v>466</v>
      </c>
    </row>
    <row r="275" spans="1:104" ht="15" customHeight="1">
      <c r="A275" s="88">
        <v>496</v>
      </c>
      <c r="B275" s="87" t="s">
        <v>107</v>
      </c>
      <c r="C275" s="87" t="s">
        <v>787</v>
      </c>
      <c r="D275" s="95">
        <v>134.5</v>
      </c>
      <c r="E275" s="95">
        <v>0</v>
      </c>
      <c r="F275" s="95">
        <f t="shared" si="154"/>
        <v>134.5</v>
      </c>
      <c r="G275" s="95">
        <v>143.5</v>
      </c>
      <c r="H275" s="95">
        <v>0</v>
      </c>
      <c r="I275" s="95">
        <f t="shared" si="155"/>
        <v>143.5</v>
      </c>
      <c r="J275" s="95">
        <v>136</v>
      </c>
      <c r="K275" s="95">
        <v>0</v>
      </c>
      <c r="L275" s="95">
        <f t="shared" si="156"/>
        <v>136</v>
      </c>
      <c r="M275" s="95">
        <f>IF(ISNA(VLOOKUP($CZ275,'Audit Values'!$A$2:$BW$365,2,FALSE)),'Preliminary SO66'!C274,VLOOKUP($CZ275,'Audit Values'!$A$2:$BW$365,73,FALSE))</f>
        <v>133</v>
      </c>
      <c r="N275" s="95">
        <f>IF(ISNA(VLOOKUP($CZ275,'Audit Values'!$A$2:$BW$365,2,FALSE)),'Preliminary SO66'!F274,VLOOKUP($CZ275,'Audit Values'!$A$2:$BW$365,4,FALSE))</f>
        <v>0</v>
      </c>
      <c r="O275" s="95">
        <f t="shared" si="157"/>
        <v>133</v>
      </c>
      <c r="P275" s="95">
        <f>IF('Military Provision'!J276="YES", MAX('2019 Legal Max'!L275,'2019 Legal Max'!I275,AVERAGE('2019 Legal Max'!F275,'2019 Legal Max'!I275,'2019 Legal Max'!L275)), MAX(L275, I275))</f>
        <v>143.5</v>
      </c>
      <c r="Q275" s="95">
        <f>IF(ISNA(VLOOKUP($CZ275,'Audit Values'!$A$2:$BU$353,2,FALSE)),'Preliminary SO66'!AL274,VLOOKUP($CZ275,'Audit Values'!$A$2:$BU$3955,58,FALSE))</f>
        <v>0</v>
      </c>
      <c r="R275" s="95">
        <v>0</v>
      </c>
      <c r="S275" s="95">
        <f t="shared" si="153"/>
        <v>143.5</v>
      </c>
      <c r="T275" s="95">
        <f t="shared" si="158"/>
        <v>129</v>
      </c>
      <c r="U275" s="95">
        <f>IF(ISNA(VLOOKUP($CZ275,'Audit Values'!$A$2:$BW$317,2,FALSE)),'Preliminary SO66'!AM274,VLOOKUP($CZ275,'Audit Values'!$A$2:$BW$317,62,FALSE))</f>
        <v>2.4</v>
      </c>
      <c r="V275" s="95">
        <f>(U275/6)*'Weighting Factors'!$Q$7</f>
        <v>0.2</v>
      </c>
      <c r="W275" s="132">
        <f>IF(ISNA(VLOOKUP($CZ275,'Audit Values'!$A$2:$BW$353,2,FALSE)),'Preliminary SO66'!AN274,VLOOKUP($CZ275,'Audit Values'!$A$2:$BW$353,61,FALSE))</f>
        <v>5</v>
      </c>
      <c r="X275" s="95">
        <f>W275*'Weighting Factors'!$Q$8</f>
        <v>0.9</v>
      </c>
      <c r="Y275" s="95">
        <f t="shared" si="159"/>
        <v>0.9</v>
      </c>
      <c r="Z275" s="276">
        <f>IF(ISNA(VLOOKUP($CZ275,'Audit Values'!$A$2:$BW$317,2,FALSE)),'Preliminary SO66'!AO274,VLOOKUP($CZ275,'Audit Values'!$A$2:$BW$317,60,FALSE))</f>
        <v>0</v>
      </c>
      <c r="AA275" s="95">
        <f>Z275/6*'Weighting Factors'!$Q$6</f>
        <v>0</v>
      </c>
      <c r="AB275" s="99">
        <f>IF(ISNA(VLOOKUP($CZ275,'Audit Values'!$A$2:$BU$353,2,FALSE)),'Preliminary SO66'!AS274,VLOOKUP($CZ275,'Audit Values'!$A$2:$BU$353,63,FALSE))</f>
        <v>133</v>
      </c>
      <c r="AC275" s="99">
        <v>0</v>
      </c>
      <c r="AD275" s="99">
        <f>IF(ISNA(VLOOKUP($CZ275,'Audit Values'!$A$2:$BU$353,2,FALSE)),'Preliminary SO66'!AP274,VLOOKUP($CZ275,'Audit Values'!$A$2:$BU$353,64,FALSE))</f>
        <v>43</v>
      </c>
      <c r="AE275" s="95">
        <f>IF(A275=207, AD275,MAX(AC275,AD275))*'Weighting Factors'!$Q$9</f>
        <v>20.8</v>
      </c>
      <c r="AF275" s="95">
        <f t="shared" si="160"/>
        <v>0</v>
      </c>
      <c r="AG275" s="95">
        <f>IF(ISNA(VLOOKUP($CZ275,'Audit Values'!$A$2:$BW$353,2,FALSE)),'Preliminary SO66'!AG274,VLOOKUP($CZ275,'Audit Values'!$A$2:$BW$353,70,FALSE))</f>
        <v>0</v>
      </c>
      <c r="AH275" s="95">
        <f t="shared" si="161"/>
        <v>0</v>
      </c>
      <c r="AI275" s="95">
        <f>IF(ISNA(VLOOKUP($CZ275,'Audit Values'!$A$2:$BU$353,2,FALSE)),'Preliminary SO66'!AQ274,VLOOKUP($CZ275,'Audit Values'!$A$2:$BU$353,65,FALSE))</f>
        <v>0</v>
      </c>
      <c r="AJ275" s="95">
        <f>AI275*'Weighting Factors'!$Q$10</f>
        <v>0</v>
      </c>
      <c r="AK275" s="95">
        <f>IF(ISNA(VLOOKUP($CZ275,'Audit Values'!$A$2:$BU$353,2,FALSE)),'Preliminary SO66'!AR274,VLOOKUP($CZ275,'Audit Values'!$A$2:$BU$353,66,FALSE))</f>
        <v>64</v>
      </c>
      <c r="AL275" s="95"/>
      <c r="AM275" s="99">
        <f t="shared" si="162"/>
        <v>80000</v>
      </c>
      <c r="AN275" s="99">
        <v>78581</v>
      </c>
      <c r="AO275" s="95">
        <f>MAX(AN275, AM275)/'Weighting Factors'!$Q$5</f>
        <v>19.2</v>
      </c>
      <c r="AP275" s="95">
        <f>CN275/'Weighting Factors'!$Q$5</f>
        <v>0</v>
      </c>
      <c r="AQ275" s="95">
        <v>0</v>
      </c>
      <c r="AR275" s="95">
        <f>CS275/'Weighting Factors'!$Q$5</f>
        <v>0</v>
      </c>
      <c r="AS275" s="99">
        <v>150445</v>
      </c>
      <c r="AT275" s="95">
        <f>AS275/'Weighting Factors'!$Q$5</f>
        <v>36.1</v>
      </c>
      <c r="AU275" s="95">
        <f>IF(ISNA(VLOOKUP($CZ275,'Audit Values'!$A$2:$BU$353,2,FALSE)),'Preliminary SO66'!X274,VLOOKUP($CZ275,'Audit Values'!$A$2:$BU$353,47,FALSE))</f>
        <v>0</v>
      </c>
      <c r="AV275" s="95">
        <f t="shared" si="163"/>
        <v>349.5</v>
      </c>
      <c r="AW275" s="95">
        <f t="shared" si="164"/>
        <v>313.39999999999998</v>
      </c>
      <c r="AX275" s="95">
        <f>IF(ISNA(VLOOKUP($CZ275,'Audit Values'!$A$2:$BU$353,2,FALSE)),'Preliminary SO66'!AA274,VLOOKUP($CZ275,'Audit Values'!$A$2:$BU$353,41,FALSE))</f>
        <v>1</v>
      </c>
      <c r="AY275" s="95">
        <f>IF(ISNA(VLOOKUP($CZ275,'Audit Values'!$A$2:$BU$353,2,FALSE)),'Preliminary SO66'!AB274,VLOOKUP($CZ275,'Audit Values'!$A$2:$BU$353,42,FALSE))</f>
        <v>0</v>
      </c>
      <c r="AZ275" s="114">
        <v>13</v>
      </c>
      <c r="BA275" s="99">
        <f>SUM(AX275*'Weighting Factors'!$T$10)+('2019 Legal Max'!AY275*'Weighting Factors'!$T$11)+('2019 Legal Max'!AZ275*'Weighting Factors'!$T$12)</f>
        <v>14217</v>
      </c>
      <c r="BB275" s="158">
        <v>0</v>
      </c>
      <c r="BC275" s="88">
        <f>IF(ISNA(VLOOKUP($CZ275,'Audit Values'!$A$2:$BU$353,2,FALSE)),"",IF(AND('Weighting Factors'!H275&gt;0,VLOOKUP($CZ275,'Audit Values'!$A$2:$BU$353,51,FALSE)&lt;'Weighting Factors'!H275),'Weighting Factors'!H275,VLOOKUP($CZ275,'Audit Values'!$A$2:$BU$353,50,FALSE)))</f>
        <v>6</v>
      </c>
      <c r="BD275" s="88" t="str">
        <f>IF(ISNA(VLOOKUP($CZ275,'Audit Values'!$A$2:$BV$353,2,FALSE)),"",VLOOKUP($CZ275,'Audit Values'!$A$2:$BV$353,51,FALSE))</f>
        <v>A</v>
      </c>
      <c r="BE275" s="88" t="str">
        <f>IF('Weighting Factors'!H275="","",IF('Weighting Factors'!J275="Pending","PX","R"))</f>
        <v/>
      </c>
      <c r="BF275" s="97">
        <f>SUM((S275+T275+Y275+AA275+AE275+AH275+AJ275++AO275+AP275+AQ275+AU275+AR275)*'Weighting Factors'!$Q$5)+'2019 Legal Max'!BA275+'2019 Legal Max'!BB275</f>
        <v>1319528</v>
      </c>
      <c r="BG275" s="99">
        <f>SUM((AV275+AR275)*'Weighting Factors'!$Q$5)+BA275+'2019 Legal Max'!BB275</f>
        <v>1469885</v>
      </c>
      <c r="BH275" s="108">
        <f>IF('Weighting Factors'!H275&gt;0,'Weighting Factors'!H275,'Preliminary SO66'!AV274)</f>
        <v>1553363</v>
      </c>
      <c r="BI275" s="99">
        <f t="shared" si="188"/>
        <v>1469885</v>
      </c>
      <c r="BJ275" s="112"/>
      <c r="BK275" s="112">
        <f>'Weighting Factors'!F275</f>
        <v>0</v>
      </c>
      <c r="BL275" s="112">
        <f>'Weighting Factors'!E275</f>
        <v>0</v>
      </c>
      <c r="BM275" s="99">
        <f t="shared" si="165"/>
        <v>0</v>
      </c>
      <c r="BN275" s="99">
        <f t="shared" si="166"/>
        <v>1469885</v>
      </c>
      <c r="BO275" s="99">
        <f>SUM((S275+T275+Y275+AA275+AE275+AH275+AJ275++AO275+AP275+AQ275+AR275)*'Weighting Factors'!Q$12)+(MAX(AS275,'Weighting Factors'!B275))</f>
        <v>1573655</v>
      </c>
      <c r="BP275" s="122">
        <v>0.33</v>
      </c>
      <c r="BQ275" s="99">
        <f t="shared" si="167"/>
        <v>519306</v>
      </c>
      <c r="BR275" s="108">
        <v>539372</v>
      </c>
      <c r="BS275" s="99">
        <f t="shared" si="168"/>
        <v>519306</v>
      </c>
      <c r="BT275" s="167">
        <f t="shared" si="169"/>
        <v>0.33</v>
      </c>
      <c r="BU275" s="95">
        <f t="shared" si="170"/>
        <v>0</v>
      </c>
      <c r="BV275" s="87" t="b">
        <f t="shared" si="171"/>
        <v>1</v>
      </c>
      <c r="BW275" s="117">
        <f t="shared" si="172"/>
        <v>419.99299999999999</v>
      </c>
      <c r="BX275" s="116">
        <f t="shared" si="173"/>
        <v>0.89902499999999996</v>
      </c>
      <c r="BY275" s="95">
        <f t="shared" si="174"/>
        <v>129</v>
      </c>
      <c r="BZ275" s="87" t="b">
        <f t="shared" si="175"/>
        <v>0</v>
      </c>
      <c r="CA275" s="87">
        <f t="shared" si="176"/>
        <v>0</v>
      </c>
      <c r="CB275" s="116">
        <f t="shared" si="177"/>
        <v>0</v>
      </c>
      <c r="CC275" s="95">
        <f t="shared" si="178"/>
        <v>0</v>
      </c>
      <c r="CD275" s="95">
        <f t="shared" si="179"/>
        <v>0</v>
      </c>
      <c r="CE275" s="98">
        <v>283</v>
      </c>
      <c r="CF275" s="250">
        <f t="shared" si="180"/>
        <v>0.22600000000000001</v>
      </c>
      <c r="CG275" s="274">
        <f>IF(CF275&lt;0.06,1,IF(CF275&gt;=18.29,52,MATCH(CF275-0.001,'Weighting Factors'!$Y$5:$Y$156)+1))</f>
        <v>17</v>
      </c>
      <c r="CH275" s="243">
        <f>VLOOKUP(CG275, 'Weighting Factors'!$W$5:$Z$56,4)</f>
        <v>1250</v>
      </c>
      <c r="CI275" s="118">
        <f>('Weighting Factors'!$Q$5/'Weighting Factors'!$Q$14)</f>
        <v>1</v>
      </c>
      <c r="CJ275" s="245">
        <f t="shared" si="181"/>
        <v>80000</v>
      </c>
      <c r="CK275" s="245">
        <f>CJ275*'Weighting Factors'!$S$7</f>
        <v>80000</v>
      </c>
      <c r="CL275" s="245">
        <f t="shared" si="182"/>
        <v>80000</v>
      </c>
      <c r="CM275" s="95">
        <f>AM275/'Weighting Factors'!$Q$5</f>
        <v>19.2</v>
      </c>
      <c r="CN275" s="148">
        <v>0</v>
      </c>
      <c r="CO275" s="148">
        <v>0</v>
      </c>
      <c r="CP275" s="149">
        <v>0</v>
      </c>
      <c r="CQ275" s="151">
        <v>0</v>
      </c>
      <c r="CR275" s="99">
        <f>SUM((AV275*'Weighting Factors'!$Q$5)+'2019 Legal Max'!BA275)*CQ275</f>
        <v>0</v>
      </c>
      <c r="CS275" s="99">
        <f t="shared" si="183"/>
        <v>0</v>
      </c>
      <c r="CT275" s="106">
        <f t="shared" si="184"/>
        <v>0.32329999999999998</v>
      </c>
      <c r="CU275" s="95">
        <f t="shared" si="185"/>
        <v>0</v>
      </c>
      <c r="CV275" s="95">
        <f t="shared" si="186"/>
        <v>0</v>
      </c>
      <c r="CW275" s="95">
        <f t="shared" si="187"/>
        <v>349.5</v>
      </c>
      <c r="CX275" s="99">
        <f>'LOB Transfers'!G274</f>
        <v>30899</v>
      </c>
      <c r="CY275" s="99">
        <f>'LOB Transfers'!J274</f>
        <v>1350</v>
      </c>
      <c r="CZ275" s="87" t="s">
        <v>467</v>
      </c>
    </row>
    <row r="276" spans="1:104" ht="15" customHeight="1">
      <c r="A276" s="88">
        <v>497</v>
      </c>
      <c r="B276" s="87" t="s">
        <v>63</v>
      </c>
      <c r="C276" s="87" t="s">
        <v>788</v>
      </c>
      <c r="D276" s="95">
        <v>10227.299999999999</v>
      </c>
      <c r="E276" s="95">
        <v>0</v>
      </c>
      <c r="F276" s="95">
        <f t="shared" si="154"/>
        <v>10227.299999999999</v>
      </c>
      <c r="G276" s="95">
        <v>10704.8</v>
      </c>
      <c r="H276" s="95">
        <v>0</v>
      </c>
      <c r="I276" s="95">
        <f t="shared" si="155"/>
        <v>10704.8</v>
      </c>
      <c r="J276" s="95">
        <v>10657</v>
      </c>
      <c r="K276" s="95">
        <v>0</v>
      </c>
      <c r="L276" s="95">
        <f t="shared" si="156"/>
        <v>10657</v>
      </c>
      <c r="M276" s="95">
        <f>IF(ISNA(VLOOKUP($CZ276,'Audit Values'!$A$2:$BW$365,2,FALSE)),'Preliminary SO66'!C275,VLOOKUP($CZ276,'Audit Values'!$A$2:$BW$365,73,FALSE))</f>
        <v>10793.6</v>
      </c>
      <c r="N276" s="95">
        <f>IF(ISNA(VLOOKUP($CZ276,'Audit Values'!$A$2:$BW$365,2,FALSE)),'Preliminary SO66'!F275,VLOOKUP($CZ276,'Audit Values'!$A$2:$BW$365,4,FALSE))</f>
        <v>0</v>
      </c>
      <c r="O276" s="95">
        <f t="shared" si="157"/>
        <v>10793.6</v>
      </c>
      <c r="P276" s="95">
        <f>IF('Military Provision'!J277="YES", MAX('2019 Legal Max'!L276,'2019 Legal Max'!I276,AVERAGE('2019 Legal Max'!F276,'2019 Legal Max'!I276,'2019 Legal Max'!L276)), MAX(L276, I276))</f>
        <v>10704.8</v>
      </c>
      <c r="Q276" s="95">
        <f>IF(ISNA(VLOOKUP($CZ276,'Audit Values'!$A$2:$BU$353,2,FALSE)),'Preliminary SO66'!AL275,VLOOKUP($CZ276,'Audit Values'!$A$2:$BU$3955,58,FALSE))</f>
        <v>34</v>
      </c>
      <c r="R276" s="95">
        <v>0</v>
      </c>
      <c r="S276" s="95">
        <f t="shared" si="153"/>
        <v>10738.8</v>
      </c>
      <c r="T276" s="95">
        <f t="shared" si="158"/>
        <v>376.3</v>
      </c>
      <c r="U276" s="95">
        <f>IF(ISNA(VLOOKUP($CZ276,'Audit Values'!$A$2:$BW$317,2,FALSE)),'Preliminary SO66'!AM275,VLOOKUP($CZ276,'Audit Values'!$A$2:$BW$317,62,FALSE))</f>
        <v>2323.3000000000002</v>
      </c>
      <c r="V276" s="95">
        <f>(U276/6)*'Weighting Factors'!$Q$7</f>
        <v>153</v>
      </c>
      <c r="W276" s="132">
        <f>IF(ISNA(VLOOKUP($CZ276,'Audit Values'!$A$2:$BW$353,2,FALSE)),'Preliminary SO66'!AN275,VLOOKUP($CZ276,'Audit Values'!$A$2:$BW$353,61,FALSE))</f>
        <v>798</v>
      </c>
      <c r="X276" s="95">
        <f>W276*'Weighting Factors'!$Q$8</f>
        <v>147.6</v>
      </c>
      <c r="Y276" s="95">
        <f t="shared" si="159"/>
        <v>153</v>
      </c>
      <c r="Z276" s="276">
        <f>IF(ISNA(VLOOKUP($CZ276,'Audit Values'!$A$2:$BW$317,2,FALSE)),'Preliminary SO66'!AO275,VLOOKUP($CZ276,'Audit Values'!$A$2:$BW$317,60,FALSE))</f>
        <v>2371.6999999999998</v>
      </c>
      <c r="AA276" s="95">
        <f>Z276/6*'Weighting Factors'!$Q$6</f>
        <v>197.6</v>
      </c>
      <c r="AB276" s="99">
        <f>IF(ISNA(VLOOKUP($CZ276,'Audit Values'!$A$2:$BU$353,2,FALSE)),'Preliminary SO66'!AS275,VLOOKUP($CZ276,'Audit Values'!$A$2:$BU$353,63,FALSE))</f>
        <v>10938</v>
      </c>
      <c r="AC276" s="99">
        <v>0</v>
      </c>
      <c r="AD276" s="99">
        <f>IF(ISNA(VLOOKUP($CZ276,'Audit Values'!$A$2:$BU$353,2,FALSE)),'Preliminary SO66'!AP275,VLOOKUP($CZ276,'Audit Values'!$A$2:$BU$353,64,FALSE))</f>
        <v>3377</v>
      </c>
      <c r="AE276" s="95">
        <f>IF(A276=207, AD276,MAX(AC276,AD276))*'Weighting Factors'!$Q$9</f>
        <v>1634.5</v>
      </c>
      <c r="AF276" s="95">
        <f t="shared" si="160"/>
        <v>0</v>
      </c>
      <c r="AG276" s="95">
        <f>IF(ISNA(VLOOKUP($CZ276,'Audit Values'!$A$2:$BW$353,2,FALSE)),'Preliminary SO66'!AG275,VLOOKUP($CZ276,'Audit Values'!$A$2:$BW$353,70,FALSE))</f>
        <v>133.1</v>
      </c>
      <c r="AH276" s="95">
        <f t="shared" si="161"/>
        <v>133.1</v>
      </c>
      <c r="AI276" s="95">
        <f>IF(ISNA(VLOOKUP($CZ276,'Audit Values'!$A$2:$BU$353,2,FALSE)),'Preliminary SO66'!AQ275,VLOOKUP($CZ276,'Audit Values'!$A$2:$BU$353,65,FALSE))</f>
        <v>237.1</v>
      </c>
      <c r="AJ276" s="95">
        <f>AI276*'Weighting Factors'!$Q$10</f>
        <v>59.3</v>
      </c>
      <c r="AK276" s="95">
        <f>IF(ISNA(VLOOKUP($CZ276,'Audit Values'!$A$2:$BU$353,2,FALSE)),'Preliminary SO66'!AR275,VLOOKUP($CZ276,'Audit Values'!$A$2:$BU$353,66,FALSE))</f>
        <v>2290.5</v>
      </c>
      <c r="AL276" s="95"/>
      <c r="AM276" s="99">
        <f t="shared" si="162"/>
        <v>1351395</v>
      </c>
      <c r="AN276" s="99">
        <v>1418306</v>
      </c>
      <c r="AO276" s="95">
        <f>MAX(AN276, AM276)/'Weighting Factors'!$Q$5</f>
        <v>340.5</v>
      </c>
      <c r="AP276" s="95">
        <f>CN276/'Weighting Factors'!$Q$5</f>
        <v>0</v>
      </c>
      <c r="AQ276" s="95">
        <v>0</v>
      </c>
      <c r="AR276" s="95">
        <f>CS276/'Weighting Factors'!$Q$5</f>
        <v>287.8</v>
      </c>
      <c r="AS276" s="99">
        <v>13255585</v>
      </c>
      <c r="AT276" s="95">
        <f>AS276/'Weighting Factors'!$Q$5</f>
        <v>3182.6</v>
      </c>
      <c r="AU276" s="95">
        <f>IF(ISNA(VLOOKUP($CZ276,'Audit Values'!$A$2:$BU$353,2,FALSE)),'Preliminary SO66'!X275,VLOOKUP($CZ276,'Audit Values'!$A$2:$BU$353,47,FALSE))</f>
        <v>0</v>
      </c>
      <c r="AV276" s="95">
        <f t="shared" si="163"/>
        <v>16815.7</v>
      </c>
      <c r="AW276" s="95">
        <f t="shared" si="164"/>
        <v>13920.9</v>
      </c>
      <c r="AX276" s="95">
        <f>IF(ISNA(VLOOKUP($CZ276,'Audit Values'!$A$2:$BU$353,2,FALSE)),'Preliminary SO66'!AA275,VLOOKUP($CZ276,'Audit Values'!$A$2:$BU$353,41,FALSE))</f>
        <v>953</v>
      </c>
      <c r="AY276" s="95">
        <f>IF(ISNA(VLOOKUP($CZ276,'Audit Values'!$A$2:$BU$353,2,FALSE)),'Preliminary SO66'!AB275,VLOOKUP($CZ276,'Audit Values'!$A$2:$BU$353,42,FALSE))</f>
        <v>61</v>
      </c>
      <c r="AZ276" s="114">
        <v>24</v>
      </c>
      <c r="BA276" s="99">
        <f>SUM(AX276*'Weighting Factors'!$T$10)+('2019 Legal Max'!AY276*'Weighting Factors'!$T$11)+('2019 Legal Max'!AZ276*'Weighting Factors'!$T$12)</f>
        <v>4885716</v>
      </c>
      <c r="BB276" s="158">
        <v>0</v>
      </c>
      <c r="BC276" s="88">
        <f>IF(ISNA(VLOOKUP($CZ276,'Audit Values'!$A$2:$BU$353,2,FALSE)),"",IF(AND('Weighting Factors'!H276&gt;0,VLOOKUP($CZ276,'Audit Values'!$A$2:$BU$353,51,FALSE)&lt;'Weighting Factors'!H276),'Weighting Factors'!H276,VLOOKUP($CZ276,'Audit Values'!$A$2:$BU$353,50,FALSE)))</f>
        <v>19</v>
      </c>
      <c r="BD276" s="88" t="str">
        <f>IF(ISNA(VLOOKUP($CZ276,'Audit Values'!$A$2:$BV$353,2,FALSE)),"",VLOOKUP($CZ276,'Audit Values'!$A$2:$BV$353,51,FALSE))</f>
        <v>A</v>
      </c>
      <c r="BE276" s="88" t="str">
        <f>IF('Weighting Factors'!H276="","",IF('Weighting Factors'!J276="Pending","PX","R"))</f>
        <v/>
      </c>
      <c r="BF276" s="97">
        <f>SUM((S276+T276+Y276+AA276+AE276+AH276+AJ276++AO276+AP276+AQ276+AU276+AR276)*'Weighting Factors'!$Q$5)+'2019 Legal Max'!BA276+'2019 Legal Max'!BB276</f>
        <v>62866265</v>
      </c>
      <c r="BG276" s="99">
        <f>SUM((AV276+AR276)*'Weighting Factors'!$Q$5)+BA276+'2019 Legal Max'!BB276</f>
        <v>76121794</v>
      </c>
      <c r="BH276" s="148">
        <f>IF('Weighting Factors'!H276&gt;0,'Weighting Factors'!H276,'Preliminary SO66'!AV275)</f>
        <v>79542141</v>
      </c>
      <c r="BI276" s="99">
        <f t="shared" si="188"/>
        <v>76121794</v>
      </c>
      <c r="BJ276" s="112"/>
      <c r="BK276" s="112">
        <f>'Weighting Factors'!F276</f>
        <v>0</v>
      </c>
      <c r="BL276" s="112">
        <f>'Weighting Factors'!E276</f>
        <v>-4963</v>
      </c>
      <c r="BM276" s="99">
        <f t="shared" si="165"/>
        <v>-4963</v>
      </c>
      <c r="BN276" s="99">
        <f t="shared" si="166"/>
        <v>76116831</v>
      </c>
      <c r="BO276" s="99">
        <f>SUM((S276+T276+Y276+AA276+AE276+AH276+AJ276++AO276+AP276+AQ276+AR276)*'Weighting Factors'!Q$12)+(MAX(AS276,'Weighting Factors'!B276))</f>
        <v>75760426</v>
      </c>
      <c r="BP276" s="122">
        <v>0.33</v>
      </c>
      <c r="BQ276" s="99">
        <f t="shared" si="167"/>
        <v>25000941</v>
      </c>
      <c r="BR276" s="148">
        <v>25701427</v>
      </c>
      <c r="BS276" s="99">
        <f t="shared" si="168"/>
        <v>25000941</v>
      </c>
      <c r="BT276" s="167">
        <f t="shared" si="169"/>
        <v>0.33</v>
      </c>
      <c r="BU276" s="95">
        <f t="shared" si="170"/>
        <v>0</v>
      </c>
      <c r="BV276" s="87" t="b">
        <f t="shared" si="171"/>
        <v>0</v>
      </c>
      <c r="BW276" s="117">
        <f t="shared" si="172"/>
        <v>0</v>
      </c>
      <c r="BX276" s="116">
        <f t="shared" si="173"/>
        <v>0</v>
      </c>
      <c r="BY276" s="95">
        <f t="shared" si="174"/>
        <v>0</v>
      </c>
      <c r="BZ276" s="87" t="b">
        <f t="shared" si="175"/>
        <v>0</v>
      </c>
      <c r="CA276" s="87">
        <f t="shared" si="176"/>
        <v>0</v>
      </c>
      <c r="CB276" s="116">
        <f t="shared" si="177"/>
        <v>0</v>
      </c>
      <c r="CC276" s="95">
        <f t="shared" si="178"/>
        <v>0</v>
      </c>
      <c r="CD276" s="95">
        <f t="shared" si="179"/>
        <v>376.3</v>
      </c>
      <c r="CE276" s="98">
        <v>175.2</v>
      </c>
      <c r="CF276" s="250">
        <f t="shared" si="180"/>
        <v>13.074</v>
      </c>
      <c r="CG276" s="281">
        <f>IF(CF276&lt;0.06,1,IF(CF276&gt;=18.29,52,MATCH(CF276-0.001,'Weighting Factors'!$Y$5:$Y$156)+1))</f>
        <v>50</v>
      </c>
      <c r="CH276" s="243">
        <f>VLOOKUP(CG276, 'Weighting Factors'!$W$5:$Z$56,4)</f>
        <v>590</v>
      </c>
      <c r="CI276" s="118">
        <f>('Weighting Factors'!$Q$5/'Weighting Factors'!$Q$14)</f>
        <v>1</v>
      </c>
      <c r="CJ276" s="245">
        <f t="shared" si="181"/>
        <v>1351395</v>
      </c>
      <c r="CK276" s="245">
        <f>CJ276*'Weighting Factors'!$S$7</f>
        <v>1351395</v>
      </c>
      <c r="CL276" s="245">
        <f t="shared" si="182"/>
        <v>1351395</v>
      </c>
      <c r="CM276" s="95">
        <f>AM276/'Weighting Factors'!$Q$5</f>
        <v>324.5</v>
      </c>
      <c r="CN276" s="148">
        <v>0</v>
      </c>
      <c r="CO276" s="148">
        <v>0</v>
      </c>
      <c r="CP276" s="149">
        <v>1252629</v>
      </c>
      <c r="CQ276" s="152">
        <v>1.6E-2</v>
      </c>
      <c r="CR276" s="99">
        <f>SUM((AV276*'Weighting Factors'!$Q$5)+'2019 Legal Max'!BA276)*CQ276</f>
        <v>1198770</v>
      </c>
      <c r="CS276" s="99">
        <f t="shared" si="183"/>
        <v>1198770</v>
      </c>
      <c r="CT276" s="106">
        <f t="shared" si="184"/>
        <v>0.30869999999999997</v>
      </c>
      <c r="CU276" s="95">
        <f t="shared" si="185"/>
        <v>0</v>
      </c>
      <c r="CV276" s="95">
        <f t="shared" si="186"/>
        <v>0</v>
      </c>
      <c r="CW276" s="95">
        <f t="shared" si="187"/>
        <v>17103.5</v>
      </c>
      <c r="CX276" s="99">
        <f>'LOB Transfers'!G275</f>
        <v>2395090</v>
      </c>
      <c r="CY276" s="99">
        <f>'LOB Transfers'!J275</f>
        <v>225008</v>
      </c>
      <c r="CZ276" s="87" t="s">
        <v>468</v>
      </c>
    </row>
    <row r="277" spans="1:104" ht="15" customHeight="1">
      <c r="A277" s="88">
        <v>498</v>
      </c>
      <c r="B277" s="87" t="s">
        <v>70</v>
      </c>
      <c r="C277" s="87" t="s">
        <v>789</v>
      </c>
      <c r="D277" s="95">
        <v>372.5</v>
      </c>
      <c r="E277" s="95">
        <v>0</v>
      </c>
      <c r="F277" s="95">
        <f t="shared" si="154"/>
        <v>372.5</v>
      </c>
      <c r="G277" s="95">
        <v>391.5</v>
      </c>
      <c r="H277" s="95">
        <v>0</v>
      </c>
      <c r="I277" s="95">
        <f t="shared" si="155"/>
        <v>391.5</v>
      </c>
      <c r="J277" s="95">
        <v>396.5</v>
      </c>
      <c r="K277" s="95">
        <v>0</v>
      </c>
      <c r="L277" s="95">
        <f t="shared" si="156"/>
        <v>396.5</v>
      </c>
      <c r="M277" s="95">
        <f>IF(ISNA(VLOOKUP($CZ277,'Audit Values'!$A$2:$BW$365,2,FALSE)),'Preliminary SO66'!C276,VLOOKUP($CZ277,'Audit Values'!$A$2:$BW$365,73,FALSE))</f>
        <v>411.4</v>
      </c>
      <c r="N277" s="95">
        <f>IF(ISNA(VLOOKUP($CZ277,'Audit Values'!$A$2:$BW$365,2,FALSE)),'Preliminary SO66'!F276,VLOOKUP($CZ277,'Audit Values'!$A$2:$BW$365,4,FALSE))</f>
        <v>0</v>
      </c>
      <c r="O277" s="95">
        <f t="shared" si="157"/>
        <v>411.4</v>
      </c>
      <c r="P277" s="95">
        <f>IF('Military Provision'!J278="YES", MAX('2019 Legal Max'!L277,'2019 Legal Max'!I277,AVERAGE('2019 Legal Max'!F277,'2019 Legal Max'!I277,'2019 Legal Max'!L277)), MAX(L277, I277))</f>
        <v>396.5</v>
      </c>
      <c r="Q277" s="95">
        <f>IF(ISNA(VLOOKUP($CZ277,'Audit Values'!$A$2:$BU$353,2,FALSE)),'Preliminary SO66'!AL276,VLOOKUP($CZ277,'Audit Values'!$A$2:$BU$3955,58,FALSE))</f>
        <v>3</v>
      </c>
      <c r="R277" s="95">
        <v>0</v>
      </c>
      <c r="S277" s="95">
        <f t="shared" ref="S277:S290" si="189">P277+Q277</f>
        <v>399.5</v>
      </c>
      <c r="T277" s="95">
        <f t="shared" si="158"/>
        <v>179.9</v>
      </c>
      <c r="U277" s="95">
        <f>IF(ISNA(VLOOKUP($CZ277,'Audit Values'!$A$2:$BW$317,2,FALSE)),'Preliminary SO66'!AM276,VLOOKUP($CZ277,'Audit Values'!$A$2:$BW$317,62,FALSE))</f>
        <v>0</v>
      </c>
      <c r="V277" s="95">
        <f>(U277/6)*'Weighting Factors'!$Q$7</f>
        <v>0</v>
      </c>
      <c r="W277" s="132">
        <f>IF(ISNA(VLOOKUP($CZ277,'Audit Values'!$A$2:$BW$353,2,FALSE)),'Preliminary SO66'!AN276,VLOOKUP($CZ277,'Audit Values'!$A$2:$BW$353,61,FALSE))</f>
        <v>0</v>
      </c>
      <c r="X277" s="95">
        <f>W277*'Weighting Factors'!$Q$8</f>
        <v>0</v>
      </c>
      <c r="Y277" s="95">
        <f t="shared" si="159"/>
        <v>0</v>
      </c>
      <c r="Z277" s="276">
        <f>IF(ISNA(VLOOKUP($CZ277,'Audit Values'!$A$2:$BW$317,2,FALSE)),'Preliminary SO66'!AO276,VLOOKUP($CZ277,'Audit Values'!$A$2:$BW$317,60,FALSE))</f>
        <v>134.9</v>
      </c>
      <c r="AA277" s="95">
        <f>Z277/6*'Weighting Factors'!$Q$6</f>
        <v>11.2</v>
      </c>
      <c r="AB277" s="99">
        <f>IF(ISNA(VLOOKUP($CZ277,'Audit Values'!$A$2:$BU$353,2,FALSE)),'Preliminary SO66'!AS276,VLOOKUP($CZ277,'Audit Values'!$A$2:$BU$353,63,FALSE))</f>
        <v>424</v>
      </c>
      <c r="AC277" s="99">
        <v>0</v>
      </c>
      <c r="AD277" s="99">
        <f>IF(ISNA(VLOOKUP($CZ277,'Audit Values'!$A$2:$BU$353,2,FALSE)),'Preliminary SO66'!AP276,VLOOKUP($CZ277,'Audit Values'!$A$2:$BU$353,64,FALSE))</f>
        <v>138</v>
      </c>
      <c r="AE277" s="95">
        <f>IF(A277=207, AD277,MAX(AC277,AD277))*'Weighting Factors'!$Q$9</f>
        <v>66.8</v>
      </c>
      <c r="AF277" s="95">
        <f t="shared" si="160"/>
        <v>0</v>
      </c>
      <c r="AG277" s="95">
        <f>IF(ISNA(VLOOKUP($CZ277,'Audit Values'!$A$2:$BW$353,2,FALSE)),'Preliminary SO66'!AG276,VLOOKUP($CZ277,'Audit Values'!$A$2:$BW$353,70,FALSE))</f>
        <v>0</v>
      </c>
      <c r="AH277" s="95">
        <f t="shared" si="161"/>
        <v>0</v>
      </c>
      <c r="AI277" s="95">
        <f>IF(ISNA(VLOOKUP($CZ277,'Audit Values'!$A$2:$BU$353,2,FALSE)),'Preliminary SO66'!AQ276,VLOOKUP($CZ277,'Audit Values'!$A$2:$BU$353,65,FALSE))</f>
        <v>0</v>
      </c>
      <c r="AJ277" s="95">
        <f>AI277*'Weighting Factors'!$Q$10</f>
        <v>0</v>
      </c>
      <c r="AK277" s="95">
        <f>IF(ISNA(VLOOKUP($CZ277,'Audit Values'!$A$2:$BU$353,2,FALSE)),'Preliminary SO66'!AR276,VLOOKUP($CZ277,'Audit Values'!$A$2:$BU$353,66,FALSE))</f>
        <v>253.7</v>
      </c>
      <c r="AL277" s="95"/>
      <c r="AM277" s="99">
        <f t="shared" si="162"/>
        <v>235941</v>
      </c>
      <c r="AN277" s="99">
        <v>249995</v>
      </c>
      <c r="AO277" s="95">
        <f>MAX(AN277, AM277)/'Weighting Factors'!$Q$5</f>
        <v>60</v>
      </c>
      <c r="AP277" s="95">
        <f>CN277/'Weighting Factors'!$Q$5</f>
        <v>0</v>
      </c>
      <c r="AQ277" s="95">
        <v>0</v>
      </c>
      <c r="AR277" s="95">
        <f>CS277/'Weighting Factors'!$Q$5</f>
        <v>0</v>
      </c>
      <c r="AS277" s="99">
        <v>383766</v>
      </c>
      <c r="AT277" s="95">
        <f>AS277/'Weighting Factors'!$Q$5</f>
        <v>92.1</v>
      </c>
      <c r="AU277" s="95">
        <f>IF(ISNA(VLOOKUP($CZ277,'Audit Values'!$A$2:$BU$353,2,FALSE)),'Preliminary SO66'!X276,VLOOKUP($CZ277,'Audit Values'!$A$2:$BU$353,47,FALSE))</f>
        <v>0</v>
      </c>
      <c r="AV277" s="95">
        <f t="shared" si="163"/>
        <v>809.5</v>
      </c>
      <c r="AW277" s="95">
        <f t="shared" si="164"/>
        <v>717.4</v>
      </c>
      <c r="AX277" s="95">
        <f>IF(ISNA(VLOOKUP($CZ277,'Audit Values'!$A$2:$BU$353,2,FALSE)),'Preliminary SO66'!AA276,VLOOKUP($CZ277,'Audit Values'!$A$2:$BU$353,41,FALSE))</f>
        <v>0</v>
      </c>
      <c r="AY277" s="95">
        <f>IF(ISNA(VLOOKUP($CZ277,'Audit Values'!$A$2:$BU$353,2,FALSE)),'Preliminary SO66'!AB276,VLOOKUP($CZ277,'Audit Values'!$A$2:$BU$353,42,FALSE))</f>
        <v>0</v>
      </c>
      <c r="AZ277" s="114">
        <v>0</v>
      </c>
      <c r="BA277" s="99">
        <f>SUM(AX277*'Weighting Factors'!$T$10)+('2019 Legal Max'!AY277*'Weighting Factors'!$T$11)+('2019 Legal Max'!AZ277*'Weighting Factors'!$T$12)</f>
        <v>0</v>
      </c>
      <c r="BB277" s="158">
        <v>0</v>
      </c>
      <c r="BC277" s="88">
        <f>IF(ISNA(VLOOKUP($CZ277,'Audit Values'!$A$2:$BU$353,2,FALSE)),"",IF(AND('Weighting Factors'!H277&gt;0,VLOOKUP($CZ277,'Audit Values'!$A$2:$BU$353,51,FALSE)&lt;'Weighting Factors'!H277),'Weighting Factors'!H277,VLOOKUP($CZ277,'Audit Values'!$A$2:$BU$353,50,FALSE)))</f>
        <v>9</v>
      </c>
      <c r="BD277" s="88" t="str">
        <f>IF(ISNA(VLOOKUP($CZ277,'Audit Values'!$A$2:$BV$353,2,FALSE)),"",VLOOKUP($CZ277,'Audit Values'!$A$2:$BV$353,51,FALSE))</f>
        <v>A</v>
      </c>
      <c r="BE277" s="88" t="str">
        <f>IF('Weighting Factors'!H277="","",IF('Weighting Factors'!J277="Pending","PX","R"))</f>
        <v/>
      </c>
      <c r="BF277" s="97">
        <f>SUM((S277+T277+Y277+AA277+AE277+AH277+AJ277++AO277+AP277+AQ277+AU277+AR277)*'Weighting Factors'!$Q$5)+'2019 Legal Max'!BA277+'2019 Legal Max'!BB277</f>
        <v>2987971</v>
      </c>
      <c r="BG277" s="99">
        <f>SUM((AV277+AR277)*'Weighting Factors'!$Q$5)+BA277+'2019 Legal Max'!BB277</f>
        <v>3371568</v>
      </c>
      <c r="BH277" s="108">
        <f>IF('Weighting Factors'!H277&gt;0,'Weighting Factors'!H277,'Preliminary SO66'!AV276)</f>
        <v>3376566</v>
      </c>
      <c r="BI277" s="99">
        <f t="shared" si="188"/>
        <v>3371568</v>
      </c>
      <c r="BJ277" s="112"/>
      <c r="BK277" s="112">
        <f>'Weighting Factors'!F277</f>
        <v>-55084</v>
      </c>
      <c r="BL277" s="112">
        <f>'Weighting Factors'!E277</f>
        <v>0</v>
      </c>
      <c r="BM277" s="99">
        <f t="shared" si="165"/>
        <v>-55084</v>
      </c>
      <c r="BN277" s="99">
        <f t="shared" si="166"/>
        <v>3316484</v>
      </c>
      <c r="BO277" s="99">
        <f>SUM((S277+T277+Y277+AA277+AE277+AH277+AJ277++AO277+AP277+AQ277+AR277)*'Weighting Factors'!Q$12)+(MAX(AS277,'Weighting Factors'!B277))</f>
        <v>3730280</v>
      </c>
      <c r="BP277" s="122">
        <v>0.33</v>
      </c>
      <c r="BQ277" s="99">
        <f t="shared" si="167"/>
        <v>1230992</v>
      </c>
      <c r="BR277" s="108">
        <v>1234400</v>
      </c>
      <c r="BS277" s="99">
        <f t="shared" si="168"/>
        <v>1230992</v>
      </c>
      <c r="BT277" s="167">
        <f t="shared" si="169"/>
        <v>0.33</v>
      </c>
      <c r="BU277" s="95">
        <f t="shared" si="170"/>
        <v>0</v>
      </c>
      <c r="BV277" s="87" t="b">
        <f t="shared" si="171"/>
        <v>0</v>
      </c>
      <c r="BW277" s="117">
        <f t="shared" si="172"/>
        <v>0</v>
      </c>
      <c r="BX277" s="116">
        <f t="shared" si="173"/>
        <v>0</v>
      </c>
      <c r="BY277" s="95">
        <f t="shared" si="174"/>
        <v>0</v>
      </c>
      <c r="BZ277" s="87" t="b">
        <f t="shared" si="175"/>
        <v>1</v>
      </c>
      <c r="CA277" s="87">
        <f t="shared" si="176"/>
        <v>123.1313</v>
      </c>
      <c r="CB277" s="116">
        <f t="shared" si="177"/>
        <v>0.45038099999999998</v>
      </c>
      <c r="CC277" s="95">
        <f t="shared" si="178"/>
        <v>179.9</v>
      </c>
      <c r="CD277" s="95">
        <f t="shared" si="179"/>
        <v>0</v>
      </c>
      <c r="CE277" s="98">
        <v>205</v>
      </c>
      <c r="CF277" s="250">
        <f t="shared" si="180"/>
        <v>1.238</v>
      </c>
      <c r="CG277" s="274">
        <f>IF(CF277&lt;0.06,1,IF(CF277&gt;=18.29,52,MATCH(CF277-0.001,'Weighting Factors'!$Y$5:$Y$156)+1))</f>
        <v>33</v>
      </c>
      <c r="CH277" s="243">
        <f>VLOOKUP(CG277, 'Weighting Factors'!$W$5:$Z$56,4)</f>
        <v>930</v>
      </c>
      <c r="CI277" s="118">
        <f>('Weighting Factors'!$Q$5/'Weighting Factors'!$Q$14)</f>
        <v>1</v>
      </c>
      <c r="CJ277" s="245">
        <f t="shared" si="181"/>
        <v>235941</v>
      </c>
      <c r="CK277" s="245">
        <f>CJ277*'Weighting Factors'!$S$7</f>
        <v>235941</v>
      </c>
      <c r="CL277" s="245">
        <f t="shared" si="182"/>
        <v>235941</v>
      </c>
      <c r="CM277" s="95">
        <f>AM277/'Weighting Factors'!$Q$5</f>
        <v>56.6</v>
      </c>
      <c r="CN277" s="148">
        <v>0</v>
      </c>
      <c r="CO277" s="148">
        <v>0</v>
      </c>
      <c r="CP277" s="149">
        <v>0</v>
      </c>
      <c r="CQ277" s="151">
        <v>0</v>
      </c>
      <c r="CR277" s="99">
        <f>SUM((AV277*'Weighting Factors'!$Q$5)+'2019 Legal Max'!BA277)*CQ277</f>
        <v>0</v>
      </c>
      <c r="CS277" s="99">
        <f t="shared" si="183"/>
        <v>0</v>
      </c>
      <c r="CT277" s="106">
        <f t="shared" si="184"/>
        <v>0.32550000000000001</v>
      </c>
      <c r="CU277" s="95">
        <f t="shared" si="185"/>
        <v>0</v>
      </c>
      <c r="CV277" s="95">
        <f t="shared" si="186"/>
        <v>0</v>
      </c>
      <c r="CW277" s="95">
        <f t="shared" si="187"/>
        <v>809.5</v>
      </c>
      <c r="CX277" s="99">
        <f>'LOB Transfers'!G276</f>
        <v>101926</v>
      </c>
      <c r="CY277" s="99">
        <f>'LOB Transfers'!J276</f>
        <v>0</v>
      </c>
      <c r="CZ277" s="87" t="s">
        <v>469</v>
      </c>
    </row>
    <row r="278" spans="1:104" ht="15" customHeight="1">
      <c r="A278" s="88">
        <v>499</v>
      </c>
      <c r="B278" s="87" t="s">
        <v>29</v>
      </c>
      <c r="C278" s="87" t="s">
        <v>790</v>
      </c>
      <c r="D278" s="95">
        <v>767.2</v>
      </c>
      <c r="E278" s="95">
        <v>0</v>
      </c>
      <c r="F278" s="95">
        <f t="shared" si="154"/>
        <v>767.2</v>
      </c>
      <c r="G278" s="95">
        <v>803.5</v>
      </c>
      <c r="H278" s="95">
        <v>0</v>
      </c>
      <c r="I278" s="95">
        <f t="shared" si="155"/>
        <v>803.5</v>
      </c>
      <c r="J278" s="95">
        <v>825</v>
      </c>
      <c r="K278" s="95">
        <v>0</v>
      </c>
      <c r="L278" s="95">
        <f t="shared" si="156"/>
        <v>825</v>
      </c>
      <c r="M278" s="95">
        <f>IF(ISNA(VLOOKUP($CZ278,'Audit Values'!$A$2:$BW$365,2,FALSE)),'Preliminary SO66'!C277,VLOOKUP($CZ278,'Audit Values'!$A$2:$BW$365,73,FALSE))</f>
        <v>807.4</v>
      </c>
      <c r="N278" s="95">
        <f>IF(ISNA(VLOOKUP($CZ278,'Audit Values'!$A$2:$BW$365,2,FALSE)),'Preliminary SO66'!F277,VLOOKUP($CZ278,'Audit Values'!$A$2:$BW$365,4,FALSE))</f>
        <v>0</v>
      </c>
      <c r="O278" s="95">
        <f t="shared" si="157"/>
        <v>807.4</v>
      </c>
      <c r="P278" s="95">
        <f>IF('Military Provision'!J279="YES", MAX('2019 Legal Max'!L278,'2019 Legal Max'!I278,AVERAGE('2019 Legal Max'!F278,'2019 Legal Max'!I278,'2019 Legal Max'!L278)), MAX(L278, I278))</f>
        <v>825</v>
      </c>
      <c r="Q278" s="95">
        <f>IF(ISNA(VLOOKUP($CZ278,'Audit Values'!$A$2:$BU$353,2,FALSE)),'Preliminary SO66'!AL277,VLOOKUP($CZ278,'Audit Values'!$A$2:$BU$3955,58,FALSE))</f>
        <v>6.5</v>
      </c>
      <c r="R278" s="95">
        <v>0</v>
      </c>
      <c r="S278" s="95">
        <f t="shared" si="189"/>
        <v>831.5</v>
      </c>
      <c r="T278" s="95">
        <f t="shared" si="158"/>
        <v>252.5</v>
      </c>
      <c r="U278" s="95">
        <f>IF(ISNA(VLOOKUP($CZ278,'Audit Values'!$A$2:$BW$317,2,FALSE)),'Preliminary SO66'!AM277,VLOOKUP($CZ278,'Audit Values'!$A$2:$BW$317,62,FALSE))</f>
        <v>0</v>
      </c>
      <c r="V278" s="95">
        <f>(U278/6)*'Weighting Factors'!$Q$7</f>
        <v>0</v>
      </c>
      <c r="W278" s="132">
        <f>IF(ISNA(VLOOKUP($CZ278,'Audit Values'!$A$2:$BW$353,2,FALSE)),'Preliminary SO66'!AN277,VLOOKUP($CZ278,'Audit Values'!$A$2:$BW$353,61,FALSE))</f>
        <v>1</v>
      </c>
      <c r="X278" s="95">
        <f>W278*'Weighting Factors'!$Q$8</f>
        <v>0.2</v>
      </c>
      <c r="Y278" s="95">
        <f t="shared" si="159"/>
        <v>0.2</v>
      </c>
      <c r="Z278" s="276">
        <f>IF(ISNA(VLOOKUP($CZ278,'Audit Values'!$A$2:$BW$317,2,FALSE)),'Preliminary SO66'!AO277,VLOOKUP($CZ278,'Audit Values'!$A$2:$BW$317,60,FALSE))</f>
        <v>265.60000000000002</v>
      </c>
      <c r="AA278" s="95">
        <f>Z278/6*'Weighting Factors'!$Q$6</f>
        <v>22.1</v>
      </c>
      <c r="AB278" s="99">
        <f>IF(ISNA(VLOOKUP($CZ278,'Audit Values'!$A$2:$BU$353,2,FALSE)),'Preliminary SO66'!AS277,VLOOKUP($CZ278,'Audit Values'!$A$2:$BU$353,63,FALSE))</f>
        <v>827</v>
      </c>
      <c r="AC278" s="99">
        <v>0</v>
      </c>
      <c r="AD278" s="99">
        <f>IF(ISNA(VLOOKUP($CZ278,'Audit Values'!$A$2:$BU$353,2,FALSE)),'Preliminary SO66'!AP277,VLOOKUP($CZ278,'Audit Values'!$A$2:$BU$353,64,FALSE))</f>
        <v>391</v>
      </c>
      <c r="AE278" s="95">
        <f>IF(A278=207, AD278,MAX(AC278,AD278))*'Weighting Factors'!$Q$9</f>
        <v>189.2</v>
      </c>
      <c r="AF278" s="95">
        <f t="shared" si="160"/>
        <v>33.6</v>
      </c>
      <c r="AG278" s="95">
        <f>IF(ISNA(VLOOKUP($CZ278,'Audit Values'!$A$2:$BW$353,2,FALSE)),'Preliminary SO66'!AG277,VLOOKUP($CZ278,'Audit Values'!$A$2:$BW$353,70,FALSE))</f>
        <v>32.1</v>
      </c>
      <c r="AH278" s="95">
        <f t="shared" si="161"/>
        <v>33.6</v>
      </c>
      <c r="AI278" s="95">
        <f>IF(ISNA(VLOOKUP($CZ278,'Audit Values'!$A$2:$BU$353,2,FALSE)),'Preliminary SO66'!AQ277,VLOOKUP($CZ278,'Audit Values'!$A$2:$BU$353,65,FALSE))</f>
        <v>0</v>
      </c>
      <c r="AJ278" s="95">
        <f>AI278*'Weighting Factors'!$Q$10</f>
        <v>0</v>
      </c>
      <c r="AK278" s="95">
        <f>IF(ISNA(VLOOKUP($CZ278,'Audit Values'!$A$2:$BU$353,2,FALSE)),'Preliminary SO66'!AR277,VLOOKUP($CZ278,'Audit Values'!$A$2:$BU$353,66,FALSE))</f>
        <v>24</v>
      </c>
      <c r="AL278" s="95"/>
      <c r="AM278" s="99">
        <f t="shared" si="162"/>
        <v>20880</v>
      </c>
      <c r="AN278" s="99">
        <v>18875</v>
      </c>
      <c r="AO278" s="95">
        <f>MAX(AN278, AM278)/'Weighting Factors'!$Q$5</f>
        <v>5</v>
      </c>
      <c r="AP278" s="95">
        <f>CN278/'Weighting Factors'!$Q$5</f>
        <v>0</v>
      </c>
      <c r="AQ278" s="95">
        <v>0</v>
      </c>
      <c r="AR278" s="95">
        <f>CS278/'Weighting Factors'!$Q$5</f>
        <v>0</v>
      </c>
      <c r="AS278" s="99">
        <v>858281</v>
      </c>
      <c r="AT278" s="95">
        <f>AS278/'Weighting Factors'!$Q$5</f>
        <v>206.1</v>
      </c>
      <c r="AU278" s="95">
        <f>IF(ISNA(VLOOKUP($CZ278,'Audit Values'!$A$2:$BU$353,2,FALSE)),'Preliminary SO66'!X277,VLOOKUP($CZ278,'Audit Values'!$A$2:$BU$353,47,FALSE))</f>
        <v>0</v>
      </c>
      <c r="AV278" s="95">
        <f t="shared" si="163"/>
        <v>1540.2</v>
      </c>
      <c r="AW278" s="95">
        <f t="shared" si="164"/>
        <v>1334.1</v>
      </c>
      <c r="AX278" s="95">
        <f>IF(ISNA(VLOOKUP($CZ278,'Audit Values'!$A$2:$BU$353,2,FALSE)),'Preliminary SO66'!AA277,VLOOKUP($CZ278,'Audit Values'!$A$2:$BU$353,41,FALSE))</f>
        <v>0</v>
      </c>
      <c r="AY278" s="95">
        <f>IF(ISNA(VLOOKUP($CZ278,'Audit Values'!$A$2:$BU$353,2,FALSE)),'Preliminary SO66'!AB277,VLOOKUP($CZ278,'Audit Values'!$A$2:$BU$353,42,FALSE))</f>
        <v>0</v>
      </c>
      <c r="AZ278" s="114">
        <v>6</v>
      </c>
      <c r="BA278" s="99">
        <f>SUM(AX278*'Weighting Factors'!$T$10)+('2019 Legal Max'!AY278*'Weighting Factors'!$T$11)+('2019 Legal Max'!AZ278*'Weighting Factors'!$T$12)</f>
        <v>4254</v>
      </c>
      <c r="BB278" s="158">
        <v>0</v>
      </c>
      <c r="BC278" s="88">
        <f>IF(ISNA(VLOOKUP($CZ278,'Audit Values'!$A$2:$BU$353,2,FALSE)),"",IF(AND('Weighting Factors'!H278&gt;0,VLOOKUP($CZ278,'Audit Values'!$A$2:$BU$353,51,FALSE)&lt;'Weighting Factors'!H278),'Weighting Factors'!H278,VLOOKUP($CZ278,'Audit Values'!$A$2:$BU$353,50,FALSE)))</f>
        <v>22</v>
      </c>
      <c r="BD278" s="88" t="str">
        <f>IF(ISNA(VLOOKUP($CZ278,'Audit Values'!$A$2:$BV$353,2,FALSE)),"",VLOOKUP($CZ278,'Audit Values'!$A$2:$BV$353,51,FALSE))</f>
        <v>A</v>
      </c>
      <c r="BE278" s="88" t="str">
        <f>IF('Weighting Factors'!H278="","",IF('Weighting Factors'!J278="Pending","PX","R"))</f>
        <v/>
      </c>
      <c r="BF278" s="97">
        <f>SUM((S278+T278+Y278+AA278+AE278+AH278+AJ278++AO278+AP278+AQ278+AU278+AR278)*'Weighting Factors'!$Q$5)+'2019 Legal Max'!BA278+'2019 Legal Max'!BB278</f>
        <v>5560781</v>
      </c>
      <c r="BG278" s="99">
        <f>SUM((AV278+AR278)*'Weighting Factors'!$Q$5)+BA278+'2019 Legal Max'!BB278</f>
        <v>6419187</v>
      </c>
      <c r="BH278" s="108">
        <f>IF('Weighting Factors'!H278&gt;0,'Weighting Factors'!H278,'Preliminary SO66'!AV277)</f>
        <v>6702541</v>
      </c>
      <c r="BI278" s="99">
        <f t="shared" si="188"/>
        <v>6419187</v>
      </c>
      <c r="BJ278" s="112"/>
      <c r="BK278" s="112">
        <f>'Weighting Factors'!F278</f>
        <v>0</v>
      </c>
      <c r="BL278" s="112">
        <f>'Weighting Factors'!E278</f>
        <v>-355</v>
      </c>
      <c r="BM278" s="99">
        <f t="shared" si="165"/>
        <v>-355</v>
      </c>
      <c r="BN278" s="99">
        <f t="shared" si="166"/>
        <v>6418832</v>
      </c>
      <c r="BO278" s="99">
        <f>SUM((S278+T278+Y278+AA278+AE278+AH278+AJ278++AO278+AP278+AQ278+AR278)*'Weighting Factors'!Q$12)+(MAX(AS278,'Weighting Factors'!B278))</f>
        <v>6848390</v>
      </c>
      <c r="BP278" s="122">
        <v>0.3</v>
      </c>
      <c r="BQ278" s="99">
        <f t="shared" si="167"/>
        <v>2054517</v>
      </c>
      <c r="BR278" s="108">
        <v>2136861</v>
      </c>
      <c r="BS278" s="99">
        <f t="shared" si="168"/>
        <v>2054517</v>
      </c>
      <c r="BT278" s="167">
        <f t="shared" si="169"/>
        <v>0.3</v>
      </c>
      <c r="BU278" s="95">
        <f t="shared" si="170"/>
        <v>0</v>
      </c>
      <c r="BV278" s="87" t="b">
        <f t="shared" si="171"/>
        <v>0</v>
      </c>
      <c r="BW278" s="117">
        <f t="shared" si="172"/>
        <v>0</v>
      </c>
      <c r="BX278" s="116">
        <f t="shared" si="173"/>
        <v>0</v>
      </c>
      <c r="BY278" s="95">
        <f t="shared" si="174"/>
        <v>0</v>
      </c>
      <c r="BZ278" s="87" t="b">
        <f t="shared" si="175"/>
        <v>1</v>
      </c>
      <c r="CA278" s="87">
        <f t="shared" si="176"/>
        <v>657.73130000000003</v>
      </c>
      <c r="CB278" s="116">
        <f t="shared" si="177"/>
        <v>0.30360999999999999</v>
      </c>
      <c r="CC278" s="95">
        <f t="shared" si="178"/>
        <v>252.5</v>
      </c>
      <c r="CD278" s="95">
        <f t="shared" si="179"/>
        <v>0</v>
      </c>
      <c r="CE278" s="98">
        <v>13.5</v>
      </c>
      <c r="CF278" s="250">
        <f t="shared" si="180"/>
        <v>1.778</v>
      </c>
      <c r="CG278" s="274">
        <f>IF(CF278&lt;0.06,1,IF(CF278&gt;=18.29,52,MATCH(CF278-0.001,'Weighting Factors'!$Y$5:$Y$156)+1))</f>
        <v>36</v>
      </c>
      <c r="CH278" s="243">
        <f>VLOOKUP(CG278, 'Weighting Factors'!$W$5:$Z$56,4)</f>
        <v>870</v>
      </c>
      <c r="CI278" s="118">
        <f>('Weighting Factors'!$Q$5/'Weighting Factors'!$Q$14)</f>
        <v>1</v>
      </c>
      <c r="CJ278" s="245">
        <f t="shared" si="181"/>
        <v>20880</v>
      </c>
      <c r="CK278" s="245">
        <f>CJ278*'Weighting Factors'!$S$7</f>
        <v>20880</v>
      </c>
      <c r="CL278" s="245">
        <f t="shared" si="182"/>
        <v>20880</v>
      </c>
      <c r="CM278" s="95">
        <f>AM278/'Weighting Factors'!$Q$5</f>
        <v>5</v>
      </c>
      <c r="CN278" s="148">
        <v>0</v>
      </c>
      <c r="CO278" s="148">
        <v>0</v>
      </c>
      <c r="CP278" s="149">
        <v>0</v>
      </c>
      <c r="CQ278" s="151">
        <v>0</v>
      </c>
      <c r="CR278" s="99">
        <f>SUM((AV278*'Weighting Factors'!$Q$5)+'2019 Legal Max'!BA278)*CQ278</f>
        <v>0</v>
      </c>
      <c r="CS278" s="99">
        <f t="shared" si="183"/>
        <v>0</v>
      </c>
      <c r="CT278" s="106">
        <f t="shared" si="184"/>
        <v>0.4728</v>
      </c>
      <c r="CU278" s="95">
        <f t="shared" si="185"/>
        <v>0</v>
      </c>
      <c r="CV278" s="95">
        <f t="shared" si="186"/>
        <v>33.6</v>
      </c>
      <c r="CW278" s="95">
        <f t="shared" si="187"/>
        <v>1540.2</v>
      </c>
      <c r="CX278" s="99">
        <f>'LOB Transfers'!G277</f>
        <v>253527</v>
      </c>
      <c r="CY278" s="99">
        <f>'LOB Transfers'!J277</f>
        <v>205</v>
      </c>
      <c r="CZ278" s="87" t="s">
        <v>470</v>
      </c>
    </row>
    <row r="279" spans="1:104" ht="15" customHeight="1">
      <c r="A279" s="88">
        <v>500</v>
      </c>
      <c r="B279" s="87" t="s">
        <v>9</v>
      </c>
      <c r="C279" s="87" t="s">
        <v>791</v>
      </c>
      <c r="D279" s="95">
        <v>19981.5</v>
      </c>
      <c r="E279" s="95">
        <v>0</v>
      </c>
      <c r="F279" s="95">
        <f t="shared" si="154"/>
        <v>19981.5</v>
      </c>
      <c r="G279" s="95">
        <v>20877</v>
      </c>
      <c r="H279" s="95">
        <v>0</v>
      </c>
      <c r="I279" s="95">
        <f t="shared" si="155"/>
        <v>20877</v>
      </c>
      <c r="J279" s="95">
        <v>21249.7</v>
      </c>
      <c r="K279" s="95">
        <v>0</v>
      </c>
      <c r="L279" s="95">
        <f t="shared" si="156"/>
        <v>21249.7</v>
      </c>
      <c r="M279" s="95">
        <f>IF(ISNA(VLOOKUP($CZ279,'Audit Values'!$A$2:$BW$365,2,FALSE)),'Preliminary SO66'!C278,VLOOKUP($CZ279,'Audit Values'!$A$2:$BW$365,73,FALSE))</f>
        <v>21421.8</v>
      </c>
      <c r="N279" s="95">
        <f>IF(ISNA(VLOOKUP($CZ279,'Audit Values'!$A$2:$BW$365,2,FALSE)),'Preliminary SO66'!F278,VLOOKUP($CZ279,'Audit Values'!$A$2:$BW$365,4,FALSE))</f>
        <v>0</v>
      </c>
      <c r="O279" s="95">
        <f t="shared" si="157"/>
        <v>21421.8</v>
      </c>
      <c r="P279" s="95">
        <f>IF('Military Provision'!J280="YES", MAX('2019 Legal Max'!L279,'2019 Legal Max'!I279,AVERAGE('2019 Legal Max'!F279,'2019 Legal Max'!I279,'2019 Legal Max'!L279)), MAX(L279, I279))</f>
        <v>21249.7</v>
      </c>
      <c r="Q279" s="95">
        <f>IF(ISNA(VLOOKUP($CZ279,'Audit Values'!$A$2:$BU$353,2,FALSE)),'Preliminary SO66'!AL278,VLOOKUP($CZ279,'Audit Values'!$A$2:$BU$3955,58,FALSE))</f>
        <v>405</v>
      </c>
      <c r="R279" s="95">
        <v>0</v>
      </c>
      <c r="S279" s="95">
        <f t="shared" si="189"/>
        <v>21654.7</v>
      </c>
      <c r="T279" s="95">
        <f t="shared" si="158"/>
        <v>758.8</v>
      </c>
      <c r="U279" s="95">
        <f>IF(ISNA(VLOOKUP($CZ279,'Audit Values'!$A$2:$BW$317,2,FALSE)),'Preliminary SO66'!AM278,VLOOKUP($CZ279,'Audit Values'!$A$2:$BW$317,62,FALSE))</f>
        <v>23376.2</v>
      </c>
      <c r="V279" s="95">
        <f>(U279/6)*'Weighting Factors'!$Q$7</f>
        <v>1538.9</v>
      </c>
      <c r="W279" s="132">
        <f>IF(ISNA(VLOOKUP($CZ279,'Audit Values'!$A$2:$BW$353,2,FALSE)),'Preliminary SO66'!AN278,VLOOKUP($CZ279,'Audit Values'!$A$2:$BW$353,61,FALSE))</f>
        <v>7976</v>
      </c>
      <c r="X279" s="95">
        <f>W279*'Weighting Factors'!$Q$8</f>
        <v>1475.6</v>
      </c>
      <c r="Y279" s="95">
        <f t="shared" si="159"/>
        <v>1538.9</v>
      </c>
      <c r="Z279" s="276">
        <f>IF(ISNA(VLOOKUP($CZ279,'Audit Values'!$A$2:$BW$317,2,FALSE)),'Preliminary SO66'!AO278,VLOOKUP($CZ279,'Audit Values'!$A$2:$BW$317,60,FALSE))</f>
        <v>4584.5</v>
      </c>
      <c r="AA279" s="95">
        <f>Z279/6*'Weighting Factors'!$Q$6</f>
        <v>382</v>
      </c>
      <c r="AB279" s="99">
        <f>IF(ISNA(VLOOKUP($CZ279,'Audit Values'!$A$2:$BU$353,2,FALSE)),'Preliminary SO66'!AS278,VLOOKUP($CZ279,'Audit Values'!$A$2:$BU$353,63,FALSE))</f>
        <v>22684</v>
      </c>
      <c r="AC279" s="99">
        <v>0</v>
      </c>
      <c r="AD279" s="99">
        <f>IF(ISNA(VLOOKUP($CZ279,'Audit Values'!$A$2:$BU$353,2,FALSE)),'Preliminary SO66'!AP278,VLOOKUP($CZ279,'Audit Values'!$A$2:$BU$353,64,FALSE))</f>
        <v>15271</v>
      </c>
      <c r="AE279" s="95">
        <f>IF(A279=207, AD279,MAX(AC279,AD279))*'Weighting Factors'!$Q$9</f>
        <v>7391.2</v>
      </c>
      <c r="AF279" s="95">
        <f t="shared" si="160"/>
        <v>1603.5</v>
      </c>
      <c r="AG279" s="95">
        <f>IF(ISNA(VLOOKUP($CZ279,'Audit Values'!$A$2:$BW$353,2,FALSE)),'Preliminary SO66'!AG278,VLOOKUP($CZ279,'Audit Values'!$A$2:$BW$353,70,FALSE))</f>
        <v>1505.6</v>
      </c>
      <c r="AH279" s="95">
        <f t="shared" si="161"/>
        <v>1603.5</v>
      </c>
      <c r="AI279" s="95">
        <f>IF(ISNA(VLOOKUP($CZ279,'Audit Values'!$A$2:$BU$353,2,FALSE)),'Preliminary SO66'!AQ278,VLOOKUP($CZ279,'Audit Values'!$A$2:$BU$353,65,FALSE))</f>
        <v>0</v>
      </c>
      <c r="AJ279" s="95">
        <f>AI279*'Weighting Factors'!$Q$10</f>
        <v>0</v>
      </c>
      <c r="AK279" s="95">
        <f>IF(ISNA(VLOOKUP($CZ279,'Audit Values'!$A$2:$BU$353,2,FALSE)),'Preliminary SO66'!AR278,VLOOKUP($CZ279,'Audit Values'!$A$2:$BU$353,66,FALSE))</f>
        <v>3769</v>
      </c>
      <c r="AL279" s="95"/>
      <c r="AM279" s="99">
        <f t="shared" si="162"/>
        <v>2072950</v>
      </c>
      <c r="AN279" s="99">
        <v>1731089</v>
      </c>
      <c r="AO279" s="95">
        <f>MAX(AN279, AM279)/'Weighting Factors'!$Q$5</f>
        <v>497.7</v>
      </c>
      <c r="AP279" s="95">
        <f>CN279/'Weighting Factors'!$Q$5</f>
        <v>0</v>
      </c>
      <c r="AQ279" s="95">
        <v>0</v>
      </c>
      <c r="AR279" s="95">
        <f>CS279/'Weighting Factors'!$Q$5</f>
        <v>0</v>
      </c>
      <c r="AS279" s="99">
        <v>15484112</v>
      </c>
      <c r="AT279" s="95">
        <f>AS279/'Weighting Factors'!$Q$5</f>
        <v>3717.7</v>
      </c>
      <c r="AU279" s="95">
        <f>IF(ISNA(VLOOKUP($CZ279,'Audit Values'!$A$2:$BU$353,2,FALSE)),'Preliminary SO66'!X278,VLOOKUP($CZ279,'Audit Values'!$A$2:$BU$353,47,FALSE))</f>
        <v>0</v>
      </c>
      <c r="AV279" s="95">
        <f t="shared" si="163"/>
        <v>37544.5</v>
      </c>
      <c r="AW279" s="95">
        <f t="shared" si="164"/>
        <v>33826.800000000003</v>
      </c>
      <c r="AX279" s="95">
        <f>IF(ISNA(VLOOKUP($CZ279,'Audit Values'!$A$2:$BU$353,2,FALSE)),'Preliminary SO66'!AA278,VLOOKUP($CZ279,'Audit Values'!$A$2:$BU$353,41,FALSE))</f>
        <v>78</v>
      </c>
      <c r="AY279" s="95">
        <f>IF(ISNA(VLOOKUP($CZ279,'Audit Values'!$A$2:$BU$353,2,FALSE)),'Preliminary SO66'!AB278,VLOOKUP($CZ279,'Audit Values'!$A$2:$BU$353,42,FALSE))</f>
        <v>16.2</v>
      </c>
      <c r="AZ279" s="114">
        <v>282</v>
      </c>
      <c r="BA279" s="99">
        <f>SUM(AX279*'Weighting Factors'!$T$10)+('2019 Legal Max'!AY279*'Weighting Factors'!$T$11)+('2019 Legal Max'!AZ279*'Weighting Factors'!$T$12)</f>
        <v>617478</v>
      </c>
      <c r="BB279" s="158">
        <v>0</v>
      </c>
      <c r="BC279" s="88">
        <f>IF(ISNA(VLOOKUP($CZ279,'Audit Values'!$A$2:$BU$353,2,FALSE)),"",IF(AND('Weighting Factors'!H279&gt;0,VLOOKUP($CZ279,'Audit Values'!$A$2:$BU$353,51,FALSE)&lt;'Weighting Factors'!H279),'Weighting Factors'!H279,VLOOKUP($CZ279,'Audit Values'!$A$2:$BU$353,50,FALSE)))</f>
        <v>25</v>
      </c>
      <c r="BD279" s="88" t="str">
        <f>IF(ISNA(VLOOKUP($CZ279,'Audit Values'!$A$2:$BV$353,2,FALSE)),"",VLOOKUP($CZ279,'Audit Values'!$A$2:$BV$353,51,FALSE))</f>
        <v>A</v>
      </c>
      <c r="BE279" s="88" t="str">
        <f>IF('Weighting Factors'!H279="","",IF('Weighting Factors'!J279="Pending","PX","R"))</f>
        <v/>
      </c>
      <c r="BF279" s="97">
        <f>SUM((S279+T279+Y279+AA279+AE279+AH279+AJ279++AO279+AP279+AQ279+AU279+AR279)*'Weighting Factors'!$Q$5)+'2019 Legal Max'!BA279+'2019 Legal Max'!BB279</f>
        <v>141506100</v>
      </c>
      <c r="BG279" s="99">
        <f>SUM((AV279+AR279)*'Weighting Factors'!$Q$5)+BA279+'2019 Legal Max'!BB279</f>
        <v>156990321</v>
      </c>
      <c r="BH279" s="108">
        <f>IF('Weighting Factors'!H279&gt;0,'Weighting Factors'!H279,'Preliminary SO66'!AV278)</f>
        <v>160265200</v>
      </c>
      <c r="BI279" s="99">
        <f t="shared" si="188"/>
        <v>156990321</v>
      </c>
      <c r="BJ279" s="112"/>
      <c r="BK279" s="112">
        <f>'Weighting Factors'!F279</f>
        <v>0</v>
      </c>
      <c r="BL279" s="112">
        <f>'Weighting Factors'!E279</f>
        <v>0</v>
      </c>
      <c r="BM279" s="99">
        <f t="shared" si="165"/>
        <v>0</v>
      </c>
      <c r="BN279" s="99">
        <f t="shared" si="166"/>
        <v>156990321</v>
      </c>
      <c r="BO279" s="99">
        <f>SUM((S279+T279+Y279+AA279+AE279+AH279+AJ279++AO279+AP279+AQ279+AR279)*'Weighting Factors'!Q$12)+(MAX(AS279,'Weighting Factors'!B279))</f>
        <v>167366444</v>
      </c>
      <c r="BP279" s="122">
        <v>0.3</v>
      </c>
      <c r="BQ279" s="99">
        <f t="shared" si="167"/>
        <v>50209933</v>
      </c>
      <c r="BR279" s="148">
        <v>51314913</v>
      </c>
      <c r="BS279" s="99">
        <f t="shared" si="168"/>
        <v>50209933</v>
      </c>
      <c r="BT279" s="167">
        <f t="shared" si="169"/>
        <v>0.3</v>
      </c>
      <c r="BU279" s="95">
        <f t="shared" si="170"/>
        <v>0</v>
      </c>
      <c r="BV279" s="87" t="b">
        <f t="shared" si="171"/>
        <v>0</v>
      </c>
      <c r="BW279" s="117">
        <f t="shared" si="172"/>
        <v>0</v>
      </c>
      <c r="BX279" s="116">
        <f t="shared" si="173"/>
        <v>0</v>
      </c>
      <c r="BY279" s="95">
        <f t="shared" si="174"/>
        <v>0</v>
      </c>
      <c r="BZ279" s="87" t="b">
        <f t="shared" si="175"/>
        <v>0</v>
      </c>
      <c r="CA279" s="87">
        <f t="shared" si="176"/>
        <v>0</v>
      </c>
      <c r="CB279" s="116">
        <f t="shared" si="177"/>
        <v>0</v>
      </c>
      <c r="CC279" s="95">
        <f t="shared" si="178"/>
        <v>0</v>
      </c>
      <c r="CD279" s="95">
        <f t="shared" si="179"/>
        <v>758.8</v>
      </c>
      <c r="CE279" s="98">
        <v>59</v>
      </c>
      <c r="CF279" s="250">
        <f t="shared" si="180"/>
        <v>63.881</v>
      </c>
      <c r="CG279" s="274">
        <f>IF(CF279&lt;0.06,1,IF(CF279&gt;=18.29,52,MATCH(CF279-0.001,'Weighting Factors'!$Y$5:$Y$156)+1))</f>
        <v>52</v>
      </c>
      <c r="CH279" s="243">
        <f>VLOOKUP(CG279, 'Weighting Factors'!$W$5:$Z$56,4)</f>
        <v>550</v>
      </c>
      <c r="CI279" s="118">
        <f>('Weighting Factors'!$Q$5/'Weighting Factors'!$Q$14)</f>
        <v>1</v>
      </c>
      <c r="CJ279" s="245">
        <f t="shared" si="181"/>
        <v>2072950</v>
      </c>
      <c r="CK279" s="245">
        <f>CJ279*'Weighting Factors'!$S$7</f>
        <v>2072950</v>
      </c>
      <c r="CL279" s="245">
        <f t="shared" si="182"/>
        <v>2072950</v>
      </c>
      <c r="CM279" s="95">
        <f>AM279/'Weighting Factors'!$Q$5</f>
        <v>497.7</v>
      </c>
      <c r="CN279" s="148">
        <v>0</v>
      </c>
      <c r="CO279" s="148">
        <v>0</v>
      </c>
      <c r="CP279" s="149">
        <v>0</v>
      </c>
      <c r="CQ279" s="152">
        <v>0</v>
      </c>
      <c r="CR279" s="99">
        <f>SUM((AV279*'Weighting Factors'!$Q$5)+'2019 Legal Max'!BA279)*CQ279</f>
        <v>0</v>
      </c>
      <c r="CS279" s="99">
        <f t="shared" si="183"/>
        <v>0</v>
      </c>
      <c r="CT279" s="106">
        <f t="shared" si="184"/>
        <v>0.67320000000000002</v>
      </c>
      <c r="CU279" s="95">
        <f t="shared" si="185"/>
        <v>1603.5</v>
      </c>
      <c r="CV279" s="95">
        <f t="shared" si="186"/>
        <v>0</v>
      </c>
      <c r="CW279" s="95">
        <f t="shared" si="187"/>
        <v>37544.5</v>
      </c>
      <c r="CX279" s="99">
        <f>'LOB Transfers'!G278</f>
        <v>9991777</v>
      </c>
      <c r="CY279" s="99">
        <f>'LOB Transfers'!J278</f>
        <v>2078691</v>
      </c>
      <c r="CZ279" s="87" t="s">
        <v>471</v>
      </c>
    </row>
    <row r="280" spans="1:104" ht="15" customHeight="1">
      <c r="A280" s="88">
        <v>501</v>
      </c>
      <c r="B280" s="87" t="s">
        <v>61</v>
      </c>
      <c r="C280" s="87" t="s">
        <v>792</v>
      </c>
      <c r="D280" s="95">
        <v>12872.5</v>
      </c>
      <c r="E280" s="95">
        <v>0</v>
      </c>
      <c r="F280" s="95">
        <f t="shared" si="154"/>
        <v>12872.5</v>
      </c>
      <c r="G280" s="95">
        <v>13252</v>
      </c>
      <c r="H280" s="95">
        <v>0</v>
      </c>
      <c r="I280" s="95">
        <f t="shared" si="155"/>
        <v>13252</v>
      </c>
      <c r="J280" s="95">
        <v>12976.9</v>
      </c>
      <c r="K280" s="95">
        <v>0</v>
      </c>
      <c r="L280" s="95">
        <f t="shared" si="156"/>
        <v>12976.9</v>
      </c>
      <c r="M280" s="95">
        <f>IF(ISNA(VLOOKUP($CZ280,'Audit Values'!$A$2:$BW$365,2,FALSE)),'Preliminary SO66'!C279,VLOOKUP($CZ280,'Audit Values'!$A$2:$BW$365,73,FALSE))</f>
        <v>12730.1</v>
      </c>
      <c r="N280" s="95">
        <f>IF(ISNA(VLOOKUP($CZ280,'Audit Values'!$A$2:$BW$365,2,FALSE)),'Preliminary SO66'!F279,VLOOKUP($CZ280,'Audit Values'!$A$2:$BW$365,4,FALSE))</f>
        <v>0</v>
      </c>
      <c r="O280" s="95">
        <f t="shared" si="157"/>
        <v>12730.1</v>
      </c>
      <c r="P280" s="95">
        <f>IF('Military Provision'!J281="YES", MAX('2019 Legal Max'!L280,'2019 Legal Max'!I280,AVERAGE('2019 Legal Max'!F280,'2019 Legal Max'!I280,'2019 Legal Max'!L280)), MAX(L280, I280))</f>
        <v>13252</v>
      </c>
      <c r="Q280" s="95">
        <f>IF(ISNA(VLOOKUP($CZ280,'Audit Values'!$A$2:$BU$353,2,FALSE)),'Preliminary SO66'!AL279,VLOOKUP($CZ280,'Audit Values'!$A$2:$BU$3955,58,FALSE))</f>
        <v>160</v>
      </c>
      <c r="R280" s="95">
        <v>0</v>
      </c>
      <c r="S280" s="95">
        <f t="shared" si="189"/>
        <v>13412</v>
      </c>
      <c r="T280" s="95">
        <f t="shared" si="158"/>
        <v>470</v>
      </c>
      <c r="U280" s="95">
        <f>IF(ISNA(VLOOKUP($CZ280,'Audit Values'!$A$2:$BW$317,2,FALSE)),'Preliminary SO66'!AM279,VLOOKUP($CZ280,'Audit Values'!$A$2:$BW$317,62,FALSE))</f>
        <v>2799.5</v>
      </c>
      <c r="V280" s="95">
        <f>(U280/6)*'Weighting Factors'!$Q$7</f>
        <v>184.3</v>
      </c>
      <c r="W280" s="132">
        <f>IF(ISNA(VLOOKUP($CZ280,'Audit Values'!$A$2:$BW$353,2,FALSE)),'Preliminary SO66'!AN279,VLOOKUP($CZ280,'Audit Values'!$A$2:$BW$353,61,FALSE))</f>
        <v>1750</v>
      </c>
      <c r="X280" s="95">
        <f>W280*'Weighting Factors'!$Q$8</f>
        <v>323.8</v>
      </c>
      <c r="Y280" s="95">
        <f t="shared" si="159"/>
        <v>323.8</v>
      </c>
      <c r="Z280" s="276">
        <f>IF(ISNA(VLOOKUP($CZ280,'Audit Values'!$A$2:$BW$317,2,FALSE)),'Preliminary SO66'!AO279,VLOOKUP($CZ280,'Audit Values'!$A$2:$BW$317,60,FALSE))</f>
        <v>2582.3000000000002</v>
      </c>
      <c r="AA280" s="95">
        <f>Z280/6*'Weighting Factors'!$Q$6</f>
        <v>215.2</v>
      </c>
      <c r="AB280" s="99">
        <f>IF(ISNA(VLOOKUP($CZ280,'Audit Values'!$A$2:$BU$353,2,FALSE)),'Preliminary SO66'!AS279,VLOOKUP($CZ280,'Audit Values'!$A$2:$BU$353,63,FALSE))</f>
        <v>13227</v>
      </c>
      <c r="AC280" s="99">
        <v>0</v>
      </c>
      <c r="AD280" s="99">
        <f>IF(ISNA(VLOOKUP($CZ280,'Audit Values'!$A$2:$BU$353,2,FALSE)),'Preliminary SO66'!AP279,VLOOKUP($CZ280,'Audit Values'!$A$2:$BU$353,64,FALSE))</f>
        <v>8207</v>
      </c>
      <c r="AE280" s="95">
        <f>IF(A280=207, AD280,MAX(AC280,AD280))*'Weighting Factors'!$Q$9</f>
        <v>3972.2</v>
      </c>
      <c r="AF280" s="95">
        <f t="shared" si="160"/>
        <v>861.7</v>
      </c>
      <c r="AG280" s="95">
        <f>IF(ISNA(VLOOKUP($CZ280,'Audit Values'!$A$2:$BW$353,2,FALSE)),'Preliminary SO66'!AG279,VLOOKUP($CZ280,'Audit Values'!$A$2:$BW$353,70,FALSE))</f>
        <v>841.1</v>
      </c>
      <c r="AH280" s="95">
        <f t="shared" si="161"/>
        <v>861.7</v>
      </c>
      <c r="AI280" s="95">
        <f>IF(ISNA(VLOOKUP($CZ280,'Audit Values'!$A$2:$BU$353,2,FALSE)),'Preliminary SO66'!AQ279,VLOOKUP($CZ280,'Audit Values'!$A$2:$BU$353,65,FALSE))</f>
        <v>762.1</v>
      </c>
      <c r="AJ280" s="95">
        <f>AI280*'Weighting Factors'!$Q$10</f>
        <v>190.5</v>
      </c>
      <c r="AK280" s="95">
        <f>IF(ISNA(VLOOKUP($CZ280,'Audit Values'!$A$2:$BU$353,2,FALSE)),'Preliminary SO66'!AR279,VLOOKUP($CZ280,'Audit Values'!$A$2:$BU$353,66,FALSE))</f>
        <v>1069</v>
      </c>
      <c r="AL280" s="95"/>
      <c r="AM280" s="99">
        <f t="shared" si="162"/>
        <v>587950</v>
      </c>
      <c r="AN280" s="99">
        <v>860537</v>
      </c>
      <c r="AO280" s="95">
        <f>MAX(AN280, AM280)/'Weighting Factors'!$Q$5</f>
        <v>206.6</v>
      </c>
      <c r="AP280" s="95">
        <f>CN280/'Weighting Factors'!$Q$5</f>
        <v>0</v>
      </c>
      <c r="AQ280" s="95">
        <v>0</v>
      </c>
      <c r="AR280" s="95">
        <f>CS280/'Weighting Factors'!$Q$5</f>
        <v>0</v>
      </c>
      <c r="AS280" s="99">
        <v>16929045</v>
      </c>
      <c r="AT280" s="95">
        <f>AS280/'Weighting Factors'!$Q$5</f>
        <v>4064.6</v>
      </c>
      <c r="AU280" s="95">
        <f>IF(ISNA(VLOOKUP($CZ280,'Audit Values'!$A$2:$BU$353,2,FALSE)),'Preliminary SO66'!X279,VLOOKUP($CZ280,'Audit Values'!$A$2:$BU$353,47,FALSE))</f>
        <v>0</v>
      </c>
      <c r="AV280" s="95">
        <f t="shared" si="163"/>
        <v>23716.6</v>
      </c>
      <c r="AW280" s="95">
        <f t="shared" si="164"/>
        <v>19652</v>
      </c>
      <c r="AX280" s="95">
        <f>IF(ISNA(VLOOKUP($CZ280,'Audit Values'!$A$2:$BU$353,2,FALSE)),'Preliminary SO66'!AA279,VLOOKUP($CZ280,'Audit Values'!$A$2:$BU$353,41,FALSE))</f>
        <v>21</v>
      </c>
      <c r="AY280" s="95">
        <f>IF(ISNA(VLOOKUP($CZ280,'Audit Values'!$A$2:$BU$353,2,FALSE)),'Preliminary SO66'!AB279,VLOOKUP($CZ280,'Audit Values'!$A$2:$BU$353,42,FALSE))</f>
        <v>8.6999999999999993</v>
      </c>
      <c r="AZ280" s="114">
        <v>16</v>
      </c>
      <c r="BA280" s="99">
        <f>SUM(AX280*'Weighting Factors'!$T$10)+('2019 Legal Max'!AY280*'Weighting Factors'!$T$11)+('2019 Legal Max'!AZ280*'Weighting Factors'!$T$12)</f>
        <v>131134</v>
      </c>
      <c r="BB280" s="158">
        <v>0</v>
      </c>
      <c r="BC280" s="88">
        <f>IF(ISNA(VLOOKUP($CZ280,'Audit Values'!$A$2:$BU$353,2,FALSE)),"",IF(AND('Weighting Factors'!H280&gt;0,VLOOKUP($CZ280,'Audit Values'!$A$2:$BU$353,51,FALSE)&lt;'Weighting Factors'!H280),'Weighting Factors'!H280,VLOOKUP($CZ280,'Audit Values'!$A$2:$BU$353,50,FALSE)))</f>
        <v>26</v>
      </c>
      <c r="BD280" s="88" t="str">
        <f>IF(ISNA(VLOOKUP($CZ280,'Audit Values'!$A$2:$BV$353,2,FALSE)),"",VLOOKUP($CZ280,'Audit Values'!$A$2:$BV$353,51,FALSE))</f>
        <v>A</v>
      </c>
      <c r="BE280" s="88" t="str">
        <f>IF('Weighting Factors'!H280="","",IF('Weighting Factors'!J280="Pending","PX","R"))</f>
        <v/>
      </c>
      <c r="BF280" s="97">
        <f>SUM((S280+T280+Y280+AA280+AE280+AH280+AJ280++AO280+AP280+AQ280+AU280+AR280)*'Weighting Factors'!$Q$5)+'2019 Legal Max'!BA280+'2019 Legal Max'!BB280</f>
        <v>81981714</v>
      </c>
      <c r="BG280" s="99">
        <f>SUM((AV280+AR280)*'Weighting Factors'!$Q$5)+BA280+'2019 Legal Max'!BB280</f>
        <v>98910773</v>
      </c>
      <c r="BH280" s="108">
        <f>IF('Weighting Factors'!H280&gt;0,'Weighting Factors'!H280,'Preliminary SO66'!AV279)</f>
        <v>101752026</v>
      </c>
      <c r="BI280" s="99">
        <f t="shared" si="188"/>
        <v>98910773</v>
      </c>
      <c r="BJ280" s="112"/>
      <c r="BK280" s="112">
        <f>'Weighting Factors'!F280</f>
        <v>0</v>
      </c>
      <c r="BL280" s="112">
        <f>'Weighting Factors'!E280</f>
        <v>-161120</v>
      </c>
      <c r="BM280" s="99">
        <f t="shared" si="165"/>
        <v>-161120</v>
      </c>
      <c r="BN280" s="99">
        <f t="shared" si="166"/>
        <v>98749653</v>
      </c>
      <c r="BO280" s="99">
        <f>SUM((S280+T280+Y280+AA280+AE280+AH280+AJ280++AO280+AP280+AQ280+AR280)*'Weighting Factors'!Q$12)+(MAX(AS280,'Weighting Factors'!B280))</f>
        <v>105166525</v>
      </c>
      <c r="BP280" s="122">
        <v>0.33</v>
      </c>
      <c r="BQ280" s="99">
        <f t="shared" si="167"/>
        <v>34704953</v>
      </c>
      <c r="BR280" s="148">
        <v>35265000</v>
      </c>
      <c r="BS280" s="99">
        <f t="shared" si="168"/>
        <v>34704953</v>
      </c>
      <c r="BT280" s="167">
        <f t="shared" si="169"/>
        <v>0.33</v>
      </c>
      <c r="BU280" s="95">
        <f t="shared" si="170"/>
        <v>0</v>
      </c>
      <c r="BV280" s="87" t="b">
        <f t="shared" si="171"/>
        <v>0</v>
      </c>
      <c r="BW280" s="117">
        <f t="shared" si="172"/>
        <v>0</v>
      </c>
      <c r="BX280" s="116">
        <f t="shared" si="173"/>
        <v>0</v>
      </c>
      <c r="BY280" s="95">
        <f t="shared" si="174"/>
        <v>0</v>
      </c>
      <c r="BZ280" s="87" t="b">
        <f t="shared" si="175"/>
        <v>0</v>
      </c>
      <c r="CA280" s="87">
        <f t="shared" si="176"/>
        <v>0</v>
      </c>
      <c r="CB280" s="116">
        <f t="shared" si="177"/>
        <v>0</v>
      </c>
      <c r="CC280" s="95">
        <f t="shared" si="178"/>
        <v>0</v>
      </c>
      <c r="CD280" s="95">
        <f t="shared" si="179"/>
        <v>470</v>
      </c>
      <c r="CE280" s="98">
        <v>35</v>
      </c>
      <c r="CF280" s="250">
        <f t="shared" si="180"/>
        <v>30.542999999999999</v>
      </c>
      <c r="CG280" s="274">
        <f>IF(CF280&lt;0.06,1,IF(CF280&gt;=18.29,52,MATCH(CF280-0.001,'Weighting Factors'!$Y$5:$Y$156)+1))</f>
        <v>52</v>
      </c>
      <c r="CH280" s="243">
        <f>VLOOKUP(CG280, 'Weighting Factors'!$W$5:$Z$56,4)</f>
        <v>550</v>
      </c>
      <c r="CI280" s="118">
        <f>('Weighting Factors'!$Q$5/'Weighting Factors'!$Q$14)</f>
        <v>1</v>
      </c>
      <c r="CJ280" s="245">
        <f t="shared" si="181"/>
        <v>587950</v>
      </c>
      <c r="CK280" s="245">
        <f>CJ280*'Weighting Factors'!$S$7</f>
        <v>587950</v>
      </c>
      <c r="CL280" s="245">
        <f t="shared" si="182"/>
        <v>587950</v>
      </c>
      <c r="CM280" s="95">
        <f>AM280/'Weighting Factors'!$Q$5</f>
        <v>141.19999999999999</v>
      </c>
      <c r="CN280" s="148">
        <v>0</v>
      </c>
      <c r="CO280" s="148">
        <v>0</v>
      </c>
      <c r="CP280" s="149">
        <v>0</v>
      </c>
      <c r="CQ280" s="152">
        <v>0</v>
      </c>
      <c r="CR280" s="99">
        <f>SUM((AV280*'Weighting Factors'!$Q$5)+'2019 Legal Max'!BA280)*CQ280</f>
        <v>0</v>
      </c>
      <c r="CS280" s="99">
        <f t="shared" si="183"/>
        <v>0</v>
      </c>
      <c r="CT280" s="106">
        <f t="shared" si="184"/>
        <v>0.62050000000000005</v>
      </c>
      <c r="CU280" s="95">
        <f t="shared" si="185"/>
        <v>861.7</v>
      </c>
      <c r="CV280" s="95">
        <f t="shared" si="186"/>
        <v>0</v>
      </c>
      <c r="CW280" s="95">
        <f t="shared" si="187"/>
        <v>23716.6</v>
      </c>
      <c r="CX280" s="99">
        <f>'LOB Transfers'!G279</f>
        <v>5851255</v>
      </c>
      <c r="CY280" s="99">
        <f>'LOB Transfers'!J279</f>
        <v>475458</v>
      </c>
      <c r="CZ280" s="87" t="s">
        <v>472</v>
      </c>
    </row>
    <row r="281" spans="1:104" ht="15" customHeight="1">
      <c r="A281" s="88">
        <v>502</v>
      </c>
      <c r="B281" s="87" t="s">
        <v>62</v>
      </c>
      <c r="C281" s="87" t="s">
        <v>793</v>
      </c>
      <c r="D281" s="95">
        <v>109.5</v>
      </c>
      <c r="E281" s="95">
        <v>0</v>
      </c>
      <c r="F281" s="95">
        <f t="shared" si="154"/>
        <v>109.5</v>
      </c>
      <c r="G281" s="95">
        <v>113</v>
      </c>
      <c r="H281" s="95">
        <v>0</v>
      </c>
      <c r="I281" s="95">
        <f t="shared" si="155"/>
        <v>113</v>
      </c>
      <c r="J281" s="95">
        <v>124.5</v>
      </c>
      <c r="K281" s="95">
        <v>0</v>
      </c>
      <c r="L281" s="95">
        <f t="shared" si="156"/>
        <v>124.5</v>
      </c>
      <c r="M281" s="95">
        <f>IF(ISNA(VLOOKUP($CZ281,'Audit Values'!$A$2:$BW$365,2,FALSE)),'Preliminary SO66'!C280,VLOOKUP($CZ281,'Audit Values'!$A$2:$BW$365,73,FALSE))</f>
        <v>112</v>
      </c>
      <c r="N281" s="95">
        <f>IF(ISNA(VLOOKUP($CZ281,'Audit Values'!$A$2:$BW$365,2,FALSE)),'Preliminary SO66'!F280,VLOOKUP($CZ281,'Audit Values'!$A$2:$BW$365,4,FALSE))</f>
        <v>0</v>
      </c>
      <c r="O281" s="95">
        <f t="shared" si="157"/>
        <v>112</v>
      </c>
      <c r="P281" s="95">
        <f>IF('Military Provision'!J282="YES", MAX('2019 Legal Max'!L281,'2019 Legal Max'!I281,AVERAGE('2019 Legal Max'!F281,'2019 Legal Max'!I281,'2019 Legal Max'!L281)), MAX(L281, I281))</f>
        <v>124.5</v>
      </c>
      <c r="Q281" s="95">
        <f>IF(ISNA(VLOOKUP($CZ281,'Audit Values'!$A$2:$BU$353,2,FALSE)),'Preliminary SO66'!AL280,VLOOKUP($CZ281,'Audit Values'!$A$2:$BU$3955,58,FALSE))</f>
        <v>1.5</v>
      </c>
      <c r="R281" s="95">
        <v>0</v>
      </c>
      <c r="S281" s="95">
        <f t="shared" si="189"/>
        <v>126</v>
      </c>
      <c r="T281" s="95">
        <f t="shared" si="158"/>
        <v>119.1</v>
      </c>
      <c r="U281" s="95">
        <f>IF(ISNA(VLOOKUP($CZ281,'Audit Values'!$A$2:$BW$317,2,FALSE)),'Preliminary SO66'!AM280,VLOOKUP($CZ281,'Audit Values'!$A$2:$BW$317,62,FALSE))</f>
        <v>145.30000000000001</v>
      </c>
      <c r="V281" s="95">
        <f>(U281/6)*'Weighting Factors'!$Q$7</f>
        <v>9.6</v>
      </c>
      <c r="W281" s="132">
        <f>IF(ISNA(VLOOKUP($CZ281,'Audit Values'!$A$2:$BW$353,2,FALSE)),'Preliminary SO66'!AN280,VLOOKUP($CZ281,'Audit Values'!$A$2:$BW$353,61,FALSE))</f>
        <v>35</v>
      </c>
      <c r="X281" s="95">
        <f>W281*'Weighting Factors'!$Q$8</f>
        <v>6.5</v>
      </c>
      <c r="Y281" s="95">
        <f t="shared" si="159"/>
        <v>9.6</v>
      </c>
      <c r="Z281" s="276">
        <f>IF(ISNA(VLOOKUP($CZ281,'Audit Values'!$A$2:$BW$317,2,FALSE)),'Preliminary SO66'!AO280,VLOOKUP($CZ281,'Audit Values'!$A$2:$BW$317,60,FALSE))</f>
        <v>4.2</v>
      </c>
      <c r="AA281" s="95">
        <f>Z281/6*'Weighting Factors'!$Q$6</f>
        <v>0.4</v>
      </c>
      <c r="AB281" s="99">
        <f>IF(ISNA(VLOOKUP($CZ281,'Audit Values'!$A$2:$BU$353,2,FALSE)),'Preliminary SO66'!AS280,VLOOKUP($CZ281,'Audit Values'!$A$2:$BU$353,63,FALSE))</f>
        <v>117</v>
      </c>
      <c r="AC281" s="99">
        <v>0</v>
      </c>
      <c r="AD281" s="99">
        <f>IF(ISNA(VLOOKUP($CZ281,'Audit Values'!$A$2:$BU$353,2,FALSE)),'Preliminary SO66'!AP280,VLOOKUP($CZ281,'Audit Values'!$A$2:$BU$353,64,FALSE))</f>
        <v>45</v>
      </c>
      <c r="AE281" s="95">
        <f>IF(A281=207, AD281,MAX(AC281,AD281))*'Weighting Factors'!$Q$9</f>
        <v>21.8</v>
      </c>
      <c r="AF281" s="95">
        <f t="shared" si="160"/>
        <v>1.1000000000000001</v>
      </c>
      <c r="AG281" s="95">
        <f>IF(ISNA(VLOOKUP($CZ281,'Audit Values'!$A$2:$BW$353,2,FALSE)),'Preliminary SO66'!AG280,VLOOKUP($CZ281,'Audit Values'!$A$2:$BW$353,70,FALSE))</f>
        <v>3.8</v>
      </c>
      <c r="AH281" s="95">
        <f t="shared" si="161"/>
        <v>3.8</v>
      </c>
      <c r="AI281" s="95">
        <f>IF(ISNA(VLOOKUP($CZ281,'Audit Values'!$A$2:$BU$353,2,FALSE)),'Preliminary SO66'!AQ280,VLOOKUP($CZ281,'Audit Values'!$A$2:$BU$353,65,FALSE))</f>
        <v>0</v>
      </c>
      <c r="AJ281" s="95">
        <f>AI281*'Weighting Factors'!$Q$10</f>
        <v>0</v>
      </c>
      <c r="AK281" s="95">
        <f>IF(ISNA(VLOOKUP($CZ281,'Audit Values'!$A$2:$BU$353,2,FALSE)),'Preliminary SO66'!AR280,VLOOKUP($CZ281,'Audit Values'!$A$2:$BU$353,66,FALSE))</f>
        <v>49</v>
      </c>
      <c r="AL281" s="95"/>
      <c r="AM281" s="99">
        <f t="shared" si="162"/>
        <v>62230</v>
      </c>
      <c r="AN281" s="99">
        <v>75114</v>
      </c>
      <c r="AO281" s="95">
        <f>MAX(AN281, AM281)/'Weighting Factors'!$Q$5</f>
        <v>18</v>
      </c>
      <c r="AP281" s="95">
        <f>CN281/'Weighting Factors'!$Q$5</f>
        <v>0</v>
      </c>
      <c r="AQ281" s="95">
        <v>0</v>
      </c>
      <c r="AR281" s="95">
        <f>CS281/'Weighting Factors'!$Q$5</f>
        <v>0</v>
      </c>
      <c r="AS281" s="99">
        <v>146981</v>
      </c>
      <c r="AT281" s="95">
        <f>AS281/'Weighting Factors'!$Q$5</f>
        <v>35.299999999999997</v>
      </c>
      <c r="AU281" s="95">
        <f>IF(ISNA(VLOOKUP($CZ281,'Audit Values'!$A$2:$BU$353,2,FALSE)),'Preliminary SO66'!X280,VLOOKUP($CZ281,'Audit Values'!$A$2:$BU$353,47,FALSE))</f>
        <v>0</v>
      </c>
      <c r="AV281" s="95">
        <f t="shared" si="163"/>
        <v>334</v>
      </c>
      <c r="AW281" s="95">
        <f t="shared" si="164"/>
        <v>298.7</v>
      </c>
      <c r="AX281" s="95">
        <f>IF(ISNA(VLOOKUP($CZ281,'Audit Values'!$A$2:$BU$353,2,FALSE)),'Preliminary SO66'!AA280,VLOOKUP($CZ281,'Audit Values'!$A$2:$BU$353,41,FALSE))</f>
        <v>0</v>
      </c>
      <c r="AY281" s="95">
        <f>IF(ISNA(VLOOKUP($CZ281,'Audit Values'!$A$2:$BU$353,2,FALSE)),'Preliminary SO66'!AB280,VLOOKUP($CZ281,'Audit Values'!$A$2:$BU$353,42,FALSE))</f>
        <v>0</v>
      </c>
      <c r="AZ281" s="114">
        <v>0</v>
      </c>
      <c r="BA281" s="99">
        <f>SUM(AX281*'Weighting Factors'!$T$10)+('2019 Legal Max'!AY281*'Weighting Factors'!$T$11)+('2019 Legal Max'!AZ281*'Weighting Factors'!$T$12)</f>
        <v>0</v>
      </c>
      <c r="BB281" s="158">
        <v>0</v>
      </c>
      <c r="BC281" s="88">
        <f>IF(ISNA(VLOOKUP($CZ281,'Audit Values'!$A$2:$BU$353,2,FALSE)),"",IF(AND('Weighting Factors'!H281&gt;0,VLOOKUP($CZ281,'Audit Values'!$A$2:$BU$353,51,FALSE)&lt;'Weighting Factors'!H281),'Weighting Factors'!H281,VLOOKUP($CZ281,'Audit Values'!$A$2:$BU$353,50,FALSE)))</f>
        <v>19</v>
      </c>
      <c r="BD281" s="88" t="str">
        <f>IF(ISNA(VLOOKUP($CZ281,'Audit Values'!$A$2:$BV$353,2,FALSE)),"",VLOOKUP($CZ281,'Audit Values'!$A$2:$BV$353,51,FALSE))</f>
        <v>A</v>
      </c>
      <c r="BE281" s="88" t="str">
        <f>IF('Weighting Factors'!H281="","",IF('Weighting Factors'!J281="Pending","PX","R"))</f>
        <v/>
      </c>
      <c r="BF281" s="97">
        <f>SUM((S281+T281+Y281+AA281+AE281+AH281+AJ281++AO281+AP281+AQ281+AU281+AR281)*'Weighting Factors'!$Q$5)+'2019 Legal Max'!BA281+'2019 Legal Max'!BB281</f>
        <v>1244086</v>
      </c>
      <c r="BG281" s="99">
        <f>SUM((AV281+AR281)*'Weighting Factors'!$Q$5)+BA281+'2019 Legal Max'!BB281</f>
        <v>1391110</v>
      </c>
      <c r="BH281" s="108">
        <f>IF('Weighting Factors'!H281&gt;0,'Weighting Factors'!H281,'Preliminary SO66'!AV280)</f>
        <v>1512312</v>
      </c>
      <c r="BI281" s="99">
        <f t="shared" si="188"/>
        <v>1391110</v>
      </c>
      <c r="BJ281" s="112"/>
      <c r="BK281" s="112">
        <f>'Weighting Factors'!F281</f>
        <v>-17742</v>
      </c>
      <c r="BL281" s="112">
        <f>'Weighting Factors'!E281</f>
        <v>0</v>
      </c>
      <c r="BM281" s="99">
        <f t="shared" si="165"/>
        <v>-17742</v>
      </c>
      <c r="BN281" s="99">
        <f t="shared" si="166"/>
        <v>1373368</v>
      </c>
      <c r="BO281" s="99">
        <f>SUM((S281+T281+Y281+AA281+AE281+AH281+AJ281++AO281+AP281+AQ281+AR281)*'Weighting Factors'!Q$12)+(MAX(AS281,'Weighting Factors'!B281))</f>
        <v>1488144</v>
      </c>
      <c r="BP281" s="122">
        <v>0.3</v>
      </c>
      <c r="BQ281" s="99">
        <f t="shared" si="167"/>
        <v>446443</v>
      </c>
      <c r="BR281" s="108">
        <v>366000</v>
      </c>
      <c r="BS281" s="99">
        <f t="shared" si="168"/>
        <v>366000</v>
      </c>
      <c r="BT281" s="167">
        <f t="shared" si="169"/>
        <v>0.24590000000000001</v>
      </c>
      <c r="BU281" s="95">
        <f t="shared" si="170"/>
        <v>0</v>
      </c>
      <c r="BV281" s="87" t="b">
        <f t="shared" si="171"/>
        <v>1</v>
      </c>
      <c r="BW281" s="117">
        <f t="shared" si="172"/>
        <v>251.03</v>
      </c>
      <c r="BX281" s="116">
        <f t="shared" si="173"/>
        <v>0.94541200000000003</v>
      </c>
      <c r="BY281" s="95">
        <f t="shared" si="174"/>
        <v>119.1</v>
      </c>
      <c r="BZ281" s="87" t="b">
        <f t="shared" si="175"/>
        <v>0</v>
      </c>
      <c r="CA281" s="87">
        <f t="shared" si="176"/>
        <v>0</v>
      </c>
      <c r="CB281" s="116">
        <f t="shared" si="177"/>
        <v>0</v>
      </c>
      <c r="CC281" s="95">
        <f t="shared" si="178"/>
        <v>0</v>
      </c>
      <c r="CD281" s="95">
        <f t="shared" si="179"/>
        <v>0</v>
      </c>
      <c r="CE281" s="98">
        <v>223.8</v>
      </c>
      <c r="CF281" s="250">
        <f t="shared" si="180"/>
        <v>0.219</v>
      </c>
      <c r="CG281" s="274">
        <f>IF(CF281&lt;0.06,1,IF(CF281&gt;=18.29,52,MATCH(CF281-0.001,'Weighting Factors'!$Y$5:$Y$156)+1))</f>
        <v>16</v>
      </c>
      <c r="CH281" s="243">
        <f>VLOOKUP(CG281, 'Weighting Factors'!$W$5:$Z$56,4)</f>
        <v>1270</v>
      </c>
      <c r="CI281" s="118">
        <f>('Weighting Factors'!$Q$5/'Weighting Factors'!$Q$14)</f>
        <v>1</v>
      </c>
      <c r="CJ281" s="245">
        <f t="shared" si="181"/>
        <v>62230</v>
      </c>
      <c r="CK281" s="245">
        <f>CJ281*'Weighting Factors'!$S$7</f>
        <v>62230</v>
      </c>
      <c r="CL281" s="245">
        <f t="shared" si="182"/>
        <v>62230</v>
      </c>
      <c r="CM281" s="95">
        <f>AM281/'Weighting Factors'!$Q$5</f>
        <v>14.9</v>
      </c>
      <c r="CN281" s="148">
        <v>0</v>
      </c>
      <c r="CO281" s="148">
        <v>0</v>
      </c>
      <c r="CP281" s="149">
        <v>0</v>
      </c>
      <c r="CQ281" s="151">
        <v>0</v>
      </c>
      <c r="CR281" s="99">
        <f>SUM((AV281*'Weighting Factors'!$Q$5)+'2019 Legal Max'!BA281)*CQ281</f>
        <v>0</v>
      </c>
      <c r="CS281" s="99">
        <f t="shared" si="183"/>
        <v>0</v>
      </c>
      <c r="CT281" s="106">
        <f t="shared" si="184"/>
        <v>0.3846</v>
      </c>
      <c r="CU281" s="95">
        <f t="shared" si="185"/>
        <v>0</v>
      </c>
      <c r="CV281" s="95">
        <f t="shared" si="186"/>
        <v>1.1000000000000001</v>
      </c>
      <c r="CW281" s="95">
        <f t="shared" si="187"/>
        <v>334</v>
      </c>
      <c r="CX281" s="99">
        <f>'LOB Transfers'!G280</f>
        <v>24010</v>
      </c>
      <c r="CY281" s="99">
        <f>'LOB Transfers'!J280</f>
        <v>10577</v>
      </c>
      <c r="CZ281" s="87" t="s">
        <v>473</v>
      </c>
    </row>
    <row r="282" spans="1:104" ht="15" customHeight="1">
      <c r="A282" s="88">
        <v>503</v>
      </c>
      <c r="B282" s="87" t="s">
        <v>108</v>
      </c>
      <c r="C282" s="87" t="s">
        <v>794</v>
      </c>
      <c r="D282" s="95">
        <v>1207</v>
      </c>
      <c r="E282" s="95">
        <v>0</v>
      </c>
      <c r="F282" s="95">
        <f t="shared" si="154"/>
        <v>1207</v>
      </c>
      <c r="G282" s="95">
        <v>1258.9000000000001</v>
      </c>
      <c r="H282" s="95">
        <v>0</v>
      </c>
      <c r="I282" s="95">
        <f t="shared" si="155"/>
        <v>1258.9000000000001</v>
      </c>
      <c r="J282" s="95">
        <v>1207</v>
      </c>
      <c r="K282" s="95">
        <v>0</v>
      </c>
      <c r="L282" s="95">
        <f t="shared" si="156"/>
        <v>1207</v>
      </c>
      <c r="M282" s="95">
        <f>IF(ISNA(VLOOKUP($CZ282,'Audit Values'!$A$2:$BW$365,2,FALSE)),'Preliminary SO66'!C281,VLOOKUP($CZ282,'Audit Values'!$A$2:$BW$365,73,FALSE))</f>
        <v>1228.5999999999999</v>
      </c>
      <c r="N282" s="95">
        <f>IF(ISNA(VLOOKUP($CZ282,'Audit Values'!$A$2:$BW$365,2,FALSE)),'Preliminary SO66'!F281,VLOOKUP($CZ282,'Audit Values'!$A$2:$BW$365,4,FALSE))</f>
        <v>0</v>
      </c>
      <c r="O282" s="95">
        <f t="shared" si="157"/>
        <v>1228.5999999999999</v>
      </c>
      <c r="P282" s="95">
        <f>IF('Military Provision'!J283="YES", MAX('2019 Legal Max'!L282,'2019 Legal Max'!I282,AVERAGE('2019 Legal Max'!F282,'2019 Legal Max'!I282,'2019 Legal Max'!L282)), MAX(L282, I282))</f>
        <v>1258.9000000000001</v>
      </c>
      <c r="Q282" s="95">
        <f>IF(ISNA(VLOOKUP($CZ282,'Audit Values'!$A$2:$BU$353,2,FALSE)),'Preliminary SO66'!AL281,VLOOKUP($CZ282,'Audit Values'!$A$2:$BU$3955,58,FALSE))</f>
        <v>20.5</v>
      </c>
      <c r="R282" s="95">
        <v>0</v>
      </c>
      <c r="S282" s="95">
        <f t="shared" si="189"/>
        <v>1279.4000000000001</v>
      </c>
      <c r="T282" s="95">
        <f t="shared" si="158"/>
        <v>193.7</v>
      </c>
      <c r="U282" s="95">
        <f>IF(ISNA(VLOOKUP($CZ282,'Audit Values'!$A$2:$BW$317,2,FALSE)),'Preliminary SO66'!AM281,VLOOKUP($CZ282,'Audit Values'!$A$2:$BW$317,62,FALSE))</f>
        <v>13.9</v>
      </c>
      <c r="V282" s="95">
        <f>(U282/6)*'Weighting Factors'!$Q$7</f>
        <v>0.9</v>
      </c>
      <c r="W282" s="132">
        <f>IF(ISNA(VLOOKUP($CZ282,'Audit Values'!$A$2:$BW$353,2,FALSE)),'Preliminary SO66'!AN281,VLOOKUP($CZ282,'Audit Values'!$A$2:$BW$353,61,FALSE))</f>
        <v>21</v>
      </c>
      <c r="X282" s="95">
        <f>W282*'Weighting Factors'!$Q$8</f>
        <v>3.9</v>
      </c>
      <c r="Y282" s="95">
        <f t="shared" si="159"/>
        <v>3.9</v>
      </c>
      <c r="Z282" s="276">
        <f>IF(ISNA(VLOOKUP($CZ282,'Audit Values'!$A$2:$BW$317,2,FALSE)),'Preliminary SO66'!AO281,VLOOKUP($CZ282,'Audit Values'!$A$2:$BW$317,60,FALSE))</f>
        <v>284.7</v>
      </c>
      <c r="AA282" s="95">
        <f>Z282/6*'Weighting Factors'!$Q$6</f>
        <v>23.7</v>
      </c>
      <c r="AB282" s="99">
        <f>IF(ISNA(VLOOKUP($CZ282,'Audit Values'!$A$2:$BU$353,2,FALSE)),'Preliminary SO66'!AS281,VLOOKUP($CZ282,'Audit Values'!$A$2:$BU$353,63,FALSE))</f>
        <v>1304</v>
      </c>
      <c r="AC282" s="99">
        <v>0</v>
      </c>
      <c r="AD282" s="99">
        <f>IF(ISNA(VLOOKUP($CZ282,'Audit Values'!$A$2:$BU$353,2,FALSE)),'Preliminary SO66'!AP281,VLOOKUP($CZ282,'Audit Values'!$A$2:$BU$353,64,FALSE))</f>
        <v>775</v>
      </c>
      <c r="AE282" s="95">
        <f>IF(A282=207, AD282,MAX(AC282,AD282))*'Weighting Factors'!$Q$9</f>
        <v>375.1</v>
      </c>
      <c r="AF282" s="95">
        <f t="shared" si="160"/>
        <v>81.400000000000006</v>
      </c>
      <c r="AG282" s="95">
        <f>IF(ISNA(VLOOKUP($CZ282,'Audit Values'!$A$2:$BW$353,2,FALSE)),'Preliminary SO66'!AG281,VLOOKUP($CZ282,'Audit Values'!$A$2:$BW$353,70,FALSE))</f>
        <v>81.400000000000006</v>
      </c>
      <c r="AH282" s="95">
        <f t="shared" si="161"/>
        <v>81.400000000000006</v>
      </c>
      <c r="AI282" s="95">
        <f>IF(ISNA(VLOOKUP($CZ282,'Audit Values'!$A$2:$BU$353,2,FALSE)),'Preliminary SO66'!AQ281,VLOOKUP($CZ282,'Audit Values'!$A$2:$BU$353,65,FALSE))</f>
        <v>0</v>
      </c>
      <c r="AJ282" s="95">
        <f>AI282*'Weighting Factors'!$Q$10</f>
        <v>0</v>
      </c>
      <c r="AK282" s="95">
        <f>IF(ISNA(VLOOKUP($CZ282,'Audit Values'!$A$2:$BU$353,2,FALSE)),'Preliminary SO66'!AR281,VLOOKUP($CZ282,'Audit Values'!$A$2:$BU$353,66,FALSE))</f>
        <v>27</v>
      </c>
      <c r="AL282" s="95"/>
      <c r="AM282" s="99">
        <f t="shared" si="162"/>
        <v>28890</v>
      </c>
      <c r="AN282" s="99">
        <v>12712</v>
      </c>
      <c r="AO282" s="95">
        <f>MAX(AN282, AM282)/'Weighting Factors'!$Q$5</f>
        <v>6.9</v>
      </c>
      <c r="AP282" s="95">
        <f>CN282/'Weighting Factors'!$Q$5</f>
        <v>0</v>
      </c>
      <c r="AQ282" s="95">
        <v>0</v>
      </c>
      <c r="AR282" s="95">
        <f>CS282/'Weighting Factors'!$Q$5</f>
        <v>0</v>
      </c>
      <c r="AS282" s="99">
        <v>1287238</v>
      </c>
      <c r="AT282" s="95">
        <f>AS282/'Weighting Factors'!$Q$5</f>
        <v>309.10000000000002</v>
      </c>
      <c r="AU282" s="95">
        <f>IF(ISNA(VLOOKUP($CZ282,'Audit Values'!$A$2:$BU$353,2,FALSE)),'Preliminary SO66'!X281,VLOOKUP($CZ282,'Audit Values'!$A$2:$BU$353,47,FALSE))</f>
        <v>0</v>
      </c>
      <c r="AV282" s="95">
        <f t="shared" si="163"/>
        <v>2273.1999999999998</v>
      </c>
      <c r="AW282" s="95">
        <f t="shared" si="164"/>
        <v>1964.1</v>
      </c>
      <c r="AX282" s="95">
        <f>IF(ISNA(VLOOKUP($CZ282,'Audit Values'!$A$2:$BU$353,2,FALSE)),'Preliminary SO66'!AA281,VLOOKUP($CZ282,'Audit Values'!$A$2:$BU$353,41,FALSE))</f>
        <v>1</v>
      </c>
      <c r="AY282" s="95">
        <f>IF(ISNA(VLOOKUP($CZ282,'Audit Values'!$A$2:$BU$353,2,FALSE)),'Preliminary SO66'!AB281,VLOOKUP($CZ282,'Audit Values'!$A$2:$BU$353,42,FALSE))</f>
        <v>0</v>
      </c>
      <c r="AZ282" s="114">
        <v>0</v>
      </c>
      <c r="BA282" s="99">
        <f>SUM(AX282*'Weighting Factors'!$T$10)+('2019 Legal Max'!AY282*'Weighting Factors'!$T$11)+('2019 Legal Max'!AZ282*'Weighting Factors'!$T$12)</f>
        <v>5000</v>
      </c>
      <c r="BB282" s="158">
        <v>0</v>
      </c>
      <c r="BC282" s="88">
        <f>IF(ISNA(VLOOKUP($CZ282,'Audit Values'!$A$2:$BU$353,2,FALSE)),"",IF(AND('Weighting Factors'!H282&gt;0,VLOOKUP($CZ282,'Audit Values'!$A$2:$BU$353,51,FALSE)&lt;'Weighting Factors'!H282),'Weighting Factors'!H282,VLOOKUP($CZ282,'Audit Values'!$A$2:$BU$353,50,FALSE)))</f>
        <v>7</v>
      </c>
      <c r="BD282" s="88" t="str">
        <f>IF(ISNA(VLOOKUP($CZ282,'Audit Values'!$A$2:$BV$353,2,FALSE)),"",VLOOKUP($CZ282,'Audit Values'!$A$2:$BV$353,51,FALSE))</f>
        <v>A</v>
      </c>
      <c r="BE282" s="88" t="str">
        <f>IF('Weighting Factors'!H282="","",IF('Weighting Factors'!J282="Pending","PX","R"))</f>
        <v/>
      </c>
      <c r="BF282" s="97">
        <f>SUM((S282+T282+Y282+AA282+AE282+AH282+AJ282++AO282+AP282+AQ282+AU282+AR282)*'Weighting Factors'!$Q$5)+'2019 Legal Max'!BA282+'2019 Legal Max'!BB282</f>
        <v>8185477</v>
      </c>
      <c r="BG282" s="99">
        <f>SUM((AV282+AR282)*'Weighting Factors'!$Q$5)+BA282+'2019 Legal Max'!BB282</f>
        <v>9472878</v>
      </c>
      <c r="BH282" s="108">
        <f>IF('Weighting Factors'!H282&gt;0,'Weighting Factors'!H282,'Preliminary SO66'!AV281)</f>
        <v>9725279</v>
      </c>
      <c r="BI282" s="99">
        <f t="shared" si="188"/>
        <v>9472878</v>
      </c>
      <c r="BJ282" s="112"/>
      <c r="BK282" s="112">
        <f>'Weighting Factors'!F282</f>
        <v>0</v>
      </c>
      <c r="BL282" s="112">
        <f>'Weighting Factors'!E282</f>
        <v>0</v>
      </c>
      <c r="BM282" s="99">
        <f t="shared" si="165"/>
        <v>0</v>
      </c>
      <c r="BN282" s="99">
        <f t="shared" si="166"/>
        <v>9472878</v>
      </c>
      <c r="BO282" s="99">
        <f>SUM((S282+T282+Y282+AA282+AE282+AH282+AJ282++AO282+AP282+AQ282+AR282)*'Weighting Factors'!Q$12)+(MAX(AS282,'Weighting Factors'!B282))</f>
        <v>10106047</v>
      </c>
      <c r="BP282" s="122">
        <v>0.3</v>
      </c>
      <c r="BQ282" s="99">
        <f t="shared" si="167"/>
        <v>3031814</v>
      </c>
      <c r="BR282" s="108">
        <v>3110000</v>
      </c>
      <c r="BS282" s="99">
        <f t="shared" si="168"/>
        <v>3031814</v>
      </c>
      <c r="BT282" s="167">
        <f t="shared" si="169"/>
        <v>0.3</v>
      </c>
      <c r="BU282" s="95">
        <f t="shared" si="170"/>
        <v>0</v>
      </c>
      <c r="BV282" s="87" t="b">
        <f t="shared" si="171"/>
        <v>0</v>
      </c>
      <c r="BW282" s="117">
        <f t="shared" si="172"/>
        <v>0</v>
      </c>
      <c r="BX282" s="116">
        <f t="shared" si="173"/>
        <v>0</v>
      </c>
      <c r="BY282" s="95">
        <f t="shared" si="174"/>
        <v>0</v>
      </c>
      <c r="BZ282" s="87" t="b">
        <f t="shared" si="175"/>
        <v>1</v>
      </c>
      <c r="CA282" s="87">
        <f t="shared" si="176"/>
        <v>1212.0074999999999</v>
      </c>
      <c r="CB282" s="116">
        <f t="shared" si="177"/>
        <v>0.15143699999999999</v>
      </c>
      <c r="CC282" s="95">
        <f t="shared" si="178"/>
        <v>193.7</v>
      </c>
      <c r="CD282" s="95">
        <f t="shared" si="179"/>
        <v>0</v>
      </c>
      <c r="CE282" s="98">
        <v>51</v>
      </c>
      <c r="CF282" s="250">
        <f t="shared" si="180"/>
        <v>0.52900000000000003</v>
      </c>
      <c r="CG282" s="274">
        <f>IF(CF282&lt;0.06,1,IF(CF282&gt;=18.29,52,MATCH(CF282-0.001,'Weighting Factors'!$Y$5:$Y$156)+1))</f>
        <v>26</v>
      </c>
      <c r="CH282" s="243">
        <f>VLOOKUP(CG282, 'Weighting Factors'!$W$5:$Z$56,4)</f>
        <v>1070</v>
      </c>
      <c r="CI282" s="118">
        <f>('Weighting Factors'!$Q$5/'Weighting Factors'!$Q$14)</f>
        <v>1</v>
      </c>
      <c r="CJ282" s="245">
        <f t="shared" si="181"/>
        <v>28890</v>
      </c>
      <c r="CK282" s="245">
        <f>CJ282*'Weighting Factors'!$S$7</f>
        <v>28890</v>
      </c>
      <c r="CL282" s="245">
        <f t="shared" si="182"/>
        <v>28890</v>
      </c>
      <c r="CM282" s="95">
        <f>AM282/'Weighting Factors'!$Q$5</f>
        <v>6.9</v>
      </c>
      <c r="CN282" s="148">
        <v>0</v>
      </c>
      <c r="CO282" s="148">
        <v>0</v>
      </c>
      <c r="CP282" s="149">
        <v>0</v>
      </c>
      <c r="CQ282" s="151">
        <v>0</v>
      </c>
      <c r="CR282" s="99">
        <f>SUM((AV282*'Weighting Factors'!$Q$5)+'2019 Legal Max'!BA282)*CQ282</f>
        <v>0</v>
      </c>
      <c r="CS282" s="99">
        <f t="shared" si="183"/>
        <v>0</v>
      </c>
      <c r="CT282" s="106">
        <f t="shared" si="184"/>
        <v>0.59430000000000005</v>
      </c>
      <c r="CU282" s="95">
        <f t="shared" si="185"/>
        <v>81.400000000000006</v>
      </c>
      <c r="CV282" s="95">
        <f t="shared" si="186"/>
        <v>0</v>
      </c>
      <c r="CW282" s="95">
        <f t="shared" si="187"/>
        <v>2273.1999999999998</v>
      </c>
      <c r="CX282" s="99">
        <f>'LOB Transfers'!G281</f>
        <v>504797</v>
      </c>
      <c r="CY282" s="99">
        <f>'LOB Transfers'!J281</f>
        <v>5154</v>
      </c>
      <c r="CZ282" s="87" t="s">
        <v>474</v>
      </c>
    </row>
    <row r="283" spans="1:104" ht="15" customHeight="1">
      <c r="A283" s="88">
        <v>504</v>
      </c>
      <c r="B283" s="87" t="s">
        <v>108</v>
      </c>
      <c r="C283" s="87" t="s">
        <v>795</v>
      </c>
      <c r="D283" s="95">
        <v>441.5</v>
      </c>
      <c r="E283" s="95">
        <v>0</v>
      </c>
      <c r="F283" s="95">
        <f t="shared" si="154"/>
        <v>441.5</v>
      </c>
      <c r="G283" s="95">
        <v>445</v>
      </c>
      <c r="H283" s="95">
        <v>0</v>
      </c>
      <c r="I283" s="95">
        <f t="shared" si="155"/>
        <v>445</v>
      </c>
      <c r="J283" s="95">
        <v>473</v>
      </c>
      <c r="K283" s="95">
        <v>0</v>
      </c>
      <c r="L283" s="95">
        <f t="shared" si="156"/>
        <v>473</v>
      </c>
      <c r="M283" s="95">
        <f>IF(ISNA(VLOOKUP($CZ283,'Audit Values'!$A$2:$BW$365,2,FALSE)),'Preliminary SO66'!C282,VLOOKUP($CZ283,'Audit Values'!$A$2:$BW$365,73,FALSE))</f>
        <v>497.5</v>
      </c>
      <c r="N283" s="95">
        <f>IF(ISNA(VLOOKUP($CZ283,'Audit Values'!$A$2:$BW$365,2,FALSE)),'Preliminary SO66'!F282,VLOOKUP($CZ283,'Audit Values'!$A$2:$BW$365,4,FALSE))</f>
        <v>0</v>
      </c>
      <c r="O283" s="95">
        <f t="shared" si="157"/>
        <v>497.5</v>
      </c>
      <c r="P283" s="95">
        <f>IF('Military Provision'!J284="YES", MAX('2019 Legal Max'!L283,'2019 Legal Max'!I283,AVERAGE('2019 Legal Max'!F283,'2019 Legal Max'!I283,'2019 Legal Max'!L283)), MAX(L283, I283))</f>
        <v>473</v>
      </c>
      <c r="Q283" s="95">
        <f>IF(ISNA(VLOOKUP($CZ283,'Audit Values'!$A$2:$BU$353,2,FALSE)),'Preliminary SO66'!AL282,VLOOKUP($CZ283,'Audit Values'!$A$2:$BU$3955,58,FALSE))</f>
        <v>5</v>
      </c>
      <c r="R283" s="95">
        <v>0</v>
      </c>
      <c r="S283" s="95">
        <f t="shared" si="189"/>
        <v>478</v>
      </c>
      <c r="T283" s="95">
        <f t="shared" si="158"/>
        <v>202.5</v>
      </c>
      <c r="U283" s="95">
        <f>IF(ISNA(VLOOKUP($CZ283,'Audit Values'!$A$2:$BW$317,2,FALSE)),'Preliminary SO66'!AM282,VLOOKUP($CZ283,'Audit Values'!$A$2:$BW$317,62,FALSE))</f>
        <v>8.6</v>
      </c>
      <c r="V283" s="95">
        <f>(U283/6)*'Weighting Factors'!$Q$7</f>
        <v>0.6</v>
      </c>
      <c r="W283" s="132">
        <f>IF(ISNA(VLOOKUP($CZ283,'Audit Values'!$A$2:$BW$353,2,FALSE)),'Preliminary SO66'!AN282,VLOOKUP($CZ283,'Audit Values'!$A$2:$BW$353,61,FALSE))</f>
        <v>3</v>
      </c>
      <c r="X283" s="95">
        <f>W283*'Weighting Factors'!$Q$8</f>
        <v>0.6</v>
      </c>
      <c r="Y283" s="95">
        <f t="shared" si="159"/>
        <v>0.6</v>
      </c>
      <c r="Z283" s="276">
        <f>IF(ISNA(VLOOKUP($CZ283,'Audit Values'!$A$2:$BW$317,2,FALSE)),'Preliminary SO66'!AO282,VLOOKUP($CZ283,'Audit Values'!$A$2:$BW$317,60,FALSE))</f>
        <v>58.4</v>
      </c>
      <c r="AA283" s="95">
        <f>Z283/6*'Weighting Factors'!$Q$6</f>
        <v>4.9000000000000004</v>
      </c>
      <c r="AB283" s="99">
        <f>IF(ISNA(VLOOKUP($CZ283,'Audit Values'!$A$2:$BU$353,2,FALSE)),'Preliminary SO66'!AS282,VLOOKUP($CZ283,'Audit Values'!$A$2:$BU$353,63,FALSE))</f>
        <v>515</v>
      </c>
      <c r="AC283" s="99">
        <v>0</v>
      </c>
      <c r="AD283" s="99">
        <f>IF(ISNA(VLOOKUP($CZ283,'Audit Values'!$A$2:$BU$353,2,FALSE)),'Preliminary SO66'!AP282,VLOOKUP($CZ283,'Audit Values'!$A$2:$BU$353,64,FALSE))</f>
        <v>243</v>
      </c>
      <c r="AE283" s="95">
        <f>IF(A283=207, AD283,MAX(AC283,AD283))*'Weighting Factors'!$Q$9</f>
        <v>117.6</v>
      </c>
      <c r="AF283" s="95">
        <f t="shared" si="160"/>
        <v>20.7</v>
      </c>
      <c r="AG283" s="95">
        <f>IF(ISNA(VLOOKUP($CZ283,'Audit Values'!$A$2:$BW$353,2,FALSE)),'Preliminary SO66'!AG282,VLOOKUP($CZ283,'Audit Values'!$A$2:$BW$353,70,FALSE))</f>
        <v>17.7</v>
      </c>
      <c r="AH283" s="95">
        <f t="shared" si="161"/>
        <v>20.7</v>
      </c>
      <c r="AI283" s="95">
        <f>IF(ISNA(VLOOKUP($CZ283,'Audit Values'!$A$2:$BU$353,2,FALSE)),'Preliminary SO66'!AQ282,VLOOKUP($CZ283,'Audit Values'!$A$2:$BU$353,65,FALSE))</f>
        <v>0</v>
      </c>
      <c r="AJ283" s="95">
        <f>AI283*'Weighting Factors'!$Q$10</f>
        <v>0</v>
      </c>
      <c r="AK283" s="95">
        <f>IF(ISNA(VLOOKUP($CZ283,'Audit Values'!$A$2:$BU$353,2,FALSE)),'Preliminary SO66'!AR282,VLOOKUP($CZ283,'Audit Values'!$A$2:$BU$353,66,FALSE))</f>
        <v>22</v>
      </c>
      <c r="AL283" s="95"/>
      <c r="AM283" s="99">
        <f t="shared" si="162"/>
        <v>23980</v>
      </c>
      <c r="AN283" s="99">
        <v>26579</v>
      </c>
      <c r="AO283" s="95">
        <f>MAX(AN283, AM283)/'Weighting Factors'!$Q$5</f>
        <v>6.4</v>
      </c>
      <c r="AP283" s="95">
        <f>CN283/'Weighting Factors'!$Q$5</f>
        <v>0</v>
      </c>
      <c r="AQ283" s="95">
        <v>0</v>
      </c>
      <c r="AR283" s="95">
        <f>CS283/'Weighting Factors'!$Q$5</f>
        <v>0</v>
      </c>
      <c r="AS283" s="99">
        <v>508182</v>
      </c>
      <c r="AT283" s="95">
        <f>AS283/'Weighting Factors'!$Q$5</f>
        <v>122</v>
      </c>
      <c r="AU283" s="95">
        <f>IF(ISNA(VLOOKUP($CZ283,'Audit Values'!$A$2:$BU$353,2,FALSE)),'Preliminary SO66'!X282,VLOOKUP($CZ283,'Audit Values'!$A$2:$BU$353,47,FALSE))</f>
        <v>0</v>
      </c>
      <c r="AV283" s="95">
        <f t="shared" si="163"/>
        <v>952.7</v>
      </c>
      <c r="AW283" s="95">
        <f t="shared" si="164"/>
        <v>830.7</v>
      </c>
      <c r="AX283" s="95">
        <f>IF(ISNA(VLOOKUP($CZ283,'Audit Values'!$A$2:$BU$353,2,FALSE)),'Preliminary SO66'!AA282,VLOOKUP($CZ283,'Audit Values'!$A$2:$BU$353,41,FALSE))</f>
        <v>0</v>
      </c>
      <c r="AY283" s="95">
        <f>IF(ISNA(VLOOKUP($CZ283,'Audit Values'!$A$2:$BU$353,2,FALSE)),'Preliminary SO66'!AB282,VLOOKUP($CZ283,'Audit Values'!$A$2:$BU$353,42,FALSE))</f>
        <v>0</v>
      </c>
      <c r="AZ283" s="114">
        <v>0</v>
      </c>
      <c r="BA283" s="99">
        <f>SUM(AX283*'Weighting Factors'!$T$10)+('2019 Legal Max'!AY283*'Weighting Factors'!$T$11)+('2019 Legal Max'!AZ283*'Weighting Factors'!$T$12)</f>
        <v>0</v>
      </c>
      <c r="BB283" s="158">
        <v>0</v>
      </c>
      <c r="BC283" s="88">
        <f>IF(ISNA(VLOOKUP($CZ283,'Audit Values'!$A$2:$BU$353,2,FALSE)),"",IF(AND('Weighting Factors'!H283&gt;0,VLOOKUP($CZ283,'Audit Values'!$A$2:$BU$353,51,FALSE)&lt;'Weighting Factors'!H283),'Weighting Factors'!H283,VLOOKUP($CZ283,'Audit Values'!$A$2:$BU$353,50,FALSE)))</f>
        <v>15</v>
      </c>
      <c r="BD283" s="88" t="str">
        <f>IF(ISNA(VLOOKUP($CZ283,'Audit Values'!$A$2:$BV$353,2,FALSE)),"",VLOOKUP($CZ283,'Audit Values'!$A$2:$BV$353,51,FALSE))</f>
        <v>A</v>
      </c>
      <c r="BE283" s="88" t="str">
        <f>IF('Weighting Factors'!H283="","",IF('Weighting Factors'!J283="Pending","PX","R"))</f>
        <v/>
      </c>
      <c r="BF283" s="97">
        <f>SUM((S283+T283+Y283+AA283+AE283+AH283+AJ283++AO283+AP283+AQ283+AU283+AR283)*'Weighting Factors'!$Q$5)+'2019 Legal Max'!BA283+'2019 Legal Max'!BB283</f>
        <v>3459866</v>
      </c>
      <c r="BG283" s="99">
        <f>SUM((AV283+AR283)*'Weighting Factors'!$Q$5)+BA283+'2019 Legal Max'!BB283</f>
        <v>3967996</v>
      </c>
      <c r="BH283" s="108">
        <f>IF('Weighting Factors'!H283&gt;0,'Weighting Factors'!H283,'Preliminary SO66'!AV282)</f>
        <v>4042133</v>
      </c>
      <c r="BI283" s="99">
        <f t="shared" si="188"/>
        <v>3967996</v>
      </c>
      <c r="BJ283" s="112"/>
      <c r="BK283" s="112">
        <f>'Weighting Factors'!F283</f>
        <v>0</v>
      </c>
      <c r="BL283" s="112">
        <f>'Weighting Factors'!E283</f>
        <v>0</v>
      </c>
      <c r="BM283" s="99">
        <f t="shared" si="165"/>
        <v>0</v>
      </c>
      <c r="BN283" s="99">
        <f t="shared" si="166"/>
        <v>3967996</v>
      </c>
      <c r="BO283" s="99">
        <f>SUM((S283+T283+Y283+AA283+AE283+AH283+AJ283++AO283+AP283+AQ283+AR283)*'Weighting Factors'!Q$12)+(MAX(AS283,'Weighting Factors'!B283))</f>
        <v>4238025</v>
      </c>
      <c r="BP283" s="122">
        <v>0.3</v>
      </c>
      <c r="BQ283" s="99">
        <f t="shared" si="167"/>
        <v>1271408</v>
      </c>
      <c r="BR283" s="108">
        <v>1294694</v>
      </c>
      <c r="BS283" s="99">
        <f t="shared" si="168"/>
        <v>1271408</v>
      </c>
      <c r="BT283" s="167">
        <f t="shared" si="169"/>
        <v>0.3</v>
      </c>
      <c r="BU283" s="95">
        <f t="shared" si="170"/>
        <v>0</v>
      </c>
      <c r="BV283" s="87" t="b">
        <f t="shared" si="171"/>
        <v>0</v>
      </c>
      <c r="BW283" s="117">
        <f t="shared" si="172"/>
        <v>0</v>
      </c>
      <c r="BX283" s="116">
        <f t="shared" si="173"/>
        <v>0</v>
      </c>
      <c r="BY283" s="95">
        <f t="shared" si="174"/>
        <v>0</v>
      </c>
      <c r="BZ283" s="87" t="b">
        <f t="shared" si="175"/>
        <v>1</v>
      </c>
      <c r="CA283" s="87">
        <f t="shared" si="176"/>
        <v>220.27500000000001</v>
      </c>
      <c r="CB283" s="116">
        <f t="shared" si="177"/>
        <v>0.423711</v>
      </c>
      <c r="CC283" s="95">
        <f t="shared" si="178"/>
        <v>202.5</v>
      </c>
      <c r="CD283" s="95">
        <f t="shared" si="179"/>
        <v>0</v>
      </c>
      <c r="CE283" s="98">
        <v>45</v>
      </c>
      <c r="CF283" s="250">
        <f t="shared" si="180"/>
        <v>0.48899999999999999</v>
      </c>
      <c r="CG283" s="274">
        <f>IF(CF283&lt;0.06,1,IF(CF283&gt;=18.29,52,MATCH(CF283-0.001,'Weighting Factors'!$Y$5:$Y$156)+1))</f>
        <v>25</v>
      </c>
      <c r="CH283" s="243">
        <f>VLOOKUP(CG283, 'Weighting Factors'!$W$5:$Z$56,4)</f>
        <v>1090</v>
      </c>
      <c r="CI283" s="118">
        <f>('Weighting Factors'!$Q$5/'Weighting Factors'!$Q$14)</f>
        <v>1</v>
      </c>
      <c r="CJ283" s="245">
        <f t="shared" si="181"/>
        <v>23980</v>
      </c>
      <c r="CK283" s="245">
        <f>CJ283*'Weighting Factors'!$S$7</f>
        <v>23980</v>
      </c>
      <c r="CL283" s="245">
        <f t="shared" si="182"/>
        <v>23980</v>
      </c>
      <c r="CM283" s="95">
        <f>AM283/'Weighting Factors'!$Q$5</f>
        <v>5.8</v>
      </c>
      <c r="CN283" s="148">
        <v>0</v>
      </c>
      <c r="CO283" s="148">
        <v>0</v>
      </c>
      <c r="CP283" s="149">
        <v>0</v>
      </c>
      <c r="CQ283" s="151">
        <v>0</v>
      </c>
      <c r="CR283" s="99">
        <f>SUM((AV283*'Weighting Factors'!$Q$5)+'2019 Legal Max'!BA283)*CQ283</f>
        <v>0</v>
      </c>
      <c r="CS283" s="99">
        <f t="shared" si="183"/>
        <v>0</v>
      </c>
      <c r="CT283" s="106">
        <f t="shared" si="184"/>
        <v>0.4718</v>
      </c>
      <c r="CU283" s="95">
        <f t="shared" si="185"/>
        <v>0</v>
      </c>
      <c r="CV283" s="95">
        <f t="shared" si="186"/>
        <v>20.7</v>
      </c>
      <c r="CW283" s="95">
        <f t="shared" si="187"/>
        <v>952.7</v>
      </c>
      <c r="CX283" s="99">
        <f>'LOB Transfers'!G282</f>
        <v>157782</v>
      </c>
      <c r="CY283" s="99">
        <f>'LOB Transfers'!J282</f>
        <v>763</v>
      </c>
      <c r="CZ283" s="87" t="s">
        <v>475</v>
      </c>
    </row>
    <row r="284" spans="1:104" ht="15" customHeight="1">
      <c r="A284" s="88">
        <v>505</v>
      </c>
      <c r="B284" s="87" t="s">
        <v>108</v>
      </c>
      <c r="C284" s="87" t="s">
        <v>796</v>
      </c>
      <c r="D284" s="95">
        <v>424</v>
      </c>
      <c r="E284" s="95">
        <v>0</v>
      </c>
      <c r="F284" s="95">
        <f t="shared" si="154"/>
        <v>424</v>
      </c>
      <c r="G284" s="95">
        <v>415.5</v>
      </c>
      <c r="H284" s="95">
        <v>0</v>
      </c>
      <c r="I284" s="95">
        <f t="shared" si="155"/>
        <v>415.5</v>
      </c>
      <c r="J284" s="95">
        <v>410</v>
      </c>
      <c r="K284" s="95">
        <v>0</v>
      </c>
      <c r="L284" s="95">
        <f t="shared" si="156"/>
        <v>410</v>
      </c>
      <c r="M284" s="95">
        <f>IF(ISNA(VLOOKUP($CZ284,'Audit Values'!$A$2:$BW$365,2,FALSE)),'Preliminary SO66'!C283,VLOOKUP($CZ284,'Audit Values'!$A$2:$BW$365,73,FALSE))</f>
        <v>381</v>
      </c>
      <c r="N284" s="95">
        <f>IF(ISNA(VLOOKUP($CZ284,'Audit Values'!$A$2:$BW$365,2,FALSE)),'Preliminary SO66'!F283,VLOOKUP($CZ284,'Audit Values'!$A$2:$BW$365,4,FALSE))</f>
        <v>0</v>
      </c>
      <c r="O284" s="95">
        <f t="shared" si="157"/>
        <v>381</v>
      </c>
      <c r="P284" s="95">
        <f>IF('Military Provision'!J285="YES", MAX('2019 Legal Max'!L284,'2019 Legal Max'!I284,AVERAGE('2019 Legal Max'!F284,'2019 Legal Max'!I284,'2019 Legal Max'!L284)), MAX(L284, I284))</f>
        <v>415.5</v>
      </c>
      <c r="Q284" s="95">
        <f>IF(ISNA(VLOOKUP($CZ284,'Audit Values'!$A$2:$BU$353,2,FALSE)),'Preliminary SO66'!AL283,VLOOKUP($CZ284,'Audit Values'!$A$2:$BU$3955,58,FALSE))</f>
        <v>7.5</v>
      </c>
      <c r="R284" s="95">
        <v>0</v>
      </c>
      <c r="S284" s="95">
        <f t="shared" si="189"/>
        <v>423</v>
      </c>
      <c r="T284" s="95">
        <f t="shared" si="158"/>
        <v>187.1</v>
      </c>
      <c r="U284" s="95">
        <f>IF(ISNA(VLOOKUP($CZ284,'Audit Values'!$A$2:$BW$317,2,FALSE)),'Preliminary SO66'!AM283,VLOOKUP($CZ284,'Audit Values'!$A$2:$BW$317,62,FALSE))</f>
        <v>0</v>
      </c>
      <c r="V284" s="95">
        <f>(U284/6)*'Weighting Factors'!$Q$7</f>
        <v>0</v>
      </c>
      <c r="W284" s="132">
        <f>IF(ISNA(VLOOKUP($CZ284,'Audit Values'!$A$2:$BW$353,2,FALSE)),'Preliminary SO66'!AN283,VLOOKUP($CZ284,'Audit Values'!$A$2:$BW$353,61,FALSE))</f>
        <v>0</v>
      </c>
      <c r="X284" s="95">
        <f>W284*'Weighting Factors'!$Q$8</f>
        <v>0</v>
      </c>
      <c r="Y284" s="95">
        <f t="shared" si="159"/>
        <v>0</v>
      </c>
      <c r="Z284" s="276">
        <f>IF(ISNA(VLOOKUP($CZ284,'Audit Values'!$A$2:$BW$317,2,FALSE)),'Preliminary SO66'!AO283,VLOOKUP($CZ284,'Audit Values'!$A$2:$BW$317,60,FALSE))</f>
        <v>245.1</v>
      </c>
      <c r="AA284" s="95">
        <f>Z284/6*'Weighting Factors'!$Q$6</f>
        <v>20.399999999999999</v>
      </c>
      <c r="AB284" s="99">
        <f>IF(ISNA(VLOOKUP($CZ284,'Audit Values'!$A$2:$BU$353,2,FALSE)),'Preliminary SO66'!AS283,VLOOKUP($CZ284,'Audit Values'!$A$2:$BU$353,63,FALSE))</f>
        <v>397</v>
      </c>
      <c r="AC284" s="99">
        <v>0</v>
      </c>
      <c r="AD284" s="99">
        <f>IF(ISNA(VLOOKUP($CZ284,'Audit Values'!$A$2:$BU$353,2,FALSE)),'Preliminary SO66'!AP283,VLOOKUP($CZ284,'Audit Values'!$A$2:$BU$353,64,FALSE))</f>
        <v>168</v>
      </c>
      <c r="AE284" s="95">
        <f>IF(A284=207, AD284,MAX(AC284,AD284))*'Weighting Factors'!$Q$9</f>
        <v>81.3</v>
      </c>
      <c r="AF284" s="95">
        <f t="shared" si="160"/>
        <v>8.6</v>
      </c>
      <c r="AG284" s="95">
        <f>IF(ISNA(VLOOKUP($CZ284,'Audit Values'!$A$2:$BW$353,2,FALSE)),'Preliminary SO66'!AG283,VLOOKUP($CZ284,'Audit Values'!$A$2:$BW$353,70,FALSE))</f>
        <v>10.1</v>
      </c>
      <c r="AH284" s="95">
        <f t="shared" si="161"/>
        <v>10.1</v>
      </c>
      <c r="AI284" s="95">
        <f>IF(ISNA(VLOOKUP($CZ284,'Audit Values'!$A$2:$BU$353,2,FALSE)),'Preliminary SO66'!AQ283,VLOOKUP($CZ284,'Audit Values'!$A$2:$BU$353,65,FALSE))</f>
        <v>0</v>
      </c>
      <c r="AJ284" s="95">
        <f>AI284*'Weighting Factors'!$Q$10</f>
        <v>0</v>
      </c>
      <c r="AK284" s="95">
        <f>IF(ISNA(VLOOKUP($CZ284,'Audit Values'!$A$2:$BU$353,2,FALSE)),'Preliminary SO66'!AR283,VLOOKUP($CZ284,'Audit Values'!$A$2:$BU$353,66,FALSE))</f>
        <v>32</v>
      </c>
      <c r="AL284" s="95"/>
      <c r="AM284" s="99">
        <f t="shared" si="162"/>
        <v>39360</v>
      </c>
      <c r="AN284" s="99">
        <v>52002</v>
      </c>
      <c r="AO284" s="95">
        <f>MAX(AN284, AM284)/'Weighting Factors'!$Q$5</f>
        <v>12.5</v>
      </c>
      <c r="AP284" s="95">
        <f>CN284/'Weighting Factors'!$Q$5</f>
        <v>0</v>
      </c>
      <c r="AQ284" s="95">
        <v>0</v>
      </c>
      <c r="AR284" s="95">
        <f>CS284/'Weighting Factors'!$Q$5</f>
        <v>0</v>
      </c>
      <c r="AS284" s="99">
        <v>453859</v>
      </c>
      <c r="AT284" s="95">
        <f>AS284/'Weighting Factors'!$Q$5</f>
        <v>109</v>
      </c>
      <c r="AU284" s="95">
        <f>IF(ISNA(VLOOKUP($CZ284,'Audit Values'!$A$2:$BU$353,2,FALSE)),'Preliminary SO66'!X283,VLOOKUP($CZ284,'Audit Values'!$A$2:$BU$353,47,FALSE))</f>
        <v>0</v>
      </c>
      <c r="AV284" s="95">
        <f t="shared" si="163"/>
        <v>843.4</v>
      </c>
      <c r="AW284" s="95">
        <f t="shared" si="164"/>
        <v>734.4</v>
      </c>
      <c r="AX284" s="95">
        <f>IF(ISNA(VLOOKUP($CZ284,'Audit Values'!$A$2:$BU$353,2,FALSE)),'Preliminary SO66'!AA283,VLOOKUP($CZ284,'Audit Values'!$A$2:$BU$353,41,FALSE))</f>
        <v>0</v>
      </c>
      <c r="AY284" s="95">
        <f>IF(ISNA(VLOOKUP($CZ284,'Audit Values'!$A$2:$BU$353,2,FALSE)),'Preliminary SO66'!AB283,VLOOKUP($CZ284,'Audit Values'!$A$2:$BU$353,42,FALSE))</f>
        <v>0</v>
      </c>
      <c r="AZ284" s="114">
        <v>1.5</v>
      </c>
      <c r="BA284" s="99">
        <f>SUM(AX284*'Weighting Factors'!$T$10)+('2019 Legal Max'!AY284*'Weighting Factors'!$T$11)+('2019 Legal Max'!AZ284*'Weighting Factors'!$T$12)</f>
        <v>1064</v>
      </c>
      <c r="BB284" s="158">
        <v>0</v>
      </c>
      <c r="BC284" s="88">
        <f>IF(ISNA(VLOOKUP($CZ284,'Audit Values'!$A$2:$BU$353,2,FALSE)),"",IF(AND('Weighting Factors'!H284&gt;0,VLOOKUP($CZ284,'Audit Values'!$A$2:$BU$353,51,FALSE)&lt;'Weighting Factors'!H284),'Weighting Factors'!H284,VLOOKUP($CZ284,'Audit Values'!$A$2:$BU$353,50,FALSE)))</f>
        <v>25</v>
      </c>
      <c r="BD284" s="88" t="str">
        <f>IF(ISNA(VLOOKUP($CZ284,'Audit Values'!$A$2:$BV$353,2,FALSE)),"",VLOOKUP($CZ284,'Audit Values'!$A$2:$BV$353,51,FALSE))</f>
        <v>A</v>
      </c>
      <c r="BE284" s="88" t="str">
        <f>IF('Weighting Factors'!H284="","",IF('Weighting Factors'!J284="Pending","PX","R"))</f>
        <v/>
      </c>
      <c r="BF284" s="97">
        <f>SUM((S284+T284+Y284+AA284+AE284+AH284+AJ284++AO284+AP284+AQ284+AU284+AR284)*'Weighting Factors'!$Q$5)+'2019 Legal Max'!BA284+'2019 Legal Max'!BB284</f>
        <v>3059840</v>
      </c>
      <c r="BG284" s="99">
        <f>SUM((AV284+AR284)*'Weighting Factors'!$Q$5)+BA284+'2019 Legal Max'!BB284</f>
        <v>3513825</v>
      </c>
      <c r="BH284" s="108">
        <f>IF('Weighting Factors'!H284&gt;0,'Weighting Factors'!H284,'Preliminary SO66'!AV283)</f>
        <v>3718115</v>
      </c>
      <c r="BI284" s="99">
        <f t="shared" si="188"/>
        <v>3513825</v>
      </c>
      <c r="BJ284" s="112"/>
      <c r="BK284" s="112">
        <f>'Weighting Factors'!F284</f>
        <v>0</v>
      </c>
      <c r="BL284" s="112">
        <f>'Weighting Factors'!E284</f>
        <v>-1418</v>
      </c>
      <c r="BM284" s="99">
        <f t="shared" si="165"/>
        <v>-1418</v>
      </c>
      <c r="BN284" s="99">
        <f t="shared" si="166"/>
        <v>3512407</v>
      </c>
      <c r="BO284" s="99">
        <f>SUM((S284+T284+Y284+AA284+AE284+AH284+AJ284++AO284+AP284+AQ284+AR284)*'Weighting Factors'!Q$12)+(MAX(AS284,'Weighting Factors'!B284))</f>
        <v>3835133</v>
      </c>
      <c r="BP284" s="122">
        <v>0.33</v>
      </c>
      <c r="BQ284" s="99">
        <f t="shared" si="167"/>
        <v>1265594</v>
      </c>
      <c r="BR284" s="108">
        <v>1303252</v>
      </c>
      <c r="BS284" s="99">
        <f t="shared" si="168"/>
        <v>1265594</v>
      </c>
      <c r="BT284" s="167">
        <f t="shared" si="169"/>
        <v>0.33</v>
      </c>
      <c r="BU284" s="95">
        <f t="shared" si="170"/>
        <v>0</v>
      </c>
      <c r="BV284" s="87" t="b">
        <f t="shared" si="171"/>
        <v>0</v>
      </c>
      <c r="BW284" s="117">
        <f t="shared" si="172"/>
        <v>0</v>
      </c>
      <c r="BX284" s="116">
        <f t="shared" si="173"/>
        <v>0</v>
      </c>
      <c r="BY284" s="95">
        <f t="shared" si="174"/>
        <v>0</v>
      </c>
      <c r="BZ284" s="87" t="b">
        <f t="shared" si="175"/>
        <v>1</v>
      </c>
      <c r="CA284" s="87">
        <f t="shared" si="176"/>
        <v>152.21250000000001</v>
      </c>
      <c r="CB284" s="116">
        <f t="shared" si="177"/>
        <v>0.44239699999999998</v>
      </c>
      <c r="CC284" s="95">
        <f t="shared" si="178"/>
        <v>187.1</v>
      </c>
      <c r="CD284" s="95">
        <f t="shared" si="179"/>
        <v>0</v>
      </c>
      <c r="CE284" s="98">
        <v>126</v>
      </c>
      <c r="CF284" s="250">
        <f t="shared" si="180"/>
        <v>0.254</v>
      </c>
      <c r="CG284" s="274">
        <f>IF(CF284&lt;0.06,1,IF(CF284&gt;=18.29,52,MATCH(CF284-0.001,'Weighting Factors'!$Y$5:$Y$156)+1))</f>
        <v>18</v>
      </c>
      <c r="CH284" s="243">
        <f>VLOOKUP(CG284, 'Weighting Factors'!$W$5:$Z$56,4)</f>
        <v>1230</v>
      </c>
      <c r="CI284" s="118">
        <f>('Weighting Factors'!$Q$5/'Weighting Factors'!$Q$14)</f>
        <v>1</v>
      </c>
      <c r="CJ284" s="245">
        <f t="shared" si="181"/>
        <v>39360</v>
      </c>
      <c r="CK284" s="245">
        <f>CJ284*'Weighting Factors'!$S$7</f>
        <v>39360</v>
      </c>
      <c r="CL284" s="245">
        <f t="shared" si="182"/>
        <v>39360</v>
      </c>
      <c r="CM284" s="95">
        <f>AM284/'Weighting Factors'!$Q$5</f>
        <v>9.5</v>
      </c>
      <c r="CN284" s="148">
        <v>0</v>
      </c>
      <c r="CO284" s="148">
        <v>0</v>
      </c>
      <c r="CP284" s="149">
        <v>0</v>
      </c>
      <c r="CQ284" s="151">
        <v>0</v>
      </c>
      <c r="CR284" s="99">
        <f>SUM((AV284*'Weighting Factors'!$Q$5)+'2019 Legal Max'!BA284)*CQ284</f>
        <v>0</v>
      </c>
      <c r="CS284" s="99">
        <f t="shared" si="183"/>
        <v>0</v>
      </c>
      <c r="CT284" s="106">
        <f t="shared" si="184"/>
        <v>0.42320000000000002</v>
      </c>
      <c r="CU284" s="95">
        <f t="shared" si="185"/>
        <v>0</v>
      </c>
      <c r="CV284" s="95">
        <f t="shared" si="186"/>
        <v>8.6</v>
      </c>
      <c r="CW284" s="95">
        <f t="shared" si="187"/>
        <v>843.4</v>
      </c>
      <c r="CX284" s="99">
        <f>'LOB Transfers'!G283</f>
        <v>123142</v>
      </c>
      <c r="CY284" s="99">
        <f>'LOB Transfers'!J283</f>
        <v>0</v>
      </c>
      <c r="CZ284" s="87" t="s">
        <v>476</v>
      </c>
    </row>
    <row r="285" spans="1:104" ht="15" customHeight="1">
      <c r="A285" s="88">
        <v>506</v>
      </c>
      <c r="B285" s="87" t="s">
        <v>108</v>
      </c>
      <c r="C285" s="87" t="s">
        <v>797</v>
      </c>
      <c r="D285" s="95">
        <v>1475.7</v>
      </c>
      <c r="E285" s="95">
        <v>0</v>
      </c>
      <c r="F285" s="95">
        <f t="shared" si="154"/>
        <v>1475.7</v>
      </c>
      <c r="G285" s="95">
        <v>1526.5</v>
      </c>
      <c r="H285" s="95">
        <v>0</v>
      </c>
      <c r="I285" s="95">
        <f t="shared" si="155"/>
        <v>1526.5</v>
      </c>
      <c r="J285" s="95">
        <v>1546.6</v>
      </c>
      <c r="K285" s="95">
        <v>0</v>
      </c>
      <c r="L285" s="95">
        <f t="shared" si="156"/>
        <v>1546.6</v>
      </c>
      <c r="M285" s="95">
        <f>IF(ISNA(VLOOKUP($CZ285,'Audit Values'!$A$2:$BW$365,2,FALSE)),'Preliminary SO66'!C284,VLOOKUP($CZ285,'Audit Values'!$A$2:$BW$365,73,FALSE))</f>
        <v>1488.1</v>
      </c>
      <c r="N285" s="95">
        <f>IF(ISNA(VLOOKUP($CZ285,'Audit Values'!$A$2:$BW$365,2,FALSE)),'Preliminary SO66'!F284,VLOOKUP($CZ285,'Audit Values'!$A$2:$BW$365,4,FALSE))</f>
        <v>0</v>
      </c>
      <c r="O285" s="95">
        <f t="shared" si="157"/>
        <v>1488.1</v>
      </c>
      <c r="P285" s="95">
        <f>IF('Military Provision'!J286="YES", MAX('2019 Legal Max'!L285,'2019 Legal Max'!I285,AVERAGE('2019 Legal Max'!F285,'2019 Legal Max'!I285,'2019 Legal Max'!L285)), MAX(L285, I285))</f>
        <v>1546.6</v>
      </c>
      <c r="Q285" s="95">
        <f>IF(ISNA(VLOOKUP($CZ285,'Audit Values'!$A$2:$BU$353,2,FALSE)),'Preliminary SO66'!AL284,VLOOKUP($CZ285,'Audit Values'!$A$2:$BU$3955,58,FALSE))</f>
        <v>15.5</v>
      </c>
      <c r="R285" s="95">
        <v>0</v>
      </c>
      <c r="S285" s="95">
        <f t="shared" si="189"/>
        <v>1562.1</v>
      </c>
      <c r="T285" s="95">
        <f t="shared" si="158"/>
        <v>86.5</v>
      </c>
      <c r="U285" s="95">
        <f>IF(ISNA(VLOOKUP($CZ285,'Audit Values'!$A$2:$BW$317,2,FALSE)),'Preliminary SO66'!AM284,VLOOKUP($CZ285,'Audit Values'!$A$2:$BW$317,62,FALSE))</f>
        <v>0</v>
      </c>
      <c r="V285" s="95">
        <f>(U285/6)*'Weighting Factors'!$Q$7</f>
        <v>0</v>
      </c>
      <c r="W285" s="132">
        <f>IF(ISNA(VLOOKUP($CZ285,'Audit Values'!$A$2:$BW$353,2,FALSE)),'Preliminary SO66'!AN284,VLOOKUP($CZ285,'Audit Values'!$A$2:$BW$353,61,FALSE))</f>
        <v>0</v>
      </c>
      <c r="X285" s="95">
        <f>W285*'Weighting Factors'!$Q$8</f>
        <v>0</v>
      </c>
      <c r="Y285" s="95">
        <f t="shared" si="159"/>
        <v>0</v>
      </c>
      <c r="Z285" s="276">
        <f>IF(ISNA(VLOOKUP($CZ285,'Audit Values'!$A$2:$BW$317,2,FALSE)),'Preliminary SO66'!AO284,VLOOKUP($CZ285,'Audit Values'!$A$2:$BW$317,60,FALSE))</f>
        <v>363.7</v>
      </c>
      <c r="AA285" s="95">
        <f>Z285/6*'Weighting Factors'!$Q$6</f>
        <v>30.3</v>
      </c>
      <c r="AB285" s="99">
        <f>IF(ISNA(VLOOKUP($CZ285,'Audit Values'!$A$2:$BU$353,2,FALSE)),'Preliminary SO66'!AS284,VLOOKUP($CZ285,'Audit Values'!$A$2:$BU$353,63,FALSE))</f>
        <v>1540</v>
      </c>
      <c r="AC285" s="99">
        <v>0</v>
      </c>
      <c r="AD285" s="99">
        <f>IF(ISNA(VLOOKUP($CZ285,'Audit Values'!$A$2:$BU$353,2,FALSE)),'Preliminary SO66'!AP284,VLOOKUP($CZ285,'Audit Values'!$A$2:$BU$353,64,FALSE))</f>
        <v>721</v>
      </c>
      <c r="AE285" s="95">
        <f>IF(A285=207, AD285,MAX(AC285,AD285))*'Weighting Factors'!$Q$9</f>
        <v>349</v>
      </c>
      <c r="AF285" s="95">
        <f t="shared" si="160"/>
        <v>59.7</v>
      </c>
      <c r="AG285" s="95">
        <f>IF(ISNA(VLOOKUP($CZ285,'Audit Values'!$A$2:$BW$353,2,FALSE)),'Preliminary SO66'!AG284,VLOOKUP($CZ285,'Audit Values'!$A$2:$BW$353,70,FALSE))</f>
        <v>58.3</v>
      </c>
      <c r="AH285" s="95">
        <f t="shared" si="161"/>
        <v>59.7</v>
      </c>
      <c r="AI285" s="95">
        <f>IF(ISNA(VLOOKUP($CZ285,'Audit Values'!$A$2:$BU$353,2,FALSE)),'Preliminary SO66'!AQ284,VLOOKUP($CZ285,'Audit Values'!$A$2:$BU$353,65,FALSE))</f>
        <v>0</v>
      </c>
      <c r="AJ285" s="95">
        <f>AI285*'Weighting Factors'!$Q$10</f>
        <v>0</v>
      </c>
      <c r="AK285" s="95">
        <f>IF(ISNA(VLOOKUP($CZ285,'Audit Values'!$A$2:$BU$353,2,FALSE)),'Preliminary SO66'!AR284,VLOOKUP($CZ285,'Audit Values'!$A$2:$BU$353,66,FALSE))</f>
        <v>585.5</v>
      </c>
      <c r="AL285" s="95"/>
      <c r="AM285" s="99">
        <f t="shared" si="162"/>
        <v>544515</v>
      </c>
      <c r="AN285" s="99">
        <v>670248</v>
      </c>
      <c r="AO285" s="95">
        <f>MAX(AN285, AM285)/'Weighting Factors'!$Q$5</f>
        <v>160.9</v>
      </c>
      <c r="AP285" s="95">
        <f>CN285/'Weighting Factors'!$Q$5</f>
        <v>0</v>
      </c>
      <c r="AQ285" s="95">
        <v>0</v>
      </c>
      <c r="AR285" s="95">
        <f>CS285/'Weighting Factors'!$Q$5</f>
        <v>0</v>
      </c>
      <c r="AS285" s="99">
        <v>1779058</v>
      </c>
      <c r="AT285" s="95">
        <f>AS285/'Weighting Factors'!$Q$5</f>
        <v>427.1</v>
      </c>
      <c r="AU285" s="95">
        <f>IF(ISNA(VLOOKUP($CZ285,'Audit Values'!$A$2:$BU$353,2,FALSE)),'Preliminary SO66'!X284,VLOOKUP($CZ285,'Audit Values'!$A$2:$BU$353,47,FALSE))</f>
        <v>1</v>
      </c>
      <c r="AV285" s="95">
        <f t="shared" si="163"/>
        <v>2676.6</v>
      </c>
      <c r="AW285" s="95">
        <f t="shared" si="164"/>
        <v>2249.5</v>
      </c>
      <c r="AX285" s="95">
        <f>IF(ISNA(VLOOKUP($CZ285,'Audit Values'!$A$2:$BU$353,2,FALSE)),'Preliminary SO66'!AA284,VLOOKUP($CZ285,'Audit Values'!$A$2:$BU$353,41,FALSE))</f>
        <v>0</v>
      </c>
      <c r="AY285" s="95">
        <f>IF(ISNA(VLOOKUP($CZ285,'Audit Values'!$A$2:$BU$353,2,FALSE)),'Preliminary SO66'!AB284,VLOOKUP($CZ285,'Audit Values'!$A$2:$BU$353,42,FALSE))</f>
        <v>0</v>
      </c>
      <c r="AZ285" s="114">
        <v>0</v>
      </c>
      <c r="BA285" s="99">
        <f>SUM(AX285*'Weighting Factors'!$T$10)+('2019 Legal Max'!AY285*'Weighting Factors'!$T$11)+('2019 Legal Max'!AZ285*'Weighting Factors'!$T$12)</f>
        <v>0</v>
      </c>
      <c r="BB285" s="158">
        <v>0</v>
      </c>
      <c r="BC285" s="88">
        <f>IF(ISNA(VLOOKUP($CZ285,'Audit Values'!$A$2:$BU$353,2,FALSE)),"",IF(AND('Weighting Factors'!H285&gt;0,VLOOKUP($CZ285,'Audit Values'!$A$2:$BU$353,51,FALSE)&lt;'Weighting Factors'!H285),'Weighting Factors'!H285,VLOOKUP($CZ285,'Audit Values'!$A$2:$BU$353,50,FALSE)))</f>
        <v>25</v>
      </c>
      <c r="BD285" s="88" t="str">
        <f>IF(ISNA(VLOOKUP($CZ285,'Audit Values'!$A$2:$BV$353,2,FALSE)),"",VLOOKUP($CZ285,'Audit Values'!$A$2:$BV$353,51,FALSE))</f>
        <v>A</v>
      </c>
      <c r="BE285" s="88" t="str">
        <f>IF('Weighting Factors'!H285="","",IF('Weighting Factors'!J285="Pending","PX","R"))</f>
        <v/>
      </c>
      <c r="BF285" s="97">
        <f>SUM((S285+T285+Y285+AA285+AE285+AH285+AJ285++AO285+AP285+AQ285+AU285+AR285)*'Weighting Factors'!$Q$5)+'2019 Legal Max'!BA285+'2019 Legal Max'!BB285</f>
        <v>9369168</v>
      </c>
      <c r="BG285" s="99">
        <f>SUM((AV285+AR285)*'Weighting Factors'!$Q$5)+BA285+'2019 Legal Max'!BB285</f>
        <v>11148039</v>
      </c>
      <c r="BH285" s="108">
        <f>IF('Weighting Factors'!H285&gt;0,'Weighting Factors'!H285,'Preliminary SO66'!AV284)</f>
        <v>11435424</v>
      </c>
      <c r="BI285" s="99">
        <f t="shared" si="188"/>
        <v>11148039</v>
      </c>
      <c r="BJ285" s="112"/>
      <c r="BK285" s="112">
        <f>'Weighting Factors'!F285</f>
        <v>0</v>
      </c>
      <c r="BL285" s="112">
        <f>'Weighting Factors'!E285</f>
        <v>0</v>
      </c>
      <c r="BM285" s="99">
        <f t="shared" si="165"/>
        <v>0</v>
      </c>
      <c r="BN285" s="99">
        <f t="shared" si="166"/>
        <v>11148039</v>
      </c>
      <c r="BO285" s="99">
        <f>SUM((S285+T285+Y285+AA285+AE285+AH285+AJ285++AO285+AP285+AQ285+AR285)*'Weighting Factors'!Q$12)+(MAX(AS285,'Weighting Factors'!B285))</f>
        <v>11874823</v>
      </c>
      <c r="BP285" s="122">
        <v>0.3</v>
      </c>
      <c r="BQ285" s="99">
        <f t="shared" si="167"/>
        <v>3562447</v>
      </c>
      <c r="BR285" s="108">
        <v>3651764</v>
      </c>
      <c r="BS285" s="99">
        <f t="shared" si="168"/>
        <v>3562447</v>
      </c>
      <c r="BT285" s="167">
        <f t="shared" si="169"/>
        <v>0.3</v>
      </c>
      <c r="BU285" s="95">
        <f t="shared" si="170"/>
        <v>0</v>
      </c>
      <c r="BV285" s="87" t="b">
        <f t="shared" si="171"/>
        <v>0</v>
      </c>
      <c r="BW285" s="117">
        <f t="shared" si="172"/>
        <v>0</v>
      </c>
      <c r="BX285" s="116">
        <f t="shared" si="173"/>
        <v>0</v>
      </c>
      <c r="BY285" s="95">
        <f t="shared" si="174"/>
        <v>0</v>
      </c>
      <c r="BZ285" s="87" t="b">
        <f t="shared" si="175"/>
        <v>1</v>
      </c>
      <c r="CA285" s="87">
        <f t="shared" si="176"/>
        <v>1561.8488</v>
      </c>
      <c r="CB285" s="116">
        <f t="shared" si="177"/>
        <v>5.5390000000000002E-2</v>
      </c>
      <c r="CC285" s="95">
        <f t="shared" si="178"/>
        <v>86.5</v>
      </c>
      <c r="CD285" s="95">
        <f t="shared" si="179"/>
        <v>0</v>
      </c>
      <c r="CE285" s="98">
        <v>500</v>
      </c>
      <c r="CF285" s="250">
        <f t="shared" si="180"/>
        <v>1.171</v>
      </c>
      <c r="CG285" s="274">
        <f>IF(CF285&lt;0.06,1,IF(CF285&gt;=18.29,52,MATCH(CF285-0.001,'Weighting Factors'!$Y$5:$Y$156)+1))</f>
        <v>33</v>
      </c>
      <c r="CH285" s="243">
        <f>VLOOKUP(CG285, 'Weighting Factors'!$W$5:$Z$56,4)</f>
        <v>930</v>
      </c>
      <c r="CI285" s="118">
        <f>('Weighting Factors'!$Q$5/'Weighting Factors'!$Q$14)</f>
        <v>1</v>
      </c>
      <c r="CJ285" s="245">
        <f t="shared" si="181"/>
        <v>544515</v>
      </c>
      <c r="CK285" s="245">
        <f>CJ285*'Weighting Factors'!$S$7</f>
        <v>544515</v>
      </c>
      <c r="CL285" s="245">
        <f t="shared" si="182"/>
        <v>544515</v>
      </c>
      <c r="CM285" s="95">
        <f>AM285/'Weighting Factors'!$Q$5</f>
        <v>130.69999999999999</v>
      </c>
      <c r="CN285" s="148">
        <v>0</v>
      </c>
      <c r="CO285" s="148">
        <v>0</v>
      </c>
      <c r="CP285" s="149">
        <v>0</v>
      </c>
      <c r="CQ285" s="151">
        <v>0</v>
      </c>
      <c r="CR285" s="99">
        <f>SUM((AV285*'Weighting Factors'!$Q$5)+'2019 Legal Max'!BA285)*CQ285</f>
        <v>0</v>
      </c>
      <c r="CS285" s="99">
        <f t="shared" si="183"/>
        <v>0</v>
      </c>
      <c r="CT285" s="106">
        <f t="shared" si="184"/>
        <v>0.46820000000000001</v>
      </c>
      <c r="CU285" s="95">
        <f t="shared" si="185"/>
        <v>0</v>
      </c>
      <c r="CV285" s="95">
        <f t="shared" si="186"/>
        <v>59.7</v>
      </c>
      <c r="CW285" s="95">
        <f t="shared" si="187"/>
        <v>2676.6</v>
      </c>
      <c r="CX285" s="99">
        <f>'LOB Transfers'!G284</f>
        <v>467393</v>
      </c>
      <c r="CY285" s="99">
        <f>'LOB Transfers'!J284</f>
        <v>0</v>
      </c>
      <c r="CZ285" s="87" t="s">
        <v>477</v>
      </c>
    </row>
    <row r="286" spans="1:104" ht="15" customHeight="1">
      <c r="A286" s="88">
        <v>507</v>
      </c>
      <c r="B286" s="87" t="s">
        <v>75</v>
      </c>
      <c r="C286" s="87" t="s">
        <v>798</v>
      </c>
      <c r="D286" s="95">
        <v>294.5</v>
      </c>
      <c r="E286" s="95">
        <v>0</v>
      </c>
      <c r="F286" s="95">
        <f t="shared" si="154"/>
        <v>294.5</v>
      </c>
      <c r="G286" s="95">
        <v>294</v>
      </c>
      <c r="H286" s="95">
        <v>0</v>
      </c>
      <c r="I286" s="95">
        <f t="shared" si="155"/>
        <v>294</v>
      </c>
      <c r="J286" s="95">
        <v>271.5</v>
      </c>
      <c r="K286" s="95">
        <v>0</v>
      </c>
      <c r="L286" s="95">
        <f t="shared" si="156"/>
        <v>271.5</v>
      </c>
      <c r="M286" s="95">
        <f>IF(ISNA(VLOOKUP($CZ286,'Audit Values'!$A$2:$BW$365,2,FALSE)),'Preliminary SO66'!C285,VLOOKUP($CZ286,'Audit Values'!$A$2:$BW$365,73,FALSE))</f>
        <v>275</v>
      </c>
      <c r="N286" s="95">
        <f>IF(ISNA(VLOOKUP($CZ286,'Audit Values'!$A$2:$BW$365,2,FALSE)),'Preliminary SO66'!F285,VLOOKUP($CZ286,'Audit Values'!$A$2:$BW$365,4,FALSE))</f>
        <v>0</v>
      </c>
      <c r="O286" s="95">
        <f t="shared" si="157"/>
        <v>275</v>
      </c>
      <c r="P286" s="95">
        <f>IF('Military Provision'!J287="YES", MAX('2019 Legal Max'!L286,'2019 Legal Max'!I286,AVERAGE('2019 Legal Max'!F286,'2019 Legal Max'!I286,'2019 Legal Max'!L286)), MAX(L286, I286))</f>
        <v>294</v>
      </c>
      <c r="Q286" s="95">
        <f>IF(ISNA(VLOOKUP($CZ286,'Audit Values'!$A$2:$BU$353,2,FALSE)),'Preliminary SO66'!AL285,VLOOKUP($CZ286,'Audit Values'!$A$2:$BU$3955,58,FALSE))</f>
        <v>5.5</v>
      </c>
      <c r="R286" s="95">
        <v>0</v>
      </c>
      <c r="S286" s="95">
        <f t="shared" si="189"/>
        <v>299.5</v>
      </c>
      <c r="T286" s="95">
        <f t="shared" si="158"/>
        <v>145.4</v>
      </c>
      <c r="U286" s="95">
        <f>IF(ISNA(VLOOKUP($CZ286,'Audit Values'!$A$2:$BW$317,2,FALSE)),'Preliminary SO66'!AM285,VLOOKUP($CZ286,'Audit Values'!$A$2:$BW$317,62,FALSE))</f>
        <v>647</v>
      </c>
      <c r="V286" s="95">
        <f>(U286/6)*'Weighting Factors'!$Q$7</f>
        <v>42.6</v>
      </c>
      <c r="W286" s="132">
        <f>IF(ISNA(VLOOKUP($CZ286,'Audit Values'!$A$2:$BW$353,2,FALSE)),'Preliminary SO66'!AN285,VLOOKUP($CZ286,'Audit Values'!$A$2:$BW$353,61,FALSE))</f>
        <v>121</v>
      </c>
      <c r="X286" s="95">
        <f>W286*'Weighting Factors'!$Q$8</f>
        <v>22.4</v>
      </c>
      <c r="Y286" s="95">
        <f t="shared" si="159"/>
        <v>42.6</v>
      </c>
      <c r="Z286" s="276">
        <f>IF(ISNA(VLOOKUP($CZ286,'Audit Values'!$A$2:$BW$317,2,FALSE)),'Preliminary SO66'!AO285,VLOOKUP($CZ286,'Audit Values'!$A$2:$BW$317,60,FALSE))</f>
        <v>116.7</v>
      </c>
      <c r="AA286" s="95">
        <f>Z286/6*'Weighting Factors'!$Q$6</f>
        <v>9.6999999999999993</v>
      </c>
      <c r="AB286" s="99">
        <f>IF(ISNA(VLOOKUP($CZ286,'Audit Values'!$A$2:$BU$353,2,FALSE)),'Preliminary SO66'!AS285,VLOOKUP($CZ286,'Audit Values'!$A$2:$BU$353,63,FALSE))</f>
        <v>288</v>
      </c>
      <c r="AC286" s="99">
        <v>0</v>
      </c>
      <c r="AD286" s="99">
        <f>IF(ISNA(VLOOKUP($CZ286,'Audit Values'!$A$2:$BU$353,2,FALSE)),'Preliminary SO66'!AP285,VLOOKUP($CZ286,'Audit Values'!$A$2:$BU$353,64,FALSE))</f>
        <v>140</v>
      </c>
      <c r="AE286" s="95">
        <f>IF(A286=207, AD286,MAX(AC286,AD286))*'Weighting Factors'!$Q$9</f>
        <v>67.8</v>
      </c>
      <c r="AF286" s="95">
        <f t="shared" si="160"/>
        <v>13.3</v>
      </c>
      <c r="AG286" s="95">
        <f>IF(ISNA(VLOOKUP($CZ286,'Audit Values'!$A$2:$BW$353,2,FALSE)),'Preliminary SO66'!AG285,VLOOKUP($CZ286,'Audit Values'!$A$2:$BW$353,70,FALSE))</f>
        <v>13.1</v>
      </c>
      <c r="AH286" s="95">
        <f t="shared" si="161"/>
        <v>13.3</v>
      </c>
      <c r="AI286" s="95">
        <f>IF(ISNA(VLOOKUP($CZ286,'Audit Values'!$A$2:$BU$353,2,FALSE)),'Preliminary SO66'!AQ285,VLOOKUP($CZ286,'Audit Values'!$A$2:$BU$353,65,FALSE))</f>
        <v>0</v>
      </c>
      <c r="AJ286" s="95">
        <f>AI286*'Weighting Factors'!$Q$10</f>
        <v>0</v>
      </c>
      <c r="AK286" s="95">
        <f>IF(ISNA(VLOOKUP($CZ286,'Audit Values'!$A$2:$BU$353,2,FALSE)),'Preliminary SO66'!AR285,VLOOKUP($CZ286,'Audit Values'!$A$2:$BU$353,66,FALSE))</f>
        <v>55</v>
      </c>
      <c r="AL286" s="95"/>
      <c r="AM286" s="99">
        <f t="shared" si="162"/>
        <v>68750</v>
      </c>
      <c r="AN286" s="99">
        <v>83974</v>
      </c>
      <c r="AO286" s="95">
        <f>MAX(AN286, AM286)/'Weighting Factors'!$Q$5</f>
        <v>20.2</v>
      </c>
      <c r="AP286" s="95">
        <f>CN286/'Weighting Factors'!$Q$5</f>
        <v>0</v>
      </c>
      <c r="AQ286" s="95">
        <v>0</v>
      </c>
      <c r="AR286" s="95">
        <f>CS286/'Weighting Factors'!$Q$5</f>
        <v>0</v>
      </c>
      <c r="AS286" s="99">
        <v>191011</v>
      </c>
      <c r="AT286" s="95">
        <f>AS286/'Weighting Factors'!$Q$5</f>
        <v>45.9</v>
      </c>
      <c r="AU286" s="95">
        <f>IF(ISNA(VLOOKUP($CZ286,'Audit Values'!$A$2:$BU$353,2,FALSE)),'Preliminary SO66'!X285,VLOOKUP($CZ286,'Audit Values'!$A$2:$BU$353,47,FALSE))</f>
        <v>0</v>
      </c>
      <c r="AV286" s="95">
        <f t="shared" si="163"/>
        <v>644.4</v>
      </c>
      <c r="AW286" s="95">
        <f t="shared" si="164"/>
        <v>598.5</v>
      </c>
      <c r="AX286" s="95">
        <f>IF(ISNA(VLOOKUP($CZ286,'Audit Values'!$A$2:$BU$353,2,FALSE)),'Preliminary SO66'!AA285,VLOOKUP($CZ286,'Audit Values'!$A$2:$BU$353,41,FALSE))</f>
        <v>0</v>
      </c>
      <c r="AY286" s="95">
        <f>IF(ISNA(VLOOKUP($CZ286,'Audit Values'!$A$2:$BU$353,2,FALSE)),'Preliminary SO66'!AB285,VLOOKUP($CZ286,'Audit Values'!$A$2:$BU$353,42,FALSE))</f>
        <v>0</v>
      </c>
      <c r="AZ286" s="114">
        <v>0</v>
      </c>
      <c r="BA286" s="99">
        <f>SUM(AX286*'Weighting Factors'!$T$10)+('2019 Legal Max'!AY286*'Weighting Factors'!$T$11)+('2019 Legal Max'!AZ286*'Weighting Factors'!$T$12)</f>
        <v>0</v>
      </c>
      <c r="BB286" s="158">
        <v>0</v>
      </c>
      <c r="BC286" s="88">
        <f>IF(ISNA(VLOOKUP($CZ286,'Audit Values'!$A$2:$BU$353,2,FALSE)),"",IF(AND('Weighting Factors'!H286&gt;0,VLOOKUP($CZ286,'Audit Values'!$A$2:$BU$353,51,FALSE)&lt;'Weighting Factors'!H286),'Weighting Factors'!H286,VLOOKUP($CZ286,'Audit Values'!$A$2:$BU$353,50,FALSE)))</f>
        <v>19</v>
      </c>
      <c r="BD286" s="88" t="str">
        <f>IF(ISNA(VLOOKUP($CZ286,'Audit Values'!$A$2:$BV$353,2,FALSE)),"",VLOOKUP($CZ286,'Audit Values'!$A$2:$BV$353,51,FALSE))</f>
        <v>A</v>
      </c>
      <c r="BE286" s="88" t="str">
        <f>IF('Weighting Factors'!H286="","",IF('Weighting Factors'!J286="Pending","PX","R"))</f>
        <v/>
      </c>
      <c r="BF286" s="97">
        <f>SUM((S286+T286+Y286+AA286+AE286+AH286+AJ286++AO286+AP286+AQ286+AU286+AR286)*'Weighting Factors'!$Q$5)+'2019 Legal Max'!BA286+'2019 Legal Max'!BB286</f>
        <v>2492753</v>
      </c>
      <c r="BG286" s="99">
        <f>SUM((AV286+AR286)*'Weighting Factors'!$Q$5)+BA286+'2019 Legal Max'!BB286</f>
        <v>2683926</v>
      </c>
      <c r="BH286" s="108">
        <f>IF('Weighting Factors'!H286&gt;0,'Weighting Factors'!H286,'Preliminary SO66'!AV285)</f>
        <v>2876766</v>
      </c>
      <c r="BI286" s="99">
        <f t="shared" si="188"/>
        <v>2683926</v>
      </c>
      <c r="BJ286" s="112"/>
      <c r="BK286" s="112">
        <f>'Weighting Factors'!F286</f>
        <v>0</v>
      </c>
      <c r="BL286" s="112">
        <f>'Weighting Factors'!E286</f>
        <v>0</v>
      </c>
      <c r="BM286" s="99">
        <f t="shared" si="165"/>
        <v>0</v>
      </c>
      <c r="BN286" s="99">
        <f t="shared" si="166"/>
        <v>2683926</v>
      </c>
      <c r="BO286" s="99">
        <f>SUM((S286+T286+Y286+AA286+AE286+AH286+AJ286++AO286+AP286+AQ286+AR286)*'Weighting Factors'!Q$12)+(MAX(AS286,'Weighting Factors'!B286))</f>
        <v>2913373</v>
      </c>
      <c r="BP286" s="122">
        <v>0.3</v>
      </c>
      <c r="BQ286" s="99">
        <f t="shared" si="167"/>
        <v>874012</v>
      </c>
      <c r="BR286" s="108">
        <v>928431</v>
      </c>
      <c r="BS286" s="99">
        <f t="shared" si="168"/>
        <v>874012</v>
      </c>
      <c r="BT286" s="167">
        <f t="shared" si="169"/>
        <v>0.3</v>
      </c>
      <c r="BU286" s="95">
        <f t="shared" si="170"/>
        <v>0</v>
      </c>
      <c r="BV286" s="87" t="b">
        <f t="shared" si="171"/>
        <v>1</v>
      </c>
      <c r="BW286" s="117">
        <f t="shared" si="172"/>
        <v>1926.173</v>
      </c>
      <c r="BX286" s="116">
        <f t="shared" si="173"/>
        <v>0.48551100000000003</v>
      </c>
      <c r="BY286" s="95">
        <f t="shared" si="174"/>
        <v>145.4</v>
      </c>
      <c r="BZ286" s="87" t="b">
        <f t="shared" si="175"/>
        <v>0</v>
      </c>
      <c r="CA286" s="87">
        <f t="shared" si="176"/>
        <v>0</v>
      </c>
      <c r="CB286" s="116">
        <f t="shared" si="177"/>
        <v>0</v>
      </c>
      <c r="CC286" s="95">
        <f t="shared" si="178"/>
        <v>0</v>
      </c>
      <c r="CD286" s="95">
        <f t="shared" si="179"/>
        <v>0</v>
      </c>
      <c r="CE286" s="98">
        <v>250</v>
      </c>
      <c r="CF286" s="250">
        <f t="shared" si="180"/>
        <v>0.22</v>
      </c>
      <c r="CG286" s="274">
        <f>IF(CF286&lt;0.06,1,IF(CF286&gt;=18.29,52,MATCH(CF286-0.001,'Weighting Factors'!$Y$5:$Y$156)+1))</f>
        <v>17</v>
      </c>
      <c r="CH286" s="243">
        <f>VLOOKUP(CG286, 'Weighting Factors'!$W$5:$Z$56,4)</f>
        <v>1250</v>
      </c>
      <c r="CI286" s="118">
        <f>('Weighting Factors'!$Q$5/'Weighting Factors'!$Q$14)</f>
        <v>1</v>
      </c>
      <c r="CJ286" s="245">
        <f t="shared" si="181"/>
        <v>68750</v>
      </c>
      <c r="CK286" s="245">
        <f>CJ286*'Weighting Factors'!$S$7</f>
        <v>68750</v>
      </c>
      <c r="CL286" s="245">
        <f t="shared" si="182"/>
        <v>68750</v>
      </c>
      <c r="CM286" s="95">
        <f>AM286/'Weighting Factors'!$Q$5</f>
        <v>16.5</v>
      </c>
      <c r="CN286" s="148">
        <v>0</v>
      </c>
      <c r="CO286" s="148">
        <v>0</v>
      </c>
      <c r="CP286" s="149">
        <v>0</v>
      </c>
      <c r="CQ286" s="151">
        <v>0</v>
      </c>
      <c r="CR286" s="99">
        <f>SUM((AV286*'Weighting Factors'!$Q$5)+'2019 Legal Max'!BA286)*CQ286</f>
        <v>0</v>
      </c>
      <c r="CS286" s="99">
        <f t="shared" si="183"/>
        <v>0</v>
      </c>
      <c r="CT286" s="106">
        <f t="shared" si="184"/>
        <v>0.48609999999999998</v>
      </c>
      <c r="CU286" s="95">
        <f t="shared" si="185"/>
        <v>0</v>
      </c>
      <c r="CV286" s="95">
        <f t="shared" si="186"/>
        <v>13.3</v>
      </c>
      <c r="CW286" s="95">
        <f t="shared" si="187"/>
        <v>644.4</v>
      </c>
      <c r="CX286" s="99">
        <f>'LOB Transfers'!G285</f>
        <v>92733</v>
      </c>
      <c r="CY286" s="99">
        <f>'LOB Transfers'!J285</f>
        <v>58297</v>
      </c>
      <c r="CZ286" s="87" t="s">
        <v>478</v>
      </c>
    </row>
    <row r="287" spans="1:104" ht="15" customHeight="1">
      <c r="A287" s="88">
        <v>508</v>
      </c>
      <c r="B287" s="87" t="s">
        <v>29</v>
      </c>
      <c r="C287" s="87" t="s">
        <v>799</v>
      </c>
      <c r="D287" s="95">
        <v>971.5</v>
      </c>
      <c r="E287" s="95">
        <v>0</v>
      </c>
      <c r="F287" s="95">
        <f t="shared" si="154"/>
        <v>971.5</v>
      </c>
      <c r="G287" s="95">
        <v>961</v>
      </c>
      <c r="H287" s="95">
        <v>0</v>
      </c>
      <c r="I287" s="95">
        <f t="shared" si="155"/>
        <v>961</v>
      </c>
      <c r="J287" s="95">
        <v>918.5</v>
      </c>
      <c r="K287" s="95">
        <v>0</v>
      </c>
      <c r="L287" s="95">
        <f t="shared" si="156"/>
        <v>918.5</v>
      </c>
      <c r="M287" s="95">
        <f>IF(ISNA(VLOOKUP($CZ287,'Audit Values'!$A$2:$BW$365,2,FALSE)),'Preliminary SO66'!C286,VLOOKUP($CZ287,'Audit Values'!$A$2:$BW$365,73,FALSE))</f>
        <v>908</v>
      </c>
      <c r="N287" s="95">
        <f>IF(ISNA(VLOOKUP($CZ287,'Audit Values'!$A$2:$BW$365,2,FALSE)),'Preliminary SO66'!F286,VLOOKUP($CZ287,'Audit Values'!$A$2:$BW$365,4,FALSE))</f>
        <v>0</v>
      </c>
      <c r="O287" s="95">
        <f t="shared" si="157"/>
        <v>908</v>
      </c>
      <c r="P287" s="95">
        <f>IF('Military Provision'!J288="YES", MAX('2019 Legal Max'!L287,'2019 Legal Max'!I287,AVERAGE('2019 Legal Max'!F287,'2019 Legal Max'!I287,'2019 Legal Max'!L287)), MAX(L287, I287))</f>
        <v>961</v>
      </c>
      <c r="Q287" s="95">
        <f>IF(ISNA(VLOOKUP($CZ287,'Audit Values'!$A$2:$BU$353,2,FALSE)),'Preliminary SO66'!AL286,VLOOKUP($CZ287,'Audit Values'!$A$2:$BU$3955,58,FALSE))</f>
        <v>10</v>
      </c>
      <c r="R287" s="95">
        <v>0</v>
      </c>
      <c r="S287" s="95">
        <f t="shared" si="189"/>
        <v>971</v>
      </c>
      <c r="T287" s="95">
        <f t="shared" si="158"/>
        <v>248.8</v>
      </c>
      <c r="U287" s="95">
        <f>IF(ISNA(VLOOKUP($CZ287,'Audit Values'!$A$2:$BW$317,2,FALSE)),'Preliminary SO66'!AM286,VLOOKUP($CZ287,'Audit Values'!$A$2:$BW$317,62,FALSE))</f>
        <v>3.6</v>
      </c>
      <c r="V287" s="95">
        <f>(U287/6)*'Weighting Factors'!$Q$7</f>
        <v>0.2</v>
      </c>
      <c r="W287" s="132">
        <f>IF(ISNA(VLOOKUP($CZ287,'Audit Values'!$A$2:$BW$353,2,FALSE)),'Preliminary SO66'!AN286,VLOOKUP($CZ287,'Audit Values'!$A$2:$BW$353,61,FALSE))</f>
        <v>7</v>
      </c>
      <c r="X287" s="95">
        <f>W287*'Weighting Factors'!$Q$8</f>
        <v>1.3</v>
      </c>
      <c r="Y287" s="95">
        <f t="shared" si="159"/>
        <v>1.3</v>
      </c>
      <c r="Z287" s="276">
        <f>IF(ISNA(VLOOKUP($CZ287,'Audit Values'!$A$2:$BW$317,2,FALSE)),'Preliminary SO66'!AO286,VLOOKUP($CZ287,'Audit Values'!$A$2:$BW$317,60,FALSE))</f>
        <v>278.8</v>
      </c>
      <c r="AA287" s="95">
        <f>Z287/6*'Weighting Factors'!$Q$6</f>
        <v>23.2</v>
      </c>
      <c r="AB287" s="99">
        <f>IF(ISNA(VLOOKUP($CZ287,'Audit Values'!$A$2:$BU$353,2,FALSE)),'Preliminary SO66'!AS286,VLOOKUP($CZ287,'Audit Values'!$A$2:$BU$353,63,FALSE))</f>
        <v>936</v>
      </c>
      <c r="AC287" s="99">
        <v>0</v>
      </c>
      <c r="AD287" s="99">
        <f>IF(ISNA(VLOOKUP($CZ287,'Audit Values'!$A$2:$BU$353,2,FALSE)),'Preliminary SO66'!AP286,VLOOKUP($CZ287,'Audit Values'!$A$2:$BU$353,64,FALSE))</f>
        <v>463</v>
      </c>
      <c r="AE287" s="95">
        <f>IF(A287=207, AD287,MAX(AC287,AD287))*'Weighting Factors'!$Q$9</f>
        <v>224.1</v>
      </c>
      <c r="AF287" s="95">
        <f t="shared" si="160"/>
        <v>46.9</v>
      </c>
      <c r="AG287" s="95">
        <f>IF(ISNA(VLOOKUP($CZ287,'Audit Values'!$A$2:$BW$353,2,FALSE)),'Preliminary SO66'!AG286,VLOOKUP($CZ287,'Audit Values'!$A$2:$BW$353,70,FALSE))</f>
        <v>43.2</v>
      </c>
      <c r="AH287" s="95">
        <f t="shared" si="161"/>
        <v>46.9</v>
      </c>
      <c r="AI287" s="95">
        <f>IF(ISNA(VLOOKUP($CZ287,'Audit Values'!$A$2:$BU$353,2,FALSE)),'Preliminary SO66'!AQ286,VLOOKUP($CZ287,'Audit Values'!$A$2:$BU$353,65,FALSE))</f>
        <v>0</v>
      </c>
      <c r="AJ287" s="95">
        <f>AI287*'Weighting Factors'!$Q$10</f>
        <v>0</v>
      </c>
      <c r="AK287" s="95">
        <f>IF(ISNA(VLOOKUP($CZ287,'Audit Values'!$A$2:$BU$353,2,FALSE)),'Preliminary SO66'!AR286,VLOOKUP($CZ287,'Audit Values'!$A$2:$BU$353,66,FALSE))</f>
        <v>83</v>
      </c>
      <c r="AL287" s="95"/>
      <c r="AM287" s="99">
        <f t="shared" si="162"/>
        <v>63910</v>
      </c>
      <c r="AN287" s="99">
        <v>86670</v>
      </c>
      <c r="AO287" s="95">
        <f>MAX(AN287, AM287)/'Weighting Factors'!$Q$5</f>
        <v>20.8</v>
      </c>
      <c r="AP287" s="95">
        <f>CN287/'Weighting Factors'!$Q$5</f>
        <v>0</v>
      </c>
      <c r="AQ287" s="95">
        <v>0</v>
      </c>
      <c r="AR287" s="95">
        <f>CS287/'Weighting Factors'!$Q$5</f>
        <v>0</v>
      </c>
      <c r="AS287" s="99">
        <v>1014906</v>
      </c>
      <c r="AT287" s="95">
        <f>AS287/'Weighting Factors'!$Q$5</f>
        <v>243.7</v>
      </c>
      <c r="AU287" s="95">
        <f>IF(ISNA(VLOOKUP($CZ287,'Audit Values'!$A$2:$BU$353,2,FALSE)),'Preliminary SO66'!X286,VLOOKUP($CZ287,'Audit Values'!$A$2:$BU$353,47,FALSE))</f>
        <v>0</v>
      </c>
      <c r="AV287" s="95">
        <f t="shared" si="163"/>
        <v>1779.8</v>
      </c>
      <c r="AW287" s="95">
        <f t="shared" si="164"/>
        <v>1536.1</v>
      </c>
      <c r="AX287" s="95">
        <f>IF(ISNA(VLOOKUP($CZ287,'Audit Values'!$A$2:$BU$353,2,FALSE)),'Preliminary SO66'!AA286,VLOOKUP($CZ287,'Audit Values'!$A$2:$BU$353,41,FALSE))</f>
        <v>26</v>
      </c>
      <c r="AY287" s="95">
        <f>IF(ISNA(VLOOKUP($CZ287,'Audit Values'!$A$2:$BU$353,2,FALSE)),'Preliminary SO66'!AB286,VLOOKUP($CZ287,'Audit Values'!$A$2:$BU$353,42,FALSE))</f>
        <v>0.7</v>
      </c>
      <c r="AZ287" s="114">
        <v>14</v>
      </c>
      <c r="BA287" s="99">
        <f>SUM(AX287*'Weighting Factors'!$T$10)+('2019 Legal Max'!AY287*'Weighting Factors'!$T$11)+('2019 Legal Max'!AZ287*'Weighting Factors'!$T$12)</f>
        <v>141116</v>
      </c>
      <c r="BB287" s="158">
        <v>0</v>
      </c>
      <c r="BC287" s="88">
        <f>IF(ISNA(VLOOKUP($CZ287,'Audit Values'!$A$2:$BU$353,2,FALSE)),"",IF(AND('Weighting Factors'!H287&gt;0,VLOOKUP($CZ287,'Audit Values'!$A$2:$BU$353,51,FALSE)&lt;'Weighting Factors'!H287),'Weighting Factors'!H287,VLOOKUP($CZ287,'Audit Values'!$A$2:$BU$353,50,FALSE)))</f>
        <v>19</v>
      </c>
      <c r="BD287" s="88" t="str">
        <f>IF(ISNA(VLOOKUP($CZ287,'Audit Values'!$A$2:$BV$353,2,FALSE)),"",VLOOKUP($CZ287,'Audit Values'!$A$2:$BV$353,51,FALSE))</f>
        <v>A</v>
      </c>
      <c r="BE287" s="88" t="str">
        <f>IF('Weighting Factors'!H287="","",IF('Weighting Factors'!J287="Pending","PX","R"))</f>
        <v/>
      </c>
      <c r="BF287" s="97">
        <f>SUM((S287+T287+Y287+AA287+AE287+AH287+AJ287++AO287+AP287+AQ287+AU287+AR287)*'Weighting Factors'!$Q$5)+'2019 Legal Max'!BA287+'2019 Legal Max'!BB287</f>
        <v>6538973</v>
      </c>
      <c r="BG287" s="99">
        <f>SUM((AV287+AR287)*'Weighting Factors'!$Q$5)+BA287+'2019 Legal Max'!BB287</f>
        <v>7553983</v>
      </c>
      <c r="BH287" s="108">
        <f>IF('Weighting Factors'!H287&gt;0,'Weighting Factors'!H287,'Preliminary SO66'!AV286)</f>
        <v>7762549</v>
      </c>
      <c r="BI287" s="99">
        <f t="shared" si="188"/>
        <v>7553983</v>
      </c>
      <c r="BJ287" s="112"/>
      <c r="BK287" s="112">
        <f>'Weighting Factors'!F287</f>
        <v>0</v>
      </c>
      <c r="BL287" s="112">
        <f>'Weighting Factors'!E287</f>
        <v>0</v>
      </c>
      <c r="BM287" s="99">
        <f t="shared" si="165"/>
        <v>0</v>
      </c>
      <c r="BN287" s="99">
        <f t="shared" si="166"/>
        <v>7553983</v>
      </c>
      <c r="BO287" s="99">
        <f>SUM((S287+T287+Y287+AA287+AE287+AH287+AJ287++AO287+AP287+AQ287+AR287)*'Weighting Factors'!Q$12)+(MAX(AS287,'Weighting Factors'!B287))</f>
        <v>7911995</v>
      </c>
      <c r="BP287" s="122">
        <v>0.3</v>
      </c>
      <c r="BQ287" s="99">
        <f t="shared" si="167"/>
        <v>2373599</v>
      </c>
      <c r="BR287" s="108">
        <v>2433990</v>
      </c>
      <c r="BS287" s="99">
        <f t="shared" si="168"/>
        <v>2373599</v>
      </c>
      <c r="BT287" s="167">
        <f t="shared" si="169"/>
        <v>0.3</v>
      </c>
      <c r="BU287" s="95">
        <f t="shared" si="170"/>
        <v>0</v>
      </c>
      <c r="BV287" s="87" t="b">
        <f t="shared" si="171"/>
        <v>0</v>
      </c>
      <c r="BW287" s="117">
        <f t="shared" si="172"/>
        <v>0</v>
      </c>
      <c r="BX287" s="116">
        <f t="shared" si="173"/>
        <v>0</v>
      </c>
      <c r="BY287" s="95">
        <f t="shared" si="174"/>
        <v>0</v>
      </c>
      <c r="BZ287" s="87" t="b">
        <f t="shared" si="175"/>
        <v>1</v>
      </c>
      <c r="CA287" s="87">
        <f t="shared" si="176"/>
        <v>830.36249999999995</v>
      </c>
      <c r="CB287" s="116">
        <f t="shared" si="177"/>
        <v>0.25621500000000003</v>
      </c>
      <c r="CC287" s="95">
        <f t="shared" si="178"/>
        <v>248.8</v>
      </c>
      <c r="CD287" s="95">
        <f t="shared" si="179"/>
        <v>0</v>
      </c>
      <c r="CE287" s="98">
        <v>26</v>
      </c>
      <c r="CF287" s="250">
        <f t="shared" si="180"/>
        <v>3.1920000000000002</v>
      </c>
      <c r="CG287" s="274">
        <f>IF(CF287&lt;0.06,1,IF(CF287&gt;=18.29,52,MATCH(CF287-0.001,'Weighting Factors'!$Y$5:$Y$156)+1))</f>
        <v>41</v>
      </c>
      <c r="CH287" s="243">
        <f>VLOOKUP(CG287, 'Weighting Factors'!$W$5:$Z$56,4)</f>
        <v>770</v>
      </c>
      <c r="CI287" s="118">
        <f>('Weighting Factors'!$Q$5/'Weighting Factors'!$Q$14)</f>
        <v>1</v>
      </c>
      <c r="CJ287" s="245">
        <f t="shared" si="181"/>
        <v>63910</v>
      </c>
      <c r="CK287" s="245">
        <f>CJ287*'Weighting Factors'!$S$7</f>
        <v>63910</v>
      </c>
      <c r="CL287" s="245">
        <f t="shared" si="182"/>
        <v>63910</v>
      </c>
      <c r="CM287" s="95">
        <f>AM287/'Weighting Factors'!$Q$5</f>
        <v>15.3</v>
      </c>
      <c r="CN287" s="148">
        <v>0</v>
      </c>
      <c r="CO287" s="148">
        <v>0</v>
      </c>
      <c r="CP287" s="149">
        <v>0</v>
      </c>
      <c r="CQ287" s="151">
        <v>0</v>
      </c>
      <c r="CR287" s="99">
        <f>SUM((AV287*'Weighting Factors'!$Q$5)+'2019 Legal Max'!BA287)*CQ287</f>
        <v>0</v>
      </c>
      <c r="CS287" s="99">
        <f t="shared" si="183"/>
        <v>0</v>
      </c>
      <c r="CT287" s="106">
        <f t="shared" si="184"/>
        <v>0.49469999999999997</v>
      </c>
      <c r="CU287" s="95">
        <f t="shared" si="185"/>
        <v>0</v>
      </c>
      <c r="CV287" s="95">
        <f t="shared" si="186"/>
        <v>46.9</v>
      </c>
      <c r="CW287" s="95">
        <f t="shared" si="187"/>
        <v>1779.8</v>
      </c>
      <c r="CX287" s="99">
        <f>'LOB Transfers'!G286</f>
        <v>300498</v>
      </c>
      <c r="CY287" s="99">
        <f>'LOB Transfers'!J286</f>
        <v>1662</v>
      </c>
      <c r="CZ287" s="87" t="s">
        <v>479</v>
      </c>
    </row>
    <row r="288" spans="1:104" ht="15" customHeight="1">
      <c r="A288" s="88">
        <v>509</v>
      </c>
      <c r="B288" s="87" t="s">
        <v>66</v>
      </c>
      <c r="C288" s="87" t="s">
        <v>800</v>
      </c>
      <c r="D288" s="95">
        <v>185.7</v>
      </c>
      <c r="E288" s="95">
        <v>0</v>
      </c>
      <c r="F288" s="95">
        <f t="shared" si="154"/>
        <v>185.7</v>
      </c>
      <c r="G288" s="95">
        <v>200</v>
      </c>
      <c r="H288" s="95">
        <v>0</v>
      </c>
      <c r="I288" s="95">
        <f t="shared" si="155"/>
        <v>200</v>
      </c>
      <c r="J288" s="95">
        <v>186.9</v>
      </c>
      <c r="K288" s="95">
        <v>0</v>
      </c>
      <c r="L288" s="95">
        <f t="shared" si="156"/>
        <v>186.9</v>
      </c>
      <c r="M288" s="95">
        <f>IF(ISNA(VLOOKUP($CZ288,'Audit Values'!$A$2:$BW$365,2,FALSE)),'Preliminary SO66'!C287,VLOOKUP($CZ288,'Audit Values'!$A$2:$BW$365,73,FALSE))</f>
        <v>170.5</v>
      </c>
      <c r="N288" s="95">
        <f>IF(ISNA(VLOOKUP($CZ288,'Audit Values'!$A$2:$BW$365,2,FALSE)),'Preliminary SO66'!F287,VLOOKUP($CZ288,'Audit Values'!$A$2:$BW$365,4,FALSE))</f>
        <v>0</v>
      </c>
      <c r="O288" s="95">
        <f t="shared" si="157"/>
        <v>170.5</v>
      </c>
      <c r="P288" s="95">
        <f>IF('Military Provision'!J289="YES", MAX('2019 Legal Max'!L288,'2019 Legal Max'!I288,AVERAGE('2019 Legal Max'!F288,'2019 Legal Max'!I288,'2019 Legal Max'!L288)), MAX(L288, I288))</f>
        <v>200</v>
      </c>
      <c r="Q288" s="95">
        <f>IF(ISNA(VLOOKUP($CZ288,'Audit Values'!$A$2:$BU$353,2,FALSE)),'Preliminary SO66'!AL287,VLOOKUP($CZ288,'Audit Values'!$A$2:$BU$3955,58,FALSE))</f>
        <v>1.5</v>
      </c>
      <c r="R288" s="95">
        <v>0</v>
      </c>
      <c r="S288" s="95">
        <f t="shared" si="189"/>
        <v>201.5</v>
      </c>
      <c r="T288" s="95">
        <f t="shared" si="158"/>
        <v>150.19999999999999</v>
      </c>
      <c r="U288" s="95">
        <f>IF(ISNA(VLOOKUP($CZ288,'Audit Values'!$A$2:$BW$317,2,FALSE)),'Preliminary SO66'!AM287,VLOOKUP($CZ288,'Audit Values'!$A$2:$BW$317,62,FALSE))</f>
        <v>0</v>
      </c>
      <c r="V288" s="95">
        <f>(U288/6)*'Weighting Factors'!$Q$7</f>
        <v>0</v>
      </c>
      <c r="W288" s="132">
        <f>IF(ISNA(VLOOKUP($CZ288,'Audit Values'!$A$2:$BW$353,2,FALSE)),'Preliminary SO66'!AN287,VLOOKUP($CZ288,'Audit Values'!$A$2:$BW$353,61,FALSE))</f>
        <v>0</v>
      </c>
      <c r="X288" s="95">
        <f>W288*'Weighting Factors'!$Q$8</f>
        <v>0</v>
      </c>
      <c r="Y288" s="95">
        <f t="shared" si="159"/>
        <v>0</v>
      </c>
      <c r="Z288" s="276">
        <f>IF(ISNA(VLOOKUP($CZ288,'Audit Values'!$A$2:$BW$317,2,FALSE)),'Preliminary SO66'!AO287,VLOOKUP($CZ288,'Audit Values'!$A$2:$BW$317,60,FALSE))</f>
        <v>74.8</v>
      </c>
      <c r="AA288" s="95">
        <f>Z288/6*'Weighting Factors'!$Q$6</f>
        <v>6.2</v>
      </c>
      <c r="AB288" s="99">
        <f>IF(ISNA(VLOOKUP($CZ288,'Audit Values'!$A$2:$BU$353,2,FALSE)),'Preliminary SO66'!AS287,VLOOKUP($CZ288,'Audit Values'!$A$2:$BU$353,63,FALSE))</f>
        <v>175</v>
      </c>
      <c r="AC288" s="99">
        <v>0</v>
      </c>
      <c r="AD288" s="99">
        <f>IF(ISNA(VLOOKUP($CZ288,'Audit Values'!$A$2:$BU$353,2,FALSE)),'Preliminary SO66'!AP287,VLOOKUP($CZ288,'Audit Values'!$A$2:$BU$353,64,FALSE))</f>
        <v>57</v>
      </c>
      <c r="AE288" s="95">
        <f>IF(A288=207, AD288,MAX(AC288,AD288))*'Weighting Factors'!$Q$9</f>
        <v>27.6</v>
      </c>
      <c r="AF288" s="95">
        <f t="shared" si="160"/>
        <v>0</v>
      </c>
      <c r="AG288" s="95">
        <f>IF(ISNA(VLOOKUP($CZ288,'Audit Values'!$A$2:$BW$353,2,FALSE)),'Preliminary SO66'!AG287,VLOOKUP($CZ288,'Audit Values'!$A$2:$BW$353,70,FALSE))</f>
        <v>0.9</v>
      </c>
      <c r="AH288" s="95">
        <f t="shared" si="161"/>
        <v>0.9</v>
      </c>
      <c r="AI288" s="95">
        <f>IF(ISNA(VLOOKUP($CZ288,'Audit Values'!$A$2:$BU$353,2,FALSE)),'Preliminary SO66'!AQ287,VLOOKUP($CZ288,'Audit Values'!$A$2:$BU$353,65,FALSE))</f>
        <v>0</v>
      </c>
      <c r="AJ288" s="95">
        <f>AI288*'Weighting Factors'!$Q$10</f>
        <v>0</v>
      </c>
      <c r="AK288" s="95">
        <f>IF(ISNA(VLOOKUP($CZ288,'Audit Values'!$A$2:$BU$353,2,FALSE)),'Preliminary SO66'!AR287,VLOOKUP($CZ288,'Audit Values'!$A$2:$BU$353,66,FALSE))</f>
        <v>55</v>
      </c>
      <c r="AL288" s="95"/>
      <c r="AM288" s="99">
        <f t="shared" si="162"/>
        <v>63250</v>
      </c>
      <c r="AN288" s="99">
        <v>107471</v>
      </c>
      <c r="AO288" s="95">
        <f>MAX(AN288, AM288)/'Weighting Factors'!$Q$5</f>
        <v>25.8</v>
      </c>
      <c r="AP288" s="95">
        <f>CN288/'Weighting Factors'!$Q$5</f>
        <v>0</v>
      </c>
      <c r="AQ288" s="95">
        <v>0</v>
      </c>
      <c r="AR288" s="95">
        <f>CS288/'Weighting Factors'!$Q$5</f>
        <v>0</v>
      </c>
      <c r="AS288" s="99">
        <v>297136</v>
      </c>
      <c r="AT288" s="95">
        <f>AS288/'Weighting Factors'!$Q$5</f>
        <v>71.3</v>
      </c>
      <c r="AU288" s="95">
        <f>IF(ISNA(VLOOKUP($CZ288,'Audit Values'!$A$2:$BU$353,2,FALSE)),'Preliminary SO66'!X287,VLOOKUP($CZ288,'Audit Values'!$A$2:$BU$353,47,FALSE))</f>
        <v>0</v>
      </c>
      <c r="AV288" s="95">
        <f t="shared" si="163"/>
        <v>483.5</v>
      </c>
      <c r="AW288" s="95">
        <f t="shared" si="164"/>
        <v>412.2</v>
      </c>
      <c r="AX288" s="95">
        <f>IF(ISNA(VLOOKUP($CZ288,'Audit Values'!$A$2:$BU$353,2,FALSE)),'Preliminary SO66'!AA287,VLOOKUP($CZ288,'Audit Values'!$A$2:$BU$353,41,FALSE))</f>
        <v>0</v>
      </c>
      <c r="AY288" s="95">
        <f>IF(ISNA(VLOOKUP($CZ288,'Audit Values'!$A$2:$BU$353,2,FALSE)),'Preliminary SO66'!AB287,VLOOKUP($CZ288,'Audit Values'!$A$2:$BU$353,42,FALSE))</f>
        <v>0</v>
      </c>
      <c r="AZ288" s="114">
        <v>0</v>
      </c>
      <c r="BA288" s="99">
        <f>SUM(AX288*'Weighting Factors'!$T$10)+('2019 Legal Max'!AY288*'Weighting Factors'!$T$11)+('2019 Legal Max'!AZ288*'Weighting Factors'!$T$12)</f>
        <v>0</v>
      </c>
      <c r="BB288" s="158">
        <v>0</v>
      </c>
      <c r="BC288" s="88">
        <f>IF(ISNA(VLOOKUP($CZ288,'Audit Values'!$A$2:$BU$353,2,FALSE)),"",IF(AND('Weighting Factors'!H288&gt;0,VLOOKUP($CZ288,'Audit Values'!$A$2:$BU$353,51,FALSE)&lt;'Weighting Factors'!H288),'Weighting Factors'!H288,VLOOKUP($CZ288,'Audit Values'!$A$2:$BU$353,50,FALSE)))</f>
        <v>4</v>
      </c>
      <c r="BD288" s="88" t="str">
        <f>IF(ISNA(VLOOKUP($CZ288,'Audit Values'!$A$2:$BV$353,2,FALSE)),"",VLOOKUP($CZ288,'Audit Values'!$A$2:$BV$353,51,FALSE))</f>
        <v>A</v>
      </c>
      <c r="BE288" s="88" t="str">
        <f>IF('Weighting Factors'!H288="","",IF('Weighting Factors'!J288="Pending","PX","R"))</f>
        <v/>
      </c>
      <c r="BF288" s="97">
        <f>SUM((S288+T288+Y288+AA288+AE288+AH288+AJ288++AO288+AP288+AQ288+AU288+AR288)*'Weighting Factors'!$Q$5)+'2019 Legal Max'!BA288+'2019 Legal Max'!BB288</f>
        <v>1716813</v>
      </c>
      <c r="BG288" s="99">
        <f>SUM((AV288+AR288)*'Weighting Factors'!$Q$5)+BA288+'2019 Legal Max'!BB288</f>
        <v>2013778</v>
      </c>
      <c r="BH288" s="108">
        <f>IF('Weighting Factors'!H288&gt;0,'Weighting Factors'!H288,'Preliminary SO66'!AV287)</f>
        <v>2055844</v>
      </c>
      <c r="BI288" s="99">
        <f t="shared" si="188"/>
        <v>2013778</v>
      </c>
      <c r="BJ288" s="112"/>
      <c r="BK288" s="112">
        <f>'Weighting Factors'!F288</f>
        <v>-27881</v>
      </c>
      <c r="BL288" s="112">
        <f>'Weighting Factors'!E288</f>
        <v>0</v>
      </c>
      <c r="BM288" s="99">
        <f t="shared" si="165"/>
        <v>-27881</v>
      </c>
      <c r="BN288" s="99">
        <f t="shared" si="166"/>
        <v>1985897</v>
      </c>
      <c r="BO288" s="99">
        <f>SUM((S288+T288+Y288+AA288+AE288+AH288+AJ288++AO288+AP288+AQ288+AR288)*'Weighting Factors'!Q$12)+(MAX(AS288,'Weighting Factors'!B288))</f>
        <v>2165664</v>
      </c>
      <c r="BP288" s="122">
        <v>0.33</v>
      </c>
      <c r="BQ288" s="99">
        <f t="shared" si="167"/>
        <v>714669</v>
      </c>
      <c r="BR288" s="108">
        <v>725041</v>
      </c>
      <c r="BS288" s="99">
        <f t="shared" si="168"/>
        <v>714669</v>
      </c>
      <c r="BT288" s="167">
        <f t="shared" si="169"/>
        <v>0.33</v>
      </c>
      <c r="BU288" s="95">
        <f t="shared" si="170"/>
        <v>0</v>
      </c>
      <c r="BV288" s="87" t="b">
        <f t="shared" si="171"/>
        <v>1</v>
      </c>
      <c r="BW288" s="117">
        <f t="shared" si="172"/>
        <v>979.98299999999995</v>
      </c>
      <c r="BX288" s="116">
        <f t="shared" si="173"/>
        <v>0.74528300000000003</v>
      </c>
      <c r="BY288" s="95">
        <f t="shared" si="174"/>
        <v>150.19999999999999</v>
      </c>
      <c r="BZ288" s="87" t="b">
        <f t="shared" si="175"/>
        <v>0</v>
      </c>
      <c r="CA288" s="87">
        <f t="shared" si="176"/>
        <v>0</v>
      </c>
      <c r="CB288" s="116">
        <f t="shared" si="177"/>
        <v>0</v>
      </c>
      <c r="CC288" s="95">
        <f t="shared" si="178"/>
        <v>0</v>
      </c>
      <c r="CD288" s="95">
        <f t="shared" si="179"/>
        <v>0</v>
      </c>
      <c r="CE288" s="98">
        <v>150</v>
      </c>
      <c r="CF288" s="250">
        <f t="shared" si="180"/>
        <v>0.36699999999999999</v>
      </c>
      <c r="CG288" s="274">
        <f>IF(CF288&lt;0.06,1,IF(CF288&gt;=18.29,52,MATCH(CF288-0.001,'Weighting Factors'!$Y$5:$Y$156)+1))</f>
        <v>22</v>
      </c>
      <c r="CH288" s="243">
        <f>VLOOKUP(CG288, 'Weighting Factors'!$W$5:$Z$56,4)</f>
        <v>1150</v>
      </c>
      <c r="CI288" s="118">
        <f>('Weighting Factors'!$Q$5/'Weighting Factors'!$Q$14)</f>
        <v>1</v>
      </c>
      <c r="CJ288" s="245">
        <f t="shared" si="181"/>
        <v>63250</v>
      </c>
      <c r="CK288" s="245">
        <f>CJ288*'Weighting Factors'!$S$7</f>
        <v>63250</v>
      </c>
      <c r="CL288" s="245">
        <f t="shared" si="182"/>
        <v>63250</v>
      </c>
      <c r="CM288" s="95">
        <f>AM288/'Weighting Factors'!$Q$5</f>
        <v>15.2</v>
      </c>
      <c r="CN288" s="148">
        <v>0</v>
      </c>
      <c r="CO288" s="148">
        <v>0</v>
      </c>
      <c r="CP288" s="149">
        <v>0</v>
      </c>
      <c r="CQ288" s="151">
        <v>0</v>
      </c>
      <c r="CR288" s="99">
        <f>SUM((AV288*'Weighting Factors'!$Q$5)+'2019 Legal Max'!BA288)*CQ288</f>
        <v>0</v>
      </c>
      <c r="CS288" s="99">
        <f t="shared" si="183"/>
        <v>0</v>
      </c>
      <c r="CT288" s="106">
        <f t="shared" si="184"/>
        <v>0.32569999999999999</v>
      </c>
      <c r="CU288" s="95">
        <f t="shared" si="185"/>
        <v>0</v>
      </c>
      <c r="CV288" s="95">
        <f t="shared" si="186"/>
        <v>0</v>
      </c>
      <c r="CW288" s="95">
        <f t="shared" si="187"/>
        <v>483.5</v>
      </c>
      <c r="CX288" s="99">
        <f>'LOB Transfers'!G287</f>
        <v>40951</v>
      </c>
      <c r="CY288" s="99">
        <f>'LOB Transfers'!J287</f>
        <v>0</v>
      </c>
      <c r="CZ288" s="87" t="s">
        <v>480</v>
      </c>
    </row>
    <row r="289" spans="1:104" ht="15" customHeight="1">
      <c r="A289" s="88">
        <v>511</v>
      </c>
      <c r="B289" s="87" t="s">
        <v>68</v>
      </c>
      <c r="C289" s="87" t="s">
        <v>801</v>
      </c>
      <c r="D289" s="95">
        <v>151.5</v>
      </c>
      <c r="E289" s="95">
        <v>0</v>
      </c>
      <c r="F289" s="95">
        <f t="shared" si="154"/>
        <v>151.5</v>
      </c>
      <c r="G289" s="95">
        <v>167.5</v>
      </c>
      <c r="H289" s="95">
        <v>0</v>
      </c>
      <c r="I289" s="95">
        <f t="shared" si="155"/>
        <v>167.5</v>
      </c>
      <c r="J289" s="95">
        <v>161</v>
      </c>
      <c r="K289" s="95">
        <v>0</v>
      </c>
      <c r="L289" s="95">
        <f t="shared" si="156"/>
        <v>161</v>
      </c>
      <c r="M289" s="95">
        <f>IF(ISNA(VLOOKUP($CZ289,'Audit Values'!$A$2:$BW$365,2,FALSE)),'Preliminary SO66'!C288,VLOOKUP($CZ289,'Audit Values'!$A$2:$BW$365,73,FALSE))</f>
        <v>158.5</v>
      </c>
      <c r="N289" s="95">
        <f>IF(ISNA(VLOOKUP($CZ289,'Audit Values'!$A$2:$BW$365,2,FALSE)),'Preliminary SO66'!F288,VLOOKUP($CZ289,'Audit Values'!$A$2:$BW$365,4,FALSE))</f>
        <v>0</v>
      </c>
      <c r="O289" s="95">
        <f t="shared" si="157"/>
        <v>158.5</v>
      </c>
      <c r="P289" s="95">
        <f>IF('Military Provision'!J290="YES", MAX('2019 Legal Max'!L289,'2019 Legal Max'!I289,AVERAGE('2019 Legal Max'!F289,'2019 Legal Max'!I289,'2019 Legal Max'!L289)), MAX(L289, I289))</f>
        <v>167.5</v>
      </c>
      <c r="Q289" s="95">
        <f>IF(ISNA(VLOOKUP($CZ289,'Audit Values'!$A$2:$BU$353,2,FALSE)),'Preliminary SO66'!AL288,VLOOKUP($CZ289,'Audit Values'!$A$2:$BU$3955,58,FALSE))</f>
        <v>2</v>
      </c>
      <c r="R289" s="95">
        <v>0</v>
      </c>
      <c r="S289" s="95">
        <f t="shared" si="189"/>
        <v>169.5</v>
      </c>
      <c r="T289" s="95">
        <f t="shared" si="158"/>
        <v>140.69999999999999</v>
      </c>
      <c r="U289" s="95">
        <f>IF(ISNA(VLOOKUP($CZ289,'Audit Values'!$A$2:$BW$317,2,FALSE)),'Preliminary SO66'!AM288,VLOOKUP($CZ289,'Audit Values'!$A$2:$BW$317,62,FALSE))</f>
        <v>0</v>
      </c>
      <c r="V289" s="95">
        <f>(U289/6)*'Weighting Factors'!$Q$7</f>
        <v>0</v>
      </c>
      <c r="W289" s="132">
        <f>IF(ISNA(VLOOKUP($CZ289,'Audit Values'!$A$2:$BW$353,2,FALSE)),'Preliminary SO66'!AN288,VLOOKUP($CZ289,'Audit Values'!$A$2:$BW$353,61,FALSE))</f>
        <v>0</v>
      </c>
      <c r="X289" s="95">
        <f>W289*'Weighting Factors'!$Q$8</f>
        <v>0</v>
      </c>
      <c r="Y289" s="95">
        <f t="shared" si="159"/>
        <v>0</v>
      </c>
      <c r="Z289" s="276">
        <f>IF(ISNA(VLOOKUP($CZ289,'Audit Values'!$A$2:$BW$317,2,FALSE)),'Preliminary SO66'!AO288,VLOOKUP($CZ289,'Audit Values'!$A$2:$BW$317,60,FALSE))</f>
        <v>0</v>
      </c>
      <c r="AA289" s="95">
        <f>Z289/6*'Weighting Factors'!$Q$6</f>
        <v>0</v>
      </c>
      <c r="AB289" s="99">
        <f>IF(ISNA(VLOOKUP($CZ289,'Audit Values'!$A$2:$BU$353,2,FALSE)),'Preliminary SO66'!AS288,VLOOKUP($CZ289,'Audit Values'!$A$2:$BU$353,63,FALSE))</f>
        <v>165</v>
      </c>
      <c r="AC289" s="99">
        <v>0</v>
      </c>
      <c r="AD289" s="99">
        <f>IF(ISNA(VLOOKUP($CZ289,'Audit Values'!$A$2:$BU$353,2,FALSE)),'Preliminary SO66'!AP288,VLOOKUP($CZ289,'Audit Values'!$A$2:$BU$353,64,FALSE))</f>
        <v>59</v>
      </c>
      <c r="AE289" s="95">
        <f>IF(A289=207, AD289,MAX(AC289,AD289))*'Weighting Factors'!$Q$9</f>
        <v>28.6</v>
      </c>
      <c r="AF289" s="95">
        <f t="shared" si="160"/>
        <v>0.3</v>
      </c>
      <c r="AG289" s="95">
        <f>IF(ISNA(VLOOKUP($CZ289,'Audit Values'!$A$2:$BW$353,2,FALSE)),'Preliminary SO66'!AG288,VLOOKUP($CZ289,'Audit Values'!$A$2:$BW$353,70,FALSE))</f>
        <v>0.3</v>
      </c>
      <c r="AH289" s="95">
        <f t="shared" si="161"/>
        <v>0.3</v>
      </c>
      <c r="AI289" s="95">
        <f>IF(ISNA(VLOOKUP($CZ289,'Audit Values'!$A$2:$BU$353,2,FALSE)),'Preliminary SO66'!AQ288,VLOOKUP($CZ289,'Audit Values'!$A$2:$BU$353,65,FALSE))</f>
        <v>0</v>
      </c>
      <c r="AJ289" s="95">
        <f>AI289*'Weighting Factors'!$Q$10</f>
        <v>0</v>
      </c>
      <c r="AK289" s="95">
        <f>IF(ISNA(VLOOKUP($CZ289,'Audit Values'!$A$2:$BU$353,2,FALSE)),'Preliminary SO66'!AR288,VLOOKUP($CZ289,'Audit Values'!$A$2:$BU$353,66,FALSE))</f>
        <v>16</v>
      </c>
      <c r="AL289" s="95"/>
      <c r="AM289" s="99">
        <f t="shared" si="162"/>
        <v>22560</v>
      </c>
      <c r="AN289" s="99">
        <v>25038</v>
      </c>
      <c r="AO289" s="95">
        <f>MAX(AN289, AM289)/'Weighting Factors'!$Q$5</f>
        <v>6</v>
      </c>
      <c r="AP289" s="95">
        <f>CN289/'Weighting Factors'!$Q$5</f>
        <v>0</v>
      </c>
      <c r="AQ289" s="95">
        <v>0</v>
      </c>
      <c r="AR289" s="95">
        <f>CS289/'Weighting Factors'!$Q$5</f>
        <v>0</v>
      </c>
      <c r="AS289" s="99">
        <v>198561</v>
      </c>
      <c r="AT289" s="95">
        <f>AS289/'Weighting Factors'!$Q$5</f>
        <v>47.7</v>
      </c>
      <c r="AU289" s="95">
        <f>IF(ISNA(VLOOKUP($CZ289,'Audit Values'!$A$2:$BU$353,2,FALSE)),'Preliminary SO66'!X288,VLOOKUP($CZ289,'Audit Values'!$A$2:$BU$353,47,FALSE))</f>
        <v>0</v>
      </c>
      <c r="AV289" s="95">
        <f t="shared" si="163"/>
        <v>392.8</v>
      </c>
      <c r="AW289" s="95">
        <f t="shared" si="164"/>
        <v>345.1</v>
      </c>
      <c r="AX289" s="95">
        <f>IF(ISNA(VLOOKUP($CZ289,'Audit Values'!$A$2:$BU$353,2,FALSE)),'Preliminary SO66'!AA288,VLOOKUP($CZ289,'Audit Values'!$A$2:$BU$353,41,FALSE))</f>
        <v>0</v>
      </c>
      <c r="AY289" s="95">
        <f>IF(ISNA(VLOOKUP($CZ289,'Audit Values'!$A$2:$BU$353,2,FALSE)),'Preliminary SO66'!AB288,VLOOKUP($CZ289,'Audit Values'!$A$2:$BU$353,42,FALSE))</f>
        <v>0</v>
      </c>
      <c r="AZ289" s="114">
        <v>0</v>
      </c>
      <c r="BA289" s="99">
        <f>SUM(AX289*'Weighting Factors'!$T$10)+('2019 Legal Max'!AY289*'Weighting Factors'!$T$11)+('2019 Legal Max'!AZ289*'Weighting Factors'!$T$12)</f>
        <v>0</v>
      </c>
      <c r="BB289" s="158">
        <v>0</v>
      </c>
      <c r="BC289" s="88">
        <f>IF(ISNA(VLOOKUP($CZ289,'Audit Values'!$A$2:$BU$353,2,FALSE)),"",IF(AND('Weighting Factors'!H289&gt;0,VLOOKUP($CZ289,'Audit Values'!$A$2:$BU$353,51,FALSE)&lt;'Weighting Factors'!H289),'Weighting Factors'!H289,VLOOKUP($CZ289,'Audit Values'!$A$2:$BU$353,50,FALSE)))</f>
        <v>17</v>
      </c>
      <c r="BD289" s="88" t="str">
        <f>IF(ISNA(VLOOKUP($CZ289,'Audit Values'!$A$2:$BV$353,2,FALSE)),"",VLOOKUP($CZ289,'Audit Values'!$A$2:$BV$353,51,FALSE))</f>
        <v>A</v>
      </c>
      <c r="BE289" s="88" t="str">
        <f>IF('Weighting Factors'!H289="","",IF('Weighting Factors'!J289="Pending","PX","R"))</f>
        <v/>
      </c>
      <c r="BF289" s="97">
        <f>SUM((S289+T289+Y289+AA289+AE289+AH289+AJ289++AO289+AP289+AQ289+AU289+AR289)*'Weighting Factors'!$Q$5)+'2019 Legal Max'!BA289+'2019 Legal Max'!BB289</f>
        <v>1437342</v>
      </c>
      <c r="BG289" s="99">
        <f>SUM((AV289+AR289)*'Weighting Factors'!$Q$5)+BA289+'2019 Legal Max'!BB289</f>
        <v>1636012</v>
      </c>
      <c r="BH289" s="108">
        <f>IF('Weighting Factors'!H289&gt;0,'Weighting Factors'!H289,'Preliminary SO66'!AV288)</f>
        <v>1677246</v>
      </c>
      <c r="BI289" s="99">
        <f t="shared" si="188"/>
        <v>1636012</v>
      </c>
      <c r="BJ289" s="112"/>
      <c r="BK289" s="112">
        <f>'Weighting Factors'!F289</f>
        <v>0</v>
      </c>
      <c r="BL289" s="112">
        <f>'Weighting Factors'!E289</f>
        <v>0</v>
      </c>
      <c r="BM289" s="99">
        <f t="shared" si="165"/>
        <v>0</v>
      </c>
      <c r="BN289" s="99">
        <f t="shared" si="166"/>
        <v>1636012</v>
      </c>
      <c r="BO289" s="99">
        <f>SUM((S289+T289+Y289+AA289+AE289+AH289+AJ289++AO289+AP289+AQ289+AR289)*'Weighting Factors'!Q$12)+(MAX(AS289,'Weighting Factors'!B289))</f>
        <v>1748060</v>
      </c>
      <c r="BP289" s="122">
        <v>0.3</v>
      </c>
      <c r="BQ289" s="99">
        <f t="shared" si="167"/>
        <v>524418</v>
      </c>
      <c r="BR289" s="108">
        <v>537315</v>
      </c>
      <c r="BS289" s="99">
        <f t="shared" si="168"/>
        <v>524418</v>
      </c>
      <c r="BT289" s="167">
        <f t="shared" si="169"/>
        <v>0.3</v>
      </c>
      <c r="BU289" s="95">
        <f t="shared" si="170"/>
        <v>0</v>
      </c>
      <c r="BV289" s="87" t="b">
        <f t="shared" si="171"/>
        <v>1</v>
      </c>
      <c r="BW289" s="117">
        <f t="shared" si="172"/>
        <v>671.02300000000002</v>
      </c>
      <c r="BX289" s="116">
        <f t="shared" si="173"/>
        <v>0.83010600000000001</v>
      </c>
      <c r="BY289" s="95">
        <f t="shared" si="174"/>
        <v>140.69999999999999</v>
      </c>
      <c r="BZ289" s="87" t="b">
        <f t="shared" si="175"/>
        <v>0</v>
      </c>
      <c r="CA289" s="87">
        <f t="shared" si="176"/>
        <v>0</v>
      </c>
      <c r="CB289" s="116">
        <f t="shared" si="177"/>
        <v>0</v>
      </c>
      <c r="CC289" s="95">
        <f t="shared" si="178"/>
        <v>0</v>
      </c>
      <c r="CD289" s="95">
        <f t="shared" si="179"/>
        <v>0</v>
      </c>
      <c r="CE289" s="98">
        <v>126</v>
      </c>
      <c r="CF289" s="250">
        <f t="shared" si="180"/>
        <v>0.127</v>
      </c>
      <c r="CG289" s="274">
        <f>IF(CF289&lt;0.06,1,IF(CF289&gt;=18.29,52,MATCH(CF289-0.001,'Weighting Factors'!$Y$5:$Y$156)+1))</f>
        <v>8</v>
      </c>
      <c r="CH289" s="243">
        <f>VLOOKUP(CG289, 'Weighting Factors'!$W$5:$Z$56,4)</f>
        <v>1410</v>
      </c>
      <c r="CI289" s="118">
        <f>('Weighting Factors'!$Q$5/'Weighting Factors'!$Q$14)</f>
        <v>1</v>
      </c>
      <c r="CJ289" s="245">
        <f t="shared" si="181"/>
        <v>22560</v>
      </c>
      <c r="CK289" s="245">
        <f>CJ289*'Weighting Factors'!$S$7</f>
        <v>22560</v>
      </c>
      <c r="CL289" s="245">
        <f t="shared" si="182"/>
        <v>22560</v>
      </c>
      <c r="CM289" s="95">
        <f>AM289/'Weighting Factors'!$Q$5</f>
        <v>5.4</v>
      </c>
      <c r="CN289" s="148">
        <v>0</v>
      </c>
      <c r="CO289" s="148">
        <v>0</v>
      </c>
      <c r="CP289" s="149">
        <v>0</v>
      </c>
      <c r="CQ289" s="151">
        <v>0</v>
      </c>
      <c r="CR289" s="99">
        <f>SUM((AV289*'Weighting Factors'!$Q$5)+'2019 Legal Max'!BA289)*CQ289</f>
        <v>0</v>
      </c>
      <c r="CS289" s="99">
        <f t="shared" si="183"/>
        <v>0</v>
      </c>
      <c r="CT289" s="106">
        <f t="shared" si="184"/>
        <v>0.35759999999999997</v>
      </c>
      <c r="CU289" s="95">
        <f t="shared" si="185"/>
        <v>0</v>
      </c>
      <c r="CV289" s="95">
        <f t="shared" si="186"/>
        <v>0.3</v>
      </c>
      <c r="CW289" s="95">
        <f t="shared" si="187"/>
        <v>392.8</v>
      </c>
      <c r="CX289" s="99">
        <f>'LOB Transfers'!G288</f>
        <v>38387</v>
      </c>
      <c r="CY289" s="99">
        <f>'LOB Transfers'!J288</f>
        <v>0</v>
      </c>
      <c r="CZ289" s="87" t="s">
        <v>481</v>
      </c>
    </row>
    <row r="290" spans="1:104" ht="15" customHeight="1">
      <c r="A290" s="88">
        <v>512</v>
      </c>
      <c r="B290" s="87" t="s">
        <v>22</v>
      </c>
      <c r="C290" s="87" t="s">
        <v>802</v>
      </c>
      <c r="D290" s="95">
        <v>26413.1</v>
      </c>
      <c r="E290" s="95">
        <v>0</v>
      </c>
      <c r="F290" s="95">
        <f t="shared" si="154"/>
        <v>26413.1</v>
      </c>
      <c r="G290" s="95">
        <v>27014.799999999999</v>
      </c>
      <c r="H290" s="95">
        <v>0</v>
      </c>
      <c r="I290" s="95">
        <f t="shared" si="155"/>
        <v>27014.799999999999</v>
      </c>
      <c r="J290" s="95">
        <v>26970</v>
      </c>
      <c r="K290" s="95">
        <v>0</v>
      </c>
      <c r="L290" s="95">
        <f t="shared" si="156"/>
        <v>26970</v>
      </c>
      <c r="M290" s="95">
        <f>IF(ISNA(VLOOKUP($CZ290,'Audit Values'!$A$2:$BW$365,2,FALSE)),'Preliminary SO66'!C289,VLOOKUP($CZ290,'Audit Values'!$A$2:$BW$365,73,FALSE))</f>
        <v>26894.9</v>
      </c>
      <c r="N290" s="95">
        <f>IF(ISNA(VLOOKUP($CZ290,'Audit Values'!$A$2:$BW$365,2,FALSE)),'Preliminary SO66'!F289,VLOOKUP($CZ290,'Audit Values'!$A$2:$BW$365,4,FALSE))</f>
        <v>0</v>
      </c>
      <c r="O290" s="95">
        <f t="shared" si="157"/>
        <v>26894.9</v>
      </c>
      <c r="P290" s="95">
        <f>IF('Military Provision'!J291="YES", MAX('2019 Legal Max'!L290,'2019 Legal Max'!I290,AVERAGE('2019 Legal Max'!F290,'2019 Legal Max'!I290,'2019 Legal Max'!L290)), MAX(L290, I290))</f>
        <v>27014.799999999999</v>
      </c>
      <c r="Q290" s="95">
        <f>IF(ISNA(VLOOKUP($CZ290,'Audit Values'!$A$2:$BU$353,2,FALSE)),'Preliminary SO66'!AL289,VLOOKUP($CZ290,'Audit Values'!$A$2:$BU$3955,58,FALSE))</f>
        <v>102</v>
      </c>
      <c r="R290" s="95">
        <v>0</v>
      </c>
      <c r="S290" s="95">
        <f t="shared" si="189"/>
        <v>27116.799999999999</v>
      </c>
      <c r="T290" s="95">
        <f t="shared" si="158"/>
        <v>950.2</v>
      </c>
      <c r="U290" s="95">
        <f>IF(ISNA(VLOOKUP($CZ290,'Audit Values'!$A$2:$BW$317,2,FALSE)),'Preliminary SO66'!AM289,VLOOKUP($CZ290,'Audit Values'!$A$2:$BW$317,62,FALSE))</f>
        <v>6146.3</v>
      </c>
      <c r="V290" s="95">
        <f>(U290/6)*'Weighting Factors'!$Q$7</f>
        <v>404.6</v>
      </c>
      <c r="W290" s="132">
        <f>IF(ISNA(VLOOKUP($CZ290,'Audit Values'!$A$2:$BW$353,2,FALSE)),'Preliminary SO66'!AN289,VLOOKUP($CZ290,'Audit Values'!$A$2:$BW$353,61,FALSE))</f>
        <v>2719</v>
      </c>
      <c r="X290" s="95">
        <f>W290*'Weighting Factors'!$Q$8</f>
        <v>503</v>
      </c>
      <c r="Y290" s="95">
        <f t="shared" si="159"/>
        <v>503</v>
      </c>
      <c r="Z290" s="276">
        <f>IF(ISNA(VLOOKUP($CZ290,'Audit Values'!$A$2:$BW$317,2,FALSE)),'Preliminary SO66'!AO289,VLOOKUP($CZ290,'Audit Values'!$A$2:$BW$317,60,FALSE))</f>
        <v>5701.9</v>
      </c>
      <c r="AA290" s="95">
        <f>Z290/6*'Weighting Factors'!$Q$6</f>
        <v>475.2</v>
      </c>
      <c r="AB290" s="99">
        <f>IF(ISNA(VLOOKUP($CZ290,'Audit Values'!$A$2:$BU$353,2,FALSE)),'Preliminary SO66'!AS289,VLOOKUP($CZ290,'Audit Values'!$A$2:$BU$353,63,FALSE))</f>
        <v>27271</v>
      </c>
      <c r="AC290" s="99">
        <v>0</v>
      </c>
      <c r="AD290" s="99">
        <f>IF(ISNA(VLOOKUP($CZ290,'Audit Values'!$A$2:$BU$353,2,FALSE)),'Preliminary SO66'!AP289,VLOOKUP($CZ290,'Audit Values'!$A$2:$BU$353,64,FALSE))</f>
        <v>7266</v>
      </c>
      <c r="AE290" s="95">
        <f>IF(A290=207, AD290,MAX(AC290,AD290))*'Weighting Factors'!$Q$9</f>
        <v>3516.7</v>
      </c>
      <c r="AF290" s="95">
        <f t="shared" si="160"/>
        <v>0</v>
      </c>
      <c r="AG290" s="95">
        <f>IF(ISNA(VLOOKUP($CZ290,'Audit Values'!$A$2:$BW$353,2,FALSE)),'Preliminary SO66'!AG289,VLOOKUP($CZ290,'Audit Values'!$A$2:$BW$353,70,FALSE))</f>
        <v>206.4</v>
      </c>
      <c r="AH290" s="95">
        <f t="shared" si="161"/>
        <v>206.4</v>
      </c>
      <c r="AI290" s="95">
        <f>IF(ISNA(VLOOKUP($CZ290,'Audit Values'!$A$2:$BU$353,2,FALSE)),'Preliminary SO66'!AQ289,VLOOKUP($CZ290,'Audit Values'!$A$2:$BU$353,65,FALSE))</f>
        <v>2085.5</v>
      </c>
      <c r="AJ290" s="95">
        <f>AI290*'Weighting Factors'!$Q$10</f>
        <v>521.4</v>
      </c>
      <c r="AK290" s="95">
        <f>IF(ISNA(VLOOKUP($CZ290,'Audit Values'!$A$2:$BU$353,2,FALSE)),'Preliminary SO66'!AR289,VLOOKUP($CZ290,'Audit Values'!$A$2:$BU$353,66,FALSE))</f>
        <v>5002</v>
      </c>
      <c r="AL290" s="95"/>
      <c r="AM290" s="99">
        <f t="shared" si="162"/>
        <v>2751100</v>
      </c>
      <c r="AN290" s="99">
        <v>3002249</v>
      </c>
      <c r="AO290" s="95">
        <f>MAX(AN290, AM290)/'Weighting Factors'!$Q$5</f>
        <v>720.8</v>
      </c>
      <c r="AP290" s="95">
        <f>CN290/'Weighting Factors'!$Q$5</f>
        <v>0</v>
      </c>
      <c r="AQ290" s="95">
        <v>0</v>
      </c>
      <c r="AR290" s="95">
        <f>CS290/'Weighting Factors'!$Q$5</f>
        <v>1674.1</v>
      </c>
      <c r="AS290" s="99">
        <v>20876990</v>
      </c>
      <c r="AT290" s="95">
        <f>AS290/'Weighting Factors'!$Q$5</f>
        <v>5012.5</v>
      </c>
      <c r="AU290" s="95">
        <f>IF(ISNA(VLOOKUP($CZ290,'Audit Values'!$A$2:$BU$353,2,FALSE)),'Preliminary SO66'!X289,VLOOKUP($CZ290,'Audit Values'!$A$2:$BU$353,47,FALSE))</f>
        <v>1</v>
      </c>
      <c r="AV290" s="95">
        <f t="shared" si="163"/>
        <v>39024</v>
      </c>
      <c r="AW290" s="95">
        <f t="shared" si="164"/>
        <v>35685.599999999999</v>
      </c>
      <c r="AX290" s="95">
        <f>IF(ISNA(VLOOKUP($CZ290,'Audit Values'!$A$2:$BU$353,2,FALSE)),'Preliminary SO66'!AA289,VLOOKUP($CZ290,'Audit Values'!$A$2:$BU$353,41,FALSE))</f>
        <v>0</v>
      </c>
      <c r="AY290" s="95">
        <f>IF(ISNA(VLOOKUP($CZ290,'Audit Values'!$A$2:$BU$353,2,FALSE)),'Preliminary SO66'!AB289,VLOOKUP($CZ290,'Audit Values'!$A$2:$BU$353,42,FALSE))</f>
        <v>0</v>
      </c>
      <c r="AZ290" s="114">
        <v>0</v>
      </c>
      <c r="BA290" s="99">
        <f>SUM(AX290*'Weighting Factors'!$T$10)+('2019 Legal Max'!AY290*'Weighting Factors'!$T$11)+('2019 Legal Max'!AZ290*'Weighting Factors'!$T$12)</f>
        <v>0</v>
      </c>
      <c r="BB290" s="158">
        <v>0</v>
      </c>
      <c r="BC290" s="88">
        <f>IF(ISNA(VLOOKUP($CZ290,'Audit Values'!$A$2:$BU$353,2,FALSE)),"",IF(AND('Weighting Factors'!H290&gt;0,VLOOKUP($CZ290,'Audit Values'!$A$2:$BU$353,51,FALSE)&lt;'Weighting Factors'!H290),'Weighting Factors'!H290,VLOOKUP($CZ290,'Audit Values'!$A$2:$BU$353,50,FALSE)))</f>
        <v>14</v>
      </c>
      <c r="BD290" s="88" t="str">
        <f>IF(ISNA(VLOOKUP($CZ290,'Audit Values'!$A$2:$BV$353,2,FALSE)),"",VLOOKUP($CZ290,'Audit Values'!$A$2:$BV$353,51,FALSE))</f>
        <v>A</v>
      </c>
      <c r="BE290" s="88" t="str">
        <f>IF('Weighting Factors'!H290="","",IF('Weighting Factors'!J290="Pending","PX","R"))</f>
        <v/>
      </c>
      <c r="BF290" s="97">
        <f>SUM((S290+T290+Y290+AA290+AE290+AH290+AJ290++AO290+AP290+AQ290+AU290+AR290)*'Weighting Factors'!$Q$5)+'2019 Legal Max'!BA290+'2019 Legal Max'!BB290</f>
        <v>148630524</v>
      </c>
      <c r="BG290" s="99">
        <f>SUM((AV290+AR290)*'Weighting Factors'!$Q$5)+BA290+'2019 Legal Max'!BB290</f>
        <v>169507587</v>
      </c>
      <c r="BH290" s="108">
        <f>IF('Weighting Factors'!H290&gt;0,'Weighting Factors'!H290,'Preliminary SO66'!AV289)</f>
        <v>170560082</v>
      </c>
      <c r="BI290" s="99">
        <f t="shared" si="188"/>
        <v>169507587</v>
      </c>
      <c r="BJ290" s="112"/>
      <c r="BK290" s="112">
        <f>'Weighting Factors'!F290</f>
        <v>0</v>
      </c>
      <c r="BL290" s="112">
        <f>'Weighting Factors'!E290</f>
        <v>0</v>
      </c>
      <c r="BM290" s="99">
        <f t="shared" si="165"/>
        <v>0</v>
      </c>
      <c r="BN290" s="99">
        <f t="shared" si="166"/>
        <v>169507587</v>
      </c>
      <c r="BO290" s="99">
        <f>SUM((S290+T290+Y290+AA290+AE290+AH290+AJ290++AO290+AP290+AQ290+AR290)*'Weighting Factors'!Q$12)+(MAX(AS290,'Weighting Factors'!B290))</f>
        <v>186327160</v>
      </c>
      <c r="BP290" s="122">
        <v>0.33</v>
      </c>
      <c r="BQ290" s="99">
        <f t="shared" si="167"/>
        <v>61487963</v>
      </c>
      <c r="BR290" s="108">
        <v>61633169</v>
      </c>
      <c r="BS290" s="99">
        <f t="shared" si="168"/>
        <v>61487963</v>
      </c>
      <c r="BT290" s="167">
        <f t="shared" si="169"/>
        <v>0.33</v>
      </c>
      <c r="BU290" s="95">
        <f t="shared" si="170"/>
        <v>0</v>
      </c>
      <c r="BV290" s="87" t="b">
        <f t="shared" si="171"/>
        <v>0</v>
      </c>
      <c r="BW290" s="117">
        <f t="shared" si="172"/>
        <v>0</v>
      </c>
      <c r="BX290" s="116">
        <f t="shared" si="173"/>
        <v>0</v>
      </c>
      <c r="BY290" s="95">
        <f t="shared" si="174"/>
        <v>0</v>
      </c>
      <c r="BZ290" s="87" t="b">
        <f t="shared" si="175"/>
        <v>0</v>
      </c>
      <c r="CA290" s="87">
        <f t="shared" si="176"/>
        <v>0</v>
      </c>
      <c r="CB290" s="116">
        <f t="shared" si="177"/>
        <v>0</v>
      </c>
      <c r="CC290" s="95">
        <f t="shared" si="178"/>
        <v>0</v>
      </c>
      <c r="CD290" s="95">
        <f t="shared" si="179"/>
        <v>950.2</v>
      </c>
      <c r="CE290" s="98">
        <v>72</v>
      </c>
      <c r="CF290" s="250">
        <f t="shared" si="180"/>
        <v>69.471999999999994</v>
      </c>
      <c r="CG290" s="274">
        <f>IF(CF290&lt;0.06,1,IF(CF290&gt;=18.29,52,MATCH(CF290-0.001,'Weighting Factors'!$Y$5:$Y$156)+1))</f>
        <v>52</v>
      </c>
      <c r="CH290" s="243">
        <f>VLOOKUP(CG290, 'Weighting Factors'!$W$5:$Z$56,4)</f>
        <v>550</v>
      </c>
      <c r="CI290" s="118">
        <f>('Weighting Factors'!$Q$5/'Weighting Factors'!$Q$14)</f>
        <v>1</v>
      </c>
      <c r="CJ290" s="245">
        <f t="shared" si="181"/>
        <v>2751100</v>
      </c>
      <c r="CK290" s="245">
        <f>CJ290*'Weighting Factors'!$S$7</f>
        <v>2751100</v>
      </c>
      <c r="CL290" s="245">
        <f t="shared" si="182"/>
        <v>2751100</v>
      </c>
      <c r="CM290" s="95">
        <f>AM290/'Weighting Factors'!$Q$5</f>
        <v>660.5</v>
      </c>
      <c r="CN290" s="148">
        <v>0</v>
      </c>
      <c r="CO290" s="148">
        <v>0</v>
      </c>
      <c r="CP290" s="149">
        <v>7016044</v>
      </c>
      <c r="CQ290" s="151">
        <v>4.2900000000000001E-2</v>
      </c>
      <c r="CR290" s="99">
        <f>SUM((AV290*'Weighting Factors'!$Q$5)+'2019 Legal Max'!BA290)*CQ290</f>
        <v>6972750</v>
      </c>
      <c r="CS290" s="99">
        <f t="shared" si="183"/>
        <v>6972750</v>
      </c>
      <c r="CT290" s="106">
        <f t="shared" si="184"/>
        <v>0.26640000000000003</v>
      </c>
      <c r="CU290" s="95">
        <f t="shared" si="185"/>
        <v>0</v>
      </c>
      <c r="CV290" s="95">
        <f t="shared" si="186"/>
        <v>0</v>
      </c>
      <c r="CW290" s="95">
        <f t="shared" si="187"/>
        <v>40698.1</v>
      </c>
      <c r="CX290" s="99">
        <f>'LOB Transfers'!G289</f>
        <v>5324858</v>
      </c>
      <c r="CY290" s="99">
        <f>'LOB Transfers'!J289</f>
        <v>762451</v>
      </c>
      <c r="CZ290" s="87" t="s">
        <v>482</v>
      </c>
    </row>
    <row r="291" spans="1:104" ht="15" customHeight="1"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9"/>
      <c r="AD291" s="95"/>
      <c r="AE291" s="95"/>
      <c r="AF291" s="95"/>
      <c r="AG291" s="95"/>
      <c r="AH291" s="95"/>
      <c r="AI291" s="95"/>
      <c r="AJ291" s="95"/>
      <c r="AK291" s="95"/>
      <c r="AL291" s="95"/>
      <c r="AM291" s="99"/>
      <c r="AN291" s="99"/>
      <c r="AO291" s="95"/>
      <c r="AP291" s="95"/>
      <c r="AQ291" s="95"/>
      <c r="AR291" s="95"/>
      <c r="AS291" s="99"/>
      <c r="AT291" s="95"/>
      <c r="AU291" s="95"/>
      <c r="AV291" s="95"/>
      <c r="AW291" s="95"/>
      <c r="AX291" s="95"/>
      <c r="AY291" s="95"/>
      <c r="AZ291" s="95"/>
      <c r="BA291" s="99"/>
      <c r="BB291" s="158"/>
      <c r="BC291" s="88"/>
      <c r="BD291" s="88"/>
      <c r="BE291" s="88"/>
      <c r="BF291" s="97"/>
      <c r="BG291" s="99"/>
      <c r="BH291" s="108"/>
      <c r="BI291" s="99"/>
      <c r="BJ291" s="112"/>
      <c r="BK291" s="112"/>
      <c r="BL291" s="112"/>
      <c r="BM291" s="99"/>
      <c r="BN291" s="99"/>
      <c r="BO291" s="99"/>
      <c r="BP291" s="122"/>
      <c r="BQ291" s="99"/>
      <c r="BR291" s="108"/>
      <c r="BS291" s="99"/>
      <c r="BT291" s="206"/>
      <c r="BU291" s="95"/>
      <c r="BW291" s="117"/>
      <c r="BX291" s="116"/>
      <c r="BY291" s="95"/>
      <c r="CB291" s="116"/>
      <c r="CC291" s="95"/>
      <c r="CD291" s="95"/>
      <c r="CE291" s="98"/>
      <c r="CF291" s="114"/>
      <c r="CG291" s="114"/>
      <c r="CH291" s="115"/>
      <c r="CI291" s="115"/>
      <c r="CJ291" s="115"/>
      <c r="CK291" s="115"/>
      <c r="CL291" s="115"/>
      <c r="CM291" s="95"/>
      <c r="CN291" s="148"/>
      <c r="CO291" s="148"/>
      <c r="CP291" s="149"/>
      <c r="CQ291" s="151"/>
      <c r="CR291" s="99"/>
      <c r="CS291" s="99"/>
      <c r="CT291" s="109"/>
      <c r="CU291" s="95"/>
      <c r="CV291" s="95"/>
      <c r="CW291" s="95"/>
    </row>
    <row r="292" spans="1:104" ht="15" customHeight="1"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9"/>
      <c r="AD292" s="95"/>
      <c r="AE292" s="95"/>
      <c r="AF292" s="95"/>
      <c r="AG292" s="95"/>
      <c r="AH292" s="95"/>
      <c r="AI292" s="95"/>
      <c r="AJ292" s="95"/>
      <c r="AK292" s="95"/>
      <c r="AL292" s="95"/>
      <c r="AM292" s="99"/>
      <c r="AN292" s="99"/>
      <c r="AO292" s="95"/>
      <c r="AP292" s="95"/>
      <c r="AQ292" s="95"/>
      <c r="AR292" s="95"/>
      <c r="AS292" s="99"/>
      <c r="AT292" s="95"/>
      <c r="AU292" s="95"/>
      <c r="AV292" s="95"/>
      <c r="AW292" s="95"/>
      <c r="AX292" s="95"/>
      <c r="AY292" s="95"/>
      <c r="AZ292" s="95"/>
      <c r="BA292" s="99"/>
      <c r="BB292" s="158"/>
      <c r="BC292" s="88"/>
      <c r="BD292" s="88"/>
      <c r="BE292" s="88"/>
      <c r="BF292" s="97"/>
      <c r="BG292" s="99"/>
      <c r="BH292" s="108"/>
      <c r="BI292" s="99"/>
      <c r="BJ292" s="112"/>
      <c r="BK292" s="112"/>
      <c r="BL292" s="112"/>
      <c r="BM292" s="99"/>
      <c r="BN292" s="99"/>
      <c r="BO292" s="99"/>
      <c r="BP292" s="122"/>
      <c r="BQ292" s="99"/>
      <c r="BR292" s="108"/>
      <c r="BS292" s="99"/>
      <c r="BT292" s="206"/>
      <c r="BU292" s="95"/>
      <c r="BW292" s="117"/>
      <c r="BX292" s="116"/>
      <c r="BY292" s="95"/>
      <c r="CB292" s="116"/>
      <c r="CC292" s="95"/>
      <c r="CD292" s="95"/>
      <c r="CE292" s="98"/>
      <c r="CF292" s="114"/>
      <c r="CG292" s="114"/>
      <c r="CH292" s="115"/>
      <c r="CI292" s="115"/>
      <c r="CJ292" s="115"/>
      <c r="CK292" s="115"/>
      <c r="CL292" s="115"/>
      <c r="CM292" s="95"/>
      <c r="CN292" s="148"/>
      <c r="CO292" s="148"/>
      <c r="CP292" s="149"/>
      <c r="CQ292" s="151"/>
      <c r="CR292" s="99"/>
      <c r="CS292" s="99"/>
      <c r="CT292" s="109"/>
      <c r="CU292" s="95"/>
      <c r="CV292" s="95"/>
      <c r="CW292" s="95"/>
    </row>
    <row r="293" spans="1:104" ht="15" customHeight="1">
      <c r="B293" s="110" t="s">
        <v>517</v>
      </c>
      <c r="C293" s="104" t="s">
        <v>144</v>
      </c>
      <c r="G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9"/>
      <c r="AD293" s="99"/>
      <c r="AE293" s="95"/>
      <c r="AF293" s="95"/>
      <c r="AG293" s="95"/>
      <c r="AH293" s="95"/>
      <c r="AI293" s="95"/>
      <c r="AJ293" s="95"/>
      <c r="AK293" s="95"/>
      <c r="AL293" s="95"/>
      <c r="AM293" s="99"/>
      <c r="AN293" s="95"/>
      <c r="AO293" s="95"/>
      <c r="AT293" s="95"/>
      <c r="AV293" s="95"/>
      <c r="AW293" s="95"/>
      <c r="BO293" s="99"/>
      <c r="BT293" s="90"/>
      <c r="CW293" s="95"/>
    </row>
    <row r="294" spans="1:104" ht="15" customHeight="1">
      <c r="C294" s="91" t="s">
        <v>809</v>
      </c>
      <c r="G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9"/>
      <c r="AD294" s="99"/>
      <c r="AE294" s="95"/>
      <c r="AF294" s="95"/>
      <c r="AG294" s="95"/>
      <c r="AH294" s="95"/>
      <c r="AI294" s="95"/>
      <c r="AJ294" s="95"/>
      <c r="AK294" s="95"/>
      <c r="AL294" s="95"/>
      <c r="AM294" s="99"/>
      <c r="AN294" s="95"/>
      <c r="AO294" s="95"/>
      <c r="AT294" s="95"/>
      <c r="AV294" s="95"/>
      <c r="AW294" s="95"/>
      <c r="BO294" s="99"/>
      <c r="CW294" s="95"/>
    </row>
    <row r="295" spans="1:104" ht="15" customHeight="1">
      <c r="C295" s="107" t="s">
        <v>518</v>
      </c>
      <c r="G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9"/>
      <c r="AD295" s="99"/>
      <c r="AE295" s="95"/>
      <c r="AF295" s="95"/>
      <c r="AG295" s="95"/>
      <c r="AH295" s="95"/>
      <c r="AI295" s="95"/>
      <c r="AJ295" s="95"/>
      <c r="AK295" s="95"/>
      <c r="AL295" s="95"/>
      <c r="AM295" s="99"/>
      <c r="AN295" s="95"/>
      <c r="AO295" s="95"/>
      <c r="AT295" s="95"/>
      <c r="AV295" s="95"/>
      <c r="AW295" s="95"/>
      <c r="BO295" s="99"/>
      <c r="CW295" s="95"/>
    </row>
    <row r="296" spans="1:104" ht="15" customHeight="1">
      <c r="C296" s="113" t="s">
        <v>810</v>
      </c>
      <c r="O296" s="95"/>
      <c r="AW296" s="95"/>
      <c r="BO296" s="99"/>
      <c r="CW296" s="95"/>
    </row>
    <row r="297" spans="1:104">
      <c r="BO297" s="99"/>
    </row>
    <row r="298" spans="1:104">
      <c r="BO298" s="99"/>
    </row>
    <row r="299" spans="1:104">
      <c r="BO299" s="99"/>
    </row>
    <row r="300" spans="1:104">
      <c r="BO300" s="99"/>
    </row>
    <row r="301" spans="1:104">
      <c r="BO301" s="99"/>
    </row>
    <row r="302" spans="1:104">
      <c r="BO302" s="99"/>
    </row>
    <row r="303" spans="1:104">
      <c r="BO303" s="99"/>
    </row>
    <row r="304" spans="1:104">
      <c r="BO304" s="99"/>
    </row>
    <row r="305" spans="67:67">
      <c r="BO305" s="99"/>
    </row>
    <row r="306" spans="67:67">
      <c r="BO306" s="99"/>
    </row>
    <row r="307" spans="67:67">
      <c r="BO307" s="99"/>
    </row>
    <row r="308" spans="67:67">
      <c r="BO308" s="99"/>
    </row>
    <row r="309" spans="67:67">
      <c r="BO309" s="99"/>
    </row>
    <row r="310" spans="67:67">
      <c r="BO310" s="99"/>
    </row>
    <row r="311" spans="67:67">
      <c r="BO311" s="99"/>
    </row>
    <row r="312" spans="67:67">
      <c r="BO312" s="99"/>
    </row>
    <row r="313" spans="67:67">
      <c r="BO313" s="99"/>
    </row>
    <row r="314" spans="67:67">
      <c r="BO314" s="99"/>
    </row>
    <row r="315" spans="67:67">
      <c r="BO315" s="99"/>
    </row>
    <row r="316" spans="67:67">
      <c r="BO316" s="99"/>
    </row>
    <row r="317" spans="67:67">
      <c r="BO317" s="99"/>
    </row>
    <row r="318" spans="67:67">
      <c r="BO318" s="99"/>
    </row>
    <row r="319" spans="67:67">
      <c r="BO319" s="99"/>
    </row>
    <row r="320" spans="67:67">
      <c r="BO320" s="99"/>
    </row>
    <row r="321" spans="67:67">
      <c r="BO321" s="99"/>
    </row>
    <row r="322" spans="67:67">
      <c r="BO322" s="99"/>
    </row>
    <row r="323" spans="67:67">
      <c r="BO323" s="99"/>
    </row>
    <row r="324" spans="67:67">
      <c r="BO324" s="99"/>
    </row>
    <row r="325" spans="67:67">
      <c r="BO325" s="99"/>
    </row>
    <row r="326" spans="67:67">
      <c r="BO326" s="99"/>
    </row>
    <row r="327" spans="67:67">
      <c r="BO327" s="99"/>
    </row>
    <row r="328" spans="67:67">
      <c r="BO328" s="99"/>
    </row>
    <row r="329" spans="67:67">
      <c r="BO329" s="99"/>
    </row>
    <row r="330" spans="67:67">
      <c r="BO330" s="99"/>
    </row>
    <row r="331" spans="67:67">
      <c r="BO331" s="99"/>
    </row>
    <row r="332" spans="67:67">
      <c r="BO332" s="99"/>
    </row>
    <row r="333" spans="67:67">
      <c r="BO333" s="99"/>
    </row>
    <row r="334" spans="67:67">
      <c r="BO334" s="99"/>
    </row>
    <row r="335" spans="67:67">
      <c r="BO335" s="99"/>
    </row>
    <row r="336" spans="67:67">
      <c r="BO336" s="99"/>
    </row>
    <row r="337" spans="67:67">
      <c r="BO337" s="99"/>
    </row>
    <row r="338" spans="67:67">
      <c r="BO338" s="99"/>
    </row>
    <row r="339" spans="67:67">
      <c r="BO339" s="99"/>
    </row>
    <row r="340" spans="67:67">
      <c r="BO340" s="99"/>
    </row>
    <row r="341" spans="67:67">
      <c r="BO341" s="99"/>
    </row>
    <row r="342" spans="67:67">
      <c r="BO342" s="99"/>
    </row>
    <row r="343" spans="67:67">
      <c r="BO343" s="99"/>
    </row>
    <row r="344" spans="67:67">
      <c r="BO344" s="99"/>
    </row>
    <row r="345" spans="67:67">
      <c r="BO345" s="99"/>
    </row>
    <row r="346" spans="67:67">
      <c r="BO346" s="99"/>
    </row>
    <row r="347" spans="67:67">
      <c r="BO347" s="99"/>
    </row>
    <row r="348" spans="67:67">
      <c r="BO348" s="99"/>
    </row>
    <row r="349" spans="67:67">
      <c r="BO349" s="99"/>
    </row>
    <row r="350" spans="67:67">
      <c r="BO350" s="99"/>
    </row>
    <row r="351" spans="67:67">
      <c r="BO351" s="99"/>
    </row>
    <row r="352" spans="67:67">
      <c r="BO352" s="99"/>
    </row>
    <row r="353" spans="67:67">
      <c r="BO353" s="99"/>
    </row>
    <row r="354" spans="67:67">
      <c r="BO354" s="99"/>
    </row>
    <row r="355" spans="67:67">
      <c r="BO355" s="99"/>
    </row>
    <row r="356" spans="67:67">
      <c r="BO356" s="99"/>
    </row>
    <row r="357" spans="67:67">
      <c r="BO357" s="99"/>
    </row>
    <row r="358" spans="67:67">
      <c r="BO358" s="99"/>
    </row>
    <row r="359" spans="67:67">
      <c r="BO359" s="99"/>
    </row>
    <row r="360" spans="67:67">
      <c r="BO360" s="99"/>
    </row>
    <row r="361" spans="67:67">
      <c r="BO361" s="99"/>
    </row>
    <row r="362" spans="67:67">
      <c r="BO362" s="99"/>
    </row>
    <row r="363" spans="67:67">
      <c r="BO363" s="99"/>
    </row>
    <row r="364" spans="67:67">
      <c r="BO364" s="99"/>
    </row>
    <row r="365" spans="67:67">
      <c r="BO365" s="99"/>
    </row>
    <row r="366" spans="67:67">
      <c r="BO366" s="99"/>
    </row>
    <row r="367" spans="67:67">
      <c r="BO367" s="99"/>
    </row>
    <row r="368" spans="67:67">
      <c r="BO368" s="99"/>
    </row>
    <row r="369" spans="67:67">
      <c r="BO369" s="99"/>
    </row>
    <row r="370" spans="67:67">
      <c r="BO370" s="99"/>
    </row>
    <row r="371" spans="67:67">
      <c r="BO371" s="99"/>
    </row>
    <row r="372" spans="67:67">
      <c r="BO372" s="99"/>
    </row>
    <row r="373" spans="67:67">
      <c r="BO373" s="99"/>
    </row>
    <row r="374" spans="67:67">
      <c r="BO374" s="99"/>
    </row>
    <row r="375" spans="67:67">
      <c r="BO375" s="99"/>
    </row>
    <row r="376" spans="67:67">
      <c r="BO376" s="99"/>
    </row>
    <row r="377" spans="67:67">
      <c r="BO377" s="99"/>
    </row>
    <row r="378" spans="67:67">
      <c r="BO378" s="99"/>
    </row>
    <row r="379" spans="67:67">
      <c r="BO379" s="99"/>
    </row>
    <row r="380" spans="67:67">
      <c r="BO380" s="99"/>
    </row>
    <row r="381" spans="67:67">
      <c r="BO381" s="99"/>
    </row>
    <row r="382" spans="67:67">
      <c r="BO382" s="99"/>
    </row>
    <row r="383" spans="67:67">
      <c r="BO383" s="99"/>
    </row>
    <row r="384" spans="67:67">
      <c r="BO384" s="99"/>
    </row>
    <row r="385" spans="67:67">
      <c r="BO385" s="99"/>
    </row>
    <row r="386" spans="67:67">
      <c r="BO386" s="99"/>
    </row>
    <row r="387" spans="67:67">
      <c r="BO387" s="99"/>
    </row>
    <row r="388" spans="67:67">
      <c r="BO388" s="99"/>
    </row>
    <row r="389" spans="67:67">
      <c r="BO389" s="99"/>
    </row>
    <row r="390" spans="67:67">
      <c r="BO390" s="99"/>
    </row>
    <row r="391" spans="67:67">
      <c r="BO391" s="99"/>
    </row>
    <row r="392" spans="67:67">
      <c r="BO392" s="99"/>
    </row>
    <row r="393" spans="67:67">
      <c r="BO393" s="99"/>
    </row>
    <row r="394" spans="67:67">
      <c r="BO394" s="99"/>
    </row>
    <row r="395" spans="67:67">
      <c r="BO395" s="99"/>
    </row>
  </sheetData>
  <autoFilter ref="A4:CZ290"/>
  <mergeCells count="6">
    <mergeCell ref="CT1:CV1"/>
    <mergeCell ref="CX2:CY2"/>
    <mergeCell ref="BU2:CD2"/>
    <mergeCell ref="CN2:CS2"/>
    <mergeCell ref="CT2:CV2"/>
    <mergeCell ref="CE2:CM2"/>
  </mergeCells>
  <phoneticPr fontId="0" type="noConversion"/>
  <conditionalFormatting sqref="BE5:BE292">
    <cfRule type="cellIs" dxfId="1" priority="1" operator="equal">
      <formula>"PX"</formula>
    </cfRule>
  </conditionalFormatting>
  <conditionalFormatting sqref="BI5:BI292">
    <cfRule type="expression" dxfId="0" priority="3">
      <formula>BG5&gt;BH5</formula>
    </cfRule>
  </conditionalFormatting>
  <printOptions gridLines="1" gridLinesSet="0"/>
  <pageMargins left="0.1" right="0.1" top="0.4" bottom="0.25" header="0.1" footer="0.1"/>
  <pageSetup paperSize="5" scale="65" pageOrder="overThenDown" orientation="landscape" r:id="rId1"/>
  <headerFooter alignWithMargins="0">
    <oddHeader>&amp;L&amp;"-,Regular"BASE Gen Fund = $4,165
BASE LOB = $4,490&amp;C&amp;"-,Regular"FY 2019 Legal Max
(2018 Sub SB 423 House Sub SB 61)&amp;R&amp;"-,Regular"Page &amp;P</oddHead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X1314"/>
  <sheetViews>
    <sheetView workbookViewId="0">
      <pane xSplit="1" ySplit="4" topLeftCell="B1205" activePane="bottomRight" state="frozen"/>
      <selection pane="topRight" activeCell="B1" sqref="B1"/>
      <selection pane="bottomLeft" activeCell="A4" sqref="A4"/>
      <selection pane="bottomRight" activeCell="I683" sqref="I683"/>
    </sheetView>
  </sheetViews>
  <sheetFormatPr defaultRowHeight="12.75"/>
  <cols>
    <col min="1" max="1" width="10.42578125" style="156" bestFit="1" customWidth="1"/>
    <col min="2" max="2" width="9.140625" style="126"/>
    <col min="3" max="3" width="32.85546875" style="126" customWidth="1"/>
    <col min="4" max="5" width="9.42578125" style="126" bestFit="1" customWidth="1"/>
    <col min="6" max="6" width="14" style="126" bestFit="1" customWidth="1"/>
    <col min="7" max="8" width="9.42578125" style="126" bestFit="1" customWidth="1"/>
    <col min="9" max="10" width="13.85546875" style="126" bestFit="1" customWidth="1"/>
    <col min="11" max="12" width="14.140625" style="126" bestFit="1" customWidth="1"/>
    <col min="13" max="14" width="10.85546875" style="126" bestFit="1" customWidth="1"/>
    <col min="15" max="16384" width="9.140625" style="126"/>
  </cols>
  <sheetData>
    <row r="1" spans="1:24">
      <c r="A1" s="102"/>
      <c r="J1" s="173" t="s">
        <v>3576</v>
      </c>
      <c r="K1" s="173" t="s">
        <v>3416</v>
      </c>
      <c r="L1" s="173" t="s">
        <v>3417</v>
      </c>
      <c r="M1" s="173" t="s">
        <v>3576</v>
      </c>
    </row>
    <row r="2" spans="1:24">
      <c r="D2" s="172">
        <v>43363</v>
      </c>
      <c r="E2" s="172">
        <v>43516</v>
      </c>
      <c r="F2" s="173" t="s">
        <v>3575</v>
      </c>
      <c r="G2" s="172">
        <v>43363</v>
      </c>
      <c r="H2" s="172">
        <v>43516</v>
      </c>
      <c r="I2" s="173" t="s">
        <v>3575</v>
      </c>
      <c r="J2" s="176" t="s">
        <v>818</v>
      </c>
      <c r="K2" s="176" t="s">
        <v>3418</v>
      </c>
      <c r="L2" s="176" t="s">
        <v>3418</v>
      </c>
      <c r="M2" s="176" t="s">
        <v>3418</v>
      </c>
    </row>
    <row r="3" spans="1:24" ht="13.5" thickBot="1">
      <c r="A3" s="85" t="s">
        <v>171</v>
      </c>
      <c r="B3" s="85" t="s">
        <v>893</v>
      </c>
      <c r="C3" s="85" t="s">
        <v>892</v>
      </c>
      <c r="D3" s="174" t="s">
        <v>3414</v>
      </c>
      <c r="E3" s="174" t="s">
        <v>3414</v>
      </c>
      <c r="F3" s="175" t="s">
        <v>3415</v>
      </c>
      <c r="G3" s="174" t="s">
        <v>3419</v>
      </c>
      <c r="H3" s="174" t="s">
        <v>3419</v>
      </c>
      <c r="I3" s="175" t="s">
        <v>3420</v>
      </c>
      <c r="J3" s="175" t="s">
        <v>3419</v>
      </c>
      <c r="K3" s="175" t="s">
        <v>3421</v>
      </c>
      <c r="L3" s="175" t="s">
        <v>3421</v>
      </c>
      <c r="M3" s="175" t="s">
        <v>813</v>
      </c>
      <c r="O3" s="362" t="s">
        <v>3422</v>
      </c>
      <c r="P3" s="362"/>
      <c r="Q3" s="362"/>
      <c r="R3" s="362"/>
      <c r="S3" s="362"/>
      <c r="T3" s="362"/>
      <c r="U3" s="362"/>
      <c r="V3" s="362"/>
      <c r="W3" s="362"/>
      <c r="X3" s="362"/>
    </row>
    <row r="4" spans="1:24">
      <c r="A4" s="92"/>
      <c r="B4" s="92"/>
      <c r="C4" s="101" t="s">
        <v>804</v>
      </c>
      <c r="D4" s="169">
        <f t="shared" ref="D4:I4" si="0">SUM(D5:D1313)</f>
        <v>476352</v>
      </c>
      <c r="E4" s="169">
        <f t="shared" si="0"/>
        <v>450</v>
      </c>
      <c r="F4" s="169">
        <f t="shared" si="0"/>
        <v>476802</v>
      </c>
      <c r="G4" s="169">
        <f t="shared" si="0"/>
        <v>179885</v>
      </c>
      <c r="H4" s="169">
        <f t="shared" si="0"/>
        <v>195</v>
      </c>
      <c r="I4" s="169">
        <f t="shared" si="0"/>
        <v>180080</v>
      </c>
      <c r="J4" s="170">
        <f>IF(ISERROR(I4/F4),0,I4/F4)</f>
        <v>0.37769999999999998</v>
      </c>
      <c r="K4" s="138">
        <f>SUM(K5:K1313)</f>
        <v>2207</v>
      </c>
      <c r="L4" s="138">
        <f>SUM(L5:L1313)</f>
        <v>9652.9</v>
      </c>
      <c r="M4" s="213">
        <f>SUM(M5:M1313)</f>
        <v>11859.9</v>
      </c>
    </row>
    <row r="5" spans="1:24">
      <c r="A5" s="268" t="s">
        <v>197</v>
      </c>
      <c r="B5" s="268" t="s">
        <v>894</v>
      </c>
      <c r="C5" s="268" t="s">
        <v>895</v>
      </c>
      <c r="D5" s="268">
        <v>209</v>
      </c>
      <c r="E5" s="268">
        <v>0</v>
      </c>
      <c r="F5" s="127">
        <f>SUM(D5+E5)</f>
        <v>209</v>
      </c>
      <c r="G5" s="268">
        <v>116</v>
      </c>
      <c r="H5" s="268">
        <v>0</v>
      </c>
      <c r="I5" s="83">
        <f>SUM(G5+H5)</f>
        <v>116</v>
      </c>
      <c r="J5" s="171">
        <f>IF(ISERROR(I5/F5),0,I5/F5)</f>
        <v>0.55500000000000005</v>
      </c>
      <c r="K5" s="177">
        <f t="shared" ref="K5:K68" si="1">IF(AND((J5-35%)&gt;0,J5&lt;50%),I5*(J5-35%)*0.7,0)</f>
        <v>0</v>
      </c>
      <c r="L5" s="177">
        <f t="shared" ref="L5:L68" si="2">IF(J5&gt;=50%,I5*10.5%,0)</f>
        <v>12.2</v>
      </c>
      <c r="M5" s="177">
        <f t="shared" ref="M5:M68" si="3">MAX(K5,L5)</f>
        <v>12.2</v>
      </c>
    </row>
    <row r="6" spans="1:24">
      <c r="A6" s="268" t="s">
        <v>197</v>
      </c>
      <c r="B6" s="268" t="s">
        <v>896</v>
      </c>
      <c r="C6" s="268" t="s">
        <v>897</v>
      </c>
      <c r="D6" s="268">
        <v>123</v>
      </c>
      <c r="E6" s="268">
        <v>0</v>
      </c>
      <c r="F6" s="83">
        <f t="shared" ref="F6:F69" si="4">SUM(D6+E6)</f>
        <v>123</v>
      </c>
      <c r="G6" s="268">
        <v>59</v>
      </c>
      <c r="H6" s="268">
        <v>0</v>
      </c>
      <c r="I6" s="83">
        <f t="shared" ref="I6:I69" si="5">SUM(G6+H6)</f>
        <v>59</v>
      </c>
      <c r="J6" s="171">
        <f t="shared" ref="J6:J69" si="6">IF(ISERROR(I6/F6),0,I6/F6)</f>
        <v>0.47970000000000002</v>
      </c>
      <c r="K6" s="177">
        <f t="shared" si="1"/>
        <v>5.4</v>
      </c>
      <c r="L6" s="177">
        <f t="shared" si="2"/>
        <v>0</v>
      </c>
      <c r="M6" s="177">
        <f t="shared" si="3"/>
        <v>5.4</v>
      </c>
    </row>
    <row r="7" spans="1:24">
      <c r="A7" s="268" t="s">
        <v>197</v>
      </c>
      <c r="B7" s="268" t="s">
        <v>898</v>
      </c>
      <c r="C7" s="268" t="s">
        <v>899</v>
      </c>
      <c r="D7" s="268">
        <v>176</v>
      </c>
      <c r="E7" s="268">
        <v>0</v>
      </c>
      <c r="F7" s="83">
        <f t="shared" si="4"/>
        <v>176</v>
      </c>
      <c r="G7" s="268">
        <v>75</v>
      </c>
      <c r="H7" s="268">
        <v>0</v>
      </c>
      <c r="I7" s="83">
        <f t="shared" si="5"/>
        <v>75</v>
      </c>
      <c r="J7" s="171">
        <f t="shared" si="6"/>
        <v>0.42609999999999998</v>
      </c>
      <c r="K7" s="177">
        <f t="shared" si="1"/>
        <v>4</v>
      </c>
      <c r="L7" s="177">
        <f t="shared" si="2"/>
        <v>0</v>
      </c>
      <c r="M7" s="177">
        <f t="shared" si="3"/>
        <v>4</v>
      </c>
    </row>
    <row r="8" spans="1:24">
      <c r="A8" s="268" t="s">
        <v>198</v>
      </c>
      <c r="B8" s="268" t="s">
        <v>900</v>
      </c>
      <c r="C8" s="268" t="s">
        <v>901</v>
      </c>
      <c r="D8" s="268">
        <v>357</v>
      </c>
      <c r="E8" s="268">
        <v>0</v>
      </c>
      <c r="F8" s="83">
        <f t="shared" si="4"/>
        <v>357</v>
      </c>
      <c r="G8" s="268">
        <v>130</v>
      </c>
      <c r="H8" s="268">
        <v>0</v>
      </c>
      <c r="I8" s="83">
        <f t="shared" si="5"/>
        <v>130</v>
      </c>
      <c r="J8" s="171">
        <f t="shared" si="6"/>
        <v>0.36409999999999998</v>
      </c>
      <c r="K8" s="177">
        <f t="shared" si="1"/>
        <v>1.3</v>
      </c>
      <c r="L8" s="177">
        <f t="shared" si="2"/>
        <v>0</v>
      </c>
      <c r="M8" s="177">
        <f t="shared" si="3"/>
        <v>1.3</v>
      </c>
    </row>
    <row r="9" spans="1:24">
      <c r="A9" s="268" t="s">
        <v>198</v>
      </c>
      <c r="B9" s="268" t="s">
        <v>902</v>
      </c>
      <c r="C9" s="268" t="s">
        <v>903</v>
      </c>
      <c r="D9" s="268">
        <v>322</v>
      </c>
      <c r="E9" s="268">
        <v>0</v>
      </c>
      <c r="F9" s="83">
        <f t="shared" si="4"/>
        <v>322</v>
      </c>
      <c r="G9" s="268">
        <v>87</v>
      </c>
      <c r="H9" s="268">
        <v>0</v>
      </c>
      <c r="I9" s="83">
        <f t="shared" si="5"/>
        <v>87</v>
      </c>
      <c r="J9" s="171">
        <f t="shared" si="6"/>
        <v>0.2702</v>
      </c>
      <c r="K9" s="177">
        <f t="shared" si="1"/>
        <v>0</v>
      </c>
      <c r="L9" s="177">
        <f t="shared" si="2"/>
        <v>0</v>
      </c>
      <c r="M9" s="177">
        <f t="shared" si="3"/>
        <v>0</v>
      </c>
    </row>
    <row r="10" spans="1:24">
      <c r="A10" s="268" t="s">
        <v>199</v>
      </c>
      <c r="B10" s="268" t="s">
        <v>904</v>
      </c>
      <c r="C10" s="268" t="s">
        <v>905</v>
      </c>
      <c r="D10" s="268">
        <v>58</v>
      </c>
      <c r="E10" s="268">
        <v>0</v>
      </c>
      <c r="F10" s="83">
        <f t="shared" si="4"/>
        <v>58</v>
      </c>
      <c r="G10" s="268">
        <v>25</v>
      </c>
      <c r="H10" s="268">
        <v>0</v>
      </c>
      <c r="I10" s="83">
        <f t="shared" si="5"/>
        <v>25</v>
      </c>
      <c r="J10" s="171">
        <f t="shared" si="6"/>
        <v>0.43099999999999999</v>
      </c>
      <c r="K10" s="177">
        <f t="shared" si="1"/>
        <v>1.4</v>
      </c>
      <c r="L10" s="177">
        <f t="shared" si="2"/>
        <v>0</v>
      </c>
      <c r="M10" s="177">
        <f t="shared" si="3"/>
        <v>1.4</v>
      </c>
    </row>
    <row r="11" spans="1:24">
      <c r="A11" s="268" t="s">
        <v>199</v>
      </c>
      <c r="B11" s="268" t="s">
        <v>906</v>
      </c>
      <c r="C11" s="268" t="s">
        <v>907</v>
      </c>
      <c r="D11" s="268">
        <v>69</v>
      </c>
      <c r="E11" s="268">
        <v>0</v>
      </c>
      <c r="F11" s="83">
        <f t="shared" si="4"/>
        <v>69</v>
      </c>
      <c r="G11" s="268">
        <v>34</v>
      </c>
      <c r="H11" s="268">
        <v>0</v>
      </c>
      <c r="I11" s="83">
        <f t="shared" si="5"/>
        <v>34</v>
      </c>
      <c r="J11" s="171">
        <f t="shared" si="6"/>
        <v>0.49280000000000002</v>
      </c>
      <c r="K11" s="177">
        <f t="shared" si="1"/>
        <v>3.4</v>
      </c>
      <c r="L11" s="177">
        <f t="shared" si="2"/>
        <v>0</v>
      </c>
      <c r="M11" s="177">
        <f t="shared" si="3"/>
        <v>3.4</v>
      </c>
    </row>
    <row r="12" spans="1:24">
      <c r="A12" s="268" t="s">
        <v>200</v>
      </c>
      <c r="B12" s="268" t="s">
        <v>908</v>
      </c>
      <c r="C12" s="268" t="s">
        <v>909</v>
      </c>
      <c r="D12" s="268">
        <v>208</v>
      </c>
      <c r="E12" s="268">
        <v>0</v>
      </c>
      <c r="F12" s="83">
        <f t="shared" si="4"/>
        <v>208</v>
      </c>
      <c r="G12" s="268">
        <v>90</v>
      </c>
      <c r="H12" s="268">
        <v>0</v>
      </c>
      <c r="I12" s="83">
        <f t="shared" si="5"/>
        <v>90</v>
      </c>
      <c r="J12" s="171">
        <f t="shared" si="6"/>
        <v>0.43269999999999997</v>
      </c>
      <c r="K12" s="177">
        <f t="shared" si="1"/>
        <v>5.2</v>
      </c>
      <c r="L12" s="177">
        <f t="shared" si="2"/>
        <v>0</v>
      </c>
      <c r="M12" s="177">
        <f t="shared" si="3"/>
        <v>5.2</v>
      </c>
    </row>
    <row r="13" spans="1:24">
      <c r="A13" s="268" t="s">
        <v>200</v>
      </c>
      <c r="B13" s="268" t="s">
        <v>910</v>
      </c>
      <c r="C13" s="268" t="s">
        <v>911</v>
      </c>
      <c r="D13" s="268">
        <v>148</v>
      </c>
      <c r="E13" s="268">
        <v>0</v>
      </c>
      <c r="F13" s="83">
        <f t="shared" si="4"/>
        <v>148</v>
      </c>
      <c r="G13" s="268">
        <v>66</v>
      </c>
      <c r="H13" s="268">
        <v>0</v>
      </c>
      <c r="I13" s="83">
        <f t="shared" si="5"/>
        <v>66</v>
      </c>
      <c r="J13" s="171">
        <f t="shared" si="6"/>
        <v>0.44590000000000002</v>
      </c>
      <c r="K13" s="177">
        <f t="shared" si="1"/>
        <v>4.4000000000000004</v>
      </c>
      <c r="L13" s="177">
        <f t="shared" si="2"/>
        <v>0</v>
      </c>
      <c r="M13" s="177">
        <f t="shared" si="3"/>
        <v>4.4000000000000004</v>
      </c>
    </row>
    <row r="14" spans="1:24">
      <c r="A14" s="268" t="s">
        <v>201</v>
      </c>
      <c r="B14" s="268" t="s">
        <v>912</v>
      </c>
      <c r="C14" s="268" t="s">
        <v>913</v>
      </c>
      <c r="D14" s="268">
        <v>41</v>
      </c>
      <c r="E14" s="268">
        <v>0</v>
      </c>
      <c r="F14" s="83">
        <f t="shared" si="4"/>
        <v>41</v>
      </c>
      <c r="G14" s="268">
        <v>15</v>
      </c>
      <c r="H14" s="268">
        <v>0</v>
      </c>
      <c r="I14" s="83">
        <f t="shared" si="5"/>
        <v>15</v>
      </c>
      <c r="J14" s="171">
        <f t="shared" si="6"/>
        <v>0.3659</v>
      </c>
      <c r="K14" s="177">
        <f t="shared" si="1"/>
        <v>0.2</v>
      </c>
      <c r="L14" s="177">
        <f t="shared" si="2"/>
        <v>0</v>
      </c>
      <c r="M14" s="177">
        <f t="shared" si="3"/>
        <v>0.2</v>
      </c>
    </row>
    <row r="15" spans="1:24">
      <c r="A15" s="268" t="s">
        <v>201</v>
      </c>
      <c r="B15" s="268" t="s">
        <v>914</v>
      </c>
      <c r="C15" s="268" t="s">
        <v>915</v>
      </c>
      <c r="D15" s="268">
        <v>32</v>
      </c>
      <c r="E15" s="268">
        <v>0</v>
      </c>
      <c r="F15" s="83">
        <f t="shared" si="4"/>
        <v>32</v>
      </c>
      <c r="G15" s="268">
        <v>25</v>
      </c>
      <c r="H15" s="268">
        <v>0</v>
      </c>
      <c r="I15" s="83">
        <f t="shared" si="5"/>
        <v>25</v>
      </c>
      <c r="J15" s="171">
        <f t="shared" si="6"/>
        <v>0.78129999999999999</v>
      </c>
      <c r="K15" s="177">
        <f t="shared" si="1"/>
        <v>0</v>
      </c>
      <c r="L15" s="177">
        <f t="shared" si="2"/>
        <v>2.6</v>
      </c>
      <c r="M15" s="177">
        <f t="shared" si="3"/>
        <v>2.6</v>
      </c>
    </row>
    <row r="16" spans="1:24" ht="12.75" customHeight="1">
      <c r="A16" s="268" t="s">
        <v>201</v>
      </c>
      <c r="B16" s="268" t="s">
        <v>916</v>
      </c>
      <c r="C16" s="268" t="s">
        <v>917</v>
      </c>
      <c r="D16" s="268">
        <v>37</v>
      </c>
      <c r="E16" s="268">
        <v>0</v>
      </c>
      <c r="F16" s="83">
        <f t="shared" si="4"/>
        <v>37</v>
      </c>
      <c r="G16" s="268">
        <v>29</v>
      </c>
      <c r="H16" s="268">
        <v>0</v>
      </c>
      <c r="I16" s="83">
        <f t="shared" si="5"/>
        <v>29</v>
      </c>
      <c r="J16" s="171">
        <f t="shared" si="6"/>
        <v>0.78380000000000005</v>
      </c>
      <c r="K16" s="177">
        <f t="shared" si="1"/>
        <v>0</v>
      </c>
      <c r="L16" s="177">
        <f t="shared" si="2"/>
        <v>3</v>
      </c>
      <c r="M16" s="177">
        <f t="shared" si="3"/>
        <v>3</v>
      </c>
    </row>
    <row r="17" spans="1:13">
      <c r="A17" s="268" t="s">
        <v>202</v>
      </c>
      <c r="B17" s="268" t="s">
        <v>918</v>
      </c>
      <c r="C17" s="268" t="s">
        <v>919</v>
      </c>
      <c r="D17" s="268">
        <v>155</v>
      </c>
      <c r="E17" s="268">
        <v>0</v>
      </c>
      <c r="F17" s="83">
        <f t="shared" si="4"/>
        <v>155</v>
      </c>
      <c r="G17" s="268">
        <v>70</v>
      </c>
      <c r="H17" s="268">
        <v>0</v>
      </c>
      <c r="I17" s="83">
        <f t="shared" si="5"/>
        <v>70</v>
      </c>
      <c r="J17" s="171">
        <f t="shared" si="6"/>
        <v>0.4516</v>
      </c>
      <c r="K17" s="177">
        <f t="shared" si="1"/>
        <v>5</v>
      </c>
      <c r="L17" s="177">
        <f t="shared" si="2"/>
        <v>0</v>
      </c>
      <c r="M17" s="177">
        <f t="shared" si="3"/>
        <v>5</v>
      </c>
    </row>
    <row r="18" spans="1:13">
      <c r="A18" s="268" t="s">
        <v>202</v>
      </c>
      <c r="B18" s="268" t="s">
        <v>920</v>
      </c>
      <c r="C18" s="268" t="s">
        <v>921</v>
      </c>
      <c r="D18" s="268">
        <v>149</v>
      </c>
      <c r="E18" s="268">
        <v>0</v>
      </c>
      <c r="F18" s="83">
        <f t="shared" si="4"/>
        <v>149</v>
      </c>
      <c r="G18" s="268">
        <v>73</v>
      </c>
      <c r="H18" s="268">
        <v>0</v>
      </c>
      <c r="I18" s="83">
        <f t="shared" si="5"/>
        <v>73</v>
      </c>
      <c r="J18" s="171">
        <f t="shared" si="6"/>
        <v>0.4899</v>
      </c>
      <c r="K18" s="177">
        <f t="shared" si="1"/>
        <v>7.1</v>
      </c>
      <c r="L18" s="177">
        <f t="shared" si="2"/>
        <v>0</v>
      </c>
      <c r="M18" s="177">
        <f t="shared" si="3"/>
        <v>7.1</v>
      </c>
    </row>
    <row r="19" spans="1:13">
      <c r="A19" s="268" t="s">
        <v>203</v>
      </c>
      <c r="B19" s="268" t="s">
        <v>922</v>
      </c>
      <c r="C19" s="268" t="s">
        <v>923</v>
      </c>
      <c r="D19" s="268">
        <v>148</v>
      </c>
      <c r="E19" s="268">
        <v>0</v>
      </c>
      <c r="F19" s="83">
        <f t="shared" si="4"/>
        <v>148</v>
      </c>
      <c r="G19" s="268">
        <v>45</v>
      </c>
      <c r="H19" s="268">
        <v>0</v>
      </c>
      <c r="I19" s="83">
        <f t="shared" si="5"/>
        <v>45</v>
      </c>
      <c r="J19" s="171">
        <f t="shared" si="6"/>
        <v>0.30409999999999998</v>
      </c>
      <c r="K19" s="177">
        <f t="shared" si="1"/>
        <v>0</v>
      </c>
      <c r="L19" s="177">
        <f t="shared" si="2"/>
        <v>0</v>
      </c>
      <c r="M19" s="177">
        <f t="shared" si="3"/>
        <v>0</v>
      </c>
    </row>
    <row r="20" spans="1:13">
      <c r="A20" s="268" t="s">
        <v>203</v>
      </c>
      <c r="B20" s="268" t="s">
        <v>924</v>
      </c>
      <c r="C20" s="268" t="s">
        <v>925</v>
      </c>
      <c r="D20" s="268">
        <v>184</v>
      </c>
      <c r="E20" s="268">
        <v>0</v>
      </c>
      <c r="F20" s="83">
        <f t="shared" si="4"/>
        <v>184</v>
      </c>
      <c r="G20" s="268">
        <v>66</v>
      </c>
      <c r="H20" s="268">
        <v>0</v>
      </c>
      <c r="I20" s="83">
        <f t="shared" si="5"/>
        <v>66</v>
      </c>
      <c r="J20" s="171">
        <f t="shared" si="6"/>
        <v>0.35870000000000002</v>
      </c>
      <c r="K20" s="177">
        <f t="shared" si="1"/>
        <v>0.4</v>
      </c>
      <c r="L20" s="177">
        <f t="shared" si="2"/>
        <v>0</v>
      </c>
      <c r="M20" s="177">
        <f t="shared" si="3"/>
        <v>0.4</v>
      </c>
    </row>
    <row r="21" spans="1:13">
      <c r="A21" s="268" t="s">
        <v>204</v>
      </c>
      <c r="B21" s="268" t="s">
        <v>926</v>
      </c>
      <c r="C21" s="268" t="s">
        <v>927</v>
      </c>
      <c r="D21" s="268">
        <v>257</v>
      </c>
      <c r="E21" s="268">
        <v>0</v>
      </c>
      <c r="F21" s="83">
        <f t="shared" si="4"/>
        <v>257</v>
      </c>
      <c r="G21" s="268">
        <v>99</v>
      </c>
      <c r="H21" s="268">
        <v>0</v>
      </c>
      <c r="I21" s="83">
        <f t="shared" si="5"/>
        <v>99</v>
      </c>
      <c r="J21" s="171">
        <f t="shared" si="6"/>
        <v>0.38519999999999999</v>
      </c>
      <c r="K21" s="177">
        <f t="shared" si="1"/>
        <v>2.4</v>
      </c>
      <c r="L21" s="177">
        <f t="shared" si="2"/>
        <v>0</v>
      </c>
      <c r="M21" s="177">
        <f t="shared" si="3"/>
        <v>2.4</v>
      </c>
    </row>
    <row r="22" spans="1:13">
      <c r="A22" s="268" t="s">
        <v>204</v>
      </c>
      <c r="B22" s="268" t="s">
        <v>928</v>
      </c>
      <c r="C22" s="268" t="s">
        <v>929</v>
      </c>
      <c r="D22" s="268">
        <v>265</v>
      </c>
      <c r="E22" s="268">
        <v>0</v>
      </c>
      <c r="F22" s="83">
        <f t="shared" si="4"/>
        <v>265</v>
      </c>
      <c r="G22" s="268">
        <v>90</v>
      </c>
      <c r="H22" s="268">
        <v>0</v>
      </c>
      <c r="I22" s="83">
        <f t="shared" si="5"/>
        <v>90</v>
      </c>
      <c r="J22" s="171">
        <f t="shared" si="6"/>
        <v>0.33960000000000001</v>
      </c>
      <c r="K22" s="177">
        <f t="shared" si="1"/>
        <v>0</v>
      </c>
      <c r="L22" s="177">
        <f t="shared" si="2"/>
        <v>0</v>
      </c>
      <c r="M22" s="177">
        <f t="shared" si="3"/>
        <v>0</v>
      </c>
    </row>
    <row r="23" spans="1:13">
      <c r="A23" s="268" t="s">
        <v>205</v>
      </c>
      <c r="B23" s="268" t="s">
        <v>930</v>
      </c>
      <c r="C23" s="268" t="s">
        <v>931</v>
      </c>
      <c r="D23" s="268">
        <v>37</v>
      </c>
      <c r="E23" s="268">
        <v>0</v>
      </c>
      <c r="F23" s="83">
        <f t="shared" si="4"/>
        <v>37</v>
      </c>
      <c r="G23" s="268">
        <v>13</v>
      </c>
      <c r="H23" s="268">
        <v>0</v>
      </c>
      <c r="I23" s="83">
        <f t="shared" si="5"/>
        <v>13</v>
      </c>
      <c r="J23" s="171">
        <f t="shared" si="6"/>
        <v>0.35139999999999999</v>
      </c>
      <c r="K23" s="177">
        <f t="shared" si="1"/>
        <v>0</v>
      </c>
      <c r="L23" s="177">
        <f t="shared" si="2"/>
        <v>0</v>
      </c>
      <c r="M23" s="177">
        <f t="shared" si="3"/>
        <v>0</v>
      </c>
    </row>
    <row r="24" spans="1:13">
      <c r="A24" s="268" t="s">
        <v>205</v>
      </c>
      <c r="B24" s="268" t="s">
        <v>932</v>
      </c>
      <c r="C24" s="268" t="s">
        <v>933</v>
      </c>
      <c r="D24" s="268">
        <v>78</v>
      </c>
      <c r="E24" s="268">
        <v>0</v>
      </c>
      <c r="F24" s="83">
        <f t="shared" si="4"/>
        <v>78</v>
      </c>
      <c r="G24" s="268">
        <v>32</v>
      </c>
      <c r="H24" s="268">
        <v>0</v>
      </c>
      <c r="I24" s="83">
        <f t="shared" si="5"/>
        <v>32</v>
      </c>
      <c r="J24" s="171">
        <f t="shared" si="6"/>
        <v>0.4103</v>
      </c>
      <c r="K24" s="177">
        <f t="shared" si="1"/>
        <v>1.4</v>
      </c>
      <c r="L24" s="177">
        <f t="shared" si="2"/>
        <v>0</v>
      </c>
      <c r="M24" s="177">
        <f t="shared" si="3"/>
        <v>1.4</v>
      </c>
    </row>
    <row r="25" spans="1:13">
      <c r="A25" s="268" t="s">
        <v>205</v>
      </c>
      <c r="B25" s="268" t="s">
        <v>934</v>
      </c>
      <c r="C25" s="268" t="s">
        <v>935</v>
      </c>
      <c r="D25" s="268">
        <v>83</v>
      </c>
      <c r="E25" s="268">
        <v>0</v>
      </c>
      <c r="F25" s="83">
        <f t="shared" si="4"/>
        <v>83</v>
      </c>
      <c r="G25" s="268">
        <v>45</v>
      </c>
      <c r="H25" s="268">
        <v>0</v>
      </c>
      <c r="I25" s="83">
        <f t="shared" si="5"/>
        <v>45</v>
      </c>
      <c r="J25" s="171">
        <f t="shared" si="6"/>
        <v>0.54220000000000002</v>
      </c>
      <c r="K25" s="177">
        <f t="shared" si="1"/>
        <v>0</v>
      </c>
      <c r="L25" s="177">
        <f t="shared" si="2"/>
        <v>4.7</v>
      </c>
      <c r="M25" s="177">
        <f t="shared" si="3"/>
        <v>4.7</v>
      </c>
    </row>
    <row r="26" spans="1:13">
      <c r="A26" s="268" t="s">
        <v>206</v>
      </c>
      <c r="B26" s="268" t="s">
        <v>936</v>
      </c>
      <c r="C26" s="268" t="s">
        <v>937</v>
      </c>
      <c r="D26" s="268">
        <v>130</v>
      </c>
      <c r="E26" s="268">
        <v>0</v>
      </c>
      <c r="F26" s="83">
        <f t="shared" si="4"/>
        <v>130</v>
      </c>
      <c r="G26" s="268">
        <v>43</v>
      </c>
      <c r="H26" s="268">
        <v>0</v>
      </c>
      <c r="I26" s="83">
        <f t="shared" si="5"/>
        <v>43</v>
      </c>
      <c r="J26" s="171">
        <f t="shared" si="6"/>
        <v>0.33079999999999998</v>
      </c>
      <c r="K26" s="177">
        <f t="shared" si="1"/>
        <v>0</v>
      </c>
      <c r="L26" s="177">
        <f t="shared" si="2"/>
        <v>0</v>
      </c>
      <c r="M26" s="177">
        <f t="shared" si="3"/>
        <v>0</v>
      </c>
    </row>
    <row r="27" spans="1:13">
      <c r="A27" s="268" t="s">
        <v>206</v>
      </c>
      <c r="B27" s="268" t="s">
        <v>938</v>
      </c>
      <c r="C27" s="268" t="s">
        <v>939</v>
      </c>
      <c r="D27" s="268">
        <v>186</v>
      </c>
      <c r="E27" s="268">
        <v>0</v>
      </c>
      <c r="F27" s="83">
        <f t="shared" si="4"/>
        <v>186</v>
      </c>
      <c r="G27" s="268">
        <v>58</v>
      </c>
      <c r="H27" s="268">
        <v>0</v>
      </c>
      <c r="I27" s="83">
        <f t="shared" si="5"/>
        <v>58</v>
      </c>
      <c r="J27" s="171">
        <f t="shared" si="6"/>
        <v>0.31180000000000002</v>
      </c>
      <c r="K27" s="177">
        <f t="shared" si="1"/>
        <v>0</v>
      </c>
      <c r="L27" s="177">
        <f t="shared" si="2"/>
        <v>0</v>
      </c>
      <c r="M27" s="177">
        <f t="shared" si="3"/>
        <v>0</v>
      </c>
    </row>
    <row r="28" spans="1:13">
      <c r="A28" s="268" t="s">
        <v>207</v>
      </c>
      <c r="B28" s="268" t="s">
        <v>940</v>
      </c>
      <c r="C28" s="268" t="s">
        <v>941</v>
      </c>
      <c r="D28" s="268">
        <v>60</v>
      </c>
      <c r="E28" s="268">
        <v>0</v>
      </c>
      <c r="F28" s="83">
        <f t="shared" si="4"/>
        <v>60</v>
      </c>
      <c r="G28" s="268">
        <v>24</v>
      </c>
      <c r="H28" s="268">
        <v>0</v>
      </c>
      <c r="I28" s="83">
        <f t="shared" si="5"/>
        <v>24</v>
      </c>
      <c r="J28" s="171">
        <f t="shared" si="6"/>
        <v>0.4</v>
      </c>
      <c r="K28" s="177">
        <f t="shared" si="1"/>
        <v>0.8</v>
      </c>
      <c r="L28" s="177">
        <f t="shared" si="2"/>
        <v>0</v>
      </c>
      <c r="M28" s="177">
        <f t="shared" si="3"/>
        <v>0.8</v>
      </c>
    </row>
    <row r="29" spans="1:13">
      <c r="A29" s="268" t="s">
        <v>207</v>
      </c>
      <c r="B29" s="268" t="s">
        <v>942</v>
      </c>
      <c r="C29" s="268" t="s">
        <v>943</v>
      </c>
      <c r="D29" s="268">
        <v>91</v>
      </c>
      <c r="E29" s="268">
        <v>0</v>
      </c>
      <c r="F29" s="83">
        <f t="shared" si="4"/>
        <v>91</v>
      </c>
      <c r="G29" s="268">
        <v>40</v>
      </c>
      <c r="H29" s="268">
        <v>0</v>
      </c>
      <c r="I29" s="83">
        <f t="shared" si="5"/>
        <v>40</v>
      </c>
      <c r="J29" s="171">
        <f t="shared" si="6"/>
        <v>0.43959999999999999</v>
      </c>
      <c r="K29" s="177">
        <f t="shared" si="1"/>
        <v>2.5</v>
      </c>
      <c r="L29" s="177">
        <f t="shared" si="2"/>
        <v>0</v>
      </c>
      <c r="M29" s="177">
        <f t="shared" si="3"/>
        <v>2.5</v>
      </c>
    </row>
    <row r="30" spans="1:13" ht="12.75" customHeight="1">
      <c r="A30" s="268" t="s">
        <v>207</v>
      </c>
      <c r="B30" s="268" t="s">
        <v>944</v>
      </c>
      <c r="C30" s="268" t="s">
        <v>945</v>
      </c>
      <c r="D30" s="268">
        <v>143</v>
      </c>
      <c r="E30" s="268">
        <v>0</v>
      </c>
      <c r="F30" s="83">
        <f t="shared" si="4"/>
        <v>143</v>
      </c>
      <c r="G30" s="268">
        <v>39</v>
      </c>
      <c r="H30" s="268">
        <v>0</v>
      </c>
      <c r="I30" s="83">
        <f t="shared" si="5"/>
        <v>39</v>
      </c>
      <c r="J30" s="171">
        <f t="shared" si="6"/>
        <v>0.2727</v>
      </c>
      <c r="K30" s="177">
        <f t="shared" si="1"/>
        <v>0</v>
      </c>
      <c r="L30" s="177">
        <f t="shared" si="2"/>
        <v>0</v>
      </c>
      <c r="M30" s="177">
        <f t="shared" si="3"/>
        <v>0</v>
      </c>
    </row>
    <row r="31" spans="1:13">
      <c r="A31" s="268" t="s">
        <v>207</v>
      </c>
      <c r="B31" s="268" t="s">
        <v>946</v>
      </c>
      <c r="C31" s="268" t="s">
        <v>947</v>
      </c>
      <c r="D31" s="268">
        <v>87</v>
      </c>
      <c r="E31" s="268">
        <v>0</v>
      </c>
      <c r="F31" s="83">
        <f t="shared" si="4"/>
        <v>87</v>
      </c>
      <c r="G31" s="268">
        <v>27</v>
      </c>
      <c r="H31" s="268">
        <v>0</v>
      </c>
      <c r="I31" s="83">
        <f t="shared" si="5"/>
        <v>27</v>
      </c>
      <c r="J31" s="171">
        <f t="shared" si="6"/>
        <v>0.31030000000000002</v>
      </c>
      <c r="K31" s="177">
        <f t="shared" si="1"/>
        <v>0</v>
      </c>
      <c r="L31" s="177">
        <f t="shared" si="2"/>
        <v>0</v>
      </c>
      <c r="M31" s="177">
        <f t="shared" si="3"/>
        <v>0</v>
      </c>
    </row>
    <row r="32" spans="1:13" ht="12.75" customHeight="1">
      <c r="A32" s="268" t="s">
        <v>207</v>
      </c>
      <c r="B32" s="268" t="s">
        <v>948</v>
      </c>
      <c r="C32" s="268" t="s">
        <v>949</v>
      </c>
      <c r="D32" s="268">
        <v>92</v>
      </c>
      <c r="E32" s="268">
        <v>0</v>
      </c>
      <c r="F32" s="83">
        <f t="shared" si="4"/>
        <v>92</v>
      </c>
      <c r="G32" s="268">
        <v>28</v>
      </c>
      <c r="H32" s="268">
        <v>0</v>
      </c>
      <c r="I32" s="83">
        <f t="shared" si="5"/>
        <v>28</v>
      </c>
      <c r="J32" s="171">
        <f t="shared" si="6"/>
        <v>0.30430000000000001</v>
      </c>
      <c r="K32" s="177">
        <f t="shared" si="1"/>
        <v>0</v>
      </c>
      <c r="L32" s="177">
        <f t="shared" si="2"/>
        <v>0</v>
      </c>
      <c r="M32" s="177">
        <f t="shared" si="3"/>
        <v>0</v>
      </c>
    </row>
    <row r="33" spans="1:13">
      <c r="A33" s="268" t="s">
        <v>208</v>
      </c>
      <c r="B33" s="268" t="s">
        <v>950</v>
      </c>
      <c r="C33" s="268" t="s">
        <v>951</v>
      </c>
      <c r="D33" s="268">
        <v>41</v>
      </c>
      <c r="E33" s="268">
        <v>0</v>
      </c>
      <c r="F33" s="83">
        <f t="shared" si="4"/>
        <v>41</v>
      </c>
      <c r="G33" s="268">
        <v>6</v>
      </c>
      <c r="H33" s="268">
        <v>0</v>
      </c>
      <c r="I33" s="83">
        <f t="shared" si="5"/>
        <v>6</v>
      </c>
      <c r="J33" s="171">
        <f t="shared" si="6"/>
        <v>0.14630000000000001</v>
      </c>
      <c r="K33" s="177">
        <f t="shared" si="1"/>
        <v>0</v>
      </c>
      <c r="L33" s="177">
        <f t="shared" si="2"/>
        <v>0</v>
      </c>
      <c r="M33" s="177">
        <f t="shared" si="3"/>
        <v>0</v>
      </c>
    </row>
    <row r="34" spans="1:13">
      <c r="A34" s="268" t="s">
        <v>208</v>
      </c>
      <c r="B34" s="268" t="s">
        <v>952</v>
      </c>
      <c r="C34" s="268" t="s">
        <v>953</v>
      </c>
      <c r="D34" s="268">
        <v>378</v>
      </c>
      <c r="E34" s="268">
        <v>0</v>
      </c>
      <c r="F34" s="83">
        <f t="shared" si="4"/>
        <v>378</v>
      </c>
      <c r="G34" s="268">
        <v>103</v>
      </c>
      <c r="H34" s="268">
        <v>0</v>
      </c>
      <c r="I34" s="83">
        <f t="shared" si="5"/>
        <v>103</v>
      </c>
      <c r="J34" s="171">
        <f t="shared" si="6"/>
        <v>0.27250000000000002</v>
      </c>
      <c r="K34" s="177">
        <f t="shared" si="1"/>
        <v>0</v>
      </c>
      <c r="L34" s="177">
        <f t="shared" si="2"/>
        <v>0</v>
      </c>
      <c r="M34" s="177">
        <f t="shared" si="3"/>
        <v>0</v>
      </c>
    </row>
    <row r="35" spans="1:13">
      <c r="A35" s="268" t="s">
        <v>208</v>
      </c>
      <c r="B35" s="268" t="s">
        <v>954</v>
      </c>
      <c r="C35" s="268" t="s">
        <v>955</v>
      </c>
      <c r="D35" s="268">
        <v>249</v>
      </c>
      <c r="E35" s="268">
        <v>0</v>
      </c>
      <c r="F35" s="83">
        <f t="shared" si="4"/>
        <v>249</v>
      </c>
      <c r="G35" s="268">
        <v>46</v>
      </c>
      <c r="H35" s="268">
        <v>0</v>
      </c>
      <c r="I35" s="83">
        <f t="shared" si="5"/>
        <v>46</v>
      </c>
      <c r="J35" s="171">
        <f t="shared" si="6"/>
        <v>0.1847</v>
      </c>
      <c r="K35" s="177">
        <f t="shared" si="1"/>
        <v>0</v>
      </c>
      <c r="L35" s="177">
        <f t="shared" si="2"/>
        <v>0</v>
      </c>
      <c r="M35" s="177">
        <f t="shared" si="3"/>
        <v>0</v>
      </c>
    </row>
    <row r="36" spans="1:13">
      <c r="A36" s="268" t="s">
        <v>208</v>
      </c>
      <c r="B36" s="268" t="s">
        <v>956</v>
      </c>
      <c r="C36" s="268" t="s">
        <v>957</v>
      </c>
      <c r="D36" s="268">
        <v>178</v>
      </c>
      <c r="E36" s="268">
        <v>0</v>
      </c>
      <c r="F36" s="83">
        <f t="shared" si="4"/>
        <v>178</v>
      </c>
      <c r="G36" s="268">
        <v>34</v>
      </c>
      <c r="H36" s="268">
        <v>0</v>
      </c>
      <c r="I36" s="83">
        <f t="shared" si="5"/>
        <v>34</v>
      </c>
      <c r="J36" s="171">
        <f t="shared" si="6"/>
        <v>0.191</v>
      </c>
      <c r="K36" s="177">
        <f t="shared" si="1"/>
        <v>0</v>
      </c>
      <c r="L36" s="177">
        <f t="shared" si="2"/>
        <v>0</v>
      </c>
      <c r="M36" s="177">
        <f t="shared" si="3"/>
        <v>0</v>
      </c>
    </row>
    <row r="37" spans="1:13">
      <c r="A37" s="268" t="s">
        <v>208</v>
      </c>
      <c r="B37" s="268" t="s">
        <v>958</v>
      </c>
      <c r="C37" s="268" t="s">
        <v>959</v>
      </c>
      <c r="D37" s="268">
        <v>98</v>
      </c>
      <c r="E37" s="268">
        <v>0</v>
      </c>
      <c r="F37" s="83">
        <f t="shared" si="4"/>
        <v>98</v>
      </c>
      <c r="G37" s="268">
        <v>38</v>
      </c>
      <c r="H37" s="268">
        <v>0</v>
      </c>
      <c r="I37" s="83">
        <f t="shared" si="5"/>
        <v>38</v>
      </c>
      <c r="J37" s="171">
        <f t="shared" si="6"/>
        <v>0.38779999999999998</v>
      </c>
      <c r="K37" s="177">
        <f t="shared" si="1"/>
        <v>1</v>
      </c>
      <c r="L37" s="177">
        <f t="shared" si="2"/>
        <v>0</v>
      </c>
      <c r="M37" s="177">
        <f t="shared" si="3"/>
        <v>1</v>
      </c>
    </row>
    <row r="38" spans="1:13">
      <c r="A38" s="268" t="s">
        <v>208</v>
      </c>
      <c r="B38" s="268" t="s">
        <v>960</v>
      </c>
      <c r="C38" s="268" t="s">
        <v>961</v>
      </c>
      <c r="D38" s="268">
        <v>54</v>
      </c>
      <c r="E38" s="268">
        <v>0</v>
      </c>
      <c r="F38" s="83">
        <f t="shared" si="4"/>
        <v>54</v>
      </c>
      <c r="G38" s="268">
        <v>19</v>
      </c>
      <c r="H38" s="268">
        <v>0</v>
      </c>
      <c r="I38" s="83">
        <f t="shared" si="5"/>
        <v>19</v>
      </c>
      <c r="J38" s="171">
        <f t="shared" si="6"/>
        <v>0.35189999999999999</v>
      </c>
      <c r="K38" s="177">
        <f t="shared" si="1"/>
        <v>0</v>
      </c>
      <c r="L38" s="177">
        <f t="shared" si="2"/>
        <v>0</v>
      </c>
      <c r="M38" s="177">
        <f t="shared" si="3"/>
        <v>0</v>
      </c>
    </row>
    <row r="39" spans="1:13">
      <c r="A39" s="268" t="s">
        <v>208</v>
      </c>
      <c r="B39" s="268" t="s">
        <v>962</v>
      </c>
      <c r="C39" s="268" t="s">
        <v>963</v>
      </c>
      <c r="D39" s="268">
        <v>122</v>
      </c>
      <c r="E39" s="268">
        <v>0</v>
      </c>
      <c r="F39" s="83">
        <f t="shared" si="4"/>
        <v>122</v>
      </c>
      <c r="G39" s="268">
        <v>29</v>
      </c>
      <c r="H39" s="268">
        <v>0</v>
      </c>
      <c r="I39" s="83">
        <f t="shared" si="5"/>
        <v>29</v>
      </c>
      <c r="J39" s="171">
        <f t="shared" si="6"/>
        <v>0.23769999999999999</v>
      </c>
      <c r="K39" s="177">
        <f t="shared" si="1"/>
        <v>0</v>
      </c>
      <c r="L39" s="177">
        <f t="shared" si="2"/>
        <v>0</v>
      </c>
      <c r="M39" s="177">
        <f t="shared" si="3"/>
        <v>0</v>
      </c>
    </row>
    <row r="40" spans="1:13">
      <c r="A40" s="268" t="s">
        <v>209</v>
      </c>
      <c r="B40" s="268" t="s">
        <v>964</v>
      </c>
      <c r="C40" s="268" t="s">
        <v>965</v>
      </c>
      <c r="D40" s="268">
        <v>149</v>
      </c>
      <c r="E40" s="268">
        <v>0</v>
      </c>
      <c r="F40" s="83">
        <f t="shared" si="4"/>
        <v>149</v>
      </c>
      <c r="G40" s="268">
        <v>61</v>
      </c>
      <c r="H40" s="268">
        <v>0</v>
      </c>
      <c r="I40" s="83">
        <f t="shared" si="5"/>
        <v>61</v>
      </c>
      <c r="J40" s="171">
        <f t="shared" si="6"/>
        <v>0.40939999999999999</v>
      </c>
      <c r="K40" s="177">
        <f t="shared" si="1"/>
        <v>2.5</v>
      </c>
      <c r="L40" s="177">
        <f t="shared" si="2"/>
        <v>0</v>
      </c>
      <c r="M40" s="177">
        <f t="shared" si="3"/>
        <v>2.5</v>
      </c>
    </row>
    <row r="41" spans="1:13">
      <c r="A41" s="268" t="s">
        <v>209</v>
      </c>
      <c r="B41" s="268" t="s">
        <v>966</v>
      </c>
      <c r="C41" s="268" t="s">
        <v>967</v>
      </c>
      <c r="D41" s="268">
        <v>104</v>
      </c>
      <c r="E41" s="268">
        <v>0</v>
      </c>
      <c r="F41" s="83">
        <f t="shared" si="4"/>
        <v>104</v>
      </c>
      <c r="G41" s="268">
        <v>47</v>
      </c>
      <c r="H41" s="268">
        <v>0</v>
      </c>
      <c r="I41" s="83">
        <f t="shared" si="5"/>
        <v>47</v>
      </c>
      <c r="J41" s="171">
        <f t="shared" si="6"/>
        <v>0.45190000000000002</v>
      </c>
      <c r="K41" s="177">
        <f t="shared" si="1"/>
        <v>3.4</v>
      </c>
      <c r="L41" s="177">
        <f t="shared" si="2"/>
        <v>0</v>
      </c>
      <c r="M41" s="177">
        <f t="shared" si="3"/>
        <v>3.4</v>
      </c>
    </row>
    <row r="42" spans="1:13">
      <c r="A42" s="268" t="s">
        <v>209</v>
      </c>
      <c r="B42" s="268" t="s">
        <v>968</v>
      </c>
      <c r="C42" s="268" t="s">
        <v>969</v>
      </c>
      <c r="D42" s="268">
        <v>175</v>
      </c>
      <c r="E42" s="268">
        <v>0</v>
      </c>
      <c r="F42" s="83">
        <f t="shared" si="4"/>
        <v>175</v>
      </c>
      <c r="G42" s="268">
        <v>72</v>
      </c>
      <c r="H42" s="268">
        <v>0</v>
      </c>
      <c r="I42" s="83">
        <f t="shared" si="5"/>
        <v>72</v>
      </c>
      <c r="J42" s="171">
        <f t="shared" si="6"/>
        <v>0.41139999999999999</v>
      </c>
      <c r="K42" s="177">
        <f t="shared" si="1"/>
        <v>3.1</v>
      </c>
      <c r="L42" s="177">
        <f t="shared" si="2"/>
        <v>0</v>
      </c>
      <c r="M42" s="177">
        <f t="shared" si="3"/>
        <v>3.1</v>
      </c>
    </row>
    <row r="43" spans="1:13">
      <c r="A43" s="268" t="s">
        <v>209</v>
      </c>
      <c r="B43" s="268" t="s">
        <v>970</v>
      </c>
      <c r="C43" s="268" t="s">
        <v>971</v>
      </c>
      <c r="D43" s="268">
        <v>175</v>
      </c>
      <c r="E43" s="268">
        <v>0</v>
      </c>
      <c r="F43" s="83">
        <f t="shared" si="4"/>
        <v>175</v>
      </c>
      <c r="G43" s="268">
        <v>61</v>
      </c>
      <c r="H43" s="268">
        <v>0</v>
      </c>
      <c r="I43" s="83">
        <f t="shared" si="5"/>
        <v>61</v>
      </c>
      <c r="J43" s="171">
        <f t="shared" si="6"/>
        <v>0.34860000000000002</v>
      </c>
      <c r="K43" s="177">
        <f t="shared" si="1"/>
        <v>0</v>
      </c>
      <c r="L43" s="177">
        <f t="shared" si="2"/>
        <v>0</v>
      </c>
      <c r="M43" s="177">
        <f t="shared" si="3"/>
        <v>0</v>
      </c>
    </row>
    <row r="44" spans="1:13">
      <c r="A44" s="268" t="s">
        <v>209</v>
      </c>
      <c r="B44" s="268" t="s">
        <v>972</v>
      </c>
      <c r="C44" s="268" t="s">
        <v>973</v>
      </c>
      <c r="D44" s="268">
        <v>0</v>
      </c>
      <c r="E44" s="268">
        <v>0</v>
      </c>
      <c r="F44" s="83">
        <f t="shared" si="4"/>
        <v>0</v>
      </c>
      <c r="G44" s="268">
        <v>0</v>
      </c>
      <c r="H44" s="268">
        <v>0</v>
      </c>
      <c r="I44" s="83">
        <f t="shared" si="5"/>
        <v>0</v>
      </c>
      <c r="J44" s="171">
        <f t="shared" si="6"/>
        <v>0</v>
      </c>
      <c r="K44" s="177">
        <f t="shared" si="1"/>
        <v>0</v>
      </c>
      <c r="L44" s="177">
        <f t="shared" si="2"/>
        <v>0</v>
      </c>
      <c r="M44" s="177">
        <f t="shared" si="3"/>
        <v>0</v>
      </c>
    </row>
    <row r="45" spans="1:13" ht="12.75" customHeight="1">
      <c r="A45" s="268" t="s">
        <v>210</v>
      </c>
      <c r="B45" s="268" t="s">
        <v>974</v>
      </c>
      <c r="C45" s="268" t="s">
        <v>975</v>
      </c>
      <c r="D45" s="268">
        <v>406</v>
      </c>
      <c r="E45" s="268">
        <v>0</v>
      </c>
      <c r="F45" s="83">
        <f t="shared" si="4"/>
        <v>406</v>
      </c>
      <c r="G45" s="268">
        <v>88</v>
      </c>
      <c r="H45" s="268">
        <v>0</v>
      </c>
      <c r="I45" s="83">
        <f t="shared" si="5"/>
        <v>88</v>
      </c>
      <c r="J45" s="171">
        <f t="shared" si="6"/>
        <v>0.2167</v>
      </c>
      <c r="K45" s="177">
        <f t="shared" si="1"/>
        <v>0</v>
      </c>
      <c r="L45" s="177">
        <f t="shared" si="2"/>
        <v>0</v>
      </c>
      <c r="M45" s="177">
        <f t="shared" si="3"/>
        <v>0</v>
      </c>
    </row>
    <row r="46" spans="1:13">
      <c r="A46" s="268" t="s">
        <v>210</v>
      </c>
      <c r="B46" s="268" t="s">
        <v>976</v>
      </c>
      <c r="C46" s="268" t="s">
        <v>977</v>
      </c>
      <c r="D46" s="268">
        <v>203</v>
      </c>
      <c r="E46" s="268">
        <v>0</v>
      </c>
      <c r="F46" s="83">
        <f t="shared" si="4"/>
        <v>203</v>
      </c>
      <c r="G46" s="268">
        <v>28</v>
      </c>
      <c r="H46" s="268">
        <v>0</v>
      </c>
      <c r="I46" s="83">
        <f t="shared" si="5"/>
        <v>28</v>
      </c>
      <c r="J46" s="171">
        <f t="shared" si="6"/>
        <v>0.13789999999999999</v>
      </c>
      <c r="K46" s="177">
        <f t="shared" si="1"/>
        <v>0</v>
      </c>
      <c r="L46" s="177">
        <f t="shared" si="2"/>
        <v>0</v>
      </c>
      <c r="M46" s="177">
        <f t="shared" si="3"/>
        <v>0</v>
      </c>
    </row>
    <row r="47" spans="1:13">
      <c r="A47" s="268" t="s">
        <v>211</v>
      </c>
      <c r="B47" s="268" t="s">
        <v>978</v>
      </c>
      <c r="C47" s="268" t="s">
        <v>979</v>
      </c>
      <c r="D47" s="268">
        <v>141</v>
      </c>
      <c r="E47" s="268">
        <v>0</v>
      </c>
      <c r="F47" s="83">
        <f t="shared" si="4"/>
        <v>141</v>
      </c>
      <c r="G47" s="268">
        <v>52</v>
      </c>
      <c r="H47" s="268">
        <v>0</v>
      </c>
      <c r="I47" s="83">
        <f t="shared" si="5"/>
        <v>52</v>
      </c>
      <c r="J47" s="171">
        <f t="shared" si="6"/>
        <v>0.36880000000000002</v>
      </c>
      <c r="K47" s="177">
        <f t="shared" si="1"/>
        <v>0.7</v>
      </c>
      <c r="L47" s="177">
        <f t="shared" si="2"/>
        <v>0</v>
      </c>
      <c r="M47" s="177">
        <f t="shared" si="3"/>
        <v>0.7</v>
      </c>
    </row>
    <row r="48" spans="1:13">
      <c r="A48" s="268" t="s">
        <v>211</v>
      </c>
      <c r="B48" s="268" t="s">
        <v>980</v>
      </c>
      <c r="C48" s="268" t="s">
        <v>981</v>
      </c>
      <c r="D48" s="268">
        <v>116</v>
      </c>
      <c r="E48" s="268">
        <v>0</v>
      </c>
      <c r="F48" s="83">
        <f t="shared" si="4"/>
        <v>116</v>
      </c>
      <c r="G48" s="268">
        <v>45</v>
      </c>
      <c r="H48" s="268">
        <v>0</v>
      </c>
      <c r="I48" s="83">
        <f t="shared" si="5"/>
        <v>45</v>
      </c>
      <c r="J48" s="171">
        <f t="shared" si="6"/>
        <v>0.38790000000000002</v>
      </c>
      <c r="K48" s="177">
        <f t="shared" si="1"/>
        <v>1.2</v>
      </c>
      <c r="L48" s="177">
        <f t="shared" si="2"/>
        <v>0</v>
      </c>
      <c r="M48" s="177">
        <f t="shared" si="3"/>
        <v>1.2</v>
      </c>
    </row>
    <row r="49" spans="1:13">
      <c r="A49" s="268" t="s">
        <v>212</v>
      </c>
      <c r="B49" s="268" t="s">
        <v>982</v>
      </c>
      <c r="C49" s="268" t="s">
        <v>983</v>
      </c>
      <c r="D49" s="268">
        <v>278</v>
      </c>
      <c r="E49" s="268">
        <v>0</v>
      </c>
      <c r="F49" s="83">
        <f t="shared" si="4"/>
        <v>278</v>
      </c>
      <c r="G49" s="268">
        <v>158</v>
      </c>
      <c r="H49" s="268">
        <v>0</v>
      </c>
      <c r="I49" s="83">
        <f t="shared" si="5"/>
        <v>158</v>
      </c>
      <c r="J49" s="171">
        <f t="shared" si="6"/>
        <v>0.56830000000000003</v>
      </c>
      <c r="K49" s="177">
        <f t="shared" si="1"/>
        <v>0</v>
      </c>
      <c r="L49" s="177">
        <f t="shared" si="2"/>
        <v>16.600000000000001</v>
      </c>
      <c r="M49" s="177">
        <f t="shared" si="3"/>
        <v>16.600000000000001</v>
      </c>
    </row>
    <row r="50" spans="1:13">
      <c r="A50" s="268" t="s">
        <v>212</v>
      </c>
      <c r="B50" s="268" t="s">
        <v>984</v>
      </c>
      <c r="C50" s="268" t="s">
        <v>985</v>
      </c>
      <c r="D50" s="268">
        <v>319</v>
      </c>
      <c r="E50" s="268">
        <v>0</v>
      </c>
      <c r="F50" s="83">
        <f t="shared" si="4"/>
        <v>319</v>
      </c>
      <c r="G50" s="268">
        <v>231</v>
      </c>
      <c r="H50" s="268">
        <v>0</v>
      </c>
      <c r="I50" s="83">
        <f t="shared" si="5"/>
        <v>231</v>
      </c>
      <c r="J50" s="171">
        <f t="shared" si="6"/>
        <v>0.72409999999999997</v>
      </c>
      <c r="K50" s="177">
        <f t="shared" si="1"/>
        <v>0</v>
      </c>
      <c r="L50" s="177">
        <f t="shared" si="2"/>
        <v>24.3</v>
      </c>
      <c r="M50" s="177">
        <f t="shared" si="3"/>
        <v>24.3</v>
      </c>
    </row>
    <row r="51" spans="1:13">
      <c r="A51" s="268" t="s">
        <v>212</v>
      </c>
      <c r="B51" s="268" t="s">
        <v>986</v>
      </c>
      <c r="C51" s="268" t="s">
        <v>987</v>
      </c>
      <c r="D51" s="268">
        <v>524</v>
      </c>
      <c r="E51" s="268">
        <v>0</v>
      </c>
      <c r="F51" s="83">
        <f t="shared" si="4"/>
        <v>524</v>
      </c>
      <c r="G51" s="268">
        <v>358</v>
      </c>
      <c r="H51" s="268">
        <v>0</v>
      </c>
      <c r="I51" s="83">
        <f t="shared" si="5"/>
        <v>358</v>
      </c>
      <c r="J51" s="171">
        <f t="shared" si="6"/>
        <v>0.68320000000000003</v>
      </c>
      <c r="K51" s="177">
        <f t="shared" si="1"/>
        <v>0</v>
      </c>
      <c r="L51" s="177">
        <f t="shared" si="2"/>
        <v>37.6</v>
      </c>
      <c r="M51" s="177">
        <f t="shared" si="3"/>
        <v>37.6</v>
      </c>
    </row>
    <row r="52" spans="1:13">
      <c r="A52" s="268" t="s">
        <v>212</v>
      </c>
      <c r="B52" s="268" t="s">
        <v>988</v>
      </c>
      <c r="C52" s="268" t="s">
        <v>989</v>
      </c>
      <c r="D52" s="268">
        <v>566</v>
      </c>
      <c r="E52" s="268">
        <v>0</v>
      </c>
      <c r="F52" s="83">
        <f t="shared" si="4"/>
        <v>566</v>
      </c>
      <c r="G52" s="268">
        <v>337</v>
      </c>
      <c r="H52" s="268">
        <v>0</v>
      </c>
      <c r="I52" s="83">
        <f t="shared" si="5"/>
        <v>337</v>
      </c>
      <c r="J52" s="171">
        <f t="shared" si="6"/>
        <v>0.59540000000000004</v>
      </c>
      <c r="K52" s="177">
        <f t="shared" si="1"/>
        <v>0</v>
      </c>
      <c r="L52" s="177">
        <f t="shared" si="2"/>
        <v>35.4</v>
      </c>
      <c r="M52" s="177">
        <f t="shared" si="3"/>
        <v>35.4</v>
      </c>
    </row>
    <row r="53" spans="1:13">
      <c r="A53" s="268" t="s">
        <v>212</v>
      </c>
      <c r="B53" s="268" t="s">
        <v>990</v>
      </c>
      <c r="C53" s="268" t="s">
        <v>991</v>
      </c>
      <c r="D53" s="268">
        <v>641</v>
      </c>
      <c r="E53" s="268">
        <v>0</v>
      </c>
      <c r="F53" s="83">
        <f t="shared" si="4"/>
        <v>641</v>
      </c>
      <c r="G53" s="268">
        <v>425</v>
      </c>
      <c r="H53" s="268">
        <v>0</v>
      </c>
      <c r="I53" s="83">
        <f t="shared" si="5"/>
        <v>425</v>
      </c>
      <c r="J53" s="171">
        <f t="shared" si="6"/>
        <v>0.66300000000000003</v>
      </c>
      <c r="K53" s="177">
        <f t="shared" si="1"/>
        <v>0</v>
      </c>
      <c r="L53" s="177">
        <f t="shared" si="2"/>
        <v>44.6</v>
      </c>
      <c r="M53" s="177">
        <f t="shared" si="3"/>
        <v>44.6</v>
      </c>
    </row>
    <row r="54" spans="1:13">
      <c r="A54" s="268" t="s">
        <v>212</v>
      </c>
      <c r="B54" s="268" t="s">
        <v>992</v>
      </c>
      <c r="C54" s="268" t="s">
        <v>993</v>
      </c>
      <c r="D54" s="268">
        <v>624</v>
      </c>
      <c r="E54" s="268">
        <v>0</v>
      </c>
      <c r="F54" s="83">
        <f t="shared" si="4"/>
        <v>624</v>
      </c>
      <c r="G54" s="268">
        <v>401</v>
      </c>
      <c r="H54" s="268">
        <v>0</v>
      </c>
      <c r="I54" s="83">
        <f t="shared" si="5"/>
        <v>401</v>
      </c>
      <c r="J54" s="171">
        <f t="shared" si="6"/>
        <v>0.64259999999999995</v>
      </c>
      <c r="K54" s="177">
        <f t="shared" si="1"/>
        <v>0</v>
      </c>
      <c r="L54" s="177">
        <f t="shared" si="2"/>
        <v>42.1</v>
      </c>
      <c r="M54" s="177">
        <f t="shared" si="3"/>
        <v>42.1</v>
      </c>
    </row>
    <row r="55" spans="1:13">
      <c r="A55" s="268" t="s">
        <v>212</v>
      </c>
      <c r="B55" s="268" t="s">
        <v>994</v>
      </c>
      <c r="C55" s="268" t="s">
        <v>995</v>
      </c>
      <c r="D55" s="268">
        <v>1087</v>
      </c>
      <c r="E55" s="268">
        <v>0</v>
      </c>
      <c r="F55" s="83">
        <f t="shared" si="4"/>
        <v>1087</v>
      </c>
      <c r="G55" s="268">
        <v>620</v>
      </c>
      <c r="H55" s="268">
        <v>0</v>
      </c>
      <c r="I55" s="83">
        <f t="shared" si="5"/>
        <v>620</v>
      </c>
      <c r="J55" s="171">
        <f t="shared" si="6"/>
        <v>0.57040000000000002</v>
      </c>
      <c r="K55" s="177">
        <f t="shared" si="1"/>
        <v>0</v>
      </c>
      <c r="L55" s="177">
        <f t="shared" si="2"/>
        <v>65.099999999999994</v>
      </c>
      <c r="M55" s="177">
        <f t="shared" si="3"/>
        <v>65.099999999999994</v>
      </c>
    </row>
    <row r="56" spans="1:13">
      <c r="A56" s="268" t="s">
        <v>213</v>
      </c>
      <c r="B56" s="268" t="s">
        <v>996</v>
      </c>
      <c r="C56" s="268" t="s">
        <v>3598</v>
      </c>
      <c r="D56" s="268">
        <v>686</v>
      </c>
      <c r="E56" s="268">
        <v>0</v>
      </c>
      <c r="F56" s="83">
        <f t="shared" si="4"/>
        <v>686</v>
      </c>
      <c r="G56" s="268">
        <v>91</v>
      </c>
      <c r="H56" s="268">
        <v>0</v>
      </c>
      <c r="I56" s="83">
        <f t="shared" si="5"/>
        <v>91</v>
      </c>
      <c r="J56" s="171">
        <f t="shared" si="6"/>
        <v>0.13270000000000001</v>
      </c>
      <c r="K56" s="177">
        <f t="shared" si="1"/>
        <v>0</v>
      </c>
      <c r="L56" s="177">
        <f t="shared" si="2"/>
        <v>0</v>
      </c>
      <c r="M56" s="177">
        <f t="shared" si="3"/>
        <v>0</v>
      </c>
    </row>
    <row r="57" spans="1:13">
      <c r="A57" s="268" t="s">
        <v>213</v>
      </c>
      <c r="B57" s="268" t="s">
        <v>997</v>
      </c>
      <c r="C57" s="268" t="s">
        <v>998</v>
      </c>
      <c r="D57" s="268">
        <v>490</v>
      </c>
      <c r="E57" s="268">
        <v>0</v>
      </c>
      <c r="F57" s="83">
        <f t="shared" si="4"/>
        <v>490</v>
      </c>
      <c r="G57" s="268">
        <v>68</v>
      </c>
      <c r="H57" s="268">
        <v>0</v>
      </c>
      <c r="I57" s="83">
        <f t="shared" si="5"/>
        <v>68</v>
      </c>
      <c r="J57" s="171">
        <f t="shared" si="6"/>
        <v>0.13880000000000001</v>
      </c>
      <c r="K57" s="177">
        <f t="shared" si="1"/>
        <v>0</v>
      </c>
      <c r="L57" s="177">
        <f t="shared" si="2"/>
        <v>0</v>
      </c>
      <c r="M57" s="177">
        <f t="shared" si="3"/>
        <v>0</v>
      </c>
    </row>
    <row r="58" spans="1:13">
      <c r="A58" s="268" t="s">
        <v>213</v>
      </c>
      <c r="B58" s="268" t="s">
        <v>999</v>
      </c>
      <c r="C58" s="268" t="s">
        <v>1000</v>
      </c>
      <c r="D58" s="268">
        <v>567</v>
      </c>
      <c r="E58" s="268">
        <v>0</v>
      </c>
      <c r="F58" s="83">
        <f t="shared" si="4"/>
        <v>567</v>
      </c>
      <c r="G58" s="268">
        <v>94</v>
      </c>
      <c r="H58" s="268">
        <v>0</v>
      </c>
      <c r="I58" s="83">
        <f t="shared" si="5"/>
        <v>94</v>
      </c>
      <c r="J58" s="171">
        <f t="shared" si="6"/>
        <v>0.1658</v>
      </c>
      <c r="K58" s="177">
        <f t="shared" si="1"/>
        <v>0</v>
      </c>
      <c r="L58" s="177">
        <f t="shared" si="2"/>
        <v>0</v>
      </c>
      <c r="M58" s="177">
        <f t="shared" si="3"/>
        <v>0</v>
      </c>
    </row>
    <row r="59" spans="1:13">
      <c r="A59" s="268" t="s">
        <v>213</v>
      </c>
      <c r="B59" s="268" t="s">
        <v>1001</v>
      </c>
      <c r="C59" s="268" t="s">
        <v>1002</v>
      </c>
      <c r="D59" s="268">
        <v>594</v>
      </c>
      <c r="E59" s="268">
        <v>0</v>
      </c>
      <c r="F59" s="83">
        <f t="shared" si="4"/>
        <v>594</v>
      </c>
      <c r="G59" s="268">
        <v>65</v>
      </c>
      <c r="H59" s="268">
        <v>0</v>
      </c>
      <c r="I59" s="83">
        <f t="shared" si="5"/>
        <v>65</v>
      </c>
      <c r="J59" s="171">
        <f t="shared" si="6"/>
        <v>0.1094</v>
      </c>
      <c r="K59" s="177">
        <f t="shared" si="1"/>
        <v>0</v>
      </c>
      <c r="L59" s="177">
        <f t="shared" si="2"/>
        <v>0</v>
      </c>
      <c r="M59" s="177">
        <f t="shared" si="3"/>
        <v>0</v>
      </c>
    </row>
    <row r="60" spans="1:13">
      <c r="A60" s="268" t="s">
        <v>214</v>
      </c>
      <c r="B60" s="268" t="s">
        <v>1003</v>
      </c>
      <c r="C60" s="268" t="s">
        <v>1004</v>
      </c>
      <c r="D60" s="268">
        <v>432</v>
      </c>
      <c r="E60" s="268">
        <v>0</v>
      </c>
      <c r="F60" s="83">
        <f t="shared" si="4"/>
        <v>432</v>
      </c>
      <c r="G60" s="268">
        <v>181</v>
      </c>
      <c r="H60" s="268">
        <v>0</v>
      </c>
      <c r="I60" s="83">
        <f t="shared" si="5"/>
        <v>181</v>
      </c>
      <c r="J60" s="171">
        <f t="shared" si="6"/>
        <v>0.41899999999999998</v>
      </c>
      <c r="K60" s="177">
        <f t="shared" si="1"/>
        <v>8.6999999999999993</v>
      </c>
      <c r="L60" s="177">
        <f t="shared" si="2"/>
        <v>0</v>
      </c>
      <c r="M60" s="177">
        <f t="shared" si="3"/>
        <v>8.6999999999999993</v>
      </c>
    </row>
    <row r="61" spans="1:13">
      <c r="A61" s="268" t="s">
        <v>214</v>
      </c>
      <c r="B61" s="268" t="s">
        <v>1005</v>
      </c>
      <c r="C61" s="268" t="s">
        <v>1006</v>
      </c>
      <c r="D61" s="268">
        <v>756</v>
      </c>
      <c r="E61" s="268">
        <v>0</v>
      </c>
      <c r="F61" s="83">
        <f t="shared" si="4"/>
        <v>756</v>
      </c>
      <c r="G61" s="268">
        <v>213</v>
      </c>
      <c r="H61" s="268">
        <v>0</v>
      </c>
      <c r="I61" s="83">
        <f t="shared" si="5"/>
        <v>213</v>
      </c>
      <c r="J61" s="171">
        <f t="shared" si="6"/>
        <v>0.28170000000000001</v>
      </c>
      <c r="K61" s="177">
        <f t="shared" si="1"/>
        <v>0</v>
      </c>
      <c r="L61" s="177">
        <f t="shared" si="2"/>
        <v>0</v>
      </c>
      <c r="M61" s="177">
        <f t="shared" si="3"/>
        <v>0</v>
      </c>
    </row>
    <row r="62" spans="1:13">
      <c r="A62" s="268" t="s">
        <v>214</v>
      </c>
      <c r="B62" s="268" t="s">
        <v>1007</v>
      </c>
      <c r="C62" s="268" t="s">
        <v>1008</v>
      </c>
      <c r="D62" s="268">
        <v>431</v>
      </c>
      <c r="E62" s="268">
        <v>0</v>
      </c>
      <c r="F62" s="83">
        <f t="shared" si="4"/>
        <v>431</v>
      </c>
      <c r="G62" s="268">
        <v>182</v>
      </c>
      <c r="H62" s="268">
        <v>0</v>
      </c>
      <c r="I62" s="83">
        <f t="shared" si="5"/>
        <v>182</v>
      </c>
      <c r="J62" s="171">
        <f t="shared" si="6"/>
        <v>0.42230000000000001</v>
      </c>
      <c r="K62" s="177">
        <f t="shared" si="1"/>
        <v>9.1999999999999993</v>
      </c>
      <c r="L62" s="177">
        <f t="shared" si="2"/>
        <v>0</v>
      </c>
      <c r="M62" s="177">
        <f t="shared" si="3"/>
        <v>9.1999999999999993</v>
      </c>
    </row>
    <row r="63" spans="1:13">
      <c r="A63" s="268" t="s">
        <v>214</v>
      </c>
      <c r="B63" s="268" t="s">
        <v>1009</v>
      </c>
      <c r="C63" s="268" t="s">
        <v>1010</v>
      </c>
      <c r="D63" s="268">
        <v>614</v>
      </c>
      <c r="E63" s="268">
        <v>0</v>
      </c>
      <c r="F63" s="83">
        <f t="shared" si="4"/>
        <v>614</v>
      </c>
      <c r="G63" s="268">
        <v>223</v>
      </c>
      <c r="H63" s="268">
        <v>0</v>
      </c>
      <c r="I63" s="83">
        <f t="shared" si="5"/>
        <v>223</v>
      </c>
      <c r="J63" s="171">
        <f t="shared" si="6"/>
        <v>0.36320000000000002</v>
      </c>
      <c r="K63" s="177">
        <f t="shared" si="1"/>
        <v>2.1</v>
      </c>
      <c r="L63" s="177">
        <f t="shared" si="2"/>
        <v>0</v>
      </c>
      <c r="M63" s="177">
        <f t="shared" si="3"/>
        <v>2.1</v>
      </c>
    </row>
    <row r="64" spans="1:13">
      <c r="A64" s="268" t="s">
        <v>214</v>
      </c>
      <c r="B64" s="268" t="s">
        <v>1011</v>
      </c>
      <c r="C64" s="268" t="s">
        <v>1012</v>
      </c>
      <c r="D64" s="268">
        <v>372</v>
      </c>
      <c r="E64" s="268">
        <v>0</v>
      </c>
      <c r="F64" s="83">
        <f t="shared" si="4"/>
        <v>372</v>
      </c>
      <c r="G64" s="268">
        <v>124</v>
      </c>
      <c r="H64" s="268">
        <v>0</v>
      </c>
      <c r="I64" s="83">
        <f t="shared" si="5"/>
        <v>124</v>
      </c>
      <c r="J64" s="171">
        <f t="shared" si="6"/>
        <v>0.33329999999999999</v>
      </c>
      <c r="K64" s="177">
        <f t="shared" si="1"/>
        <v>0</v>
      </c>
      <c r="L64" s="177">
        <f t="shared" si="2"/>
        <v>0</v>
      </c>
      <c r="M64" s="177">
        <f t="shared" si="3"/>
        <v>0</v>
      </c>
    </row>
    <row r="65" spans="1:13">
      <c r="A65" s="268" t="s">
        <v>215</v>
      </c>
      <c r="B65" s="268" t="s">
        <v>1013</v>
      </c>
      <c r="C65" s="268" t="s">
        <v>1014</v>
      </c>
      <c r="D65" s="268">
        <v>266</v>
      </c>
      <c r="E65" s="268">
        <v>0</v>
      </c>
      <c r="F65" s="83">
        <f t="shared" si="4"/>
        <v>266</v>
      </c>
      <c r="G65" s="268">
        <v>105</v>
      </c>
      <c r="H65" s="268">
        <v>0</v>
      </c>
      <c r="I65" s="83">
        <f t="shared" si="5"/>
        <v>105</v>
      </c>
      <c r="J65" s="171">
        <f t="shared" si="6"/>
        <v>0.3947</v>
      </c>
      <c r="K65" s="177">
        <f t="shared" si="1"/>
        <v>3.3</v>
      </c>
      <c r="L65" s="177">
        <f t="shared" si="2"/>
        <v>0</v>
      </c>
      <c r="M65" s="177">
        <f t="shared" si="3"/>
        <v>3.3</v>
      </c>
    </row>
    <row r="66" spans="1:13">
      <c r="A66" s="268" t="s">
        <v>215</v>
      </c>
      <c r="B66" s="268" t="s">
        <v>1015</v>
      </c>
      <c r="C66" s="268" t="s">
        <v>1016</v>
      </c>
      <c r="D66" s="268">
        <v>235</v>
      </c>
      <c r="E66" s="268">
        <v>0</v>
      </c>
      <c r="F66" s="83">
        <f t="shared" si="4"/>
        <v>235</v>
      </c>
      <c r="G66" s="268">
        <v>93</v>
      </c>
      <c r="H66" s="268">
        <v>0</v>
      </c>
      <c r="I66" s="83">
        <f t="shared" si="5"/>
        <v>93</v>
      </c>
      <c r="J66" s="171">
        <f t="shared" si="6"/>
        <v>0.3957</v>
      </c>
      <c r="K66" s="177">
        <f t="shared" si="1"/>
        <v>3</v>
      </c>
      <c r="L66" s="177">
        <f t="shared" si="2"/>
        <v>0</v>
      </c>
      <c r="M66" s="177">
        <f t="shared" si="3"/>
        <v>3</v>
      </c>
    </row>
    <row r="67" spans="1:13">
      <c r="A67" s="268" t="s">
        <v>216</v>
      </c>
      <c r="B67" s="268" t="s">
        <v>1017</v>
      </c>
      <c r="C67" s="268" t="s">
        <v>1018</v>
      </c>
      <c r="D67" s="268">
        <v>168</v>
      </c>
      <c r="E67" s="268">
        <v>0</v>
      </c>
      <c r="F67" s="83">
        <f t="shared" si="4"/>
        <v>168</v>
      </c>
      <c r="G67" s="268">
        <v>34</v>
      </c>
      <c r="H67" s="268">
        <v>0</v>
      </c>
      <c r="I67" s="83">
        <f t="shared" si="5"/>
        <v>34</v>
      </c>
      <c r="J67" s="171">
        <f t="shared" si="6"/>
        <v>0.2024</v>
      </c>
      <c r="K67" s="177">
        <f t="shared" si="1"/>
        <v>0</v>
      </c>
      <c r="L67" s="177">
        <f t="shared" si="2"/>
        <v>0</v>
      </c>
      <c r="M67" s="177">
        <f t="shared" si="3"/>
        <v>0</v>
      </c>
    </row>
    <row r="68" spans="1:13">
      <c r="A68" s="268" t="s">
        <v>216</v>
      </c>
      <c r="B68" s="268" t="s">
        <v>1019</v>
      </c>
      <c r="C68" s="268" t="s">
        <v>1020</v>
      </c>
      <c r="D68" s="268">
        <v>191</v>
      </c>
      <c r="E68" s="268">
        <v>0</v>
      </c>
      <c r="F68" s="83">
        <f t="shared" si="4"/>
        <v>191</v>
      </c>
      <c r="G68" s="268">
        <v>57</v>
      </c>
      <c r="H68" s="268">
        <v>0</v>
      </c>
      <c r="I68" s="83">
        <f t="shared" si="5"/>
        <v>57</v>
      </c>
      <c r="J68" s="171">
        <f t="shared" si="6"/>
        <v>0.2984</v>
      </c>
      <c r="K68" s="177">
        <f t="shared" si="1"/>
        <v>0</v>
      </c>
      <c r="L68" s="177">
        <f t="shared" si="2"/>
        <v>0</v>
      </c>
      <c r="M68" s="177">
        <f t="shared" si="3"/>
        <v>0</v>
      </c>
    </row>
    <row r="69" spans="1:13">
      <c r="A69" s="268" t="s">
        <v>216</v>
      </c>
      <c r="B69" s="268" t="s">
        <v>1021</v>
      </c>
      <c r="C69" s="268" t="s">
        <v>1022</v>
      </c>
      <c r="D69" s="268">
        <v>148</v>
      </c>
      <c r="E69" s="268">
        <v>0</v>
      </c>
      <c r="F69" s="83">
        <f t="shared" si="4"/>
        <v>148</v>
      </c>
      <c r="G69" s="268">
        <v>38</v>
      </c>
      <c r="H69" s="268">
        <v>0</v>
      </c>
      <c r="I69" s="83">
        <f t="shared" si="5"/>
        <v>38</v>
      </c>
      <c r="J69" s="171">
        <f t="shared" si="6"/>
        <v>0.25679999999999997</v>
      </c>
      <c r="K69" s="177">
        <f t="shared" ref="K69:K132" si="7">IF(AND((J69-35%)&gt;0,J69&lt;50%),I69*(J69-35%)*0.7,0)</f>
        <v>0</v>
      </c>
      <c r="L69" s="177">
        <f t="shared" ref="L69:L132" si="8">IF(J69&gt;=50%,I69*10.5%,0)</f>
        <v>0</v>
      </c>
      <c r="M69" s="177">
        <f t="shared" ref="M69:M132" si="9">MAX(K69,L69)</f>
        <v>0</v>
      </c>
    </row>
    <row r="70" spans="1:13">
      <c r="A70" s="268" t="s">
        <v>217</v>
      </c>
      <c r="B70" s="268" t="s">
        <v>1023</v>
      </c>
      <c r="C70" s="268" t="s">
        <v>1024</v>
      </c>
      <c r="D70" s="268">
        <v>500</v>
      </c>
      <c r="E70" s="268">
        <v>0</v>
      </c>
      <c r="F70" s="83">
        <f t="shared" ref="F70:F133" si="10">SUM(D70+E70)</f>
        <v>500</v>
      </c>
      <c r="G70" s="268">
        <v>24</v>
      </c>
      <c r="H70" s="268">
        <v>0</v>
      </c>
      <c r="I70" s="83">
        <f t="shared" ref="I70:I133" si="11">SUM(G70+H70)</f>
        <v>24</v>
      </c>
      <c r="J70" s="171">
        <f t="shared" ref="J70:J133" si="12">IF(ISERROR(I70/F70),0,I70/F70)</f>
        <v>4.8000000000000001E-2</v>
      </c>
      <c r="K70" s="177">
        <f t="shared" si="7"/>
        <v>0</v>
      </c>
      <c r="L70" s="177">
        <f t="shared" si="8"/>
        <v>0</v>
      </c>
      <c r="M70" s="177">
        <f t="shared" si="9"/>
        <v>0</v>
      </c>
    </row>
    <row r="71" spans="1:13">
      <c r="A71" s="268" t="s">
        <v>217</v>
      </c>
      <c r="B71" s="268" t="s">
        <v>1025</v>
      </c>
      <c r="C71" s="268" t="s">
        <v>1026</v>
      </c>
      <c r="D71" s="268">
        <v>450</v>
      </c>
      <c r="E71" s="268">
        <v>0</v>
      </c>
      <c r="F71" s="83">
        <f t="shared" si="10"/>
        <v>450</v>
      </c>
      <c r="G71" s="268">
        <v>17</v>
      </c>
      <c r="H71" s="268">
        <v>0</v>
      </c>
      <c r="I71" s="83">
        <f t="shared" si="11"/>
        <v>17</v>
      </c>
      <c r="J71" s="171">
        <f t="shared" si="12"/>
        <v>3.78E-2</v>
      </c>
      <c r="K71" s="177">
        <f t="shared" si="7"/>
        <v>0</v>
      </c>
      <c r="L71" s="177">
        <f t="shared" si="8"/>
        <v>0</v>
      </c>
      <c r="M71" s="177">
        <f t="shared" si="9"/>
        <v>0</v>
      </c>
    </row>
    <row r="72" spans="1:13">
      <c r="A72" s="268" t="s">
        <v>217</v>
      </c>
      <c r="B72" s="268" t="s">
        <v>1027</v>
      </c>
      <c r="C72" s="268" t="s">
        <v>1028</v>
      </c>
      <c r="D72" s="268">
        <v>467</v>
      </c>
      <c r="E72" s="268">
        <v>0</v>
      </c>
      <c r="F72" s="83">
        <f t="shared" si="10"/>
        <v>467</v>
      </c>
      <c r="G72" s="268">
        <v>14</v>
      </c>
      <c r="H72" s="268">
        <v>0</v>
      </c>
      <c r="I72" s="83">
        <f t="shared" si="11"/>
        <v>14</v>
      </c>
      <c r="J72" s="171">
        <f t="shared" si="12"/>
        <v>0.03</v>
      </c>
      <c r="K72" s="177">
        <f t="shared" si="7"/>
        <v>0</v>
      </c>
      <c r="L72" s="177">
        <f t="shared" si="8"/>
        <v>0</v>
      </c>
      <c r="M72" s="177">
        <f t="shared" si="9"/>
        <v>0</v>
      </c>
    </row>
    <row r="73" spans="1:13">
      <c r="A73" s="268" t="s">
        <v>217</v>
      </c>
      <c r="B73" s="268" t="s">
        <v>1029</v>
      </c>
      <c r="C73" s="268" t="s">
        <v>1030</v>
      </c>
      <c r="D73" s="268">
        <v>289</v>
      </c>
      <c r="E73" s="268">
        <v>0</v>
      </c>
      <c r="F73" s="83">
        <f t="shared" si="10"/>
        <v>289</v>
      </c>
      <c r="G73" s="268">
        <v>7</v>
      </c>
      <c r="H73" s="268">
        <v>0</v>
      </c>
      <c r="I73" s="83">
        <f t="shared" si="11"/>
        <v>7</v>
      </c>
      <c r="J73" s="171">
        <f t="shared" si="12"/>
        <v>2.4199999999999999E-2</v>
      </c>
      <c r="K73" s="177">
        <f t="shared" si="7"/>
        <v>0</v>
      </c>
      <c r="L73" s="177">
        <f t="shared" si="8"/>
        <v>0</v>
      </c>
      <c r="M73" s="177">
        <f t="shared" si="9"/>
        <v>0</v>
      </c>
    </row>
    <row r="74" spans="1:13">
      <c r="A74" s="268" t="s">
        <v>218</v>
      </c>
      <c r="B74" s="268" t="s">
        <v>1031</v>
      </c>
      <c r="C74" s="268" t="s">
        <v>1032</v>
      </c>
      <c r="D74" s="268">
        <v>264</v>
      </c>
      <c r="E74" s="268">
        <v>0</v>
      </c>
      <c r="F74" s="83">
        <f t="shared" si="10"/>
        <v>264</v>
      </c>
      <c r="G74" s="268">
        <v>76</v>
      </c>
      <c r="H74" s="268">
        <v>0</v>
      </c>
      <c r="I74" s="83">
        <f t="shared" si="11"/>
        <v>76</v>
      </c>
      <c r="J74" s="171">
        <f t="shared" si="12"/>
        <v>0.28789999999999999</v>
      </c>
      <c r="K74" s="177">
        <f t="shared" si="7"/>
        <v>0</v>
      </c>
      <c r="L74" s="177">
        <f t="shared" si="8"/>
        <v>0</v>
      </c>
      <c r="M74" s="177">
        <f t="shared" si="9"/>
        <v>0</v>
      </c>
    </row>
    <row r="75" spans="1:13">
      <c r="A75" s="268" t="s">
        <v>218</v>
      </c>
      <c r="B75" s="268" t="s">
        <v>1033</v>
      </c>
      <c r="C75" s="268" t="s">
        <v>1034</v>
      </c>
      <c r="D75" s="268">
        <v>115</v>
      </c>
      <c r="E75" s="268">
        <v>0</v>
      </c>
      <c r="F75" s="83">
        <f t="shared" si="10"/>
        <v>115</v>
      </c>
      <c r="G75" s="268">
        <v>26</v>
      </c>
      <c r="H75" s="268">
        <v>0</v>
      </c>
      <c r="I75" s="83">
        <f t="shared" si="11"/>
        <v>26</v>
      </c>
      <c r="J75" s="171">
        <f t="shared" si="12"/>
        <v>0.2261</v>
      </c>
      <c r="K75" s="177">
        <f t="shared" si="7"/>
        <v>0</v>
      </c>
      <c r="L75" s="177">
        <f t="shared" si="8"/>
        <v>0</v>
      </c>
      <c r="M75" s="177">
        <f t="shared" si="9"/>
        <v>0</v>
      </c>
    </row>
    <row r="76" spans="1:13">
      <c r="A76" s="268" t="s">
        <v>219</v>
      </c>
      <c r="B76" s="268" t="s">
        <v>1035</v>
      </c>
      <c r="C76" s="268" t="s">
        <v>1036</v>
      </c>
      <c r="D76" s="268">
        <v>84</v>
      </c>
      <c r="E76" s="268">
        <v>0</v>
      </c>
      <c r="F76" s="83">
        <f t="shared" si="10"/>
        <v>84</v>
      </c>
      <c r="G76" s="268">
        <v>39</v>
      </c>
      <c r="H76" s="268">
        <v>0</v>
      </c>
      <c r="I76" s="83">
        <f t="shared" si="11"/>
        <v>39</v>
      </c>
      <c r="J76" s="171">
        <f t="shared" si="12"/>
        <v>0.46429999999999999</v>
      </c>
      <c r="K76" s="177">
        <f t="shared" si="7"/>
        <v>3.1</v>
      </c>
      <c r="L76" s="177">
        <f t="shared" si="8"/>
        <v>0</v>
      </c>
      <c r="M76" s="177">
        <f t="shared" si="9"/>
        <v>3.1</v>
      </c>
    </row>
    <row r="77" spans="1:13">
      <c r="A77" s="268" t="s">
        <v>219</v>
      </c>
      <c r="B77" s="268" t="s">
        <v>1037</v>
      </c>
      <c r="C77" s="268" t="s">
        <v>1038</v>
      </c>
      <c r="D77" s="268">
        <v>83</v>
      </c>
      <c r="E77" s="268">
        <v>0</v>
      </c>
      <c r="F77" s="83">
        <f t="shared" si="10"/>
        <v>83</v>
      </c>
      <c r="G77" s="268">
        <v>42</v>
      </c>
      <c r="H77" s="268">
        <v>0</v>
      </c>
      <c r="I77" s="83">
        <f t="shared" si="11"/>
        <v>42</v>
      </c>
      <c r="J77" s="171">
        <f t="shared" si="12"/>
        <v>0.50600000000000001</v>
      </c>
      <c r="K77" s="177">
        <f t="shared" si="7"/>
        <v>0</v>
      </c>
      <c r="L77" s="177">
        <f t="shared" si="8"/>
        <v>4.4000000000000004</v>
      </c>
      <c r="M77" s="177">
        <f t="shared" si="9"/>
        <v>4.4000000000000004</v>
      </c>
    </row>
    <row r="78" spans="1:13">
      <c r="A78" s="268" t="s">
        <v>220</v>
      </c>
      <c r="B78" s="268" t="s">
        <v>1039</v>
      </c>
      <c r="C78" s="268" t="s">
        <v>1040</v>
      </c>
      <c r="D78" s="268">
        <v>581</v>
      </c>
      <c r="E78" s="268">
        <v>0</v>
      </c>
      <c r="F78" s="83">
        <f t="shared" si="10"/>
        <v>581</v>
      </c>
      <c r="G78" s="268">
        <v>258</v>
      </c>
      <c r="H78" s="268">
        <v>0</v>
      </c>
      <c r="I78" s="83">
        <f t="shared" si="11"/>
        <v>258</v>
      </c>
      <c r="J78" s="171">
        <f t="shared" si="12"/>
        <v>0.44409999999999999</v>
      </c>
      <c r="K78" s="177">
        <f t="shared" si="7"/>
        <v>17</v>
      </c>
      <c r="L78" s="177">
        <f t="shared" si="8"/>
        <v>0</v>
      </c>
      <c r="M78" s="177">
        <f t="shared" si="9"/>
        <v>17</v>
      </c>
    </row>
    <row r="79" spans="1:13">
      <c r="A79" s="268" t="s">
        <v>220</v>
      </c>
      <c r="B79" s="268" t="s">
        <v>1041</v>
      </c>
      <c r="C79" s="268" t="s">
        <v>1042</v>
      </c>
      <c r="D79" s="268">
        <v>155</v>
      </c>
      <c r="E79" s="268">
        <v>0</v>
      </c>
      <c r="F79" s="83">
        <f t="shared" si="10"/>
        <v>155</v>
      </c>
      <c r="G79" s="268">
        <v>54</v>
      </c>
      <c r="H79" s="268">
        <v>0</v>
      </c>
      <c r="I79" s="83">
        <f t="shared" si="11"/>
        <v>54</v>
      </c>
      <c r="J79" s="171">
        <f t="shared" si="12"/>
        <v>0.34839999999999999</v>
      </c>
      <c r="K79" s="177">
        <f t="shared" si="7"/>
        <v>0</v>
      </c>
      <c r="L79" s="177">
        <f t="shared" si="8"/>
        <v>0</v>
      </c>
      <c r="M79" s="177">
        <f t="shared" si="9"/>
        <v>0</v>
      </c>
    </row>
    <row r="80" spans="1:13">
      <c r="A80" s="268" t="s">
        <v>220</v>
      </c>
      <c r="B80" s="268" t="s">
        <v>1043</v>
      </c>
      <c r="C80" s="268" t="s">
        <v>1044</v>
      </c>
      <c r="D80" s="268">
        <v>289</v>
      </c>
      <c r="E80" s="268">
        <v>0</v>
      </c>
      <c r="F80" s="83">
        <f t="shared" si="10"/>
        <v>289</v>
      </c>
      <c r="G80" s="268">
        <v>116</v>
      </c>
      <c r="H80" s="268">
        <v>0</v>
      </c>
      <c r="I80" s="83">
        <f t="shared" si="11"/>
        <v>116</v>
      </c>
      <c r="J80" s="171">
        <f t="shared" si="12"/>
        <v>0.40139999999999998</v>
      </c>
      <c r="K80" s="177">
        <f t="shared" si="7"/>
        <v>4.2</v>
      </c>
      <c r="L80" s="177">
        <f t="shared" si="8"/>
        <v>0</v>
      </c>
      <c r="M80" s="177">
        <f t="shared" si="9"/>
        <v>4.2</v>
      </c>
    </row>
    <row r="81" spans="1:13">
      <c r="A81" s="268" t="s">
        <v>220</v>
      </c>
      <c r="B81" s="268" t="s">
        <v>1045</v>
      </c>
      <c r="C81" s="268" t="s">
        <v>1046</v>
      </c>
      <c r="D81" s="268">
        <v>14</v>
      </c>
      <c r="E81" s="268">
        <v>0</v>
      </c>
      <c r="F81" s="83">
        <f t="shared" si="10"/>
        <v>14</v>
      </c>
      <c r="G81" s="268">
        <v>5</v>
      </c>
      <c r="H81" s="268">
        <v>0</v>
      </c>
      <c r="I81" s="83">
        <f t="shared" si="11"/>
        <v>5</v>
      </c>
      <c r="J81" s="171">
        <f t="shared" si="12"/>
        <v>0.35709999999999997</v>
      </c>
      <c r="K81" s="177">
        <f t="shared" si="7"/>
        <v>0</v>
      </c>
      <c r="L81" s="177">
        <f t="shared" si="8"/>
        <v>0</v>
      </c>
      <c r="M81" s="177">
        <f t="shared" si="9"/>
        <v>0</v>
      </c>
    </row>
    <row r="82" spans="1:13">
      <c r="A82" s="268" t="s">
        <v>221</v>
      </c>
      <c r="B82" s="268" t="s">
        <v>1047</v>
      </c>
      <c r="C82" s="268" t="s">
        <v>1026</v>
      </c>
      <c r="D82" s="268">
        <v>373</v>
      </c>
      <c r="E82" s="268">
        <v>0</v>
      </c>
      <c r="F82" s="83">
        <f t="shared" si="10"/>
        <v>373</v>
      </c>
      <c r="G82" s="268">
        <v>140</v>
      </c>
      <c r="H82" s="268">
        <v>0</v>
      </c>
      <c r="I82" s="83">
        <f t="shared" si="11"/>
        <v>140</v>
      </c>
      <c r="J82" s="171">
        <f t="shared" si="12"/>
        <v>0.37530000000000002</v>
      </c>
      <c r="K82" s="177">
        <f t="shared" si="7"/>
        <v>2.5</v>
      </c>
      <c r="L82" s="177">
        <f t="shared" si="8"/>
        <v>0</v>
      </c>
      <c r="M82" s="177">
        <f t="shared" si="9"/>
        <v>2.5</v>
      </c>
    </row>
    <row r="83" spans="1:13">
      <c r="A83" s="268" t="s">
        <v>221</v>
      </c>
      <c r="B83" s="268" t="s">
        <v>1048</v>
      </c>
      <c r="C83" s="268" t="s">
        <v>1049</v>
      </c>
      <c r="D83" s="268">
        <v>106</v>
      </c>
      <c r="E83" s="268">
        <v>0</v>
      </c>
      <c r="F83" s="83">
        <f t="shared" si="10"/>
        <v>106</v>
      </c>
      <c r="G83" s="268">
        <v>32</v>
      </c>
      <c r="H83" s="268">
        <v>0</v>
      </c>
      <c r="I83" s="83">
        <f t="shared" si="11"/>
        <v>32</v>
      </c>
      <c r="J83" s="171">
        <f t="shared" si="12"/>
        <v>0.3019</v>
      </c>
      <c r="K83" s="177">
        <f t="shared" si="7"/>
        <v>0</v>
      </c>
      <c r="L83" s="177">
        <f t="shared" si="8"/>
        <v>0</v>
      </c>
      <c r="M83" s="177">
        <f t="shared" si="9"/>
        <v>0</v>
      </c>
    </row>
    <row r="84" spans="1:13">
      <c r="A84" s="268" t="s">
        <v>221</v>
      </c>
      <c r="B84" s="268" t="s">
        <v>1050</v>
      </c>
      <c r="C84" s="268" t="s">
        <v>1051</v>
      </c>
      <c r="D84" s="268">
        <v>201</v>
      </c>
      <c r="E84" s="268">
        <v>0</v>
      </c>
      <c r="F84" s="83">
        <f t="shared" si="10"/>
        <v>201</v>
      </c>
      <c r="G84" s="268">
        <v>47</v>
      </c>
      <c r="H84" s="268">
        <v>0</v>
      </c>
      <c r="I84" s="83">
        <f t="shared" si="11"/>
        <v>47</v>
      </c>
      <c r="J84" s="171">
        <f t="shared" si="12"/>
        <v>0.23380000000000001</v>
      </c>
      <c r="K84" s="177">
        <f t="shared" si="7"/>
        <v>0</v>
      </c>
      <c r="L84" s="177">
        <f t="shared" si="8"/>
        <v>0</v>
      </c>
      <c r="M84" s="177">
        <f t="shared" si="9"/>
        <v>0</v>
      </c>
    </row>
    <row r="85" spans="1:13">
      <c r="A85" s="268" t="s">
        <v>222</v>
      </c>
      <c r="B85" s="268" t="s">
        <v>1052</v>
      </c>
      <c r="C85" s="268" t="s">
        <v>1053</v>
      </c>
      <c r="D85" s="268">
        <v>47</v>
      </c>
      <c r="E85" s="268">
        <v>0</v>
      </c>
      <c r="F85" s="83">
        <f t="shared" si="10"/>
        <v>47</v>
      </c>
      <c r="G85" s="268">
        <v>23</v>
      </c>
      <c r="H85" s="268">
        <v>0</v>
      </c>
      <c r="I85" s="83">
        <f t="shared" si="11"/>
        <v>23</v>
      </c>
      <c r="J85" s="171">
        <f t="shared" si="12"/>
        <v>0.4894</v>
      </c>
      <c r="K85" s="177">
        <f t="shared" si="7"/>
        <v>2.2000000000000002</v>
      </c>
      <c r="L85" s="177">
        <f t="shared" si="8"/>
        <v>0</v>
      </c>
      <c r="M85" s="177">
        <f t="shared" si="9"/>
        <v>2.2000000000000002</v>
      </c>
    </row>
    <row r="86" spans="1:13">
      <c r="A86" s="268" t="s">
        <v>222</v>
      </c>
      <c r="B86" s="268" t="s">
        <v>1054</v>
      </c>
      <c r="C86" s="268" t="s">
        <v>1055</v>
      </c>
      <c r="D86" s="268">
        <v>54</v>
      </c>
      <c r="E86" s="268">
        <v>0</v>
      </c>
      <c r="F86" s="83">
        <f t="shared" si="10"/>
        <v>54</v>
      </c>
      <c r="G86" s="268">
        <v>26</v>
      </c>
      <c r="H86" s="268">
        <v>0</v>
      </c>
      <c r="I86" s="83">
        <f t="shared" si="11"/>
        <v>26</v>
      </c>
      <c r="J86" s="171">
        <f t="shared" si="12"/>
        <v>0.48149999999999998</v>
      </c>
      <c r="K86" s="177">
        <f t="shared" si="7"/>
        <v>2.4</v>
      </c>
      <c r="L86" s="177">
        <f t="shared" si="8"/>
        <v>0</v>
      </c>
      <c r="M86" s="177">
        <f t="shared" si="9"/>
        <v>2.4</v>
      </c>
    </row>
    <row r="87" spans="1:13">
      <c r="A87" s="268" t="s">
        <v>222</v>
      </c>
      <c r="B87" s="268" t="s">
        <v>1056</v>
      </c>
      <c r="C87" s="268" t="s">
        <v>1057</v>
      </c>
      <c r="D87" s="268">
        <v>45</v>
      </c>
      <c r="E87" s="268">
        <v>0</v>
      </c>
      <c r="F87" s="83">
        <f t="shared" si="10"/>
        <v>45</v>
      </c>
      <c r="G87" s="268">
        <v>16</v>
      </c>
      <c r="H87" s="268">
        <v>0</v>
      </c>
      <c r="I87" s="83">
        <f t="shared" si="11"/>
        <v>16</v>
      </c>
      <c r="J87" s="171">
        <f t="shared" si="12"/>
        <v>0.35560000000000003</v>
      </c>
      <c r="K87" s="177">
        <f t="shared" si="7"/>
        <v>0.1</v>
      </c>
      <c r="L87" s="177">
        <f t="shared" si="8"/>
        <v>0</v>
      </c>
      <c r="M87" s="177">
        <f t="shared" si="9"/>
        <v>0.1</v>
      </c>
    </row>
    <row r="88" spans="1:13">
      <c r="A88" s="268" t="s">
        <v>223</v>
      </c>
      <c r="B88" s="268" t="s">
        <v>1058</v>
      </c>
      <c r="C88" s="268" t="s">
        <v>1059</v>
      </c>
      <c r="D88" s="268">
        <v>360</v>
      </c>
      <c r="E88" s="268">
        <v>0</v>
      </c>
      <c r="F88" s="83">
        <f t="shared" si="10"/>
        <v>360</v>
      </c>
      <c r="G88" s="268">
        <v>191</v>
      </c>
      <c r="H88" s="268">
        <v>0</v>
      </c>
      <c r="I88" s="83">
        <f t="shared" si="11"/>
        <v>191</v>
      </c>
      <c r="J88" s="171">
        <f t="shared" si="12"/>
        <v>0.53059999999999996</v>
      </c>
      <c r="K88" s="177">
        <f t="shared" si="7"/>
        <v>0</v>
      </c>
      <c r="L88" s="177">
        <f t="shared" si="8"/>
        <v>20.100000000000001</v>
      </c>
      <c r="M88" s="177">
        <f t="shared" si="9"/>
        <v>20.100000000000001</v>
      </c>
    </row>
    <row r="89" spans="1:13">
      <c r="A89" s="268" t="s">
        <v>223</v>
      </c>
      <c r="B89" s="268" t="s">
        <v>1060</v>
      </c>
      <c r="C89" s="268" t="s">
        <v>1061</v>
      </c>
      <c r="D89" s="268">
        <v>381</v>
      </c>
      <c r="E89" s="268">
        <v>0</v>
      </c>
      <c r="F89" s="83">
        <f t="shared" si="10"/>
        <v>381</v>
      </c>
      <c r="G89" s="268">
        <v>213</v>
      </c>
      <c r="H89" s="268">
        <v>0</v>
      </c>
      <c r="I89" s="83">
        <f t="shared" si="11"/>
        <v>213</v>
      </c>
      <c r="J89" s="171">
        <f t="shared" si="12"/>
        <v>0.55910000000000004</v>
      </c>
      <c r="K89" s="177">
        <f t="shared" si="7"/>
        <v>0</v>
      </c>
      <c r="L89" s="177">
        <f t="shared" si="8"/>
        <v>22.4</v>
      </c>
      <c r="M89" s="177">
        <f t="shared" si="9"/>
        <v>22.4</v>
      </c>
    </row>
    <row r="90" spans="1:13">
      <c r="A90" s="268" t="s">
        <v>223</v>
      </c>
      <c r="B90" s="268" t="s">
        <v>1062</v>
      </c>
      <c r="C90" s="268" t="s">
        <v>1063</v>
      </c>
      <c r="D90" s="268">
        <v>437</v>
      </c>
      <c r="E90" s="268">
        <v>0</v>
      </c>
      <c r="F90" s="83">
        <f t="shared" si="10"/>
        <v>437</v>
      </c>
      <c r="G90" s="268">
        <v>179</v>
      </c>
      <c r="H90" s="268">
        <v>0</v>
      </c>
      <c r="I90" s="83">
        <f t="shared" si="11"/>
        <v>179</v>
      </c>
      <c r="J90" s="171">
        <f t="shared" si="12"/>
        <v>0.40960000000000002</v>
      </c>
      <c r="K90" s="177">
        <f t="shared" si="7"/>
        <v>7.5</v>
      </c>
      <c r="L90" s="177">
        <f t="shared" si="8"/>
        <v>0</v>
      </c>
      <c r="M90" s="177">
        <f t="shared" si="9"/>
        <v>7.5</v>
      </c>
    </row>
    <row r="91" spans="1:13">
      <c r="A91" s="268" t="s">
        <v>223</v>
      </c>
      <c r="B91" s="268" t="s">
        <v>1064</v>
      </c>
      <c r="C91" s="268" t="s">
        <v>1065</v>
      </c>
      <c r="D91" s="268">
        <v>421</v>
      </c>
      <c r="E91" s="268">
        <v>0</v>
      </c>
      <c r="F91" s="83">
        <f t="shared" si="10"/>
        <v>421</v>
      </c>
      <c r="G91" s="268">
        <v>204</v>
      </c>
      <c r="H91" s="268">
        <v>0</v>
      </c>
      <c r="I91" s="83">
        <f t="shared" si="11"/>
        <v>204</v>
      </c>
      <c r="J91" s="171">
        <f t="shared" si="12"/>
        <v>0.48459999999999998</v>
      </c>
      <c r="K91" s="177">
        <f t="shared" si="7"/>
        <v>19.2</v>
      </c>
      <c r="L91" s="177">
        <f t="shared" si="8"/>
        <v>0</v>
      </c>
      <c r="M91" s="177">
        <f t="shared" si="9"/>
        <v>19.2</v>
      </c>
    </row>
    <row r="92" spans="1:13">
      <c r="A92" s="268" t="s">
        <v>224</v>
      </c>
      <c r="B92" s="268" t="s">
        <v>1066</v>
      </c>
      <c r="C92" s="268" t="s">
        <v>1067</v>
      </c>
      <c r="D92" s="268">
        <v>296</v>
      </c>
      <c r="E92" s="268">
        <v>0</v>
      </c>
      <c r="F92" s="83">
        <f t="shared" si="10"/>
        <v>296</v>
      </c>
      <c r="G92" s="268">
        <v>152</v>
      </c>
      <c r="H92" s="268">
        <v>0</v>
      </c>
      <c r="I92" s="83">
        <f t="shared" si="11"/>
        <v>152</v>
      </c>
      <c r="J92" s="171">
        <f t="shared" si="12"/>
        <v>0.51349999999999996</v>
      </c>
      <c r="K92" s="177">
        <f t="shared" si="7"/>
        <v>0</v>
      </c>
      <c r="L92" s="177">
        <f t="shared" si="8"/>
        <v>16</v>
      </c>
      <c r="M92" s="177">
        <f t="shared" si="9"/>
        <v>16</v>
      </c>
    </row>
    <row r="93" spans="1:13">
      <c r="A93" s="268" t="s">
        <v>224</v>
      </c>
      <c r="B93" s="268" t="s">
        <v>1068</v>
      </c>
      <c r="C93" s="268" t="s">
        <v>1069</v>
      </c>
      <c r="D93" s="268">
        <v>200</v>
      </c>
      <c r="E93" s="268">
        <v>0</v>
      </c>
      <c r="F93" s="83">
        <f t="shared" si="10"/>
        <v>200</v>
      </c>
      <c r="G93" s="268">
        <v>84</v>
      </c>
      <c r="H93" s="268">
        <v>0</v>
      </c>
      <c r="I93" s="83">
        <f t="shared" si="11"/>
        <v>84</v>
      </c>
      <c r="J93" s="171">
        <f t="shared" si="12"/>
        <v>0.42</v>
      </c>
      <c r="K93" s="177">
        <f t="shared" si="7"/>
        <v>4.0999999999999996</v>
      </c>
      <c r="L93" s="177">
        <f t="shared" si="8"/>
        <v>0</v>
      </c>
      <c r="M93" s="177">
        <f t="shared" si="9"/>
        <v>4.0999999999999996</v>
      </c>
    </row>
    <row r="94" spans="1:13">
      <c r="A94" s="268" t="s">
        <v>224</v>
      </c>
      <c r="B94" s="268" t="s">
        <v>1070</v>
      </c>
      <c r="C94" s="268" t="s">
        <v>1071</v>
      </c>
      <c r="D94" s="268">
        <v>163</v>
      </c>
      <c r="E94" s="268">
        <v>0</v>
      </c>
      <c r="F94" s="83">
        <f t="shared" si="10"/>
        <v>163</v>
      </c>
      <c r="G94" s="268">
        <v>52</v>
      </c>
      <c r="H94" s="268">
        <v>0</v>
      </c>
      <c r="I94" s="83">
        <f t="shared" si="11"/>
        <v>52</v>
      </c>
      <c r="J94" s="171">
        <f t="shared" si="12"/>
        <v>0.31900000000000001</v>
      </c>
      <c r="K94" s="177">
        <f t="shared" si="7"/>
        <v>0</v>
      </c>
      <c r="L94" s="177">
        <f t="shared" si="8"/>
        <v>0</v>
      </c>
      <c r="M94" s="177">
        <f t="shared" si="9"/>
        <v>0</v>
      </c>
    </row>
    <row r="95" spans="1:13">
      <c r="A95" s="268" t="s">
        <v>225</v>
      </c>
      <c r="B95" s="268" t="s">
        <v>1072</v>
      </c>
      <c r="C95" s="268" t="s">
        <v>1073</v>
      </c>
      <c r="D95" s="268">
        <v>111</v>
      </c>
      <c r="E95" s="268">
        <v>0</v>
      </c>
      <c r="F95" s="83">
        <f t="shared" si="10"/>
        <v>111</v>
      </c>
      <c r="G95" s="268">
        <v>66</v>
      </c>
      <c r="H95" s="268">
        <v>0</v>
      </c>
      <c r="I95" s="83">
        <f t="shared" si="11"/>
        <v>66</v>
      </c>
      <c r="J95" s="171">
        <f t="shared" si="12"/>
        <v>0.59460000000000002</v>
      </c>
      <c r="K95" s="177">
        <f t="shared" si="7"/>
        <v>0</v>
      </c>
      <c r="L95" s="177">
        <f t="shared" si="8"/>
        <v>6.9</v>
      </c>
      <c r="M95" s="177">
        <f t="shared" si="9"/>
        <v>6.9</v>
      </c>
    </row>
    <row r="96" spans="1:13">
      <c r="A96" s="268" t="s">
        <v>225</v>
      </c>
      <c r="B96" s="268" t="s">
        <v>1074</v>
      </c>
      <c r="C96" s="268" t="s">
        <v>1075</v>
      </c>
      <c r="D96" s="268">
        <v>37</v>
      </c>
      <c r="E96" s="268">
        <v>0</v>
      </c>
      <c r="F96" s="83">
        <f t="shared" si="10"/>
        <v>37</v>
      </c>
      <c r="G96" s="268">
        <v>23</v>
      </c>
      <c r="H96" s="268">
        <v>0</v>
      </c>
      <c r="I96" s="83">
        <f t="shared" si="11"/>
        <v>23</v>
      </c>
      <c r="J96" s="171">
        <f t="shared" si="12"/>
        <v>0.62160000000000004</v>
      </c>
      <c r="K96" s="177">
        <f t="shared" si="7"/>
        <v>0</v>
      </c>
      <c r="L96" s="177">
        <f t="shared" si="8"/>
        <v>2.4</v>
      </c>
      <c r="M96" s="177">
        <f t="shared" si="9"/>
        <v>2.4</v>
      </c>
    </row>
    <row r="97" spans="1:13">
      <c r="A97" s="268" t="s">
        <v>225</v>
      </c>
      <c r="B97" s="268" t="s">
        <v>1076</v>
      </c>
      <c r="C97" s="268" t="s">
        <v>1077</v>
      </c>
      <c r="D97" s="268">
        <v>45</v>
      </c>
      <c r="E97" s="268">
        <v>0</v>
      </c>
      <c r="F97" s="83">
        <f t="shared" si="10"/>
        <v>45</v>
      </c>
      <c r="G97" s="268">
        <v>28</v>
      </c>
      <c r="H97" s="268">
        <v>0</v>
      </c>
      <c r="I97" s="83">
        <f t="shared" si="11"/>
        <v>28</v>
      </c>
      <c r="J97" s="171">
        <f t="shared" si="12"/>
        <v>0.62219999999999998</v>
      </c>
      <c r="K97" s="177">
        <f t="shared" si="7"/>
        <v>0</v>
      </c>
      <c r="L97" s="177">
        <f t="shared" si="8"/>
        <v>2.9</v>
      </c>
      <c r="M97" s="177">
        <f t="shared" si="9"/>
        <v>2.9</v>
      </c>
    </row>
    <row r="98" spans="1:13">
      <c r="A98" s="268" t="s">
        <v>226</v>
      </c>
      <c r="B98" s="268" t="s">
        <v>1078</v>
      </c>
      <c r="C98" s="268" t="s">
        <v>1079</v>
      </c>
      <c r="D98" s="268">
        <v>42</v>
      </c>
      <c r="E98" s="268">
        <v>0</v>
      </c>
      <c r="F98" s="83">
        <f t="shared" si="10"/>
        <v>42</v>
      </c>
      <c r="G98" s="268">
        <v>22</v>
      </c>
      <c r="H98" s="268">
        <v>0</v>
      </c>
      <c r="I98" s="83">
        <f t="shared" si="11"/>
        <v>22</v>
      </c>
      <c r="J98" s="171">
        <f t="shared" si="12"/>
        <v>0.52380000000000004</v>
      </c>
      <c r="K98" s="177">
        <f t="shared" si="7"/>
        <v>0</v>
      </c>
      <c r="L98" s="177">
        <f t="shared" si="8"/>
        <v>2.2999999999999998</v>
      </c>
      <c r="M98" s="177">
        <f t="shared" si="9"/>
        <v>2.2999999999999998</v>
      </c>
    </row>
    <row r="99" spans="1:13">
      <c r="A99" s="268" t="s">
        <v>226</v>
      </c>
      <c r="B99" s="268" t="s">
        <v>1080</v>
      </c>
      <c r="C99" s="268" t="s">
        <v>1081</v>
      </c>
      <c r="D99" s="268">
        <v>71</v>
      </c>
      <c r="E99" s="268">
        <v>0</v>
      </c>
      <c r="F99" s="83">
        <f t="shared" si="10"/>
        <v>71</v>
      </c>
      <c r="G99" s="268">
        <v>21</v>
      </c>
      <c r="H99" s="268">
        <v>0</v>
      </c>
      <c r="I99" s="83">
        <f t="shared" si="11"/>
        <v>21</v>
      </c>
      <c r="J99" s="171">
        <f t="shared" si="12"/>
        <v>0.29580000000000001</v>
      </c>
      <c r="K99" s="177">
        <f t="shared" si="7"/>
        <v>0</v>
      </c>
      <c r="L99" s="177">
        <f t="shared" si="8"/>
        <v>0</v>
      </c>
      <c r="M99" s="177">
        <f t="shared" si="9"/>
        <v>0</v>
      </c>
    </row>
    <row r="100" spans="1:13">
      <c r="A100" s="268" t="s">
        <v>227</v>
      </c>
      <c r="B100" s="268" t="s">
        <v>1082</v>
      </c>
      <c r="C100" s="268" t="s">
        <v>1083</v>
      </c>
      <c r="D100" s="268">
        <v>118</v>
      </c>
      <c r="E100" s="268">
        <v>0</v>
      </c>
      <c r="F100" s="83">
        <f t="shared" si="10"/>
        <v>118</v>
      </c>
      <c r="G100" s="268">
        <v>56</v>
      </c>
      <c r="H100" s="268">
        <v>0</v>
      </c>
      <c r="I100" s="83">
        <f t="shared" si="11"/>
        <v>56</v>
      </c>
      <c r="J100" s="171">
        <f t="shared" si="12"/>
        <v>0.47460000000000002</v>
      </c>
      <c r="K100" s="177">
        <f t="shared" si="7"/>
        <v>4.9000000000000004</v>
      </c>
      <c r="L100" s="177">
        <f t="shared" si="8"/>
        <v>0</v>
      </c>
      <c r="M100" s="177">
        <f t="shared" si="9"/>
        <v>4.9000000000000004</v>
      </c>
    </row>
    <row r="101" spans="1:13">
      <c r="A101" s="268" t="s">
        <v>227</v>
      </c>
      <c r="B101" s="268" t="s">
        <v>1084</v>
      </c>
      <c r="C101" s="268" t="s">
        <v>1085</v>
      </c>
      <c r="D101" s="268">
        <v>167</v>
      </c>
      <c r="E101" s="268">
        <v>0</v>
      </c>
      <c r="F101" s="83">
        <f t="shared" si="10"/>
        <v>167</v>
      </c>
      <c r="G101" s="268">
        <v>74</v>
      </c>
      <c r="H101" s="268">
        <v>0</v>
      </c>
      <c r="I101" s="83">
        <f t="shared" si="11"/>
        <v>74</v>
      </c>
      <c r="J101" s="171">
        <f t="shared" si="12"/>
        <v>0.44309999999999999</v>
      </c>
      <c r="K101" s="177">
        <f t="shared" si="7"/>
        <v>4.8</v>
      </c>
      <c r="L101" s="177">
        <f t="shared" si="8"/>
        <v>0</v>
      </c>
      <c r="M101" s="177">
        <f t="shared" si="9"/>
        <v>4.8</v>
      </c>
    </row>
    <row r="102" spans="1:13">
      <c r="A102" s="268" t="s">
        <v>227</v>
      </c>
      <c r="B102" s="268" t="s">
        <v>1086</v>
      </c>
      <c r="C102" s="268" t="s">
        <v>1087</v>
      </c>
      <c r="D102" s="268">
        <v>116</v>
      </c>
      <c r="E102" s="268">
        <v>0</v>
      </c>
      <c r="F102" s="83">
        <f t="shared" si="10"/>
        <v>116</v>
      </c>
      <c r="G102" s="268">
        <v>38</v>
      </c>
      <c r="H102" s="268">
        <v>0</v>
      </c>
      <c r="I102" s="83">
        <f t="shared" si="11"/>
        <v>38</v>
      </c>
      <c r="J102" s="171">
        <f t="shared" si="12"/>
        <v>0.3276</v>
      </c>
      <c r="K102" s="177">
        <f t="shared" si="7"/>
        <v>0</v>
      </c>
      <c r="L102" s="177">
        <f t="shared" si="8"/>
        <v>0</v>
      </c>
      <c r="M102" s="177">
        <f t="shared" si="9"/>
        <v>0</v>
      </c>
    </row>
    <row r="103" spans="1:13">
      <c r="A103" s="268" t="s">
        <v>227</v>
      </c>
      <c r="B103" s="268" t="s">
        <v>1088</v>
      </c>
      <c r="C103" s="268" t="s">
        <v>1089</v>
      </c>
      <c r="D103" s="268">
        <v>0</v>
      </c>
      <c r="E103" s="268">
        <v>0</v>
      </c>
      <c r="F103" s="83">
        <f t="shared" si="10"/>
        <v>0</v>
      </c>
      <c r="G103" s="268">
        <v>0</v>
      </c>
      <c r="H103" s="268">
        <v>0</v>
      </c>
      <c r="I103" s="83">
        <f t="shared" si="11"/>
        <v>0</v>
      </c>
      <c r="J103" s="171">
        <f t="shared" si="12"/>
        <v>0</v>
      </c>
      <c r="K103" s="177">
        <f t="shared" si="7"/>
        <v>0</v>
      </c>
      <c r="L103" s="177">
        <f t="shared" si="8"/>
        <v>0</v>
      </c>
      <c r="M103" s="177">
        <f t="shared" si="9"/>
        <v>0</v>
      </c>
    </row>
    <row r="104" spans="1:13">
      <c r="A104" s="268" t="s">
        <v>227</v>
      </c>
      <c r="B104" s="268" t="s">
        <v>1090</v>
      </c>
      <c r="C104" s="268" t="s">
        <v>1091</v>
      </c>
      <c r="D104" s="268">
        <v>32</v>
      </c>
      <c r="E104" s="268">
        <v>0</v>
      </c>
      <c r="F104" s="83">
        <f t="shared" si="10"/>
        <v>32</v>
      </c>
      <c r="G104" s="268">
        <v>4</v>
      </c>
      <c r="H104" s="268">
        <v>0</v>
      </c>
      <c r="I104" s="83">
        <f t="shared" si="11"/>
        <v>4</v>
      </c>
      <c r="J104" s="171">
        <f t="shared" si="12"/>
        <v>0.125</v>
      </c>
      <c r="K104" s="177">
        <f t="shared" si="7"/>
        <v>0</v>
      </c>
      <c r="L104" s="177">
        <f t="shared" si="8"/>
        <v>0</v>
      </c>
      <c r="M104" s="177">
        <f t="shared" si="9"/>
        <v>0</v>
      </c>
    </row>
    <row r="105" spans="1:13">
      <c r="A105" s="268" t="s">
        <v>228</v>
      </c>
      <c r="B105" s="268" t="s">
        <v>1092</v>
      </c>
      <c r="C105" s="268" t="s">
        <v>1093</v>
      </c>
      <c r="D105" s="268">
        <v>159</v>
      </c>
      <c r="E105" s="268">
        <v>0</v>
      </c>
      <c r="F105" s="83">
        <f t="shared" si="10"/>
        <v>159</v>
      </c>
      <c r="G105" s="268">
        <v>58</v>
      </c>
      <c r="H105" s="268">
        <v>0</v>
      </c>
      <c r="I105" s="83">
        <f t="shared" si="11"/>
        <v>58</v>
      </c>
      <c r="J105" s="171">
        <f t="shared" si="12"/>
        <v>0.36480000000000001</v>
      </c>
      <c r="K105" s="177">
        <f t="shared" si="7"/>
        <v>0.6</v>
      </c>
      <c r="L105" s="177">
        <f t="shared" si="8"/>
        <v>0</v>
      </c>
      <c r="M105" s="177">
        <f t="shared" si="9"/>
        <v>0.6</v>
      </c>
    </row>
    <row r="106" spans="1:13">
      <c r="A106" s="268" t="s">
        <v>228</v>
      </c>
      <c r="B106" s="268" t="s">
        <v>1094</v>
      </c>
      <c r="C106" s="268" t="s">
        <v>1095</v>
      </c>
      <c r="D106" s="268">
        <v>81</v>
      </c>
      <c r="E106" s="268">
        <v>0</v>
      </c>
      <c r="F106" s="83">
        <f t="shared" si="10"/>
        <v>81</v>
      </c>
      <c r="G106" s="268">
        <v>24</v>
      </c>
      <c r="H106" s="268">
        <v>0</v>
      </c>
      <c r="I106" s="83">
        <f t="shared" si="11"/>
        <v>24</v>
      </c>
      <c r="J106" s="171">
        <f t="shared" si="12"/>
        <v>0.29630000000000001</v>
      </c>
      <c r="K106" s="177">
        <f t="shared" si="7"/>
        <v>0</v>
      </c>
      <c r="L106" s="177">
        <f t="shared" si="8"/>
        <v>0</v>
      </c>
      <c r="M106" s="177">
        <f t="shared" si="9"/>
        <v>0</v>
      </c>
    </row>
    <row r="107" spans="1:13">
      <c r="A107" s="268" t="s">
        <v>229</v>
      </c>
      <c r="B107" s="268" t="s">
        <v>1096</v>
      </c>
      <c r="C107" s="268" t="s">
        <v>1097</v>
      </c>
      <c r="D107" s="268">
        <v>122</v>
      </c>
      <c r="E107" s="268">
        <v>0</v>
      </c>
      <c r="F107" s="83">
        <f t="shared" si="10"/>
        <v>122</v>
      </c>
      <c r="G107" s="268">
        <v>63</v>
      </c>
      <c r="H107" s="268">
        <v>0</v>
      </c>
      <c r="I107" s="83">
        <f t="shared" si="11"/>
        <v>63</v>
      </c>
      <c r="J107" s="171">
        <f t="shared" si="12"/>
        <v>0.51639999999999997</v>
      </c>
      <c r="K107" s="177">
        <f t="shared" si="7"/>
        <v>0</v>
      </c>
      <c r="L107" s="177">
        <f t="shared" si="8"/>
        <v>6.6</v>
      </c>
      <c r="M107" s="177">
        <f t="shared" si="9"/>
        <v>6.6</v>
      </c>
    </row>
    <row r="108" spans="1:13">
      <c r="A108" s="268" t="s">
        <v>229</v>
      </c>
      <c r="B108" s="268" t="s">
        <v>1098</v>
      </c>
      <c r="C108" s="268" t="s">
        <v>1099</v>
      </c>
      <c r="D108" s="268">
        <v>31</v>
      </c>
      <c r="E108" s="268">
        <v>0</v>
      </c>
      <c r="F108" s="83">
        <f t="shared" si="10"/>
        <v>31</v>
      </c>
      <c r="G108" s="268">
        <v>9</v>
      </c>
      <c r="H108" s="268">
        <v>0</v>
      </c>
      <c r="I108" s="83">
        <f t="shared" si="11"/>
        <v>9</v>
      </c>
      <c r="J108" s="171">
        <f t="shared" si="12"/>
        <v>0.2903</v>
      </c>
      <c r="K108" s="177">
        <f t="shared" si="7"/>
        <v>0</v>
      </c>
      <c r="L108" s="177">
        <f t="shared" si="8"/>
        <v>0</v>
      </c>
      <c r="M108" s="177">
        <f t="shared" si="9"/>
        <v>0</v>
      </c>
    </row>
    <row r="109" spans="1:13">
      <c r="A109" s="268" t="s">
        <v>229</v>
      </c>
      <c r="B109" s="268" t="s">
        <v>1100</v>
      </c>
      <c r="C109" s="268" t="s">
        <v>1101</v>
      </c>
      <c r="D109" s="268">
        <v>60</v>
      </c>
      <c r="E109" s="268">
        <v>0</v>
      </c>
      <c r="F109" s="83">
        <f t="shared" si="10"/>
        <v>60</v>
      </c>
      <c r="G109" s="268">
        <v>17</v>
      </c>
      <c r="H109" s="268">
        <v>0</v>
      </c>
      <c r="I109" s="83">
        <f t="shared" si="11"/>
        <v>17</v>
      </c>
      <c r="J109" s="171">
        <f t="shared" si="12"/>
        <v>0.2833</v>
      </c>
      <c r="K109" s="177">
        <f t="shared" si="7"/>
        <v>0</v>
      </c>
      <c r="L109" s="177">
        <f t="shared" si="8"/>
        <v>0</v>
      </c>
      <c r="M109" s="177">
        <f t="shared" si="9"/>
        <v>0</v>
      </c>
    </row>
    <row r="110" spans="1:13">
      <c r="A110" s="268" t="s">
        <v>230</v>
      </c>
      <c r="B110" s="268" t="s">
        <v>1102</v>
      </c>
      <c r="C110" s="268" t="s">
        <v>1103</v>
      </c>
      <c r="D110" s="268">
        <v>168</v>
      </c>
      <c r="E110" s="268">
        <v>0</v>
      </c>
      <c r="F110" s="83">
        <f t="shared" si="10"/>
        <v>168</v>
      </c>
      <c r="G110" s="268">
        <v>10</v>
      </c>
      <c r="H110" s="268">
        <v>0</v>
      </c>
      <c r="I110" s="83">
        <f t="shared" si="11"/>
        <v>10</v>
      </c>
      <c r="J110" s="171">
        <f t="shared" si="12"/>
        <v>5.9499999999999997E-2</v>
      </c>
      <c r="K110" s="177">
        <f t="shared" si="7"/>
        <v>0</v>
      </c>
      <c r="L110" s="177">
        <f t="shared" si="8"/>
        <v>0</v>
      </c>
      <c r="M110" s="177">
        <f t="shared" si="9"/>
        <v>0</v>
      </c>
    </row>
    <row r="111" spans="1:13">
      <c r="A111" s="268" t="s">
        <v>230</v>
      </c>
      <c r="B111" s="268" t="s">
        <v>1104</v>
      </c>
      <c r="C111" s="268" t="s">
        <v>1105</v>
      </c>
      <c r="D111" s="268">
        <v>72</v>
      </c>
      <c r="E111" s="268">
        <v>0</v>
      </c>
      <c r="F111" s="83">
        <f t="shared" si="10"/>
        <v>72</v>
      </c>
      <c r="G111" s="268">
        <v>16</v>
      </c>
      <c r="H111" s="268">
        <v>0</v>
      </c>
      <c r="I111" s="83">
        <f t="shared" si="11"/>
        <v>16</v>
      </c>
      <c r="J111" s="171">
        <f t="shared" si="12"/>
        <v>0.22220000000000001</v>
      </c>
      <c r="K111" s="177">
        <f t="shared" si="7"/>
        <v>0</v>
      </c>
      <c r="L111" s="177">
        <f t="shared" si="8"/>
        <v>0</v>
      </c>
      <c r="M111" s="177">
        <f t="shared" si="9"/>
        <v>0</v>
      </c>
    </row>
    <row r="112" spans="1:13">
      <c r="A112" s="268" t="s">
        <v>230</v>
      </c>
      <c r="B112" s="268" t="s">
        <v>1106</v>
      </c>
      <c r="C112" s="268" t="s">
        <v>1107</v>
      </c>
      <c r="D112" s="268">
        <v>151</v>
      </c>
      <c r="E112" s="268">
        <v>0</v>
      </c>
      <c r="F112" s="83">
        <f t="shared" si="10"/>
        <v>151</v>
      </c>
      <c r="G112" s="268">
        <v>47</v>
      </c>
      <c r="H112" s="268">
        <v>0</v>
      </c>
      <c r="I112" s="83">
        <f t="shared" si="11"/>
        <v>47</v>
      </c>
      <c r="J112" s="171">
        <f t="shared" si="12"/>
        <v>0.31130000000000002</v>
      </c>
      <c r="K112" s="177">
        <f t="shared" si="7"/>
        <v>0</v>
      </c>
      <c r="L112" s="177">
        <f t="shared" si="8"/>
        <v>0</v>
      </c>
      <c r="M112" s="177">
        <f t="shared" si="9"/>
        <v>0</v>
      </c>
    </row>
    <row r="113" spans="1:13">
      <c r="A113" s="268" t="s">
        <v>230</v>
      </c>
      <c r="B113" s="268" t="s">
        <v>1108</v>
      </c>
      <c r="C113" s="268" t="s">
        <v>1109</v>
      </c>
      <c r="D113" s="268">
        <v>54</v>
      </c>
      <c r="E113" s="268">
        <v>0</v>
      </c>
      <c r="F113" s="83">
        <f t="shared" si="10"/>
        <v>54</v>
      </c>
      <c r="G113" s="268">
        <v>13</v>
      </c>
      <c r="H113" s="268">
        <v>0</v>
      </c>
      <c r="I113" s="83">
        <f t="shared" si="11"/>
        <v>13</v>
      </c>
      <c r="J113" s="171">
        <f t="shared" si="12"/>
        <v>0.2407</v>
      </c>
      <c r="K113" s="177">
        <f t="shared" si="7"/>
        <v>0</v>
      </c>
      <c r="L113" s="177">
        <f t="shared" si="8"/>
        <v>0</v>
      </c>
      <c r="M113" s="177">
        <f t="shared" si="9"/>
        <v>0</v>
      </c>
    </row>
    <row r="114" spans="1:13">
      <c r="A114" s="268" t="s">
        <v>231</v>
      </c>
      <c r="B114" s="268" t="s">
        <v>1110</v>
      </c>
      <c r="C114" s="268" t="s">
        <v>1111</v>
      </c>
      <c r="D114" s="268">
        <v>93</v>
      </c>
      <c r="E114" s="268">
        <v>0</v>
      </c>
      <c r="F114" s="83">
        <f t="shared" si="10"/>
        <v>93</v>
      </c>
      <c r="G114" s="268">
        <v>23</v>
      </c>
      <c r="H114" s="268">
        <v>0</v>
      </c>
      <c r="I114" s="83">
        <f t="shared" si="11"/>
        <v>23</v>
      </c>
      <c r="J114" s="171">
        <f t="shared" si="12"/>
        <v>0.24729999999999999</v>
      </c>
      <c r="K114" s="177">
        <f t="shared" si="7"/>
        <v>0</v>
      </c>
      <c r="L114" s="177">
        <f t="shared" si="8"/>
        <v>0</v>
      </c>
      <c r="M114" s="177">
        <f t="shared" si="9"/>
        <v>0</v>
      </c>
    </row>
    <row r="115" spans="1:13">
      <c r="A115" s="268" t="s">
        <v>231</v>
      </c>
      <c r="B115" s="268" t="s">
        <v>1112</v>
      </c>
      <c r="C115" s="268" t="s">
        <v>1113</v>
      </c>
      <c r="D115" s="268">
        <v>118</v>
      </c>
      <c r="E115" s="268">
        <v>0</v>
      </c>
      <c r="F115" s="83">
        <f t="shared" si="10"/>
        <v>118</v>
      </c>
      <c r="G115" s="268">
        <v>39</v>
      </c>
      <c r="H115" s="268">
        <v>0</v>
      </c>
      <c r="I115" s="83">
        <f t="shared" si="11"/>
        <v>39</v>
      </c>
      <c r="J115" s="171">
        <f t="shared" si="12"/>
        <v>0.33050000000000002</v>
      </c>
      <c r="K115" s="177">
        <f t="shared" si="7"/>
        <v>0</v>
      </c>
      <c r="L115" s="177">
        <f t="shared" si="8"/>
        <v>0</v>
      </c>
      <c r="M115" s="177">
        <f t="shared" si="9"/>
        <v>0</v>
      </c>
    </row>
    <row r="116" spans="1:13">
      <c r="A116" s="268" t="s">
        <v>231</v>
      </c>
      <c r="B116" s="268" t="s">
        <v>1114</v>
      </c>
      <c r="C116" s="268" t="s">
        <v>1115</v>
      </c>
      <c r="D116" s="268">
        <v>115</v>
      </c>
      <c r="E116" s="268">
        <v>0</v>
      </c>
      <c r="F116" s="83">
        <f t="shared" si="10"/>
        <v>115</v>
      </c>
      <c r="G116" s="268">
        <v>29</v>
      </c>
      <c r="H116" s="268">
        <v>0</v>
      </c>
      <c r="I116" s="83">
        <f t="shared" si="11"/>
        <v>29</v>
      </c>
      <c r="J116" s="171">
        <f t="shared" si="12"/>
        <v>0.25219999999999998</v>
      </c>
      <c r="K116" s="177">
        <f t="shared" si="7"/>
        <v>0</v>
      </c>
      <c r="L116" s="177">
        <f t="shared" si="8"/>
        <v>0</v>
      </c>
      <c r="M116" s="177">
        <f t="shared" si="9"/>
        <v>0</v>
      </c>
    </row>
    <row r="117" spans="1:13">
      <c r="A117" s="268" t="s">
        <v>232</v>
      </c>
      <c r="B117" s="268" t="s">
        <v>1116</v>
      </c>
      <c r="C117" s="268" t="s">
        <v>1117</v>
      </c>
      <c r="D117" s="268">
        <v>63</v>
      </c>
      <c r="E117" s="268">
        <v>0</v>
      </c>
      <c r="F117" s="83">
        <f t="shared" si="10"/>
        <v>63</v>
      </c>
      <c r="G117" s="268">
        <v>38</v>
      </c>
      <c r="H117" s="268">
        <v>0</v>
      </c>
      <c r="I117" s="83">
        <f t="shared" si="11"/>
        <v>38</v>
      </c>
      <c r="J117" s="171">
        <f t="shared" si="12"/>
        <v>0.60319999999999996</v>
      </c>
      <c r="K117" s="177">
        <f t="shared" si="7"/>
        <v>0</v>
      </c>
      <c r="L117" s="177">
        <f t="shared" si="8"/>
        <v>4</v>
      </c>
      <c r="M117" s="177">
        <f t="shared" si="9"/>
        <v>4</v>
      </c>
    </row>
    <row r="118" spans="1:13">
      <c r="A118" s="268" t="s">
        <v>232</v>
      </c>
      <c r="B118" s="268" t="s">
        <v>1118</v>
      </c>
      <c r="C118" s="268" t="s">
        <v>1119</v>
      </c>
      <c r="D118" s="268">
        <v>74</v>
      </c>
      <c r="E118" s="268">
        <v>0</v>
      </c>
      <c r="F118" s="83">
        <f t="shared" si="10"/>
        <v>74</v>
      </c>
      <c r="G118" s="268">
        <v>38</v>
      </c>
      <c r="H118" s="268">
        <v>0</v>
      </c>
      <c r="I118" s="83">
        <f t="shared" si="11"/>
        <v>38</v>
      </c>
      <c r="J118" s="171">
        <f t="shared" si="12"/>
        <v>0.51349999999999996</v>
      </c>
      <c r="K118" s="177">
        <f t="shared" si="7"/>
        <v>0</v>
      </c>
      <c r="L118" s="177">
        <f t="shared" si="8"/>
        <v>4</v>
      </c>
      <c r="M118" s="177">
        <f t="shared" si="9"/>
        <v>4</v>
      </c>
    </row>
    <row r="119" spans="1:13">
      <c r="A119" s="268" t="s">
        <v>233</v>
      </c>
      <c r="B119" s="268" t="s">
        <v>1120</v>
      </c>
      <c r="C119" s="268" t="s">
        <v>1121</v>
      </c>
      <c r="D119" s="268">
        <v>276</v>
      </c>
      <c r="E119" s="268">
        <v>0</v>
      </c>
      <c r="F119" s="83">
        <f t="shared" si="10"/>
        <v>276</v>
      </c>
      <c r="G119" s="268">
        <v>134</v>
      </c>
      <c r="H119" s="268">
        <v>0</v>
      </c>
      <c r="I119" s="83">
        <f t="shared" si="11"/>
        <v>134</v>
      </c>
      <c r="J119" s="171">
        <f t="shared" si="12"/>
        <v>0.48549999999999999</v>
      </c>
      <c r="K119" s="177">
        <f t="shared" si="7"/>
        <v>12.7</v>
      </c>
      <c r="L119" s="177">
        <f t="shared" si="8"/>
        <v>0</v>
      </c>
      <c r="M119" s="177">
        <f t="shared" si="9"/>
        <v>12.7</v>
      </c>
    </row>
    <row r="120" spans="1:13">
      <c r="A120" s="268" t="s">
        <v>233</v>
      </c>
      <c r="B120" s="268" t="s">
        <v>1122</v>
      </c>
      <c r="C120" s="268" t="s">
        <v>1123</v>
      </c>
      <c r="D120" s="268">
        <v>127</v>
      </c>
      <c r="E120" s="268">
        <v>0</v>
      </c>
      <c r="F120" s="83">
        <f t="shared" si="10"/>
        <v>127</v>
      </c>
      <c r="G120" s="268">
        <v>32</v>
      </c>
      <c r="H120" s="268">
        <v>0</v>
      </c>
      <c r="I120" s="83">
        <f t="shared" si="11"/>
        <v>32</v>
      </c>
      <c r="J120" s="171">
        <f t="shared" si="12"/>
        <v>0.252</v>
      </c>
      <c r="K120" s="177">
        <f t="shared" si="7"/>
        <v>0</v>
      </c>
      <c r="L120" s="177">
        <f t="shared" si="8"/>
        <v>0</v>
      </c>
      <c r="M120" s="177">
        <f t="shared" si="9"/>
        <v>0</v>
      </c>
    </row>
    <row r="121" spans="1:13">
      <c r="A121" s="268" t="s">
        <v>234</v>
      </c>
      <c r="B121" s="268" t="s">
        <v>1124</v>
      </c>
      <c r="C121" s="268" t="s">
        <v>1125</v>
      </c>
      <c r="D121" s="268">
        <v>153</v>
      </c>
      <c r="E121" s="268">
        <v>0</v>
      </c>
      <c r="F121" s="83">
        <f t="shared" si="10"/>
        <v>153</v>
      </c>
      <c r="G121" s="268">
        <v>44</v>
      </c>
      <c r="H121" s="268">
        <v>0</v>
      </c>
      <c r="I121" s="83">
        <f t="shared" si="11"/>
        <v>44</v>
      </c>
      <c r="J121" s="171">
        <f t="shared" si="12"/>
        <v>0.28760000000000002</v>
      </c>
      <c r="K121" s="177">
        <f t="shared" si="7"/>
        <v>0</v>
      </c>
      <c r="L121" s="177">
        <f t="shared" si="8"/>
        <v>0</v>
      </c>
      <c r="M121" s="177">
        <f t="shared" si="9"/>
        <v>0</v>
      </c>
    </row>
    <row r="122" spans="1:13">
      <c r="A122" s="268" t="s">
        <v>234</v>
      </c>
      <c r="B122" s="268" t="s">
        <v>1126</v>
      </c>
      <c r="C122" s="268" t="s">
        <v>1127</v>
      </c>
      <c r="D122" s="268">
        <v>133</v>
      </c>
      <c r="E122" s="268">
        <v>0</v>
      </c>
      <c r="F122" s="83">
        <f t="shared" si="10"/>
        <v>133</v>
      </c>
      <c r="G122" s="268">
        <v>34</v>
      </c>
      <c r="H122" s="268">
        <v>0</v>
      </c>
      <c r="I122" s="83">
        <f t="shared" si="11"/>
        <v>34</v>
      </c>
      <c r="J122" s="171">
        <f t="shared" si="12"/>
        <v>0.25559999999999999</v>
      </c>
      <c r="K122" s="177">
        <f t="shared" si="7"/>
        <v>0</v>
      </c>
      <c r="L122" s="177">
        <f t="shared" si="8"/>
        <v>0</v>
      </c>
      <c r="M122" s="177">
        <f t="shared" si="9"/>
        <v>0</v>
      </c>
    </row>
    <row r="123" spans="1:13">
      <c r="A123" s="268" t="s">
        <v>235</v>
      </c>
      <c r="B123" s="268" t="s">
        <v>1128</v>
      </c>
      <c r="C123" s="268" t="s">
        <v>1129</v>
      </c>
      <c r="D123" s="268">
        <v>611</v>
      </c>
      <c r="E123" s="268">
        <v>0</v>
      </c>
      <c r="F123" s="83">
        <f t="shared" si="10"/>
        <v>611</v>
      </c>
      <c r="G123" s="268">
        <v>24</v>
      </c>
      <c r="H123" s="268">
        <v>0</v>
      </c>
      <c r="I123" s="83">
        <f t="shared" si="11"/>
        <v>24</v>
      </c>
      <c r="J123" s="171">
        <f t="shared" si="12"/>
        <v>3.9300000000000002E-2</v>
      </c>
      <c r="K123" s="177">
        <f t="shared" si="7"/>
        <v>0</v>
      </c>
      <c r="L123" s="177">
        <f t="shared" si="8"/>
        <v>0</v>
      </c>
      <c r="M123" s="177">
        <f t="shared" si="9"/>
        <v>0</v>
      </c>
    </row>
    <row r="124" spans="1:13">
      <c r="A124" s="268" t="s">
        <v>235</v>
      </c>
      <c r="B124" s="268" t="s">
        <v>1130</v>
      </c>
      <c r="C124" s="268" t="s">
        <v>1131</v>
      </c>
      <c r="D124" s="268">
        <v>581</v>
      </c>
      <c r="E124" s="268">
        <v>0</v>
      </c>
      <c r="F124" s="83">
        <f t="shared" si="10"/>
        <v>581</v>
      </c>
      <c r="G124" s="268">
        <v>31</v>
      </c>
      <c r="H124" s="268">
        <v>0</v>
      </c>
      <c r="I124" s="83">
        <f t="shared" si="11"/>
        <v>31</v>
      </c>
      <c r="J124" s="171">
        <f t="shared" si="12"/>
        <v>5.3400000000000003E-2</v>
      </c>
      <c r="K124" s="177">
        <f t="shared" si="7"/>
        <v>0</v>
      </c>
      <c r="L124" s="177">
        <f t="shared" si="8"/>
        <v>0</v>
      </c>
      <c r="M124" s="177">
        <f t="shared" si="9"/>
        <v>0</v>
      </c>
    </row>
    <row r="125" spans="1:13">
      <c r="A125" s="268" t="s">
        <v>235</v>
      </c>
      <c r="B125" s="268" t="s">
        <v>1132</v>
      </c>
      <c r="C125" s="268" t="s">
        <v>1133</v>
      </c>
      <c r="D125" s="268">
        <v>633</v>
      </c>
      <c r="E125" s="268">
        <v>0</v>
      </c>
      <c r="F125" s="83">
        <f t="shared" si="10"/>
        <v>633</v>
      </c>
      <c r="G125" s="268">
        <v>11</v>
      </c>
      <c r="H125" s="268">
        <v>0</v>
      </c>
      <c r="I125" s="83">
        <f t="shared" si="11"/>
        <v>11</v>
      </c>
      <c r="J125" s="171">
        <f t="shared" si="12"/>
        <v>1.7399999999999999E-2</v>
      </c>
      <c r="K125" s="177">
        <f t="shared" si="7"/>
        <v>0</v>
      </c>
      <c r="L125" s="177">
        <f t="shared" si="8"/>
        <v>0</v>
      </c>
      <c r="M125" s="177">
        <f t="shared" si="9"/>
        <v>0</v>
      </c>
    </row>
    <row r="126" spans="1:13">
      <c r="A126" s="268" t="s">
        <v>235</v>
      </c>
      <c r="B126" s="268" t="s">
        <v>1134</v>
      </c>
      <c r="C126" s="268" t="s">
        <v>1135</v>
      </c>
      <c r="D126" s="268">
        <v>633</v>
      </c>
      <c r="E126" s="268">
        <v>0</v>
      </c>
      <c r="F126" s="83">
        <f t="shared" si="10"/>
        <v>633</v>
      </c>
      <c r="G126" s="268">
        <v>1</v>
      </c>
      <c r="H126" s="268">
        <v>0</v>
      </c>
      <c r="I126" s="83">
        <f t="shared" si="11"/>
        <v>1</v>
      </c>
      <c r="J126" s="171">
        <f t="shared" si="12"/>
        <v>1.6000000000000001E-3</v>
      </c>
      <c r="K126" s="177">
        <f t="shared" si="7"/>
        <v>0</v>
      </c>
      <c r="L126" s="177">
        <f t="shared" si="8"/>
        <v>0</v>
      </c>
      <c r="M126" s="177">
        <f t="shared" si="9"/>
        <v>0</v>
      </c>
    </row>
    <row r="127" spans="1:13">
      <c r="A127" s="268" t="s">
        <v>235</v>
      </c>
      <c r="B127" s="268" t="s">
        <v>1136</v>
      </c>
      <c r="C127" s="268" t="s">
        <v>1137</v>
      </c>
      <c r="D127" s="268">
        <v>456</v>
      </c>
      <c r="E127" s="268">
        <v>0</v>
      </c>
      <c r="F127" s="83">
        <f t="shared" si="10"/>
        <v>456</v>
      </c>
      <c r="G127" s="268">
        <v>21</v>
      </c>
      <c r="H127" s="268">
        <v>0</v>
      </c>
      <c r="I127" s="83">
        <f t="shared" si="11"/>
        <v>21</v>
      </c>
      <c r="J127" s="171">
        <f t="shared" si="12"/>
        <v>4.6100000000000002E-2</v>
      </c>
      <c r="K127" s="177">
        <f t="shared" si="7"/>
        <v>0</v>
      </c>
      <c r="L127" s="177">
        <f t="shared" si="8"/>
        <v>0</v>
      </c>
      <c r="M127" s="177">
        <f t="shared" si="9"/>
        <v>0</v>
      </c>
    </row>
    <row r="128" spans="1:13">
      <c r="A128" s="268" t="s">
        <v>235</v>
      </c>
      <c r="B128" s="268" t="s">
        <v>1138</v>
      </c>
      <c r="C128" s="268" t="s">
        <v>1139</v>
      </c>
      <c r="D128" s="268">
        <v>588</v>
      </c>
      <c r="E128" s="268">
        <v>0</v>
      </c>
      <c r="F128" s="83">
        <f t="shared" si="10"/>
        <v>588</v>
      </c>
      <c r="G128" s="268">
        <v>57</v>
      </c>
      <c r="H128" s="268">
        <v>0</v>
      </c>
      <c r="I128" s="83">
        <f t="shared" si="11"/>
        <v>57</v>
      </c>
      <c r="J128" s="171">
        <f t="shared" si="12"/>
        <v>9.69E-2</v>
      </c>
      <c r="K128" s="177">
        <f t="shared" si="7"/>
        <v>0</v>
      </c>
      <c r="L128" s="177">
        <f t="shared" si="8"/>
        <v>0</v>
      </c>
      <c r="M128" s="177">
        <f t="shared" si="9"/>
        <v>0</v>
      </c>
    </row>
    <row r="129" spans="1:13">
      <c r="A129" s="268" t="s">
        <v>235</v>
      </c>
      <c r="B129" s="268" t="s">
        <v>1140</v>
      </c>
      <c r="C129" s="268" t="s">
        <v>1141</v>
      </c>
      <c r="D129" s="268">
        <v>510</v>
      </c>
      <c r="E129" s="268">
        <v>0</v>
      </c>
      <c r="F129" s="83">
        <f t="shared" si="10"/>
        <v>510</v>
      </c>
      <c r="G129" s="268">
        <v>44</v>
      </c>
      <c r="H129" s="268">
        <v>0</v>
      </c>
      <c r="I129" s="83">
        <f t="shared" si="11"/>
        <v>44</v>
      </c>
      <c r="J129" s="171">
        <f t="shared" si="12"/>
        <v>8.6300000000000002E-2</v>
      </c>
      <c r="K129" s="177">
        <f t="shared" si="7"/>
        <v>0</v>
      </c>
      <c r="L129" s="177">
        <f t="shared" si="8"/>
        <v>0</v>
      </c>
      <c r="M129" s="177">
        <f t="shared" si="9"/>
        <v>0</v>
      </c>
    </row>
    <row r="130" spans="1:13">
      <c r="A130" s="268" t="s">
        <v>235</v>
      </c>
      <c r="B130" s="268" t="s">
        <v>1142</v>
      </c>
      <c r="C130" s="268" t="s">
        <v>1143</v>
      </c>
      <c r="D130" s="268">
        <v>1529</v>
      </c>
      <c r="E130" s="268">
        <v>0</v>
      </c>
      <c r="F130" s="83">
        <f t="shared" si="10"/>
        <v>1529</v>
      </c>
      <c r="G130" s="268">
        <v>89</v>
      </c>
      <c r="H130" s="268">
        <v>0</v>
      </c>
      <c r="I130" s="83">
        <f t="shared" si="11"/>
        <v>89</v>
      </c>
      <c r="J130" s="171">
        <f t="shared" si="12"/>
        <v>5.8200000000000002E-2</v>
      </c>
      <c r="K130" s="177">
        <f t="shared" si="7"/>
        <v>0</v>
      </c>
      <c r="L130" s="177">
        <f t="shared" si="8"/>
        <v>0</v>
      </c>
      <c r="M130" s="177">
        <f t="shared" si="9"/>
        <v>0</v>
      </c>
    </row>
    <row r="131" spans="1:13">
      <c r="A131" s="268" t="s">
        <v>235</v>
      </c>
      <c r="B131" s="268" t="s">
        <v>1144</v>
      </c>
      <c r="C131" s="268" t="s">
        <v>1145</v>
      </c>
      <c r="D131" s="268">
        <v>1646</v>
      </c>
      <c r="E131" s="268">
        <v>0</v>
      </c>
      <c r="F131" s="83">
        <f t="shared" si="10"/>
        <v>1646</v>
      </c>
      <c r="G131" s="268">
        <v>70</v>
      </c>
      <c r="H131" s="268">
        <v>0</v>
      </c>
      <c r="I131" s="83">
        <f t="shared" si="11"/>
        <v>70</v>
      </c>
      <c r="J131" s="171">
        <f t="shared" si="12"/>
        <v>4.2500000000000003E-2</v>
      </c>
      <c r="K131" s="177">
        <f t="shared" si="7"/>
        <v>0</v>
      </c>
      <c r="L131" s="177">
        <f t="shared" si="8"/>
        <v>0</v>
      </c>
      <c r="M131" s="177">
        <f t="shared" si="9"/>
        <v>0</v>
      </c>
    </row>
    <row r="132" spans="1:13">
      <c r="A132" s="268" t="s">
        <v>235</v>
      </c>
      <c r="B132" s="268" t="s">
        <v>1146</v>
      </c>
      <c r="C132" s="268" t="s">
        <v>1147</v>
      </c>
      <c r="D132" s="268">
        <v>393</v>
      </c>
      <c r="E132" s="268">
        <v>0</v>
      </c>
      <c r="F132" s="83">
        <f t="shared" si="10"/>
        <v>393</v>
      </c>
      <c r="G132" s="268">
        <v>11</v>
      </c>
      <c r="H132" s="268">
        <v>0</v>
      </c>
      <c r="I132" s="83">
        <f t="shared" si="11"/>
        <v>11</v>
      </c>
      <c r="J132" s="171">
        <f t="shared" si="12"/>
        <v>2.8000000000000001E-2</v>
      </c>
      <c r="K132" s="177">
        <f t="shared" si="7"/>
        <v>0</v>
      </c>
      <c r="L132" s="177">
        <f t="shared" si="8"/>
        <v>0</v>
      </c>
      <c r="M132" s="177">
        <f t="shared" si="9"/>
        <v>0</v>
      </c>
    </row>
    <row r="133" spans="1:13">
      <c r="A133" s="268" t="s">
        <v>235</v>
      </c>
      <c r="B133" s="268" t="s">
        <v>1148</v>
      </c>
      <c r="C133" s="268" t="s">
        <v>1149</v>
      </c>
      <c r="D133" s="268">
        <v>591</v>
      </c>
      <c r="E133" s="268">
        <v>0</v>
      </c>
      <c r="F133" s="83">
        <f t="shared" si="10"/>
        <v>591</v>
      </c>
      <c r="G133" s="268">
        <v>64</v>
      </c>
      <c r="H133" s="268">
        <v>0</v>
      </c>
      <c r="I133" s="83">
        <f t="shared" si="11"/>
        <v>64</v>
      </c>
      <c r="J133" s="171">
        <f t="shared" si="12"/>
        <v>0.10829999999999999</v>
      </c>
      <c r="K133" s="177">
        <f t="shared" ref="K133:K196" si="13">IF(AND((J133-35%)&gt;0,J133&lt;50%),I133*(J133-35%)*0.7,0)</f>
        <v>0</v>
      </c>
      <c r="L133" s="177">
        <f t="shared" ref="L133:L196" si="14">IF(J133&gt;=50%,I133*10.5%,0)</f>
        <v>0</v>
      </c>
      <c r="M133" s="177">
        <f t="shared" ref="M133:M196" si="15">MAX(K133,L133)</f>
        <v>0</v>
      </c>
    </row>
    <row r="134" spans="1:13">
      <c r="A134" s="268" t="s">
        <v>235</v>
      </c>
      <c r="B134" s="268" t="s">
        <v>1150</v>
      </c>
      <c r="C134" s="268" t="s">
        <v>1151</v>
      </c>
      <c r="D134" s="268">
        <v>520</v>
      </c>
      <c r="E134" s="268">
        <v>0</v>
      </c>
      <c r="F134" s="83">
        <f t="shared" ref="F134:F197" si="16">SUM(D134+E134)</f>
        <v>520</v>
      </c>
      <c r="G134" s="268">
        <v>12</v>
      </c>
      <c r="H134" s="268">
        <v>0</v>
      </c>
      <c r="I134" s="83">
        <f t="shared" ref="I134:I197" si="17">SUM(G134+H134)</f>
        <v>12</v>
      </c>
      <c r="J134" s="171">
        <f t="shared" ref="J134:J197" si="18">IF(ISERROR(I134/F134),0,I134/F134)</f>
        <v>2.3099999999999999E-2</v>
      </c>
      <c r="K134" s="177">
        <f t="shared" si="13"/>
        <v>0</v>
      </c>
      <c r="L134" s="177">
        <f t="shared" si="14"/>
        <v>0</v>
      </c>
      <c r="M134" s="177">
        <f t="shared" si="15"/>
        <v>0</v>
      </c>
    </row>
    <row r="135" spans="1:13">
      <c r="A135" s="268" t="s">
        <v>235</v>
      </c>
      <c r="B135" s="268" t="s">
        <v>1152</v>
      </c>
      <c r="C135" s="268" t="s">
        <v>1153</v>
      </c>
      <c r="D135" s="268">
        <v>222</v>
      </c>
      <c r="E135" s="268">
        <v>0</v>
      </c>
      <c r="F135" s="83">
        <f t="shared" si="16"/>
        <v>222</v>
      </c>
      <c r="G135" s="268">
        <v>9</v>
      </c>
      <c r="H135" s="268">
        <v>0</v>
      </c>
      <c r="I135" s="83">
        <f t="shared" si="17"/>
        <v>9</v>
      </c>
      <c r="J135" s="171">
        <f t="shared" si="18"/>
        <v>4.0500000000000001E-2</v>
      </c>
      <c r="K135" s="177">
        <f t="shared" si="13"/>
        <v>0</v>
      </c>
      <c r="L135" s="177">
        <f t="shared" si="14"/>
        <v>0</v>
      </c>
      <c r="M135" s="177">
        <f t="shared" si="15"/>
        <v>0</v>
      </c>
    </row>
    <row r="136" spans="1:13">
      <c r="A136" s="268" t="s">
        <v>235</v>
      </c>
      <c r="B136" s="268" t="s">
        <v>1154</v>
      </c>
      <c r="C136" s="268" t="s">
        <v>1155</v>
      </c>
      <c r="D136" s="268">
        <v>569</v>
      </c>
      <c r="E136" s="268">
        <v>0</v>
      </c>
      <c r="F136" s="83">
        <f t="shared" si="16"/>
        <v>569</v>
      </c>
      <c r="G136" s="268">
        <v>46</v>
      </c>
      <c r="H136" s="268">
        <v>0</v>
      </c>
      <c r="I136" s="83">
        <f t="shared" si="17"/>
        <v>46</v>
      </c>
      <c r="J136" s="171">
        <f t="shared" si="18"/>
        <v>8.0799999999999997E-2</v>
      </c>
      <c r="K136" s="177">
        <f t="shared" si="13"/>
        <v>0</v>
      </c>
      <c r="L136" s="177">
        <f t="shared" si="14"/>
        <v>0</v>
      </c>
      <c r="M136" s="177">
        <f t="shared" si="15"/>
        <v>0</v>
      </c>
    </row>
    <row r="137" spans="1:13">
      <c r="A137" s="268" t="s">
        <v>235</v>
      </c>
      <c r="B137" s="268" t="s">
        <v>1156</v>
      </c>
      <c r="C137" s="268" t="s">
        <v>1157</v>
      </c>
      <c r="D137" s="268">
        <v>416</v>
      </c>
      <c r="E137" s="268">
        <v>0</v>
      </c>
      <c r="F137" s="83">
        <f t="shared" si="16"/>
        <v>416</v>
      </c>
      <c r="G137" s="268">
        <v>22</v>
      </c>
      <c r="H137" s="268">
        <v>0</v>
      </c>
      <c r="I137" s="83">
        <f t="shared" si="17"/>
        <v>22</v>
      </c>
      <c r="J137" s="171">
        <f t="shared" si="18"/>
        <v>5.2900000000000003E-2</v>
      </c>
      <c r="K137" s="177">
        <f t="shared" si="13"/>
        <v>0</v>
      </c>
      <c r="L137" s="177">
        <f t="shared" si="14"/>
        <v>0</v>
      </c>
      <c r="M137" s="177">
        <f t="shared" si="15"/>
        <v>0</v>
      </c>
    </row>
    <row r="138" spans="1:13">
      <c r="A138" s="268" t="s">
        <v>235</v>
      </c>
      <c r="B138" s="268" t="s">
        <v>1158</v>
      </c>
      <c r="C138" s="268" t="s">
        <v>1159</v>
      </c>
      <c r="D138" s="268">
        <v>505</v>
      </c>
      <c r="E138" s="268">
        <v>0</v>
      </c>
      <c r="F138" s="83">
        <f t="shared" si="16"/>
        <v>505</v>
      </c>
      <c r="G138" s="268">
        <v>12</v>
      </c>
      <c r="H138" s="268">
        <v>0</v>
      </c>
      <c r="I138" s="83">
        <f t="shared" si="17"/>
        <v>12</v>
      </c>
      <c r="J138" s="171">
        <f t="shared" si="18"/>
        <v>2.3800000000000002E-2</v>
      </c>
      <c r="K138" s="177">
        <f t="shared" si="13"/>
        <v>0</v>
      </c>
      <c r="L138" s="177">
        <f t="shared" si="14"/>
        <v>0</v>
      </c>
      <c r="M138" s="177">
        <f t="shared" si="15"/>
        <v>0</v>
      </c>
    </row>
    <row r="139" spans="1:13">
      <c r="A139" s="268" t="s">
        <v>235</v>
      </c>
      <c r="B139" s="268" t="s">
        <v>1160</v>
      </c>
      <c r="C139" s="268" t="s">
        <v>1161</v>
      </c>
      <c r="D139" s="268">
        <v>534</v>
      </c>
      <c r="E139" s="268">
        <v>0</v>
      </c>
      <c r="F139" s="83">
        <f t="shared" si="16"/>
        <v>534</v>
      </c>
      <c r="G139" s="268">
        <v>41</v>
      </c>
      <c r="H139" s="268">
        <v>0</v>
      </c>
      <c r="I139" s="83">
        <f t="shared" si="17"/>
        <v>41</v>
      </c>
      <c r="J139" s="171">
        <f t="shared" si="18"/>
        <v>7.6799999999999993E-2</v>
      </c>
      <c r="K139" s="177">
        <f t="shared" si="13"/>
        <v>0</v>
      </c>
      <c r="L139" s="177">
        <f t="shared" si="14"/>
        <v>0</v>
      </c>
      <c r="M139" s="177">
        <f t="shared" si="15"/>
        <v>0</v>
      </c>
    </row>
    <row r="140" spans="1:13">
      <c r="A140" s="268" t="s">
        <v>235</v>
      </c>
      <c r="B140" s="268" t="s">
        <v>1162</v>
      </c>
      <c r="C140" s="268" t="s">
        <v>1163</v>
      </c>
      <c r="D140" s="268">
        <v>359</v>
      </c>
      <c r="E140" s="268">
        <v>0</v>
      </c>
      <c r="F140" s="83">
        <f t="shared" si="16"/>
        <v>359</v>
      </c>
      <c r="G140" s="268">
        <v>50</v>
      </c>
      <c r="H140" s="268">
        <v>0</v>
      </c>
      <c r="I140" s="83">
        <f t="shared" si="17"/>
        <v>50</v>
      </c>
      <c r="J140" s="171">
        <f t="shared" si="18"/>
        <v>0.13930000000000001</v>
      </c>
      <c r="K140" s="177">
        <f t="shared" si="13"/>
        <v>0</v>
      </c>
      <c r="L140" s="177">
        <f t="shared" si="14"/>
        <v>0</v>
      </c>
      <c r="M140" s="177">
        <f t="shared" si="15"/>
        <v>0</v>
      </c>
    </row>
    <row r="141" spans="1:13">
      <c r="A141" s="268" t="s">
        <v>235</v>
      </c>
      <c r="B141" s="268" t="s">
        <v>1164</v>
      </c>
      <c r="C141" s="268" t="s">
        <v>1165</v>
      </c>
      <c r="D141" s="268">
        <v>583</v>
      </c>
      <c r="E141" s="268">
        <v>0</v>
      </c>
      <c r="F141" s="83">
        <f t="shared" si="16"/>
        <v>583</v>
      </c>
      <c r="G141" s="268">
        <v>68</v>
      </c>
      <c r="H141" s="268">
        <v>0</v>
      </c>
      <c r="I141" s="83">
        <f t="shared" si="17"/>
        <v>68</v>
      </c>
      <c r="J141" s="171">
        <f t="shared" si="18"/>
        <v>0.1166</v>
      </c>
      <c r="K141" s="177">
        <f t="shared" si="13"/>
        <v>0</v>
      </c>
      <c r="L141" s="177">
        <f t="shared" si="14"/>
        <v>0</v>
      </c>
      <c r="M141" s="177">
        <f t="shared" si="15"/>
        <v>0</v>
      </c>
    </row>
    <row r="142" spans="1:13">
      <c r="A142" s="268" t="s">
        <v>235</v>
      </c>
      <c r="B142" s="268" t="s">
        <v>1166</v>
      </c>
      <c r="C142" s="268" t="s">
        <v>1167</v>
      </c>
      <c r="D142" s="268">
        <v>444</v>
      </c>
      <c r="E142" s="268">
        <v>0</v>
      </c>
      <c r="F142" s="83">
        <f t="shared" si="16"/>
        <v>444</v>
      </c>
      <c r="G142" s="268">
        <v>40</v>
      </c>
      <c r="H142" s="268">
        <v>0</v>
      </c>
      <c r="I142" s="83">
        <f t="shared" si="17"/>
        <v>40</v>
      </c>
      <c r="J142" s="171">
        <f t="shared" si="18"/>
        <v>9.01E-2</v>
      </c>
      <c r="K142" s="177">
        <f t="shared" si="13"/>
        <v>0</v>
      </c>
      <c r="L142" s="177">
        <f t="shared" si="14"/>
        <v>0</v>
      </c>
      <c r="M142" s="177">
        <f t="shared" si="15"/>
        <v>0</v>
      </c>
    </row>
    <row r="143" spans="1:13">
      <c r="A143" s="268" t="s">
        <v>235</v>
      </c>
      <c r="B143" s="268" t="s">
        <v>1168</v>
      </c>
      <c r="C143" s="268" t="s">
        <v>1169</v>
      </c>
      <c r="D143" s="268">
        <v>368</v>
      </c>
      <c r="E143" s="268">
        <v>0</v>
      </c>
      <c r="F143" s="83">
        <f t="shared" si="16"/>
        <v>368</v>
      </c>
      <c r="G143" s="268">
        <v>9</v>
      </c>
      <c r="H143" s="268">
        <v>0</v>
      </c>
      <c r="I143" s="83">
        <f t="shared" si="17"/>
        <v>9</v>
      </c>
      <c r="J143" s="171">
        <f t="shared" si="18"/>
        <v>2.4500000000000001E-2</v>
      </c>
      <c r="K143" s="177">
        <f t="shared" si="13"/>
        <v>0</v>
      </c>
      <c r="L143" s="177">
        <f t="shared" si="14"/>
        <v>0</v>
      </c>
      <c r="M143" s="177">
        <f t="shared" si="15"/>
        <v>0</v>
      </c>
    </row>
    <row r="144" spans="1:13">
      <c r="A144" s="268" t="s">
        <v>235</v>
      </c>
      <c r="B144" s="268" t="s">
        <v>1170</v>
      </c>
      <c r="C144" s="268" t="s">
        <v>1171</v>
      </c>
      <c r="D144" s="268">
        <v>553</v>
      </c>
      <c r="E144" s="268">
        <v>0</v>
      </c>
      <c r="F144" s="83">
        <f t="shared" si="16"/>
        <v>553</v>
      </c>
      <c r="G144" s="268">
        <v>21</v>
      </c>
      <c r="H144" s="268">
        <v>0</v>
      </c>
      <c r="I144" s="83">
        <f t="shared" si="17"/>
        <v>21</v>
      </c>
      <c r="J144" s="171">
        <f t="shared" si="18"/>
        <v>3.7999999999999999E-2</v>
      </c>
      <c r="K144" s="177">
        <f t="shared" si="13"/>
        <v>0</v>
      </c>
      <c r="L144" s="177">
        <f t="shared" si="14"/>
        <v>0</v>
      </c>
      <c r="M144" s="177">
        <f t="shared" si="15"/>
        <v>0</v>
      </c>
    </row>
    <row r="145" spans="1:13">
      <c r="A145" s="268" t="s">
        <v>235</v>
      </c>
      <c r="B145" s="268" t="s">
        <v>1172</v>
      </c>
      <c r="C145" s="268" t="s">
        <v>1173</v>
      </c>
      <c r="D145" s="268">
        <v>537</v>
      </c>
      <c r="E145" s="268">
        <v>0</v>
      </c>
      <c r="F145" s="83">
        <f t="shared" si="16"/>
        <v>537</v>
      </c>
      <c r="G145" s="268">
        <v>19</v>
      </c>
      <c r="H145" s="268">
        <v>0</v>
      </c>
      <c r="I145" s="83">
        <f t="shared" si="17"/>
        <v>19</v>
      </c>
      <c r="J145" s="171">
        <f t="shared" si="18"/>
        <v>3.5400000000000001E-2</v>
      </c>
      <c r="K145" s="177">
        <f t="shared" si="13"/>
        <v>0</v>
      </c>
      <c r="L145" s="177">
        <f t="shared" si="14"/>
        <v>0</v>
      </c>
      <c r="M145" s="177">
        <f t="shared" si="15"/>
        <v>0</v>
      </c>
    </row>
    <row r="146" spans="1:13">
      <c r="A146" s="268" t="s">
        <v>235</v>
      </c>
      <c r="B146" s="268" t="s">
        <v>1174</v>
      </c>
      <c r="C146" s="268" t="s">
        <v>1175</v>
      </c>
      <c r="D146" s="268">
        <v>1131</v>
      </c>
      <c r="E146" s="268">
        <v>0</v>
      </c>
      <c r="F146" s="83">
        <f t="shared" si="16"/>
        <v>1131</v>
      </c>
      <c r="G146" s="268">
        <v>27</v>
      </c>
      <c r="H146" s="268">
        <v>0</v>
      </c>
      <c r="I146" s="83">
        <f t="shared" si="17"/>
        <v>27</v>
      </c>
      <c r="J146" s="171">
        <f t="shared" si="18"/>
        <v>2.3900000000000001E-2</v>
      </c>
      <c r="K146" s="177">
        <f t="shared" si="13"/>
        <v>0</v>
      </c>
      <c r="L146" s="177">
        <f t="shared" si="14"/>
        <v>0</v>
      </c>
      <c r="M146" s="177">
        <f t="shared" si="15"/>
        <v>0</v>
      </c>
    </row>
    <row r="147" spans="1:13">
      <c r="A147" s="268" t="s">
        <v>235</v>
      </c>
      <c r="B147" s="268" t="s">
        <v>1176</v>
      </c>
      <c r="C147" s="268" t="s">
        <v>1177</v>
      </c>
      <c r="D147" s="268">
        <v>752</v>
      </c>
      <c r="E147" s="268">
        <v>0</v>
      </c>
      <c r="F147" s="83">
        <f t="shared" si="16"/>
        <v>752</v>
      </c>
      <c r="G147" s="268">
        <v>13</v>
      </c>
      <c r="H147" s="268">
        <v>0</v>
      </c>
      <c r="I147" s="83">
        <f t="shared" si="17"/>
        <v>13</v>
      </c>
      <c r="J147" s="171">
        <f t="shared" si="18"/>
        <v>1.7299999999999999E-2</v>
      </c>
      <c r="K147" s="177">
        <f t="shared" si="13"/>
        <v>0</v>
      </c>
      <c r="L147" s="177">
        <f t="shared" si="14"/>
        <v>0</v>
      </c>
      <c r="M147" s="177">
        <f t="shared" si="15"/>
        <v>0</v>
      </c>
    </row>
    <row r="148" spans="1:13">
      <c r="A148" s="268" t="s">
        <v>235</v>
      </c>
      <c r="B148" s="268" t="s">
        <v>1178</v>
      </c>
      <c r="C148" s="268" t="s">
        <v>1179</v>
      </c>
      <c r="D148" s="268">
        <v>386</v>
      </c>
      <c r="E148" s="268">
        <v>0</v>
      </c>
      <c r="F148" s="83">
        <f t="shared" si="16"/>
        <v>386</v>
      </c>
      <c r="G148" s="268">
        <v>11</v>
      </c>
      <c r="H148" s="268">
        <v>0</v>
      </c>
      <c r="I148" s="83">
        <f t="shared" si="17"/>
        <v>11</v>
      </c>
      <c r="J148" s="171">
        <f t="shared" si="18"/>
        <v>2.8500000000000001E-2</v>
      </c>
      <c r="K148" s="177">
        <f t="shared" si="13"/>
        <v>0</v>
      </c>
      <c r="L148" s="177">
        <f t="shared" si="14"/>
        <v>0</v>
      </c>
      <c r="M148" s="177">
        <f t="shared" si="15"/>
        <v>0</v>
      </c>
    </row>
    <row r="149" spans="1:13">
      <c r="A149" s="268" t="s">
        <v>235</v>
      </c>
      <c r="B149" s="268" t="s">
        <v>1180</v>
      </c>
      <c r="C149" s="268" t="s">
        <v>1181</v>
      </c>
      <c r="D149" s="268">
        <v>379</v>
      </c>
      <c r="E149" s="268">
        <v>0</v>
      </c>
      <c r="F149" s="83">
        <f t="shared" si="16"/>
        <v>379</v>
      </c>
      <c r="G149" s="268">
        <v>8</v>
      </c>
      <c r="H149" s="268">
        <v>0</v>
      </c>
      <c r="I149" s="83">
        <f t="shared" si="17"/>
        <v>8</v>
      </c>
      <c r="J149" s="171">
        <f t="shared" si="18"/>
        <v>2.1100000000000001E-2</v>
      </c>
      <c r="K149" s="177">
        <f t="shared" si="13"/>
        <v>0</v>
      </c>
      <c r="L149" s="177">
        <f t="shared" si="14"/>
        <v>0</v>
      </c>
      <c r="M149" s="177">
        <f t="shared" si="15"/>
        <v>0</v>
      </c>
    </row>
    <row r="150" spans="1:13">
      <c r="A150" s="268" t="s">
        <v>235</v>
      </c>
      <c r="B150" s="268" t="s">
        <v>1182</v>
      </c>
      <c r="C150" s="268" t="s">
        <v>1183</v>
      </c>
      <c r="D150" s="268">
        <v>1644</v>
      </c>
      <c r="E150" s="268">
        <v>0</v>
      </c>
      <c r="F150" s="83">
        <f t="shared" si="16"/>
        <v>1644</v>
      </c>
      <c r="G150" s="268">
        <v>81</v>
      </c>
      <c r="H150" s="268">
        <v>0</v>
      </c>
      <c r="I150" s="83">
        <f t="shared" si="17"/>
        <v>81</v>
      </c>
      <c r="J150" s="171">
        <f t="shared" si="18"/>
        <v>4.9299999999999997E-2</v>
      </c>
      <c r="K150" s="177">
        <f t="shared" si="13"/>
        <v>0</v>
      </c>
      <c r="L150" s="177">
        <f t="shared" si="14"/>
        <v>0</v>
      </c>
      <c r="M150" s="177">
        <f t="shared" si="15"/>
        <v>0</v>
      </c>
    </row>
    <row r="151" spans="1:13">
      <c r="A151" s="268" t="s">
        <v>235</v>
      </c>
      <c r="B151" s="268" t="s">
        <v>1184</v>
      </c>
      <c r="C151" s="268" t="s">
        <v>1185</v>
      </c>
      <c r="D151" s="268">
        <v>418</v>
      </c>
      <c r="E151" s="268">
        <v>0</v>
      </c>
      <c r="F151" s="83">
        <f t="shared" si="16"/>
        <v>418</v>
      </c>
      <c r="G151" s="268">
        <v>29</v>
      </c>
      <c r="H151" s="268">
        <v>0</v>
      </c>
      <c r="I151" s="83">
        <f t="shared" si="17"/>
        <v>29</v>
      </c>
      <c r="J151" s="171">
        <f t="shared" si="18"/>
        <v>6.9400000000000003E-2</v>
      </c>
      <c r="K151" s="177">
        <f t="shared" si="13"/>
        <v>0</v>
      </c>
      <c r="L151" s="177">
        <f t="shared" si="14"/>
        <v>0</v>
      </c>
      <c r="M151" s="177">
        <f t="shared" si="15"/>
        <v>0</v>
      </c>
    </row>
    <row r="152" spans="1:13">
      <c r="A152" s="268" t="s">
        <v>235</v>
      </c>
      <c r="B152" s="268" t="s">
        <v>1186</v>
      </c>
      <c r="C152" s="268" t="s">
        <v>1187</v>
      </c>
      <c r="D152" s="268">
        <v>492</v>
      </c>
      <c r="E152" s="268">
        <v>0</v>
      </c>
      <c r="F152" s="83">
        <f t="shared" si="16"/>
        <v>492</v>
      </c>
      <c r="G152" s="268">
        <v>12</v>
      </c>
      <c r="H152" s="268">
        <v>0</v>
      </c>
      <c r="I152" s="83">
        <f t="shared" si="17"/>
        <v>12</v>
      </c>
      <c r="J152" s="171">
        <f t="shared" si="18"/>
        <v>2.4400000000000002E-2</v>
      </c>
      <c r="K152" s="177">
        <f t="shared" si="13"/>
        <v>0</v>
      </c>
      <c r="L152" s="177">
        <f t="shared" si="14"/>
        <v>0</v>
      </c>
      <c r="M152" s="177">
        <f t="shared" si="15"/>
        <v>0</v>
      </c>
    </row>
    <row r="153" spans="1:13">
      <c r="A153" s="268" t="s">
        <v>235</v>
      </c>
      <c r="B153" s="268" t="s">
        <v>1188</v>
      </c>
      <c r="C153" s="268" t="s">
        <v>1189</v>
      </c>
      <c r="D153" s="268">
        <v>1630</v>
      </c>
      <c r="E153" s="268">
        <v>0</v>
      </c>
      <c r="F153" s="83">
        <f t="shared" si="16"/>
        <v>1630</v>
      </c>
      <c r="G153" s="268">
        <v>54</v>
      </c>
      <c r="H153" s="268">
        <v>0</v>
      </c>
      <c r="I153" s="83">
        <f t="shared" si="17"/>
        <v>54</v>
      </c>
      <c r="J153" s="171">
        <f t="shared" si="18"/>
        <v>3.3099999999999997E-2</v>
      </c>
      <c r="K153" s="177">
        <f t="shared" si="13"/>
        <v>0</v>
      </c>
      <c r="L153" s="177">
        <f t="shared" si="14"/>
        <v>0</v>
      </c>
      <c r="M153" s="177">
        <f t="shared" si="15"/>
        <v>0</v>
      </c>
    </row>
    <row r="154" spans="1:13">
      <c r="A154" s="268" t="s">
        <v>235</v>
      </c>
      <c r="B154" s="268" t="s">
        <v>1190</v>
      </c>
      <c r="C154" s="268" t="s">
        <v>1191</v>
      </c>
      <c r="D154" s="268">
        <v>473</v>
      </c>
      <c r="E154" s="268">
        <v>0</v>
      </c>
      <c r="F154" s="83">
        <f t="shared" si="16"/>
        <v>473</v>
      </c>
      <c r="G154" s="268">
        <v>21</v>
      </c>
      <c r="H154" s="268">
        <v>0</v>
      </c>
      <c r="I154" s="83">
        <f t="shared" si="17"/>
        <v>21</v>
      </c>
      <c r="J154" s="171">
        <f t="shared" si="18"/>
        <v>4.4400000000000002E-2</v>
      </c>
      <c r="K154" s="177">
        <f t="shared" si="13"/>
        <v>0</v>
      </c>
      <c r="L154" s="177">
        <f t="shared" si="14"/>
        <v>0</v>
      </c>
      <c r="M154" s="177">
        <f t="shared" si="15"/>
        <v>0</v>
      </c>
    </row>
    <row r="155" spans="1:13">
      <c r="A155" s="268" t="s">
        <v>235</v>
      </c>
      <c r="B155" s="268" t="s">
        <v>1192</v>
      </c>
      <c r="C155" s="268" t="s">
        <v>1193</v>
      </c>
      <c r="D155" s="268">
        <v>630</v>
      </c>
      <c r="E155" s="268">
        <v>0</v>
      </c>
      <c r="F155" s="83">
        <f t="shared" si="16"/>
        <v>630</v>
      </c>
      <c r="G155" s="268">
        <v>9</v>
      </c>
      <c r="H155" s="268">
        <v>0</v>
      </c>
      <c r="I155" s="83">
        <f t="shared" si="17"/>
        <v>9</v>
      </c>
      <c r="J155" s="171">
        <f t="shared" si="18"/>
        <v>1.43E-2</v>
      </c>
      <c r="K155" s="177">
        <f t="shared" si="13"/>
        <v>0</v>
      </c>
      <c r="L155" s="177">
        <f t="shared" si="14"/>
        <v>0</v>
      </c>
      <c r="M155" s="177">
        <f t="shared" si="15"/>
        <v>0</v>
      </c>
    </row>
    <row r="156" spans="1:13">
      <c r="A156" s="268" t="s">
        <v>235</v>
      </c>
      <c r="B156" s="268" t="s">
        <v>1194</v>
      </c>
      <c r="C156" s="268" t="s">
        <v>1195</v>
      </c>
      <c r="D156" s="268">
        <v>450</v>
      </c>
      <c r="E156" s="268">
        <v>0</v>
      </c>
      <c r="F156" s="83">
        <f t="shared" si="16"/>
        <v>450</v>
      </c>
      <c r="G156" s="268">
        <v>26</v>
      </c>
      <c r="H156" s="268">
        <v>0</v>
      </c>
      <c r="I156" s="83">
        <f t="shared" si="17"/>
        <v>26</v>
      </c>
      <c r="J156" s="171">
        <f t="shared" si="18"/>
        <v>5.7799999999999997E-2</v>
      </c>
      <c r="K156" s="177">
        <f t="shared" si="13"/>
        <v>0</v>
      </c>
      <c r="L156" s="177">
        <f t="shared" si="14"/>
        <v>0</v>
      </c>
      <c r="M156" s="177">
        <f t="shared" si="15"/>
        <v>0</v>
      </c>
    </row>
    <row r="157" spans="1:13">
      <c r="A157" s="268" t="s">
        <v>235</v>
      </c>
      <c r="B157" s="268" t="s">
        <v>1196</v>
      </c>
      <c r="C157" s="268" t="s">
        <v>1197</v>
      </c>
      <c r="D157" s="268">
        <v>394</v>
      </c>
      <c r="E157" s="268">
        <v>0</v>
      </c>
      <c r="F157" s="83">
        <f t="shared" si="16"/>
        <v>394</v>
      </c>
      <c r="G157" s="268">
        <v>11</v>
      </c>
      <c r="H157" s="268">
        <v>0</v>
      </c>
      <c r="I157" s="83">
        <f t="shared" si="17"/>
        <v>11</v>
      </c>
      <c r="J157" s="171">
        <f t="shared" si="18"/>
        <v>2.7900000000000001E-2</v>
      </c>
      <c r="K157" s="177">
        <f t="shared" si="13"/>
        <v>0</v>
      </c>
      <c r="L157" s="177">
        <f t="shared" si="14"/>
        <v>0</v>
      </c>
      <c r="M157" s="177">
        <f t="shared" si="15"/>
        <v>0</v>
      </c>
    </row>
    <row r="158" spans="1:13">
      <c r="A158" s="268" t="s">
        <v>236</v>
      </c>
      <c r="B158" s="268" t="s">
        <v>1198</v>
      </c>
      <c r="C158" s="268" t="s">
        <v>1199</v>
      </c>
      <c r="D158" s="268">
        <v>518</v>
      </c>
      <c r="E158" s="268">
        <v>0</v>
      </c>
      <c r="F158" s="83">
        <f t="shared" si="16"/>
        <v>518</v>
      </c>
      <c r="G158" s="268">
        <v>138</v>
      </c>
      <c r="H158" s="268">
        <v>0</v>
      </c>
      <c r="I158" s="83">
        <f t="shared" si="17"/>
        <v>138</v>
      </c>
      <c r="J158" s="171">
        <f t="shared" si="18"/>
        <v>0.26640000000000003</v>
      </c>
      <c r="K158" s="177">
        <f t="shared" si="13"/>
        <v>0</v>
      </c>
      <c r="L158" s="177">
        <f t="shared" si="14"/>
        <v>0</v>
      </c>
      <c r="M158" s="177">
        <f t="shared" si="15"/>
        <v>0</v>
      </c>
    </row>
    <row r="159" spans="1:13">
      <c r="A159" s="268" t="s">
        <v>236</v>
      </c>
      <c r="B159" s="268" t="s">
        <v>1200</v>
      </c>
      <c r="C159" s="268" t="s">
        <v>1201</v>
      </c>
      <c r="D159" s="268">
        <v>781</v>
      </c>
      <c r="E159" s="268">
        <v>0</v>
      </c>
      <c r="F159" s="83">
        <f t="shared" si="16"/>
        <v>781</v>
      </c>
      <c r="G159" s="268">
        <v>99</v>
      </c>
      <c r="H159" s="268">
        <v>0</v>
      </c>
      <c r="I159" s="83">
        <f t="shared" si="17"/>
        <v>99</v>
      </c>
      <c r="J159" s="171">
        <f t="shared" si="18"/>
        <v>0.1268</v>
      </c>
      <c r="K159" s="177">
        <f t="shared" si="13"/>
        <v>0</v>
      </c>
      <c r="L159" s="177">
        <f t="shared" si="14"/>
        <v>0</v>
      </c>
      <c r="M159" s="177">
        <f t="shared" si="15"/>
        <v>0</v>
      </c>
    </row>
    <row r="160" spans="1:13">
      <c r="A160" s="268" t="s">
        <v>236</v>
      </c>
      <c r="B160" s="268" t="s">
        <v>1202</v>
      </c>
      <c r="C160" s="268" t="s">
        <v>1203</v>
      </c>
      <c r="D160" s="268">
        <v>719</v>
      </c>
      <c r="E160" s="268">
        <v>0</v>
      </c>
      <c r="F160" s="83">
        <f t="shared" si="16"/>
        <v>719</v>
      </c>
      <c r="G160" s="268">
        <v>91</v>
      </c>
      <c r="H160" s="268">
        <v>0</v>
      </c>
      <c r="I160" s="83">
        <f t="shared" si="17"/>
        <v>91</v>
      </c>
      <c r="J160" s="171">
        <f t="shared" si="18"/>
        <v>0.12659999999999999</v>
      </c>
      <c r="K160" s="177">
        <f t="shared" si="13"/>
        <v>0</v>
      </c>
      <c r="L160" s="177">
        <f t="shared" si="14"/>
        <v>0</v>
      </c>
      <c r="M160" s="177">
        <f t="shared" si="15"/>
        <v>0</v>
      </c>
    </row>
    <row r="161" spans="1:13">
      <c r="A161" s="268" t="s">
        <v>236</v>
      </c>
      <c r="B161" s="268" t="s">
        <v>1204</v>
      </c>
      <c r="C161" s="268" t="s">
        <v>1205</v>
      </c>
      <c r="D161" s="268">
        <v>392</v>
      </c>
      <c r="E161" s="268">
        <v>0</v>
      </c>
      <c r="F161" s="83">
        <f t="shared" si="16"/>
        <v>392</v>
      </c>
      <c r="G161" s="268">
        <v>9</v>
      </c>
      <c r="H161" s="268">
        <v>0</v>
      </c>
      <c r="I161" s="83">
        <f t="shared" si="17"/>
        <v>9</v>
      </c>
      <c r="J161" s="171">
        <f t="shared" si="18"/>
        <v>2.3E-2</v>
      </c>
      <c r="K161" s="177">
        <f t="shared" si="13"/>
        <v>0</v>
      </c>
      <c r="L161" s="177">
        <f t="shared" si="14"/>
        <v>0</v>
      </c>
      <c r="M161" s="177">
        <f t="shared" si="15"/>
        <v>0</v>
      </c>
    </row>
    <row r="162" spans="1:13" ht="12.75" customHeight="1">
      <c r="A162" s="268" t="s">
        <v>236</v>
      </c>
      <c r="B162" s="268" t="s">
        <v>1206</v>
      </c>
      <c r="C162" s="268" t="s">
        <v>1207</v>
      </c>
      <c r="D162" s="268">
        <v>0</v>
      </c>
      <c r="E162" s="268">
        <v>0</v>
      </c>
      <c r="F162" s="83">
        <f t="shared" si="16"/>
        <v>0</v>
      </c>
      <c r="G162" s="268">
        <v>0</v>
      </c>
      <c r="H162" s="268">
        <v>0</v>
      </c>
      <c r="I162" s="83">
        <f t="shared" si="17"/>
        <v>0</v>
      </c>
      <c r="J162" s="171">
        <f t="shared" si="18"/>
        <v>0</v>
      </c>
      <c r="K162" s="177">
        <f t="shared" si="13"/>
        <v>0</v>
      </c>
      <c r="L162" s="177">
        <f t="shared" si="14"/>
        <v>0</v>
      </c>
      <c r="M162" s="177">
        <f t="shared" si="15"/>
        <v>0</v>
      </c>
    </row>
    <row r="163" spans="1:13">
      <c r="A163" s="268" t="s">
        <v>236</v>
      </c>
      <c r="B163" s="268" t="s">
        <v>1208</v>
      </c>
      <c r="C163" s="268" t="s">
        <v>1209</v>
      </c>
      <c r="D163" s="268">
        <v>419</v>
      </c>
      <c r="E163" s="268">
        <v>0</v>
      </c>
      <c r="F163" s="83">
        <f t="shared" si="16"/>
        <v>419</v>
      </c>
      <c r="G163" s="268">
        <v>42</v>
      </c>
      <c r="H163" s="268">
        <v>0</v>
      </c>
      <c r="I163" s="83">
        <f t="shared" si="17"/>
        <v>42</v>
      </c>
      <c r="J163" s="171">
        <f t="shared" si="18"/>
        <v>0.1002</v>
      </c>
      <c r="K163" s="177">
        <f t="shared" si="13"/>
        <v>0</v>
      </c>
      <c r="L163" s="177">
        <f t="shared" si="14"/>
        <v>0</v>
      </c>
      <c r="M163" s="177">
        <f t="shared" si="15"/>
        <v>0</v>
      </c>
    </row>
    <row r="164" spans="1:13">
      <c r="A164" s="268" t="s">
        <v>236</v>
      </c>
      <c r="B164" s="268" t="s">
        <v>1210</v>
      </c>
      <c r="C164" s="268" t="s">
        <v>1211</v>
      </c>
      <c r="D164" s="268">
        <v>0</v>
      </c>
      <c r="E164" s="268">
        <v>0</v>
      </c>
      <c r="F164" s="83">
        <f t="shared" si="16"/>
        <v>0</v>
      </c>
      <c r="G164" s="268">
        <v>0</v>
      </c>
      <c r="H164" s="268">
        <v>0</v>
      </c>
      <c r="I164" s="83">
        <f t="shared" si="17"/>
        <v>0</v>
      </c>
      <c r="J164" s="171">
        <f t="shared" si="18"/>
        <v>0</v>
      </c>
      <c r="K164" s="177">
        <f t="shared" si="13"/>
        <v>0</v>
      </c>
      <c r="L164" s="177">
        <f t="shared" si="14"/>
        <v>0</v>
      </c>
      <c r="M164" s="177">
        <f t="shared" si="15"/>
        <v>0</v>
      </c>
    </row>
    <row r="165" spans="1:13">
      <c r="A165" s="268" t="s">
        <v>236</v>
      </c>
      <c r="B165" s="268" t="s">
        <v>3599</v>
      </c>
      <c r="C165" s="268" t="s">
        <v>3600</v>
      </c>
      <c r="D165" s="268">
        <v>291</v>
      </c>
      <c r="E165" s="268">
        <v>0</v>
      </c>
      <c r="F165" s="83">
        <f t="shared" si="16"/>
        <v>291</v>
      </c>
      <c r="G165" s="268">
        <v>9</v>
      </c>
      <c r="H165" s="268">
        <v>0</v>
      </c>
      <c r="I165" s="83">
        <f t="shared" si="17"/>
        <v>9</v>
      </c>
      <c r="J165" s="171">
        <f t="shared" si="18"/>
        <v>3.09E-2</v>
      </c>
      <c r="K165" s="177">
        <f t="shared" si="13"/>
        <v>0</v>
      </c>
      <c r="L165" s="177">
        <f t="shared" si="14"/>
        <v>0</v>
      </c>
      <c r="M165" s="177">
        <f t="shared" si="15"/>
        <v>0</v>
      </c>
    </row>
    <row r="166" spans="1:13">
      <c r="A166" s="268" t="s">
        <v>237</v>
      </c>
      <c r="B166" s="268" t="s">
        <v>1212</v>
      </c>
      <c r="C166" s="268" t="s">
        <v>1213</v>
      </c>
      <c r="D166" s="268">
        <v>301</v>
      </c>
      <c r="E166" s="268">
        <v>0</v>
      </c>
      <c r="F166" s="83">
        <f t="shared" si="16"/>
        <v>301</v>
      </c>
      <c r="G166" s="268">
        <v>92</v>
      </c>
      <c r="H166" s="268">
        <v>0</v>
      </c>
      <c r="I166" s="83">
        <f t="shared" si="17"/>
        <v>92</v>
      </c>
      <c r="J166" s="171">
        <f t="shared" si="18"/>
        <v>0.30559999999999998</v>
      </c>
      <c r="K166" s="177">
        <f t="shared" si="13"/>
        <v>0</v>
      </c>
      <c r="L166" s="177">
        <f t="shared" si="14"/>
        <v>0</v>
      </c>
      <c r="M166" s="177">
        <f t="shared" si="15"/>
        <v>0</v>
      </c>
    </row>
    <row r="167" spans="1:13">
      <c r="A167" s="268" t="s">
        <v>237</v>
      </c>
      <c r="B167" s="268" t="s">
        <v>1214</v>
      </c>
      <c r="C167" s="268" t="s">
        <v>1215</v>
      </c>
      <c r="D167" s="268">
        <v>1632</v>
      </c>
      <c r="E167" s="268">
        <v>0</v>
      </c>
      <c r="F167" s="83">
        <f t="shared" si="16"/>
        <v>1632</v>
      </c>
      <c r="G167" s="268">
        <v>285</v>
      </c>
      <c r="H167" s="268">
        <v>0</v>
      </c>
      <c r="I167" s="83">
        <f t="shared" si="17"/>
        <v>285</v>
      </c>
      <c r="J167" s="171">
        <f t="shared" si="18"/>
        <v>0.17460000000000001</v>
      </c>
      <c r="K167" s="177">
        <f t="shared" si="13"/>
        <v>0</v>
      </c>
      <c r="L167" s="177">
        <f t="shared" si="14"/>
        <v>0</v>
      </c>
      <c r="M167" s="177">
        <f t="shared" si="15"/>
        <v>0</v>
      </c>
    </row>
    <row r="168" spans="1:13">
      <c r="A168" s="268" t="s">
        <v>237</v>
      </c>
      <c r="B168" s="268" t="s">
        <v>1216</v>
      </c>
      <c r="C168" s="268" t="s">
        <v>1217</v>
      </c>
      <c r="D168" s="268">
        <v>183</v>
      </c>
      <c r="E168" s="268">
        <v>0</v>
      </c>
      <c r="F168" s="83">
        <f t="shared" si="16"/>
        <v>183</v>
      </c>
      <c r="G168" s="268">
        <v>44</v>
      </c>
      <c r="H168" s="268">
        <v>0</v>
      </c>
      <c r="I168" s="83">
        <f t="shared" si="17"/>
        <v>44</v>
      </c>
      <c r="J168" s="171">
        <f t="shared" si="18"/>
        <v>0.2404</v>
      </c>
      <c r="K168" s="177">
        <f t="shared" si="13"/>
        <v>0</v>
      </c>
      <c r="L168" s="177">
        <f t="shared" si="14"/>
        <v>0</v>
      </c>
      <c r="M168" s="177">
        <f t="shared" si="15"/>
        <v>0</v>
      </c>
    </row>
    <row r="169" spans="1:13">
      <c r="A169" s="268" t="s">
        <v>237</v>
      </c>
      <c r="B169" s="268" t="s">
        <v>1218</v>
      </c>
      <c r="C169" s="268" t="s">
        <v>1219</v>
      </c>
      <c r="D169" s="268">
        <v>345</v>
      </c>
      <c r="E169" s="268">
        <v>0</v>
      </c>
      <c r="F169" s="83">
        <f t="shared" si="16"/>
        <v>345</v>
      </c>
      <c r="G169" s="268">
        <v>31</v>
      </c>
      <c r="H169" s="268">
        <v>0</v>
      </c>
      <c r="I169" s="83">
        <f t="shared" si="17"/>
        <v>31</v>
      </c>
      <c r="J169" s="171">
        <f t="shared" si="18"/>
        <v>8.9899999999999994E-2</v>
      </c>
      <c r="K169" s="177">
        <f t="shared" si="13"/>
        <v>0</v>
      </c>
      <c r="L169" s="177">
        <f t="shared" si="14"/>
        <v>0</v>
      </c>
      <c r="M169" s="177">
        <f t="shared" si="15"/>
        <v>0</v>
      </c>
    </row>
    <row r="170" spans="1:13">
      <c r="A170" s="268" t="s">
        <v>237</v>
      </c>
      <c r="B170" s="268" t="s">
        <v>1220</v>
      </c>
      <c r="C170" s="268" t="s">
        <v>1221</v>
      </c>
      <c r="D170" s="268">
        <v>335</v>
      </c>
      <c r="E170" s="268">
        <v>0</v>
      </c>
      <c r="F170" s="83">
        <f t="shared" si="16"/>
        <v>335</v>
      </c>
      <c r="G170" s="268">
        <v>87</v>
      </c>
      <c r="H170" s="268">
        <v>0</v>
      </c>
      <c r="I170" s="83">
        <f t="shared" si="17"/>
        <v>87</v>
      </c>
      <c r="J170" s="171">
        <f t="shared" si="18"/>
        <v>0.25969999999999999</v>
      </c>
      <c r="K170" s="177">
        <f t="shared" si="13"/>
        <v>0</v>
      </c>
      <c r="L170" s="177">
        <f t="shared" si="14"/>
        <v>0</v>
      </c>
      <c r="M170" s="177">
        <f t="shared" si="15"/>
        <v>0</v>
      </c>
    </row>
    <row r="171" spans="1:13">
      <c r="A171" s="268" t="s">
        <v>237</v>
      </c>
      <c r="B171" s="268" t="s">
        <v>1222</v>
      </c>
      <c r="C171" s="268" t="s">
        <v>1223</v>
      </c>
      <c r="D171" s="268">
        <v>530</v>
      </c>
      <c r="E171" s="268">
        <v>0</v>
      </c>
      <c r="F171" s="83">
        <f t="shared" si="16"/>
        <v>530</v>
      </c>
      <c r="G171" s="268">
        <v>46</v>
      </c>
      <c r="H171" s="268">
        <v>0</v>
      </c>
      <c r="I171" s="83">
        <f t="shared" si="17"/>
        <v>46</v>
      </c>
      <c r="J171" s="171">
        <f t="shared" si="18"/>
        <v>8.6800000000000002E-2</v>
      </c>
      <c r="K171" s="177">
        <f t="shared" si="13"/>
        <v>0</v>
      </c>
      <c r="L171" s="177">
        <f t="shared" si="14"/>
        <v>0</v>
      </c>
      <c r="M171" s="177">
        <f t="shared" si="15"/>
        <v>0</v>
      </c>
    </row>
    <row r="172" spans="1:13">
      <c r="A172" s="268" t="s">
        <v>237</v>
      </c>
      <c r="B172" s="268" t="s">
        <v>1224</v>
      </c>
      <c r="C172" s="268" t="s">
        <v>1225</v>
      </c>
      <c r="D172" s="268">
        <v>598</v>
      </c>
      <c r="E172" s="268">
        <v>0</v>
      </c>
      <c r="F172" s="83">
        <f t="shared" si="16"/>
        <v>598</v>
      </c>
      <c r="G172" s="268">
        <v>97</v>
      </c>
      <c r="H172" s="268">
        <v>0</v>
      </c>
      <c r="I172" s="83">
        <f t="shared" si="17"/>
        <v>97</v>
      </c>
      <c r="J172" s="171">
        <f t="shared" si="18"/>
        <v>0.16220000000000001</v>
      </c>
      <c r="K172" s="177">
        <f t="shared" si="13"/>
        <v>0</v>
      </c>
      <c r="L172" s="177">
        <f t="shared" si="14"/>
        <v>0</v>
      </c>
      <c r="M172" s="177">
        <f t="shared" si="15"/>
        <v>0</v>
      </c>
    </row>
    <row r="173" spans="1:13">
      <c r="A173" s="268" t="s">
        <v>237</v>
      </c>
      <c r="B173" s="268" t="s">
        <v>1226</v>
      </c>
      <c r="C173" s="268" t="s">
        <v>1227</v>
      </c>
      <c r="D173" s="268">
        <v>341</v>
      </c>
      <c r="E173" s="268">
        <v>0</v>
      </c>
      <c r="F173" s="83">
        <f t="shared" si="16"/>
        <v>341</v>
      </c>
      <c r="G173" s="268">
        <v>42</v>
      </c>
      <c r="H173" s="268">
        <v>0</v>
      </c>
      <c r="I173" s="83">
        <f t="shared" si="17"/>
        <v>42</v>
      </c>
      <c r="J173" s="171">
        <f t="shared" si="18"/>
        <v>0.1232</v>
      </c>
      <c r="K173" s="177">
        <f t="shared" si="13"/>
        <v>0</v>
      </c>
      <c r="L173" s="177">
        <f t="shared" si="14"/>
        <v>0</v>
      </c>
      <c r="M173" s="177">
        <f t="shared" si="15"/>
        <v>0</v>
      </c>
    </row>
    <row r="174" spans="1:13">
      <c r="A174" s="268" t="s">
        <v>237</v>
      </c>
      <c r="B174" s="268" t="s">
        <v>1228</v>
      </c>
      <c r="C174" s="268" t="s">
        <v>1229</v>
      </c>
      <c r="D174" s="268">
        <v>555</v>
      </c>
      <c r="E174" s="268">
        <v>0</v>
      </c>
      <c r="F174" s="83">
        <f t="shared" si="16"/>
        <v>555</v>
      </c>
      <c r="G174" s="268">
        <v>109</v>
      </c>
      <c r="H174" s="268">
        <v>0</v>
      </c>
      <c r="I174" s="83">
        <f t="shared" si="17"/>
        <v>109</v>
      </c>
      <c r="J174" s="171">
        <f t="shared" si="18"/>
        <v>0.19639999999999999</v>
      </c>
      <c r="K174" s="177">
        <f t="shared" si="13"/>
        <v>0</v>
      </c>
      <c r="L174" s="177">
        <f t="shared" si="14"/>
        <v>0</v>
      </c>
      <c r="M174" s="177">
        <f t="shared" si="15"/>
        <v>0</v>
      </c>
    </row>
    <row r="175" spans="1:13">
      <c r="A175" s="268" t="s">
        <v>237</v>
      </c>
      <c r="B175" s="268" t="s">
        <v>1230</v>
      </c>
      <c r="C175" s="268" t="s">
        <v>1231</v>
      </c>
      <c r="D175" s="268">
        <v>399</v>
      </c>
      <c r="E175" s="268">
        <v>0</v>
      </c>
      <c r="F175" s="83">
        <f t="shared" si="16"/>
        <v>399</v>
      </c>
      <c r="G175" s="268">
        <v>109</v>
      </c>
      <c r="H175" s="268">
        <v>0</v>
      </c>
      <c r="I175" s="83">
        <f t="shared" si="17"/>
        <v>109</v>
      </c>
      <c r="J175" s="171">
        <f t="shared" si="18"/>
        <v>0.2732</v>
      </c>
      <c r="K175" s="177">
        <f t="shared" si="13"/>
        <v>0</v>
      </c>
      <c r="L175" s="177">
        <f t="shared" si="14"/>
        <v>0</v>
      </c>
      <c r="M175" s="177">
        <f t="shared" si="15"/>
        <v>0</v>
      </c>
    </row>
    <row r="176" spans="1:13">
      <c r="A176" s="268" t="s">
        <v>237</v>
      </c>
      <c r="B176" s="268" t="s">
        <v>1232</v>
      </c>
      <c r="C176" s="268" t="s">
        <v>1233</v>
      </c>
      <c r="D176" s="268">
        <v>746</v>
      </c>
      <c r="E176" s="268">
        <v>0</v>
      </c>
      <c r="F176" s="83">
        <f t="shared" si="16"/>
        <v>746</v>
      </c>
      <c r="G176" s="268">
        <v>185</v>
      </c>
      <c r="H176" s="268">
        <v>0</v>
      </c>
      <c r="I176" s="83">
        <f t="shared" si="17"/>
        <v>185</v>
      </c>
      <c r="J176" s="171">
        <f t="shared" si="18"/>
        <v>0.248</v>
      </c>
      <c r="K176" s="177">
        <f t="shared" si="13"/>
        <v>0</v>
      </c>
      <c r="L176" s="177">
        <f t="shared" si="14"/>
        <v>0</v>
      </c>
      <c r="M176" s="177">
        <f t="shared" si="15"/>
        <v>0</v>
      </c>
    </row>
    <row r="177" spans="1:13">
      <c r="A177" s="268" t="s">
        <v>238</v>
      </c>
      <c r="B177" s="268" t="s">
        <v>1234</v>
      </c>
      <c r="C177" s="268" t="s">
        <v>1235</v>
      </c>
      <c r="D177" s="268">
        <v>580</v>
      </c>
      <c r="E177" s="268">
        <v>0</v>
      </c>
      <c r="F177" s="83">
        <f t="shared" si="16"/>
        <v>580</v>
      </c>
      <c r="G177" s="268">
        <v>22</v>
      </c>
      <c r="H177" s="268">
        <v>0</v>
      </c>
      <c r="I177" s="83">
        <f t="shared" si="17"/>
        <v>22</v>
      </c>
      <c r="J177" s="171">
        <f t="shared" si="18"/>
        <v>3.7900000000000003E-2</v>
      </c>
      <c r="K177" s="177">
        <f t="shared" si="13"/>
        <v>0</v>
      </c>
      <c r="L177" s="177">
        <f t="shared" si="14"/>
        <v>0</v>
      </c>
      <c r="M177" s="177">
        <f t="shared" si="15"/>
        <v>0</v>
      </c>
    </row>
    <row r="178" spans="1:13">
      <c r="A178" s="268" t="s">
        <v>238</v>
      </c>
      <c r="B178" s="268" t="s">
        <v>1236</v>
      </c>
      <c r="C178" s="268" t="s">
        <v>1237</v>
      </c>
      <c r="D178" s="268">
        <v>430</v>
      </c>
      <c r="E178" s="268">
        <v>0</v>
      </c>
      <c r="F178" s="83">
        <f t="shared" si="16"/>
        <v>430</v>
      </c>
      <c r="G178" s="268">
        <v>22</v>
      </c>
      <c r="H178" s="268">
        <v>0</v>
      </c>
      <c r="I178" s="83">
        <f t="shared" si="17"/>
        <v>22</v>
      </c>
      <c r="J178" s="171">
        <f t="shared" si="18"/>
        <v>5.1200000000000002E-2</v>
      </c>
      <c r="K178" s="177">
        <f t="shared" si="13"/>
        <v>0</v>
      </c>
      <c r="L178" s="177">
        <f t="shared" si="14"/>
        <v>0</v>
      </c>
      <c r="M178" s="177">
        <f t="shared" si="15"/>
        <v>0</v>
      </c>
    </row>
    <row r="179" spans="1:13">
      <c r="A179" s="268" t="s">
        <v>238</v>
      </c>
      <c r="B179" s="268" t="s">
        <v>1238</v>
      </c>
      <c r="C179" s="268" t="s">
        <v>1239</v>
      </c>
      <c r="D179" s="268">
        <v>950</v>
      </c>
      <c r="E179" s="268">
        <v>0</v>
      </c>
      <c r="F179" s="83">
        <f t="shared" si="16"/>
        <v>950</v>
      </c>
      <c r="G179" s="268">
        <v>134</v>
      </c>
      <c r="H179" s="268">
        <v>0</v>
      </c>
      <c r="I179" s="83">
        <f t="shared" si="17"/>
        <v>134</v>
      </c>
      <c r="J179" s="171">
        <f t="shared" si="18"/>
        <v>0.1411</v>
      </c>
      <c r="K179" s="177">
        <f t="shared" si="13"/>
        <v>0</v>
      </c>
      <c r="L179" s="177">
        <f t="shared" si="14"/>
        <v>0</v>
      </c>
      <c r="M179" s="177">
        <f t="shared" si="15"/>
        <v>0</v>
      </c>
    </row>
    <row r="180" spans="1:13">
      <c r="A180" s="268" t="s">
        <v>238</v>
      </c>
      <c r="B180" s="268" t="s">
        <v>1240</v>
      </c>
      <c r="C180" s="268" t="s">
        <v>1241</v>
      </c>
      <c r="D180" s="268">
        <v>1382</v>
      </c>
      <c r="E180" s="268">
        <v>0</v>
      </c>
      <c r="F180" s="83">
        <f t="shared" si="16"/>
        <v>1382</v>
      </c>
      <c r="G180" s="268">
        <v>40</v>
      </c>
      <c r="H180" s="268">
        <v>0</v>
      </c>
      <c r="I180" s="83">
        <f t="shared" si="17"/>
        <v>40</v>
      </c>
      <c r="J180" s="171">
        <f t="shared" si="18"/>
        <v>2.8899999999999999E-2</v>
      </c>
      <c r="K180" s="177">
        <f t="shared" si="13"/>
        <v>0</v>
      </c>
      <c r="L180" s="177">
        <f t="shared" si="14"/>
        <v>0</v>
      </c>
      <c r="M180" s="177">
        <f t="shared" si="15"/>
        <v>0</v>
      </c>
    </row>
    <row r="181" spans="1:13">
      <c r="A181" s="268" t="s">
        <v>238</v>
      </c>
      <c r="B181" s="268" t="s">
        <v>1242</v>
      </c>
      <c r="C181" s="268" t="s">
        <v>1243</v>
      </c>
      <c r="D181" s="268">
        <v>672</v>
      </c>
      <c r="E181" s="268">
        <v>0</v>
      </c>
      <c r="F181" s="83">
        <f t="shared" si="16"/>
        <v>672</v>
      </c>
      <c r="G181" s="268">
        <v>20</v>
      </c>
      <c r="H181" s="268">
        <v>0</v>
      </c>
      <c r="I181" s="83">
        <f t="shared" si="17"/>
        <v>20</v>
      </c>
      <c r="J181" s="171">
        <f t="shared" si="18"/>
        <v>2.98E-2</v>
      </c>
      <c r="K181" s="177">
        <f t="shared" si="13"/>
        <v>0</v>
      </c>
      <c r="L181" s="177">
        <f t="shared" si="14"/>
        <v>0</v>
      </c>
      <c r="M181" s="177">
        <f t="shared" si="15"/>
        <v>0</v>
      </c>
    </row>
    <row r="182" spans="1:13">
      <c r="A182" s="268" t="s">
        <v>238</v>
      </c>
      <c r="B182" s="268" t="s">
        <v>1244</v>
      </c>
      <c r="C182" s="268" t="s">
        <v>1245</v>
      </c>
      <c r="D182" s="268">
        <v>366</v>
      </c>
      <c r="E182" s="268">
        <v>0</v>
      </c>
      <c r="F182" s="83">
        <f t="shared" si="16"/>
        <v>366</v>
      </c>
      <c r="G182" s="268">
        <v>79</v>
      </c>
      <c r="H182" s="268">
        <v>0</v>
      </c>
      <c r="I182" s="83">
        <f t="shared" si="17"/>
        <v>79</v>
      </c>
      <c r="J182" s="171">
        <f t="shared" si="18"/>
        <v>0.21579999999999999</v>
      </c>
      <c r="K182" s="177">
        <f t="shared" si="13"/>
        <v>0</v>
      </c>
      <c r="L182" s="177">
        <f t="shared" si="14"/>
        <v>0</v>
      </c>
      <c r="M182" s="177">
        <f t="shared" si="15"/>
        <v>0</v>
      </c>
    </row>
    <row r="183" spans="1:13">
      <c r="A183" s="268" t="s">
        <v>238</v>
      </c>
      <c r="B183" s="268" t="s">
        <v>1246</v>
      </c>
      <c r="C183" s="268" t="s">
        <v>1247</v>
      </c>
      <c r="D183" s="268">
        <v>475</v>
      </c>
      <c r="E183" s="268">
        <v>0</v>
      </c>
      <c r="F183" s="83">
        <f t="shared" si="16"/>
        <v>475</v>
      </c>
      <c r="G183" s="268">
        <v>166</v>
      </c>
      <c r="H183" s="268">
        <v>0</v>
      </c>
      <c r="I183" s="83">
        <f t="shared" si="17"/>
        <v>166</v>
      </c>
      <c r="J183" s="171">
        <f t="shared" si="18"/>
        <v>0.34949999999999998</v>
      </c>
      <c r="K183" s="177">
        <f t="shared" si="13"/>
        <v>0</v>
      </c>
      <c r="L183" s="177">
        <f t="shared" si="14"/>
        <v>0</v>
      </c>
      <c r="M183" s="177">
        <f t="shared" si="15"/>
        <v>0</v>
      </c>
    </row>
    <row r="184" spans="1:13">
      <c r="A184" s="268" t="s">
        <v>238</v>
      </c>
      <c r="B184" s="268" t="s">
        <v>1248</v>
      </c>
      <c r="C184" s="268" t="s">
        <v>1249</v>
      </c>
      <c r="D184" s="268">
        <v>547</v>
      </c>
      <c r="E184" s="268">
        <v>0</v>
      </c>
      <c r="F184" s="83">
        <f t="shared" si="16"/>
        <v>547</v>
      </c>
      <c r="G184" s="268">
        <v>7</v>
      </c>
      <c r="H184" s="268">
        <v>0</v>
      </c>
      <c r="I184" s="83">
        <f t="shared" si="17"/>
        <v>7</v>
      </c>
      <c r="J184" s="171">
        <f t="shared" si="18"/>
        <v>1.2800000000000001E-2</v>
      </c>
      <c r="K184" s="177">
        <f t="shared" si="13"/>
        <v>0</v>
      </c>
      <c r="L184" s="177">
        <f t="shared" si="14"/>
        <v>0</v>
      </c>
      <c r="M184" s="177">
        <f t="shared" si="15"/>
        <v>0</v>
      </c>
    </row>
    <row r="185" spans="1:13">
      <c r="A185" s="268" t="s">
        <v>238</v>
      </c>
      <c r="B185" s="268" t="s">
        <v>1250</v>
      </c>
      <c r="C185" s="268" t="s">
        <v>1251</v>
      </c>
      <c r="D185" s="268">
        <v>434</v>
      </c>
      <c r="E185" s="268">
        <v>0</v>
      </c>
      <c r="F185" s="83">
        <f t="shared" si="16"/>
        <v>434</v>
      </c>
      <c r="G185" s="268">
        <v>12</v>
      </c>
      <c r="H185" s="268">
        <v>0</v>
      </c>
      <c r="I185" s="83">
        <f t="shared" si="17"/>
        <v>12</v>
      </c>
      <c r="J185" s="171">
        <f t="shared" si="18"/>
        <v>2.76E-2</v>
      </c>
      <c r="K185" s="177">
        <f t="shared" si="13"/>
        <v>0</v>
      </c>
      <c r="L185" s="177">
        <f t="shared" si="14"/>
        <v>0</v>
      </c>
      <c r="M185" s="177">
        <f t="shared" si="15"/>
        <v>0</v>
      </c>
    </row>
    <row r="186" spans="1:13">
      <c r="A186" s="268" t="s">
        <v>238</v>
      </c>
      <c r="B186" s="268" t="s">
        <v>1252</v>
      </c>
      <c r="C186" s="268" t="s">
        <v>1253</v>
      </c>
      <c r="D186" s="268">
        <v>420</v>
      </c>
      <c r="E186" s="268">
        <v>0</v>
      </c>
      <c r="F186" s="83">
        <f t="shared" si="16"/>
        <v>420</v>
      </c>
      <c r="G186" s="268">
        <v>13</v>
      </c>
      <c r="H186" s="268">
        <v>0</v>
      </c>
      <c r="I186" s="83">
        <f t="shared" si="17"/>
        <v>13</v>
      </c>
      <c r="J186" s="171">
        <f t="shared" si="18"/>
        <v>3.1E-2</v>
      </c>
      <c r="K186" s="177">
        <f t="shared" si="13"/>
        <v>0</v>
      </c>
      <c r="L186" s="177">
        <f t="shared" si="14"/>
        <v>0</v>
      </c>
      <c r="M186" s="177">
        <f t="shared" si="15"/>
        <v>0</v>
      </c>
    </row>
    <row r="187" spans="1:13">
      <c r="A187" s="268" t="s">
        <v>238</v>
      </c>
      <c r="B187" s="268" t="s">
        <v>1254</v>
      </c>
      <c r="C187" s="268" t="s">
        <v>1255</v>
      </c>
      <c r="D187" s="268">
        <v>661</v>
      </c>
      <c r="E187" s="268">
        <v>0</v>
      </c>
      <c r="F187" s="83">
        <f t="shared" si="16"/>
        <v>661</v>
      </c>
      <c r="G187" s="268">
        <v>33</v>
      </c>
      <c r="H187" s="268">
        <v>0</v>
      </c>
      <c r="I187" s="83">
        <f t="shared" si="17"/>
        <v>33</v>
      </c>
      <c r="J187" s="171">
        <f t="shared" si="18"/>
        <v>4.99E-2</v>
      </c>
      <c r="K187" s="177">
        <f t="shared" si="13"/>
        <v>0</v>
      </c>
      <c r="L187" s="177">
        <f t="shared" si="14"/>
        <v>0</v>
      </c>
      <c r="M187" s="177">
        <f t="shared" si="15"/>
        <v>0</v>
      </c>
    </row>
    <row r="188" spans="1:13">
      <c r="A188" s="268" t="s">
        <v>238</v>
      </c>
      <c r="B188" s="268" t="s">
        <v>1256</v>
      </c>
      <c r="C188" s="268" t="s">
        <v>1257</v>
      </c>
      <c r="D188" s="268">
        <v>424</v>
      </c>
      <c r="E188" s="268">
        <v>0</v>
      </c>
      <c r="F188" s="83">
        <f t="shared" si="16"/>
        <v>424</v>
      </c>
      <c r="G188" s="268">
        <v>32</v>
      </c>
      <c r="H188" s="268">
        <v>0</v>
      </c>
      <c r="I188" s="83">
        <f t="shared" si="17"/>
        <v>32</v>
      </c>
      <c r="J188" s="171">
        <f t="shared" si="18"/>
        <v>7.5499999999999998E-2</v>
      </c>
      <c r="K188" s="177">
        <f t="shared" si="13"/>
        <v>0</v>
      </c>
      <c r="L188" s="177">
        <f t="shared" si="14"/>
        <v>0</v>
      </c>
      <c r="M188" s="177">
        <f t="shared" si="15"/>
        <v>0</v>
      </c>
    </row>
    <row r="189" spans="1:13">
      <c r="A189" s="268" t="s">
        <v>239</v>
      </c>
      <c r="B189" s="268" t="s">
        <v>1258</v>
      </c>
      <c r="C189" s="268" t="s">
        <v>1259</v>
      </c>
      <c r="D189" s="268">
        <v>1938</v>
      </c>
      <c r="E189" s="268">
        <v>0</v>
      </c>
      <c r="F189" s="83">
        <f t="shared" si="16"/>
        <v>1938</v>
      </c>
      <c r="G189" s="268">
        <v>170</v>
      </c>
      <c r="H189" s="268">
        <v>0</v>
      </c>
      <c r="I189" s="83">
        <f t="shared" si="17"/>
        <v>170</v>
      </c>
      <c r="J189" s="171">
        <f t="shared" si="18"/>
        <v>8.77E-2</v>
      </c>
      <c r="K189" s="177">
        <f t="shared" si="13"/>
        <v>0</v>
      </c>
      <c r="L189" s="177">
        <f t="shared" si="14"/>
        <v>0</v>
      </c>
      <c r="M189" s="177">
        <f t="shared" si="15"/>
        <v>0</v>
      </c>
    </row>
    <row r="190" spans="1:13">
      <c r="A190" s="268" t="s">
        <v>239</v>
      </c>
      <c r="B190" s="268" t="s">
        <v>1260</v>
      </c>
      <c r="C190" s="268" t="s">
        <v>1261</v>
      </c>
      <c r="D190" s="268">
        <v>413</v>
      </c>
      <c r="E190" s="268">
        <v>0</v>
      </c>
      <c r="F190" s="83">
        <f t="shared" si="16"/>
        <v>413</v>
      </c>
      <c r="G190" s="268">
        <v>18</v>
      </c>
      <c r="H190" s="268">
        <v>0</v>
      </c>
      <c r="I190" s="83">
        <f t="shared" si="17"/>
        <v>18</v>
      </c>
      <c r="J190" s="171">
        <f t="shared" si="18"/>
        <v>4.36E-2</v>
      </c>
      <c r="K190" s="177">
        <f t="shared" si="13"/>
        <v>0</v>
      </c>
      <c r="L190" s="177">
        <f t="shared" si="14"/>
        <v>0</v>
      </c>
      <c r="M190" s="177">
        <f t="shared" si="15"/>
        <v>0</v>
      </c>
    </row>
    <row r="191" spans="1:13">
      <c r="A191" s="268" t="s">
        <v>239</v>
      </c>
      <c r="B191" s="268" t="s">
        <v>1262</v>
      </c>
      <c r="C191" s="268" t="s">
        <v>1263</v>
      </c>
      <c r="D191" s="268">
        <v>797</v>
      </c>
      <c r="E191" s="268">
        <v>0</v>
      </c>
      <c r="F191" s="83">
        <f t="shared" si="16"/>
        <v>797</v>
      </c>
      <c r="G191" s="268">
        <v>90</v>
      </c>
      <c r="H191" s="268">
        <v>0</v>
      </c>
      <c r="I191" s="83">
        <f t="shared" si="17"/>
        <v>90</v>
      </c>
      <c r="J191" s="171">
        <f t="shared" si="18"/>
        <v>0.1129</v>
      </c>
      <c r="K191" s="177">
        <f t="shared" si="13"/>
        <v>0</v>
      </c>
      <c r="L191" s="177">
        <f t="shared" si="14"/>
        <v>0</v>
      </c>
      <c r="M191" s="177">
        <f t="shared" si="15"/>
        <v>0</v>
      </c>
    </row>
    <row r="192" spans="1:13">
      <c r="A192" s="268" t="s">
        <v>239</v>
      </c>
      <c r="B192" s="268" t="s">
        <v>1264</v>
      </c>
      <c r="C192" s="268" t="s">
        <v>1265</v>
      </c>
      <c r="D192" s="268">
        <v>319</v>
      </c>
      <c r="E192" s="268">
        <v>0</v>
      </c>
      <c r="F192" s="83">
        <f t="shared" si="16"/>
        <v>319</v>
      </c>
      <c r="G192" s="268">
        <v>16</v>
      </c>
      <c r="H192" s="268">
        <v>0</v>
      </c>
      <c r="I192" s="83">
        <f t="shared" si="17"/>
        <v>16</v>
      </c>
      <c r="J192" s="171">
        <f t="shared" si="18"/>
        <v>5.0200000000000002E-2</v>
      </c>
      <c r="K192" s="177">
        <f t="shared" si="13"/>
        <v>0</v>
      </c>
      <c r="L192" s="177">
        <f t="shared" si="14"/>
        <v>0</v>
      </c>
      <c r="M192" s="177">
        <f t="shared" si="15"/>
        <v>0</v>
      </c>
    </row>
    <row r="193" spans="1:13">
      <c r="A193" s="268" t="s">
        <v>239</v>
      </c>
      <c r="B193" s="268" t="s">
        <v>1266</v>
      </c>
      <c r="C193" s="268" t="s">
        <v>1267</v>
      </c>
      <c r="D193" s="268">
        <v>267</v>
      </c>
      <c r="E193" s="268">
        <v>0</v>
      </c>
      <c r="F193" s="83">
        <f t="shared" si="16"/>
        <v>267</v>
      </c>
      <c r="G193" s="268">
        <v>157</v>
      </c>
      <c r="H193" s="268">
        <v>0</v>
      </c>
      <c r="I193" s="83">
        <f t="shared" si="17"/>
        <v>157</v>
      </c>
      <c r="J193" s="171">
        <f t="shared" si="18"/>
        <v>0.58799999999999997</v>
      </c>
      <c r="K193" s="177">
        <f t="shared" si="13"/>
        <v>0</v>
      </c>
      <c r="L193" s="177">
        <f t="shared" si="14"/>
        <v>16.5</v>
      </c>
      <c r="M193" s="177">
        <f t="shared" si="15"/>
        <v>16.5</v>
      </c>
    </row>
    <row r="194" spans="1:13">
      <c r="A194" s="268" t="s">
        <v>239</v>
      </c>
      <c r="B194" s="268" t="s">
        <v>1268</v>
      </c>
      <c r="C194" s="268" t="s">
        <v>1269</v>
      </c>
      <c r="D194" s="268">
        <v>391</v>
      </c>
      <c r="E194" s="268">
        <v>0</v>
      </c>
      <c r="F194" s="83">
        <f t="shared" si="16"/>
        <v>391</v>
      </c>
      <c r="G194" s="268">
        <v>156</v>
      </c>
      <c r="H194" s="268">
        <v>0</v>
      </c>
      <c r="I194" s="83">
        <f t="shared" si="17"/>
        <v>156</v>
      </c>
      <c r="J194" s="171">
        <f t="shared" si="18"/>
        <v>0.39900000000000002</v>
      </c>
      <c r="K194" s="177">
        <f t="shared" si="13"/>
        <v>5.4</v>
      </c>
      <c r="L194" s="177">
        <f t="shared" si="14"/>
        <v>0</v>
      </c>
      <c r="M194" s="177">
        <f t="shared" si="15"/>
        <v>5.4</v>
      </c>
    </row>
    <row r="195" spans="1:13">
      <c r="A195" s="268" t="s">
        <v>239</v>
      </c>
      <c r="B195" s="268" t="s">
        <v>1270</v>
      </c>
      <c r="C195" s="268" t="s">
        <v>1271</v>
      </c>
      <c r="D195" s="268">
        <v>299</v>
      </c>
      <c r="E195" s="268">
        <v>0</v>
      </c>
      <c r="F195" s="83">
        <f t="shared" si="16"/>
        <v>299</v>
      </c>
      <c r="G195" s="268">
        <v>145</v>
      </c>
      <c r="H195" s="268">
        <v>0</v>
      </c>
      <c r="I195" s="83">
        <f t="shared" si="17"/>
        <v>145</v>
      </c>
      <c r="J195" s="171">
        <f t="shared" si="18"/>
        <v>0.4849</v>
      </c>
      <c r="K195" s="177">
        <f t="shared" si="13"/>
        <v>13.7</v>
      </c>
      <c r="L195" s="177">
        <f t="shared" si="14"/>
        <v>0</v>
      </c>
      <c r="M195" s="177">
        <f t="shared" si="15"/>
        <v>13.7</v>
      </c>
    </row>
    <row r="196" spans="1:13">
      <c r="A196" s="268" t="s">
        <v>239</v>
      </c>
      <c r="B196" s="268" t="s">
        <v>1272</v>
      </c>
      <c r="C196" s="268" t="s">
        <v>1273</v>
      </c>
      <c r="D196" s="268">
        <v>380</v>
      </c>
      <c r="E196" s="268">
        <v>0</v>
      </c>
      <c r="F196" s="83">
        <f t="shared" si="16"/>
        <v>380</v>
      </c>
      <c r="G196" s="268">
        <v>66</v>
      </c>
      <c r="H196" s="268">
        <v>0</v>
      </c>
      <c r="I196" s="83">
        <f t="shared" si="17"/>
        <v>66</v>
      </c>
      <c r="J196" s="171">
        <f t="shared" si="18"/>
        <v>0.17369999999999999</v>
      </c>
      <c r="K196" s="177">
        <f t="shared" si="13"/>
        <v>0</v>
      </c>
      <c r="L196" s="177">
        <f t="shared" si="14"/>
        <v>0</v>
      </c>
      <c r="M196" s="177">
        <f t="shared" si="15"/>
        <v>0</v>
      </c>
    </row>
    <row r="197" spans="1:13">
      <c r="A197" s="268" t="s">
        <v>239</v>
      </c>
      <c r="B197" s="268" t="s">
        <v>1274</v>
      </c>
      <c r="C197" s="268" t="s">
        <v>1275</v>
      </c>
      <c r="D197" s="268">
        <v>229</v>
      </c>
      <c r="E197" s="268">
        <v>0</v>
      </c>
      <c r="F197" s="83">
        <f t="shared" si="16"/>
        <v>229</v>
      </c>
      <c r="G197" s="268">
        <v>141</v>
      </c>
      <c r="H197" s="268">
        <v>0</v>
      </c>
      <c r="I197" s="83">
        <f t="shared" si="17"/>
        <v>141</v>
      </c>
      <c r="J197" s="171">
        <f t="shared" si="18"/>
        <v>0.61570000000000003</v>
      </c>
      <c r="K197" s="177">
        <f t="shared" ref="K197:K260" si="19">IF(AND((J197-35%)&gt;0,J197&lt;50%),I197*(J197-35%)*0.7,0)</f>
        <v>0</v>
      </c>
      <c r="L197" s="177">
        <f t="shared" ref="L197:L260" si="20">IF(J197&gt;=50%,I197*10.5%,0)</f>
        <v>14.8</v>
      </c>
      <c r="M197" s="177">
        <f t="shared" ref="M197:M260" si="21">MAX(K197,L197)</f>
        <v>14.8</v>
      </c>
    </row>
    <row r="198" spans="1:13">
      <c r="A198" s="268" t="s">
        <v>239</v>
      </c>
      <c r="B198" s="268" t="s">
        <v>1276</v>
      </c>
      <c r="C198" s="268" t="s">
        <v>1277</v>
      </c>
      <c r="D198" s="268">
        <v>358</v>
      </c>
      <c r="E198" s="268">
        <v>0</v>
      </c>
      <c r="F198" s="83">
        <f t="shared" ref="F198:F261" si="22">SUM(D198+E198)</f>
        <v>358</v>
      </c>
      <c r="G198" s="268">
        <v>71</v>
      </c>
      <c r="H198" s="268">
        <v>0</v>
      </c>
      <c r="I198" s="83">
        <f t="shared" ref="I198:I261" si="23">SUM(G198+H198)</f>
        <v>71</v>
      </c>
      <c r="J198" s="171">
        <f t="shared" ref="J198:J261" si="24">IF(ISERROR(I198/F198),0,I198/F198)</f>
        <v>0.1983</v>
      </c>
      <c r="K198" s="177">
        <f t="shared" si="19"/>
        <v>0</v>
      </c>
      <c r="L198" s="177">
        <f t="shared" si="20"/>
        <v>0</v>
      </c>
      <c r="M198" s="177">
        <f t="shared" si="21"/>
        <v>0</v>
      </c>
    </row>
    <row r="199" spans="1:13">
      <c r="A199" s="268" t="s">
        <v>239</v>
      </c>
      <c r="B199" s="268" t="s">
        <v>1278</v>
      </c>
      <c r="C199" s="268" t="s">
        <v>1279</v>
      </c>
      <c r="D199" s="268">
        <v>364</v>
      </c>
      <c r="E199" s="268">
        <v>0</v>
      </c>
      <c r="F199" s="83">
        <f t="shared" si="22"/>
        <v>364</v>
      </c>
      <c r="G199" s="268">
        <v>44</v>
      </c>
      <c r="H199" s="268">
        <v>0</v>
      </c>
      <c r="I199" s="83">
        <f t="shared" si="23"/>
        <v>44</v>
      </c>
      <c r="J199" s="171">
        <f t="shared" si="24"/>
        <v>0.12089999999999999</v>
      </c>
      <c r="K199" s="177">
        <f t="shared" si="19"/>
        <v>0</v>
      </c>
      <c r="L199" s="177">
        <f t="shared" si="20"/>
        <v>0</v>
      </c>
      <c r="M199" s="177">
        <f t="shared" si="21"/>
        <v>0</v>
      </c>
    </row>
    <row r="200" spans="1:13">
      <c r="A200" s="268" t="s">
        <v>239</v>
      </c>
      <c r="B200" s="268" t="s">
        <v>1280</v>
      </c>
      <c r="C200" s="268" t="s">
        <v>1281</v>
      </c>
      <c r="D200" s="268">
        <v>683</v>
      </c>
      <c r="E200" s="268">
        <v>0</v>
      </c>
      <c r="F200" s="83">
        <f t="shared" si="22"/>
        <v>683</v>
      </c>
      <c r="G200" s="268">
        <v>255</v>
      </c>
      <c r="H200" s="268">
        <v>0</v>
      </c>
      <c r="I200" s="83">
        <f t="shared" si="23"/>
        <v>255</v>
      </c>
      <c r="J200" s="171">
        <f t="shared" si="24"/>
        <v>0.37340000000000001</v>
      </c>
      <c r="K200" s="177">
        <f t="shared" si="19"/>
        <v>4.2</v>
      </c>
      <c r="L200" s="177">
        <f t="shared" si="20"/>
        <v>0</v>
      </c>
      <c r="M200" s="177">
        <f t="shared" si="21"/>
        <v>4.2</v>
      </c>
    </row>
    <row r="201" spans="1:13">
      <c r="A201" s="268" t="s">
        <v>239</v>
      </c>
      <c r="B201" s="268" t="s">
        <v>1282</v>
      </c>
      <c r="C201" s="268" t="s">
        <v>1283</v>
      </c>
      <c r="D201" s="268">
        <v>442</v>
      </c>
      <c r="E201" s="268">
        <v>0</v>
      </c>
      <c r="F201" s="83">
        <f t="shared" si="22"/>
        <v>442</v>
      </c>
      <c r="G201" s="268">
        <v>302</v>
      </c>
      <c r="H201" s="268">
        <v>0</v>
      </c>
      <c r="I201" s="83">
        <f t="shared" si="23"/>
        <v>302</v>
      </c>
      <c r="J201" s="171">
        <f t="shared" si="24"/>
        <v>0.68330000000000002</v>
      </c>
      <c r="K201" s="177">
        <f t="shared" si="19"/>
        <v>0</v>
      </c>
      <c r="L201" s="177">
        <f t="shared" si="20"/>
        <v>31.7</v>
      </c>
      <c r="M201" s="177">
        <f t="shared" si="21"/>
        <v>31.7</v>
      </c>
    </row>
    <row r="202" spans="1:13">
      <c r="A202" s="268" t="s">
        <v>239</v>
      </c>
      <c r="B202" s="268" t="s">
        <v>1284</v>
      </c>
      <c r="C202" s="268" t="s">
        <v>1285</v>
      </c>
      <c r="D202" s="268">
        <v>364</v>
      </c>
      <c r="E202" s="268">
        <v>0</v>
      </c>
      <c r="F202" s="83">
        <f t="shared" si="22"/>
        <v>364</v>
      </c>
      <c r="G202" s="268">
        <v>139</v>
      </c>
      <c r="H202" s="268">
        <v>0</v>
      </c>
      <c r="I202" s="83">
        <f t="shared" si="23"/>
        <v>139</v>
      </c>
      <c r="J202" s="171">
        <f t="shared" si="24"/>
        <v>0.38190000000000002</v>
      </c>
      <c r="K202" s="177">
        <f t="shared" si="19"/>
        <v>3.1</v>
      </c>
      <c r="L202" s="177">
        <f t="shared" si="20"/>
        <v>0</v>
      </c>
      <c r="M202" s="177">
        <f t="shared" si="21"/>
        <v>3.1</v>
      </c>
    </row>
    <row r="203" spans="1:13">
      <c r="A203" s="268" t="s">
        <v>239</v>
      </c>
      <c r="B203" s="268" t="s">
        <v>1286</v>
      </c>
      <c r="C203" s="268" t="s">
        <v>1287</v>
      </c>
      <c r="D203" s="268">
        <v>176</v>
      </c>
      <c r="E203" s="268">
        <v>0</v>
      </c>
      <c r="F203" s="83">
        <f t="shared" si="22"/>
        <v>176</v>
      </c>
      <c r="G203" s="268">
        <v>107</v>
      </c>
      <c r="H203" s="268">
        <v>0</v>
      </c>
      <c r="I203" s="83">
        <f t="shared" si="23"/>
        <v>107</v>
      </c>
      <c r="J203" s="171">
        <f t="shared" si="24"/>
        <v>0.60799999999999998</v>
      </c>
      <c r="K203" s="177">
        <f t="shared" si="19"/>
        <v>0</v>
      </c>
      <c r="L203" s="177">
        <f t="shared" si="20"/>
        <v>11.2</v>
      </c>
      <c r="M203" s="177">
        <f t="shared" si="21"/>
        <v>11.2</v>
      </c>
    </row>
    <row r="204" spans="1:13">
      <c r="A204" s="268" t="s">
        <v>239</v>
      </c>
      <c r="B204" s="268" t="s">
        <v>1288</v>
      </c>
      <c r="C204" s="268" t="s">
        <v>1289</v>
      </c>
      <c r="D204" s="268">
        <v>713</v>
      </c>
      <c r="E204" s="268">
        <v>0</v>
      </c>
      <c r="F204" s="83">
        <f t="shared" si="22"/>
        <v>713</v>
      </c>
      <c r="G204" s="268">
        <v>293</v>
      </c>
      <c r="H204" s="268">
        <v>0</v>
      </c>
      <c r="I204" s="83">
        <f t="shared" si="23"/>
        <v>293</v>
      </c>
      <c r="J204" s="171">
        <f t="shared" si="24"/>
        <v>0.41089999999999999</v>
      </c>
      <c r="K204" s="177">
        <f t="shared" si="19"/>
        <v>12.5</v>
      </c>
      <c r="L204" s="177">
        <f t="shared" si="20"/>
        <v>0</v>
      </c>
      <c r="M204" s="177">
        <f t="shared" si="21"/>
        <v>12.5</v>
      </c>
    </row>
    <row r="205" spans="1:13">
      <c r="A205" s="268" t="s">
        <v>239</v>
      </c>
      <c r="B205" s="268" t="s">
        <v>1290</v>
      </c>
      <c r="C205" s="268" t="s">
        <v>1291</v>
      </c>
      <c r="D205" s="268">
        <v>673</v>
      </c>
      <c r="E205" s="268">
        <v>0</v>
      </c>
      <c r="F205" s="83">
        <f t="shared" si="22"/>
        <v>673</v>
      </c>
      <c r="G205" s="268">
        <v>261</v>
      </c>
      <c r="H205" s="268">
        <v>0</v>
      </c>
      <c r="I205" s="83">
        <f t="shared" si="23"/>
        <v>261</v>
      </c>
      <c r="J205" s="171">
        <f t="shared" si="24"/>
        <v>0.38779999999999998</v>
      </c>
      <c r="K205" s="177">
        <f t="shared" si="19"/>
        <v>6.9</v>
      </c>
      <c r="L205" s="177">
        <f t="shared" si="20"/>
        <v>0</v>
      </c>
      <c r="M205" s="177">
        <f t="shared" si="21"/>
        <v>6.9</v>
      </c>
    </row>
    <row r="206" spans="1:13">
      <c r="A206" s="268" t="s">
        <v>239</v>
      </c>
      <c r="B206" s="268" t="s">
        <v>1292</v>
      </c>
      <c r="C206" s="268" t="s">
        <v>1293</v>
      </c>
      <c r="D206" s="268">
        <v>651</v>
      </c>
      <c r="E206" s="268">
        <v>0</v>
      </c>
      <c r="F206" s="83">
        <f t="shared" si="22"/>
        <v>651</v>
      </c>
      <c r="G206" s="268">
        <v>226</v>
      </c>
      <c r="H206" s="268">
        <v>0</v>
      </c>
      <c r="I206" s="83">
        <f t="shared" si="23"/>
        <v>226</v>
      </c>
      <c r="J206" s="171">
        <f t="shared" si="24"/>
        <v>0.34720000000000001</v>
      </c>
      <c r="K206" s="177">
        <f t="shared" si="19"/>
        <v>0</v>
      </c>
      <c r="L206" s="177">
        <f t="shared" si="20"/>
        <v>0</v>
      </c>
      <c r="M206" s="177">
        <f t="shared" si="21"/>
        <v>0</v>
      </c>
    </row>
    <row r="207" spans="1:13">
      <c r="A207" s="268" t="s">
        <v>239</v>
      </c>
      <c r="B207" s="268" t="s">
        <v>1294</v>
      </c>
      <c r="C207" s="268" t="s">
        <v>1295</v>
      </c>
      <c r="D207" s="268">
        <v>2124</v>
      </c>
      <c r="E207" s="268">
        <v>0</v>
      </c>
      <c r="F207" s="83">
        <f t="shared" si="22"/>
        <v>2124</v>
      </c>
      <c r="G207" s="268">
        <v>626</v>
      </c>
      <c r="H207" s="268">
        <v>0</v>
      </c>
      <c r="I207" s="83">
        <f t="shared" si="23"/>
        <v>626</v>
      </c>
      <c r="J207" s="171">
        <f t="shared" si="24"/>
        <v>0.29470000000000002</v>
      </c>
      <c r="K207" s="177">
        <f t="shared" si="19"/>
        <v>0</v>
      </c>
      <c r="L207" s="177">
        <f t="shared" si="20"/>
        <v>0</v>
      </c>
      <c r="M207" s="177">
        <f t="shared" si="21"/>
        <v>0</v>
      </c>
    </row>
    <row r="208" spans="1:13">
      <c r="A208" s="268" t="s">
        <v>239</v>
      </c>
      <c r="B208" s="268" t="s">
        <v>1296</v>
      </c>
      <c r="C208" s="268" t="s">
        <v>1297</v>
      </c>
      <c r="D208" s="268">
        <v>2040</v>
      </c>
      <c r="E208" s="268">
        <v>0</v>
      </c>
      <c r="F208" s="83">
        <f t="shared" si="22"/>
        <v>2040</v>
      </c>
      <c r="G208" s="268">
        <v>256</v>
      </c>
      <c r="H208" s="268">
        <v>0</v>
      </c>
      <c r="I208" s="83">
        <f t="shared" si="23"/>
        <v>256</v>
      </c>
      <c r="J208" s="171">
        <f t="shared" si="24"/>
        <v>0.1255</v>
      </c>
      <c r="K208" s="177">
        <f t="shared" si="19"/>
        <v>0</v>
      </c>
      <c r="L208" s="177">
        <f t="shared" si="20"/>
        <v>0</v>
      </c>
      <c r="M208" s="177">
        <f t="shared" si="21"/>
        <v>0</v>
      </c>
    </row>
    <row r="209" spans="1:13">
      <c r="A209" s="268" t="s">
        <v>239</v>
      </c>
      <c r="B209" s="268" t="s">
        <v>1298</v>
      </c>
      <c r="C209" s="268" t="s">
        <v>1299</v>
      </c>
      <c r="D209" s="268">
        <v>422</v>
      </c>
      <c r="E209" s="268">
        <v>0</v>
      </c>
      <c r="F209" s="83">
        <f t="shared" si="22"/>
        <v>422</v>
      </c>
      <c r="G209" s="268">
        <v>13</v>
      </c>
      <c r="H209" s="268">
        <v>0</v>
      </c>
      <c r="I209" s="83">
        <f t="shared" si="23"/>
        <v>13</v>
      </c>
      <c r="J209" s="171">
        <f t="shared" si="24"/>
        <v>3.0800000000000001E-2</v>
      </c>
      <c r="K209" s="177">
        <f t="shared" si="19"/>
        <v>0</v>
      </c>
      <c r="L209" s="177">
        <f t="shared" si="20"/>
        <v>0</v>
      </c>
      <c r="M209" s="177">
        <f t="shared" si="21"/>
        <v>0</v>
      </c>
    </row>
    <row r="210" spans="1:13">
      <c r="A210" s="268" t="s">
        <v>239</v>
      </c>
      <c r="B210" s="268" t="s">
        <v>1300</v>
      </c>
      <c r="C210" s="268" t="s">
        <v>1301</v>
      </c>
      <c r="D210" s="268">
        <v>456</v>
      </c>
      <c r="E210" s="268">
        <v>0</v>
      </c>
      <c r="F210" s="83">
        <f t="shared" si="22"/>
        <v>456</v>
      </c>
      <c r="G210" s="268">
        <v>239</v>
      </c>
      <c r="H210" s="268">
        <v>0</v>
      </c>
      <c r="I210" s="83">
        <f t="shared" si="23"/>
        <v>239</v>
      </c>
      <c r="J210" s="171">
        <f t="shared" si="24"/>
        <v>0.52410000000000001</v>
      </c>
      <c r="K210" s="177">
        <f t="shared" si="19"/>
        <v>0</v>
      </c>
      <c r="L210" s="177">
        <f t="shared" si="20"/>
        <v>25.1</v>
      </c>
      <c r="M210" s="177">
        <f t="shared" si="21"/>
        <v>25.1</v>
      </c>
    </row>
    <row r="211" spans="1:13">
      <c r="A211" s="268" t="s">
        <v>239</v>
      </c>
      <c r="B211" s="268" t="s">
        <v>1302</v>
      </c>
      <c r="C211" s="268" t="s">
        <v>1303</v>
      </c>
      <c r="D211" s="268">
        <v>242</v>
      </c>
      <c r="E211" s="268">
        <v>0</v>
      </c>
      <c r="F211" s="83">
        <f t="shared" si="22"/>
        <v>242</v>
      </c>
      <c r="G211" s="268">
        <v>109</v>
      </c>
      <c r="H211" s="268">
        <v>0</v>
      </c>
      <c r="I211" s="83">
        <f t="shared" si="23"/>
        <v>109</v>
      </c>
      <c r="J211" s="171">
        <f t="shared" si="24"/>
        <v>0.45040000000000002</v>
      </c>
      <c r="K211" s="177">
        <f t="shared" si="19"/>
        <v>7.7</v>
      </c>
      <c r="L211" s="177">
        <f t="shared" si="20"/>
        <v>0</v>
      </c>
      <c r="M211" s="177">
        <f t="shared" si="21"/>
        <v>7.7</v>
      </c>
    </row>
    <row r="212" spans="1:13">
      <c r="A212" s="268" t="s">
        <v>239</v>
      </c>
      <c r="B212" s="268" t="s">
        <v>1304</v>
      </c>
      <c r="C212" s="268" t="s">
        <v>1305</v>
      </c>
      <c r="D212" s="268">
        <v>312</v>
      </c>
      <c r="E212" s="268">
        <v>0</v>
      </c>
      <c r="F212" s="83">
        <f t="shared" si="22"/>
        <v>312</v>
      </c>
      <c r="G212" s="268">
        <v>127</v>
      </c>
      <c r="H212" s="268">
        <v>0</v>
      </c>
      <c r="I212" s="83">
        <f t="shared" si="23"/>
        <v>127</v>
      </c>
      <c r="J212" s="171">
        <f t="shared" si="24"/>
        <v>0.40710000000000002</v>
      </c>
      <c r="K212" s="177">
        <f t="shared" si="19"/>
        <v>5.0999999999999996</v>
      </c>
      <c r="L212" s="177">
        <f t="shared" si="20"/>
        <v>0</v>
      </c>
      <c r="M212" s="177">
        <f t="shared" si="21"/>
        <v>5.0999999999999996</v>
      </c>
    </row>
    <row r="213" spans="1:13">
      <c r="A213" s="268" t="s">
        <v>239</v>
      </c>
      <c r="B213" s="268" t="s">
        <v>1306</v>
      </c>
      <c r="C213" s="268" t="s">
        <v>1307</v>
      </c>
      <c r="D213" s="268">
        <v>329</v>
      </c>
      <c r="E213" s="268">
        <v>0</v>
      </c>
      <c r="F213" s="83">
        <f t="shared" si="22"/>
        <v>329</v>
      </c>
      <c r="G213" s="268">
        <v>60</v>
      </c>
      <c r="H213" s="268">
        <v>0</v>
      </c>
      <c r="I213" s="83">
        <f t="shared" si="23"/>
        <v>60</v>
      </c>
      <c r="J213" s="171">
        <f t="shared" si="24"/>
        <v>0.18240000000000001</v>
      </c>
      <c r="K213" s="177">
        <f t="shared" si="19"/>
        <v>0</v>
      </c>
      <c r="L213" s="177">
        <f t="shared" si="20"/>
        <v>0</v>
      </c>
      <c r="M213" s="177">
        <f t="shared" si="21"/>
        <v>0</v>
      </c>
    </row>
    <row r="214" spans="1:13">
      <c r="A214" s="268" t="s">
        <v>239</v>
      </c>
      <c r="B214" s="268" t="s">
        <v>1308</v>
      </c>
      <c r="C214" s="268" t="s">
        <v>1309</v>
      </c>
      <c r="D214" s="268">
        <v>353</v>
      </c>
      <c r="E214" s="268">
        <v>0</v>
      </c>
      <c r="F214" s="83">
        <f t="shared" si="22"/>
        <v>353</v>
      </c>
      <c r="G214" s="268">
        <v>74</v>
      </c>
      <c r="H214" s="268">
        <v>0</v>
      </c>
      <c r="I214" s="83">
        <f t="shared" si="23"/>
        <v>74</v>
      </c>
      <c r="J214" s="171">
        <f t="shared" si="24"/>
        <v>0.20960000000000001</v>
      </c>
      <c r="K214" s="177">
        <f t="shared" si="19"/>
        <v>0</v>
      </c>
      <c r="L214" s="177">
        <f t="shared" si="20"/>
        <v>0</v>
      </c>
      <c r="M214" s="177">
        <f t="shared" si="21"/>
        <v>0</v>
      </c>
    </row>
    <row r="215" spans="1:13">
      <c r="A215" s="268" t="s">
        <v>239</v>
      </c>
      <c r="B215" s="268" t="s">
        <v>1310</v>
      </c>
      <c r="C215" s="268" t="s">
        <v>1311</v>
      </c>
      <c r="D215" s="268">
        <v>283</v>
      </c>
      <c r="E215" s="268">
        <v>0</v>
      </c>
      <c r="F215" s="83">
        <f t="shared" si="22"/>
        <v>283</v>
      </c>
      <c r="G215" s="268">
        <v>44</v>
      </c>
      <c r="H215" s="268">
        <v>0</v>
      </c>
      <c r="I215" s="83">
        <f t="shared" si="23"/>
        <v>44</v>
      </c>
      <c r="J215" s="171">
        <f t="shared" si="24"/>
        <v>0.1555</v>
      </c>
      <c r="K215" s="177">
        <f t="shared" si="19"/>
        <v>0</v>
      </c>
      <c r="L215" s="177">
        <f t="shared" si="20"/>
        <v>0</v>
      </c>
      <c r="M215" s="177">
        <f t="shared" si="21"/>
        <v>0</v>
      </c>
    </row>
    <row r="216" spans="1:13">
      <c r="A216" s="268" t="s">
        <v>239</v>
      </c>
      <c r="B216" s="268" t="s">
        <v>1312</v>
      </c>
      <c r="C216" s="268" t="s">
        <v>1313</v>
      </c>
      <c r="D216" s="268">
        <v>292</v>
      </c>
      <c r="E216" s="268">
        <v>0</v>
      </c>
      <c r="F216" s="83">
        <f t="shared" si="22"/>
        <v>292</v>
      </c>
      <c r="G216" s="268">
        <v>77</v>
      </c>
      <c r="H216" s="268">
        <v>0</v>
      </c>
      <c r="I216" s="83">
        <f t="shared" si="23"/>
        <v>77</v>
      </c>
      <c r="J216" s="171">
        <f t="shared" si="24"/>
        <v>0.26369999999999999</v>
      </c>
      <c r="K216" s="177">
        <f t="shared" si="19"/>
        <v>0</v>
      </c>
      <c r="L216" s="177">
        <f t="shared" si="20"/>
        <v>0</v>
      </c>
      <c r="M216" s="177">
        <f t="shared" si="21"/>
        <v>0</v>
      </c>
    </row>
    <row r="217" spans="1:13">
      <c r="A217" s="268" t="s">
        <v>239</v>
      </c>
      <c r="B217" s="268" t="s">
        <v>1314</v>
      </c>
      <c r="C217" s="268" t="s">
        <v>1315</v>
      </c>
      <c r="D217" s="268">
        <v>1904</v>
      </c>
      <c r="E217" s="268">
        <v>0</v>
      </c>
      <c r="F217" s="83">
        <f t="shared" si="22"/>
        <v>1904</v>
      </c>
      <c r="G217" s="268">
        <v>329</v>
      </c>
      <c r="H217" s="268">
        <v>0</v>
      </c>
      <c r="I217" s="83">
        <f t="shared" si="23"/>
        <v>329</v>
      </c>
      <c r="J217" s="171">
        <f t="shared" si="24"/>
        <v>0.17280000000000001</v>
      </c>
      <c r="K217" s="177">
        <f t="shared" si="19"/>
        <v>0</v>
      </c>
      <c r="L217" s="177">
        <f t="shared" si="20"/>
        <v>0</v>
      </c>
      <c r="M217" s="177">
        <f t="shared" si="21"/>
        <v>0</v>
      </c>
    </row>
    <row r="218" spans="1:13">
      <c r="A218" s="268" t="s">
        <v>239</v>
      </c>
      <c r="B218" s="268" t="s">
        <v>1316</v>
      </c>
      <c r="C218" s="268" t="s">
        <v>1317</v>
      </c>
      <c r="D218" s="268">
        <v>793</v>
      </c>
      <c r="E218" s="268">
        <v>0</v>
      </c>
      <c r="F218" s="83">
        <f t="shared" si="22"/>
        <v>793</v>
      </c>
      <c r="G218" s="268">
        <v>39</v>
      </c>
      <c r="H218" s="268">
        <v>0</v>
      </c>
      <c r="I218" s="83">
        <f t="shared" si="23"/>
        <v>39</v>
      </c>
      <c r="J218" s="171">
        <f t="shared" si="24"/>
        <v>4.9200000000000001E-2</v>
      </c>
      <c r="K218" s="177">
        <f t="shared" si="19"/>
        <v>0</v>
      </c>
      <c r="L218" s="177">
        <f t="shared" si="20"/>
        <v>0</v>
      </c>
      <c r="M218" s="177">
        <f t="shared" si="21"/>
        <v>0</v>
      </c>
    </row>
    <row r="219" spans="1:13">
      <c r="A219" s="268" t="s">
        <v>239</v>
      </c>
      <c r="B219" s="268" t="s">
        <v>1318</v>
      </c>
      <c r="C219" s="268" t="s">
        <v>1319</v>
      </c>
      <c r="D219" s="268">
        <v>457</v>
      </c>
      <c r="E219" s="268">
        <v>0</v>
      </c>
      <c r="F219" s="83">
        <f t="shared" si="22"/>
        <v>457</v>
      </c>
      <c r="G219" s="268">
        <v>33</v>
      </c>
      <c r="H219" s="268">
        <v>0</v>
      </c>
      <c r="I219" s="83">
        <f t="shared" si="23"/>
        <v>33</v>
      </c>
      <c r="J219" s="171">
        <f t="shared" si="24"/>
        <v>7.22E-2</v>
      </c>
      <c r="K219" s="177">
        <f t="shared" si="19"/>
        <v>0</v>
      </c>
      <c r="L219" s="177">
        <f t="shared" si="20"/>
        <v>0</v>
      </c>
      <c r="M219" s="177">
        <f t="shared" si="21"/>
        <v>0</v>
      </c>
    </row>
    <row r="220" spans="1:13">
      <c r="A220" s="268" t="s">
        <v>239</v>
      </c>
      <c r="B220" s="268" t="s">
        <v>1320</v>
      </c>
      <c r="C220" s="268" t="s">
        <v>1321</v>
      </c>
      <c r="D220" s="268">
        <v>1329</v>
      </c>
      <c r="E220" s="268">
        <v>0</v>
      </c>
      <c r="F220" s="83">
        <f t="shared" si="22"/>
        <v>1329</v>
      </c>
      <c r="G220" s="268">
        <v>292</v>
      </c>
      <c r="H220" s="268">
        <v>0</v>
      </c>
      <c r="I220" s="83">
        <f t="shared" si="23"/>
        <v>292</v>
      </c>
      <c r="J220" s="171">
        <f t="shared" si="24"/>
        <v>0.21970000000000001</v>
      </c>
      <c r="K220" s="177">
        <f t="shared" si="19"/>
        <v>0</v>
      </c>
      <c r="L220" s="177">
        <f t="shared" si="20"/>
        <v>0</v>
      </c>
      <c r="M220" s="177">
        <f t="shared" si="21"/>
        <v>0</v>
      </c>
    </row>
    <row r="221" spans="1:13">
      <c r="A221" s="268" t="s">
        <v>239</v>
      </c>
      <c r="B221" s="268" t="s">
        <v>3601</v>
      </c>
      <c r="C221" s="268" t="s">
        <v>3602</v>
      </c>
      <c r="D221" s="268">
        <v>514</v>
      </c>
      <c r="E221" s="268">
        <v>0</v>
      </c>
      <c r="F221" s="83">
        <f t="shared" si="22"/>
        <v>514</v>
      </c>
      <c r="G221" s="268">
        <v>120</v>
      </c>
      <c r="H221" s="268">
        <v>0</v>
      </c>
      <c r="I221" s="83">
        <f t="shared" si="23"/>
        <v>120</v>
      </c>
      <c r="J221" s="171">
        <f t="shared" si="24"/>
        <v>0.23350000000000001</v>
      </c>
      <c r="K221" s="177">
        <f t="shared" si="19"/>
        <v>0</v>
      </c>
      <c r="L221" s="177">
        <f t="shared" si="20"/>
        <v>0</v>
      </c>
      <c r="M221" s="177">
        <f t="shared" si="21"/>
        <v>0</v>
      </c>
    </row>
    <row r="222" spans="1:13">
      <c r="A222" s="268" t="s">
        <v>239</v>
      </c>
      <c r="B222" s="268" t="s">
        <v>1322</v>
      </c>
      <c r="C222" s="268" t="s">
        <v>1323</v>
      </c>
      <c r="D222" s="268">
        <v>286</v>
      </c>
      <c r="E222" s="268">
        <v>0</v>
      </c>
      <c r="F222" s="83">
        <f t="shared" si="22"/>
        <v>286</v>
      </c>
      <c r="G222" s="268">
        <v>38</v>
      </c>
      <c r="H222" s="268">
        <v>0</v>
      </c>
      <c r="I222" s="83">
        <f t="shared" si="23"/>
        <v>38</v>
      </c>
      <c r="J222" s="171">
        <f t="shared" si="24"/>
        <v>0.13289999999999999</v>
      </c>
      <c r="K222" s="177">
        <f t="shared" si="19"/>
        <v>0</v>
      </c>
      <c r="L222" s="177">
        <f t="shared" si="20"/>
        <v>0</v>
      </c>
      <c r="M222" s="177">
        <f t="shared" si="21"/>
        <v>0</v>
      </c>
    </row>
    <row r="223" spans="1:13">
      <c r="A223" s="268" t="s">
        <v>239</v>
      </c>
      <c r="B223" s="268" t="s">
        <v>1324</v>
      </c>
      <c r="C223" s="268" t="s">
        <v>1325</v>
      </c>
      <c r="D223" s="268">
        <v>413</v>
      </c>
      <c r="E223" s="268">
        <v>0</v>
      </c>
      <c r="F223" s="83">
        <f t="shared" si="22"/>
        <v>413</v>
      </c>
      <c r="G223" s="268">
        <v>98</v>
      </c>
      <c r="H223" s="268">
        <v>0</v>
      </c>
      <c r="I223" s="83">
        <f t="shared" si="23"/>
        <v>98</v>
      </c>
      <c r="J223" s="171">
        <f t="shared" si="24"/>
        <v>0.23730000000000001</v>
      </c>
      <c r="K223" s="177">
        <f t="shared" si="19"/>
        <v>0</v>
      </c>
      <c r="L223" s="177">
        <f t="shared" si="20"/>
        <v>0</v>
      </c>
      <c r="M223" s="177">
        <f t="shared" si="21"/>
        <v>0</v>
      </c>
    </row>
    <row r="224" spans="1:13">
      <c r="A224" s="268" t="s">
        <v>239</v>
      </c>
      <c r="B224" s="268" t="s">
        <v>1326</v>
      </c>
      <c r="C224" s="268" t="s">
        <v>1327</v>
      </c>
      <c r="D224" s="268">
        <v>296</v>
      </c>
      <c r="E224" s="268">
        <v>0</v>
      </c>
      <c r="F224" s="83">
        <f t="shared" si="22"/>
        <v>296</v>
      </c>
      <c r="G224" s="268">
        <v>29</v>
      </c>
      <c r="H224" s="268">
        <v>0</v>
      </c>
      <c r="I224" s="83">
        <f t="shared" si="23"/>
        <v>29</v>
      </c>
      <c r="J224" s="171">
        <f t="shared" si="24"/>
        <v>9.8000000000000004E-2</v>
      </c>
      <c r="K224" s="177">
        <f t="shared" si="19"/>
        <v>0</v>
      </c>
      <c r="L224" s="177">
        <f t="shared" si="20"/>
        <v>0</v>
      </c>
      <c r="M224" s="177">
        <f t="shared" si="21"/>
        <v>0</v>
      </c>
    </row>
    <row r="225" spans="1:13">
      <c r="A225" s="268" t="s">
        <v>239</v>
      </c>
      <c r="B225" s="268" t="s">
        <v>1328</v>
      </c>
      <c r="C225" s="268" t="s">
        <v>1329</v>
      </c>
      <c r="D225" s="268">
        <v>462</v>
      </c>
      <c r="E225" s="268">
        <v>0</v>
      </c>
      <c r="F225" s="83">
        <f t="shared" si="22"/>
        <v>462</v>
      </c>
      <c r="G225" s="268">
        <v>82</v>
      </c>
      <c r="H225" s="268">
        <v>0</v>
      </c>
      <c r="I225" s="83">
        <f t="shared" si="23"/>
        <v>82</v>
      </c>
      <c r="J225" s="171">
        <f t="shared" si="24"/>
        <v>0.17749999999999999</v>
      </c>
      <c r="K225" s="177">
        <f t="shared" si="19"/>
        <v>0</v>
      </c>
      <c r="L225" s="177">
        <f t="shared" si="20"/>
        <v>0</v>
      </c>
      <c r="M225" s="177">
        <f t="shared" si="21"/>
        <v>0</v>
      </c>
    </row>
    <row r="226" spans="1:13">
      <c r="A226" s="268" t="s">
        <v>239</v>
      </c>
      <c r="B226" s="268" t="s">
        <v>1330</v>
      </c>
      <c r="C226" s="268" t="s">
        <v>1331</v>
      </c>
      <c r="D226" s="268">
        <v>335</v>
      </c>
      <c r="E226" s="268">
        <v>0</v>
      </c>
      <c r="F226" s="83">
        <f t="shared" si="22"/>
        <v>335</v>
      </c>
      <c r="G226" s="268">
        <v>30</v>
      </c>
      <c r="H226" s="268">
        <v>0</v>
      </c>
      <c r="I226" s="83">
        <f t="shared" si="23"/>
        <v>30</v>
      </c>
      <c r="J226" s="171">
        <f t="shared" si="24"/>
        <v>8.9599999999999999E-2</v>
      </c>
      <c r="K226" s="177">
        <f t="shared" si="19"/>
        <v>0</v>
      </c>
      <c r="L226" s="177">
        <f t="shared" si="20"/>
        <v>0</v>
      </c>
      <c r="M226" s="177">
        <f t="shared" si="21"/>
        <v>0</v>
      </c>
    </row>
    <row r="227" spans="1:13">
      <c r="A227" s="268" t="s">
        <v>239</v>
      </c>
      <c r="B227" s="268" t="s">
        <v>1332</v>
      </c>
      <c r="C227" s="268" t="s">
        <v>1333</v>
      </c>
      <c r="D227" s="268">
        <v>705</v>
      </c>
      <c r="E227" s="268">
        <v>0</v>
      </c>
      <c r="F227" s="83">
        <f t="shared" si="22"/>
        <v>705</v>
      </c>
      <c r="G227" s="268">
        <v>40</v>
      </c>
      <c r="H227" s="268">
        <v>0</v>
      </c>
      <c r="I227" s="83">
        <f t="shared" si="23"/>
        <v>40</v>
      </c>
      <c r="J227" s="171">
        <f t="shared" si="24"/>
        <v>5.67E-2</v>
      </c>
      <c r="K227" s="177">
        <f t="shared" si="19"/>
        <v>0</v>
      </c>
      <c r="L227" s="177">
        <f t="shared" si="20"/>
        <v>0</v>
      </c>
      <c r="M227" s="177">
        <f t="shared" si="21"/>
        <v>0</v>
      </c>
    </row>
    <row r="228" spans="1:13">
      <c r="A228" s="268" t="s">
        <v>239</v>
      </c>
      <c r="B228" s="268" t="s">
        <v>1334</v>
      </c>
      <c r="C228" s="268" t="s">
        <v>1335</v>
      </c>
      <c r="D228" s="268">
        <v>655</v>
      </c>
      <c r="E228" s="268">
        <v>0</v>
      </c>
      <c r="F228" s="83">
        <f t="shared" si="22"/>
        <v>655</v>
      </c>
      <c r="G228" s="268">
        <v>6</v>
      </c>
      <c r="H228" s="268">
        <v>0</v>
      </c>
      <c r="I228" s="83">
        <f t="shared" si="23"/>
        <v>6</v>
      </c>
      <c r="J228" s="171">
        <f t="shared" si="24"/>
        <v>9.1999999999999998E-3</v>
      </c>
      <c r="K228" s="177">
        <f t="shared" si="19"/>
        <v>0</v>
      </c>
      <c r="L228" s="177">
        <f t="shared" si="20"/>
        <v>0</v>
      </c>
      <c r="M228" s="177">
        <f t="shared" si="21"/>
        <v>0</v>
      </c>
    </row>
    <row r="229" spans="1:13">
      <c r="A229" s="268" t="s">
        <v>239</v>
      </c>
      <c r="B229" s="268" t="s">
        <v>1336</v>
      </c>
      <c r="C229" s="268" t="s">
        <v>1337</v>
      </c>
      <c r="D229" s="268">
        <v>449</v>
      </c>
      <c r="E229" s="268">
        <v>0</v>
      </c>
      <c r="F229" s="83">
        <f t="shared" si="22"/>
        <v>449</v>
      </c>
      <c r="G229" s="268">
        <v>56</v>
      </c>
      <c r="H229" s="268">
        <v>0</v>
      </c>
      <c r="I229" s="83">
        <f t="shared" si="23"/>
        <v>56</v>
      </c>
      <c r="J229" s="171">
        <f t="shared" si="24"/>
        <v>0.12470000000000001</v>
      </c>
      <c r="K229" s="177">
        <f t="shared" si="19"/>
        <v>0</v>
      </c>
      <c r="L229" s="177">
        <f t="shared" si="20"/>
        <v>0</v>
      </c>
      <c r="M229" s="177">
        <f t="shared" si="21"/>
        <v>0</v>
      </c>
    </row>
    <row r="230" spans="1:13">
      <c r="A230" s="268" t="s">
        <v>239</v>
      </c>
      <c r="B230" s="268" t="s">
        <v>1338</v>
      </c>
      <c r="C230" s="268" t="s">
        <v>1339</v>
      </c>
      <c r="D230" s="268">
        <v>346</v>
      </c>
      <c r="E230" s="268">
        <v>0</v>
      </c>
      <c r="F230" s="83">
        <f t="shared" si="22"/>
        <v>346</v>
      </c>
      <c r="G230" s="268">
        <v>59</v>
      </c>
      <c r="H230" s="268">
        <v>0</v>
      </c>
      <c r="I230" s="83">
        <f t="shared" si="23"/>
        <v>59</v>
      </c>
      <c r="J230" s="171">
        <f t="shared" si="24"/>
        <v>0.17050000000000001</v>
      </c>
      <c r="K230" s="177">
        <f t="shared" si="19"/>
        <v>0</v>
      </c>
      <c r="L230" s="177">
        <f t="shared" si="20"/>
        <v>0</v>
      </c>
      <c r="M230" s="177">
        <f t="shared" si="21"/>
        <v>0</v>
      </c>
    </row>
    <row r="231" spans="1:13">
      <c r="A231" s="268" t="s">
        <v>239</v>
      </c>
      <c r="B231" s="268" t="s">
        <v>1340</v>
      </c>
      <c r="C231" s="268" t="s">
        <v>1341</v>
      </c>
      <c r="D231" s="268">
        <v>396</v>
      </c>
      <c r="E231" s="268">
        <v>0</v>
      </c>
      <c r="F231" s="83">
        <f t="shared" si="22"/>
        <v>396</v>
      </c>
      <c r="G231" s="268">
        <v>10</v>
      </c>
      <c r="H231" s="268">
        <v>0</v>
      </c>
      <c r="I231" s="83">
        <f t="shared" si="23"/>
        <v>10</v>
      </c>
      <c r="J231" s="171">
        <f t="shared" si="24"/>
        <v>2.53E-2</v>
      </c>
      <c r="K231" s="177">
        <f t="shared" si="19"/>
        <v>0</v>
      </c>
      <c r="L231" s="177">
        <f t="shared" si="20"/>
        <v>0</v>
      </c>
      <c r="M231" s="177">
        <f t="shared" si="21"/>
        <v>0</v>
      </c>
    </row>
    <row r="232" spans="1:13">
      <c r="A232" s="268" t="s">
        <v>239</v>
      </c>
      <c r="B232" s="268" t="s">
        <v>1342</v>
      </c>
      <c r="C232" s="268" t="s">
        <v>1343</v>
      </c>
      <c r="D232" s="268">
        <v>730</v>
      </c>
      <c r="E232" s="268">
        <v>0</v>
      </c>
      <c r="F232" s="83">
        <f t="shared" si="22"/>
        <v>730</v>
      </c>
      <c r="G232" s="268">
        <v>33</v>
      </c>
      <c r="H232" s="268">
        <v>0</v>
      </c>
      <c r="I232" s="83">
        <f t="shared" si="23"/>
        <v>33</v>
      </c>
      <c r="J232" s="171">
        <f t="shared" si="24"/>
        <v>4.5199999999999997E-2</v>
      </c>
      <c r="K232" s="177">
        <f t="shared" si="19"/>
        <v>0</v>
      </c>
      <c r="L232" s="177">
        <f t="shared" si="20"/>
        <v>0</v>
      </c>
      <c r="M232" s="177">
        <f t="shared" si="21"/>
        <v>0</v>
      </c>
    </row>
    <row r="233" spans="1:13">
      <c r="A233" s="268" t="s">
        <v>239</v>
      </c>
      <c r="B233" s="268" t="s">
        <v>1344</v>
      </c>
      <c r="C233" s="268" t="s">
        <v>1345</v>
      </c>
      <c r="D233" s="268">
        <v>407</v>
      </c>
      <c r="E233" s="268">
        <v>0</v>
      </c>
      <c r="F233" s="83">
        <f t="shared" si="22"/>
        <v>407</v>
      </c>
      <c r="G233" s="268">
        <v>23</v>
      </c>
      <c r="H233" s="268">
        <v>0</v>
      </c>
      <c r="I233" s="83">
        <f t="shared" si="23"/>
        <v>23</v>
      </c>
      <c r="J233" s="171">
        <f t="shared" si="24"/>
        <v>5.6500000000000002E-2</v>
      </c>
      <c r="K233" s="177">
        <f t="shared" si="19"/>
        <v>0</v>
      </c>
      <c r="L233" s="177">
        <f t="shared" si="20"/>
        <v>0</v>
      </c>
      <c r="M233" s="177">
        <f t="shared" si="21"/>
        <v>0</v>
      </c>
    </row>
    <row r="234" spans="1:13">
      <c r="A234" s="268" t="s">
        <v>239</v>
      </c>
      <c r="B234" s="268" t="s">
        <v>1346</v>
      </c>
      <c r="C234" s="268" t="s">
        <v>1347</v>
      </c>
      <c r="D234" s="268">
        <v>554</v>
      </c>
      <c r="E234" s="268">
        <v>0</v>
      </c>
      <c r="F234" s="83">
        <f t="shared" si="22"/>
        <v>554</v>
      </c>
      <c r="G234" s="268">
        <v>14</v>
      </c>
      <c r="H234" s="268">
        <v>0</v>
      </c>
      <c r="I234" s="83">
        <f t="shared" si="23"/>
        <v>14</v>
      </c>
      <c r="J234" s="171">
        <f t="shared" si="24"/>
        <v>2.53E-2</v>
      </c>
      <c r="K234" s="177">
        <f t="shared" si="19"/>
        <v>0</v>
      </c>
      <c r="L234" s="177">
        <f t="shared" si="20"/>
        <v>0</v>
      </c>
      <c r="M234" s="177">
        <f t="shared" si="21"/>
        <v>0</v>
      </c>
    </row>
    <row r="235" spans="1:13">
      <c r="A235" s="268" t="s">
        <v>239</v>
      </c>
      <c r="B235" s="268" t="s">
        <v>1348</v>
      </c>
      <c r="C235" s="268" t="s">
        <v>1349</v>
      </c>
      <c r="D235" s="268">
        <v>568</v>
      </c>
      <c r="E235" s="268">
        <v>0</v>
      </c>
      <c r="F235" s="83">
        <f t="shared" si="22"/>
        <v>568</v>
      </c>
      <c r="G235" s="268">
        <v>40</v>
      </c>
      <c r="H235" s="268">
        <v>0</v>
      </c>
      <c r="I235" s="83">
        <f t="shared" si="23"/>
        <v>40</v>
      </c>
      <c r="J235" s="171">
        <f t="shared" si="24"/>
        <v>7.0400000000000004E-2</v>
      </c>
      <c r="K235" s="177">
        <f t="shared" si="19"/>
        <v>0</v>
      </c>
      <c r="L235" s="177">
        <f t="shared" si="20"/>
        <v>0</v>
      </c>
      <c r="M235" s="177">
        <f t="shared" si="21"/>
        <v>0</v>
      </c>
    </row>
    <row r="236" spans="1:13">
      <c r="A236" s="268" t="s">
        <v>239</v>
      </c>
      <c r="B236" s="268" t="s">
        <v>1350</v>
      </c>
      <c r="C236" s="268" t="s">
        <v>1351</v>
      </c>
      <c r="D236" s="268">
        <v>701</v>
      </c>
      <c r="E236" s="268">
        <v>0</v>
      </c>
      <c r="F236" s="83">
        <f t="shared" si="22"/>
        <v>701</v>
      </c>
      <c r="G236" s="268">
        <v>14</v>
      </c>
      <c r="H236" s="268">
        <v>0</v>
      </c>
      <c r="I236" s="83">
        <f t="shared" si="23"/>
        <v>14</v>
      </c>
      <c r="J236" s="171">
        <f t="shared" si="24"/>
        <v>0.02</v>
      </c>
      <c r="K236" s="177">
        <f t="shared" si="19"/>
        <v>0</v>
      </c>
      <c r="L236" s="177">
        <f t="shared" si="20"/>
        <v>0</v>
      </c>
      <c r="M236" s="177">
        <f t="shared" si="21"/>
        <v>0</v>
      </c>
    </row>
    <row r="237" spans="1:13">
      <c r="A237" s="268" t="s">
        <v>239</v>
      </c>
      <c r="B237" s="268" t="s">
        <v>1352</v>
      </c>
      <c r="C237" s="268" t="s">
        <v>1353</v>
      </c>
      <c r="D237" s="268">
        <v>480</v>
      </c>
      <c r="E237" s="268">
        <v>0</v>
      </c>
      <c r="F237" s="83">
        <f t="shared" si="22"/>
        <v>480</v>
      </c>
      <c r="G237" s="268">
        <v>77</v>
      </c>
      <c r="H237" s="268">
        <v>0</v>
      </c>
      <c r="I237" s="83">
        <f t="shared" si="23"/>
        <v>77</v>
      </c>
      <c r="J237" s="171">
        <f t="shared" si="24"/>
        <v>0.16039999999999999</v>
      </c>
      <c r="K237" s="177">
        <f t="shared" si="19"/>
        <v>0</v>
      </c>
      <c r="L237" s="177">
        <f t="shared" si="20"/>
        <v>0</v>
      </c>
      <c r="M237" s="177">
        <f t="shared" si="21"/>
        <v>0</v>
      </c>
    </row>
    <row r="238" spans="1:13">
      <c r="A238" s="268" t="s">
        <v>239</v>
      </c>
      <c r="B238" s="268" t="s">
        <v>1354</v>
      </c>
      <c r="C238" s="268" t="s">
        <v>1355</v>
      </c>
      <c r="D238" s="268">
        <v>511</v>
      </c>
      <c r="E238" s="268">
        <v>0</v>
      </c>
      <c r="F238" s="83">
        <f t="shared" si="22"/>
        <v>511</v>
      </c>
      <c r="G238" s="268">
        <v>38</v>
      </c>
      <c r="H238" s="268">
        <v>0</v>
      </c>
      <c r="I238" s="83">
        <f t="shared" si="23"/>
        <v>38</v>
      </c>
      <c r="J238" s="171">
        <f t="shared" si="24"/>
        <v>7.4399999999999994E-2</v>
      </c>
      <c r="K238" s="177">
        <f t="shared" si="19"/>
        <v>0</v>
      </c>
      <c r="L238" s="177">
        <f t="shared" si="20"/>
        <v>0</v>
      </c>
      <c r="M238" s="177">
        <f t="shared" si="21"/>
        <v>0</v>
      </c>
    </row>
    <row r="239" spans="1:13">
      <c r="A239" s="268" t="s">
        <v>240</v>
      </c>
      <c r="B239" s="268" t="s">
        <v>1356</v>
      </c>
      <c r="C239" s="268" t="s">
        <v>1357</v>
      </c>
      <c r="D239" s="268">
        <v>442</v>
      </c>
      <c r="E239" s="268">
        <v>0</v>
      </c>
      <c r="F239" s="83">
        <f t="shared" si="22"/>
        <v>442</v>
      </c>
      <c r="G239" s="268">
        <v>204</v>
      </c>
      <c r="H239" s="268">
        <v>0</v>
      </c>
      <c r="I239" s="83">
        <f t="shared" si="23"/>
        <v>204</v>
      </c>
      <c r="J239" s="171">
        <f t="shared" si="24"/>
        <v>0.46150000000000002</v>
      </c>
      <c r="K239" s="177">
        <f t="shared" si="19"/>
        <v>15.9</v>
      </c>
      <c r="L239" s="177">
        <f t="shared" si="20"/>
        <v>0</v>
      </c>
      <c r="M239" s="177">
        <f t="shared" si="21"/>
        <v>15.9</v>
      </c>
    </row>
    <row r="240" spans="1:13">
      <c r="A240" s="268" t="s">
        <v>240</v>
      </c>
      <c r="B240" s="268" t="s">
        <v>1358</v>
      </c>
      <c r="C240" s="268" t="s">
        <v>1359</v>
      </c>
      <c r="D240" s="268">
        <v>454</v>
      </c>
      <c r="E240" s="268">
        <v>0</v>
      </c>
      <c r="F240" s="83">
        <f t="shared" si="22"/>
        <v>454</v>
      </c>
      <c r="G240" s="268">
        <v>252</v>
      </c>
      <c r="H240" s="268">
        <v>0</v>
      </c>
      <c r="I240" s="83">
        <f t="shared" si="23"/>
        <v>252</v>
      </c>
      <c r="J240" s="171">
        <f t="shared" si="24"/>
        <v>0.55510000000000004</v>
      </c>
      <c r="K240" s="177">
        <f t="shared" si="19"/>
        <v>0</v>
      </c>
      <c r="L240" s="177">
        <f t="shared" si="20"/>
        <v>26.5</v>
      </c>
      <c r="M240" s="177">
        <f t="shared" si="21"/>
        <v>26.5</v>
      </c>
    </row>
    <row r="241" spans="1:13">
      <c r="A241" s="268" t="s">
        <v>240</v>
      </c>
      <c r="B241" s="268" t="s">
        <v>1360</v>
      </c>
      <c r="C241" s="268" t="s">
        <v>1361</v>
      </c>
      <c r="D241" s="268">
        <v>430</v>
      </c>
      <c r="E241" s="268">
        <v>0</v>
      </c>
      <c r="F241" s="83">
        <f t="shared" si="22"/>
        <v>430</v>
      </c>
      <c r="G241" s="268">
        <v>179</v>
      </c>
      <c r="H241" s="268">
        <v>0</v>
      </c>
      <c r="I241" s="83">
        <f t="shared" si="23"/>
        <v>179</v>
      </c>
      <c r="J241" s="171">
        <f t="shared" si="24"/>
        <v>0.4163</v>
      </c>
      <c r="K241" s="177">
        <f t="shared" si="19"/>
        <v>8.3000000000000007</v>
      </c>
      <c r="L241" s="177">
        <f t="shared" si="20"/>
        <v>0</v>
      </c>
      <c r="M241" s="177">
        <f t="shared" si="21"/>
        <v>8.3000000000000007</v>
      </c>
    </row>
    <row r="242" spans="1:13">
      <c r="A242" s="268" t="s">
        <v>240</v>
      </c>
      <c r="B242" s="268" t="s">
        <v>1362</v>
      </c>
      <c r="C242" s="268" t="s">
        <v>1363</v>
      </c>
      <c r="D242" s="268">
        <v>594</v>
      </c>
      <c r="E242" s="268">
        <v>0</v>
      </c>
      <c r="F242" s="83">
        <f t="shared" si="22"/>
        <v>594</v>
      </c>
      <c r="G242" s="268">
        <v>231</v>
      </c>
      <c r="H242" s="268">
        <v>0</v>
      </c>
      <c r="I242" s="83">
        <f t="shared" si="23"/>
        <v>231</v>
      </c>
      <c r="J242" s="171">
        <f t="shared" si="24"/>
        <v>0.38890000000000002</v>
      </c>
      <c r="K242" s="177">
        <f t="shared" si="19"/>
        <v>6.3</v>
      </c>
      <c r="L242" s="177">
        <f t="shared" si="20"/>
        <v>0</v>
      </c>
      <c r="M242" s="177">
        <f t="shared" si="21"/>
        <v>6.3</v>
      </c>
    </row>
    <row r="243" spans="1:13">
      <c r="A243" s="268" t="s">
        <v>241</v>
      </c>
      <c r="B243" s="268" t="s">
        <v>1364</v>
      </c>
      <c r="C243" s="268" t="s">
        <v>1365</v>
      </c>
      <c r="D243" s="268">
        <v>196</v>
      </c>
      <c r="E243" s="268">
        <v>0</v>
      </c>
      <c r="F243" s="83">
        <f t="shared" si="22"/>
        <v>196</v>
      </c>
      <c r="G243" s="268">
        <v>59</v>
      </c>
      <c r="H243" s="268">
        <v>0</v>
      </c>
      <c r="I243" s="83">
        <f t="shared" si="23"/>
        <v>59</v>
      </c>
      <c r="J243" s="171">
        <f t="shared" si="24"/>
        <v>0.30099999999999999</v>
      </c>
      <c r="K243" s="177">
        <f t="shared" si="19"/>
        <v>0</v>
      </c>
      <c r="L243" s="177">
        <f t="shared" si="20"/>
        <v>0</v>
      </c>
      <c r="M243" s="177">
        <f t="shared" si="21"/>
        <v>0</v>
      </c>
    </row>
    <row r="244" spans="1:13">
      <c r="A244" s="268" t="s">
        <v>241</v>
      </c>
      <c r="B244" s="268" t="s">
        <v>1366</v>
      </c>
      <c r="C244" s="268" t="s">
        <v>1367</v>
      </c>
      <c r="D244" s="268">
        <v>252</v>
      </c>
      <c r="E244" s="268">
        <v>0</v>
      </c>
      <c r="F244" s="83">
        <f t="shared" si="22"/>
        <v>252</v>
      </c>
      <c r="G244" s="268">
        <v>106</v>
      </c>
      <c r="H244" s="268">
        <v>0</v>
      </c>
      <c r="I244" s="83">
        <f t="shared" si="23"/>
        <v>106</v>
      </c>
      <c r="J244" s="171">
        <f t="shared" si="24"/>
        <v>0.42059999999999997</v>
      </c>
      <c r="K244" s="177">
        <f t="shared" si="19"/>
        <v>5.2</v>
      </c>
      <c r="L244" s="177">
        <f t="shared" si="20"/>
        <v>0</v>
      </c>
      <c r="M244" s="177">
        <f t="shared" si="21"/>
        <v>5.2</v>
      </c>
    </row>
    <row r="245" spans="1:13">
      <c r="A245" s="268" t="s">
        <v>242</v>
      </c>
      <c r="B245" s="268" t="s">
        <v>1368</v>
      </c>
      <c r="C245" s="268" t="s">
        <v>1369</v>
      </c>
      <c r="D245" s="268">
        <v>236</v>
      </c>
      <c r="E245" s="268">
        <v>0</v>
      </c>
      <c r="F245" s="83">
        <f t="shared" si="22"/>
        <v>236</v>
      </c>
      <c r="G245" s="268">
        <v>90</v>
      </c>
      <c r="H245" s="268">
        <v>0</v>
      </c>
      <c r="I245" s="83">
        <f t="shared" si="23"/>
        <v>90</v>
      </c>
      <c r="J245" s="171">
        <f t="shared" si="24"/>
        <v>0.38140000000000002</v>
      </c>
      <c r="K245" s="177">
        <f t="shared" si="19"/>
        <v>2</v>
      </c>
      <c r="L245" s="177">
        <f t="shared" si="20"/>
        <v>0</v>
      </c>
      <c r="M245" s="177">
        <f t="shared" si="21"/>
        <v>2</v>
      </c>
    </row>
    <row r="246" spans="1:13">
      <c r="A246" s="268" t="s">
        <v>242</v>
      </c>
      <c r="B246" s="268" t="s">
        <v>1370</v>
      </c>
      <c r="C246" s="268" t="s">
        <v>1371</v>
      </c>
      <c r="D246" s="268">
        <v>198</v>
      </c>
      <c r="E246" s="268">
        <v>0</v>
      </c>
      <c r="F246" s="83">
        <f t="shared" si="22"/>
        <v>198</v>
      </c>
      <c r="G246" s="268">
        <v>61</v>
      </c>
      <c r="H246" s="268">
        <v>0</v>
      </c>
      <c r="I246" s="83">
        <f t="shared" si="23"/>
        <v>61</v>
      </c>
      <c r="J246" s="171">
        <f t="shared" si="24"/>
        <v>0.30809999999999998</v>
      </c>
      <c r="K246" s="177">
        <f t="shared" si="19"/>
        <v>0</v>
      </c>
      <c r="L246" s="177">
        <f t="shared" si="20"/>
        <v>0</v>
      </c>
      <c r="M246" s="177">
        <f t="shared" si="21"/>
        <v>0</v>
      </c>
    </row>
    <row r="247" spans="1:13">
      <c r="A247" s="268" t="s">
        <v>243</v>
      </c>
      <c r="B247" s="268" t="s">
        <v>1372</v>
      </c>
      <c r="C247" s="268" t="s">
        <v>1373</v>
      </c>
      <c r="D247" s="268">
        <v>332</v>
      </c>
      <c r="E247" s="268">
        <v>0</v>
      </c>
      <c r="F247" s="83">
        <f t="shared" si="22"/>
        <v>332</v>
      </c>
      <c r="G247" s="268">
        <v>99</v>
      </c>
      <c r="H247" s="268">
        <v>0</v>
      </c>
      <c r="I247" s="83">
        <f t="shared" si="23"/>
        <v>99</v>
      </c>
      <c r="J247" s="171">
        <f t="shared" si="24"/>
        <v>0.29820000000000002</v>
      </c>
      <c r="K247" s="177">
        <f t="shared" si="19"/>
        <v>0</v>
      </c>
      <c r="L247" s="177">
        <f t="shared" si="20"/>
        <v>0</v>
      </c>
      <c r="M247" s="177">
        <f t="shared" si="21"/>
        <v>0</v>
      </c>
    </row>
    <row r="248" spans="1:13">
      <c r="A248" s="268" t="s">
        <v>243</v>
      </c>
      <c r="B248" s="268" t="s">
        <v>1374</v>
      </c>
      <c r="C248" s="268" t="s">
        <v>1375</v>
      </c>
      <c r="D248" s="268">
        <v>267</v>
      </c>
      <c r="E248" s="268">
        <v>0</v>
      </c>
      <c r="F248" s="83">
        <f t="shared" si="22"/>
        <v>267</v>
      </c>
      <c r="G248" s="268">
        <v>74</v>
      </c>
      <c r="H248" s="268">
        <v>0</v>
      </c>
      <c r="I248" s="83">
        <f t="shared" si="23"/>
        <v>74</v>
      </c>
      <c r="J248" s="171">
        <f t="shared" si="24"/>
        <v>0.2772</v>
      </c>
      <c r="K248" s="177">
        <f t="shared" si="19"/>
        <v>0</v>
      </c>
      <c r="L248" s="177">
        <f t="shared" si="20"/>
        <v>0</v>
      </c>
      <c r="M248" s="177">
        <f t="shared" si="21"/>
        <v>0</v>
      </c>
    </row>
    <row r="249" spans="1:13">
      <c r="A249" s="268" t="s">
        <v>244</v>
      </c>
      <c r="B249" s="268" t="s">
        <v>1376</v>
      </c>
      <c r="C249" s="268" t="s">
        <v>1377</v>
      </c>
      <c r="D249" s="268">
        <v>225</v>
      </c>
      <c r="E249" s="268">
        <v>0</v>
      </c>
      <c r="F249" s="83">
        <f t="shared" si="22"/>
        <v>225</v>
      </c>
      <c r="G249" s="268">
        <v>81</v>
      </c>
      <c r="H249" s="268">
        <v>0</v>
      </c>
      <c r="I249" s="83">
        <f t="shared" si="23"/>
        <v>81</v>
      </c>
      <c r="J249" s="171">
        <f t="shared" si="24"/>
        <v>0.36</v>
      </c>
      <c r="K249" s="177">
        <f t="shared" si="19"/>
        <v>0.6</v>
      </c>
      <c r="L249" s="177">
        <f t="shared" si="20"/>
        <v>0</v>
      </c>
      <c r="M249" s="177">
        <f t="shared" si="21"/>
        <v>0.6</v>
      </c>
    </row>
    <row r="250" spans="1:13" ht="12.75" customHeight="1">
      <c r="A250" s="268" t="s">
        <v>244</v>
      </c>
      <c r="B250" s="268" t="s">
        <v>1378</v>
      </c>
      <c r="C250" s="268" t="s">
        <v>1379</v>
      </c>
      <c r="D250" s="268">
        <v>196</v>
      </c>
      <c r="E250" s="268">
        <v>0</v>
      </c>
      <c r="F250" s="83">
        <f t="shared" si="22"/>
        <v>196</v>
      </c>
      <c r="G250" s="268">
        <v>61</v>
      </c>
      <c r="H250" s="268">
        <v>0</v>
      </c>
      <c r="I250" s="83">
        <f t="shared" si="23"/>
        <v>61</v>
      </c>
      <c r="J250" s="171">
        <f t="shared" si="24"/>
        <v>0.31119999999999998</v>
      </c>
      <c r="K250" s="177">
        <f t="shared" si="19"/>
        <v>0</v>
      </c>
      <c r="L250" s="177">
        <f t="shared" si="20"/>
        <v>0</v>
      </c>
      <c r="M250" s="177">
        <f t="shared" si="21"/>
        <v>0</v>
      </c>
    </row>
    <row r="251" spans="1:13">
      <c r="A251" s="268" t="s">
        <v>244</v>
      </c>
      <c r="B251" s="268" t="s">
        <v>1380</v>
      </c>
      <c r="C251" s="268" t="s">
        <v>1381</v>
      </c>
      <c r="D251" s="268">
        <v>94</v>
      </c>
      <c r="E251" s="268">
        <v>0</v>
      </c>
      <c r="F251" s="83">
        <f t="shared" si="22"/>
        <v>94</v>
      </c>
      <c r="G251" s="268">
        <v>49</v>
      </c>
      <c r="H251" s="268">
        <v>0</v>
      </c>
      <c r="I251" s="83">
        <f t="shared" si="23"/>
        <v>49</v>
      </c>
      <c r="J251" s="171">
        <f t="shared" si="24"/>
        <v>0.52129999999999999</v>
      </c>
      <c r="K251" s="177">
        <f t="shared" si="19"/>
        <v>0</v>
      </c>
      <c r="L251" s="177">
        <f t="shared" si="20"/>
        <v>5.0999999999999996</v>
      </c>
      <c r="M251" s="177">
        <f t="shared" si="21"/>
        <v>5.0999999999999996</v>
      </c>
    </row>
    <row r="252" spans="1:13">
      <c r="A252" s="268" t="s">
        <v>244</v>
      </c>
      <c r="B252" s="268" t="s">
        <v>1382</v>
      </c>
      <c r="C252" s="268" t="s">
        <v>1383</v>
      </c>
      <c r="D252" s="268">
        <v>74</v>
      </c>
      <c r="E252" s="268">
        <v>0</v>
      </c>
      <c r="F252" s="83">
        <f t="shared" si="22"/>
        <v>74</v>
      </c>
      <c r="G252" s="268">
        <v>37</v>
      </c>
      <c r="H252" s="268">
        <v>0</v>
      </c>
      <c r="I252" s="83">
        <f t="shared" si="23"/>
        <v>37</v>
      </c>
      <c r="J252" s="171">
        <f t="shared" si="24"/>
        <v>0.5</v>
      </c>
      <c r="K252" s="177">
        <f t="shared" si="19"/>
        <v>0</v>
      </c>
      <c r="L252" s="177">
        <f t="shared" si="20"/>
        <v>3.9</v>
      </c>
      <c r="M252" s="177">
        <f t="shared" si="21"/>
        <v>3.9</v>
      </c>
    </row>
    <row r="253" spans="1:13">
      <c r="A253" s="268" t="s">
        <v>245</v>
      </c>
      <c r="B253" s="268" t="s">
        <v>1384</v>
      </c>
      <c r="C253" s="268" t="s">
        <v>1385</v>
      </c>
      <c r="D253" s="268">
        <v>137</v>
      </c>
      <c r="E253" s="268">
        <v>0</v>
      </c>
      <c r="F253" s="83">
        <f t="shared" si="22"/>
        <v>137</v>
      </c>
      <c r="G253" s="268">
        <v>43</v>
      </c>
      <c r="H253" s="268">
        <v>0</v>
      </c>
      <c r="I253" s="83">
        <f t="shared" si="23"/>
        <v>43</v>
      </c>
      <c r="J253" s="171">
        <f t="shared" si="24"/>
        <v>0.31390000000000001</v>
      </c>
      <c r="K253" s="177">
        <f t="shared" si="19"/>
        <v>0</v>
      </c>
      <c r="L253" s="177">
        <f t="shared" si="20"/>
        <v>0</v>
      </c>
      <c r="M253" s="177">
        <f t="shared" si="21"/>
        <v>0</v>
      </c>
    </row>
    <row r="254" spans="1:13">
      <c r="A254" s="268" t="s">
        <v>245</v>
      </c>
      <c r="B254" s="268" t="s">
        <v>1386</v>
      </c>
      <c r="C254" s="268" t="s">
        <v>1387</v>
      </c>
      <c r="D254" s="268">
        <v>63</v>
      </c>
      <c r="E254" s="268">
        <v>0</v>
      </c>
      <c r="F254" s="83">
        <f t="shared" si="22"/>
        <v>63</v>
      </c>
      <c r="G254" s="268">
        <v>11</v>
      </c>
      <c r="H254" s="268">
        <v>0</v>
      </c>
      <c r="I254" s="83">
        <f t="shared" si="23"/>
        <v>11</v>
      </c>
      <c r="J254" s="171">
        <f t="shared" si="24"/>
        <v>0.17460000000000001</v>
      </c>
      <c r="K254" s="177">
        <f t="shared" si="19"/>
        <v>0</v>
      </c>
      <c r="L254" s="177">
        <f t="shared" si="20"/>
        <v>0</v>
      </c>
      <c r="M254" s="177">
        <f t="shared" si="21"/>
        <v>0</v>
      </c>
    </row>
    <row r="255" spans="1:13">
      <c r="A255" s="268" t="s">
        <v>246</v>
      </c>
      <c r="B255" s="268" t="s">
        <v>1388</v>
      </c>
      <c r="C255" s="268" t="s">
        <v>1389</v>
      </c>
      <c r="D255" s="268">
        <v>58</v>
      </c>
      <c r="E255" s="268">
        <v>0</v>
      </c>
      <c r="F255" s="83">
        <f t="shared" si="22"/>
        <v>58</v>
      </c>
      <c r="G255" s="268">
        <v>13</v>
      </c>
      <c r="H255" s="268">
        <v>0</v>
      </c>
      <c r="I255" s="83">
        <f t="shared" si="23"/>
        <v>13</v>
      </c>
      <c r="J255" s="171">
        <f t="shared" si="24"/>
        <v>0.22409999999999999</v>
      </c>
      <c r="K255" s="177">
        <f t="shared" si="19"/>
        <v>0</v>
      </c>
      <c r="L255" s="177">
        <f t="shared" si="20"/>
        <v>0</v>
      </c>
      <c r="M255" s="177">
        <f t="shared" si="21"/>
        <v>0</v>
      </c>
    </row>
    <row r="256" spans="1:13">
      <c r="A256" s="268" t="s">
        <v>246</v>
      </c>
      <c r="B256" s="268" t="s">
        <v>1390</v>
      </c>
      <c r="C256" s="268" t="s">
        <v>1391</v>
      </c>
      <c r="D256" s="268">
        <v>42</v>
      </c>
      <c r="E256" s="268">
        <v>0</v>
      </c>
      <c r="F256" s="83">
        <f t="shared" si="22"/>
        <v>42</v>
      </c>
      <c r="G256" s="268">
        <v>12</v>
      </c>
      <c r="H256" s="268">
        <v>0</v>
      </c>
      <c r="I256" s="83">
        <f t="shared" si="23"/>
        <v>12</v>
      </c>
      <c r="J256" s="171">
        <f t="shared" si="24"/>
        <v>0.28570000000000001</v>
      </c>
      <c r="K256" s="177">
        <f t="shared" si="19"/>
        <v>0</v>
      </c>
      <c r="L256" s="177">
        <f t="shared" si="20"/>
        <v>0</v>
      </c>
      <c r="M256" s="177">
        <f t="shared" si="21"/>
        <v>0</v>
      </c>
    </row>
    <row r="257" spans="1:13">
      <c r="A257" s="268" t="s">
        <v>247</v>
      </c>
      <c r="B257" s="268" t="s">
        <v>1392</v>
      </c>
      <c r="C257" s="268" t="s">
        <v>1393</v>
      </c>
      <c r="D257" s="268">
        <v>110</v>
      </c>
      <c r="E257" s="268">
        <v>0</v>
      </c>
      <c r="F257" s="83">
        <f t="shared" si="22"/>
        <v>110</v>
      </c>
      <c r="G257" s="268">
        <v>30</v>
      </c>
      <c r="H257" s="268">
        <v>0</v>
      </c>
      <c r="I257" s="83">
        <f t="shared" si="23"/>
        <v>30</v>
      </c>
      <c r="J257" s="171">
        <f t="shared" si="24"/>
        <v>0.2727</v>
      </c>
      <c r="K257" s="177">
        <f t="shared" si="19"/>
        <v>0</v>
      </c>
      <c r="L257" s="177">
        <f t="shared" si="20"/>
        <v>0</v>
      </c>
      <c r="M257" s="177">
        <f t="shared" si="21"/>
        <v>0</v>
      </c>
    </row>
    <row r="258" spans="1:13">
      <c r="A258" s="268" t="s">
        <v>247</v>
      </c>
      <c r="B258" s="268" t="s">
        <v>1394</v>
      </c>
      <c r="C258" s="268" t="s">
        <v>1395</v>
      </c>
      <c r="D258" s="268">
        <v>124</v>
      </c>
      <c r="E258" s="268">
        <v>0</v>
      </c>
      <c r="F258" s="83">
        <f t="shared" si="22"/>
        <v>124</v>
      </c>
      <c r="G258" s="268">
        <v>28</v>
      </c>
      <c r="H258" s="268">
        <v>0</v>
      </c>
      <c r="I258" s="83">
        <f t="shared" si="23"/>
        <v>28</v>
      </c>
      <c r="J258" s="171">
        <f t="shared" si="24"/>
        <v>0.2258</v>
      </c>
      <c r="K258" s="177">
        <f t="shared" si="19"/>
        <v>0</v>
      </c>
      <c r="L258" s="177">
        <f t="shared" si="20"/>
        <v>0</v>
      </c>
      <c r="M258" s="177">
        <f t="shared" si="21"/>
        <v>0</v>
      </c>
    </row>
    <row r="259" spans="1:13">
      <c r="A259" s="268" t="s">
        <v>247</v>
      </c>
      <c r="B259" s="268" t="s">
        <v>1396</v>
      </c>
      <c r="C259" s="268" t="s">
        <v>1397</v>
      </c>
      <c r="D259" s="268">
        <v>109</v>
      </c>
      <c r="E259" s="268">
        <v>0</v>
      </c>
      <c r="F259" s="83">
        <f t="shared" si="22"/>
        <v>109</v>
      </c>
      <c r="G259" s="268">
        <v>36</v>
      </c>
      <c r="H259" s="268">
        <v>0</v>
      </c>
      <c r="I259" s="83">
        <f t="shared" si="23"/>
        <v>36</v>
      </c>
      <c r="J259" s="171">
        <f t="shared" si="24"/>
        <v>0.33029999999999998</v>
      </c>
      <c r="K259" s="177">
        <f t="shared" si="19"/>
        <v>0</v>
      </c>
      <c r="L259" s="177">
        <f t="shared" si="20"/>
        <v>0</v>
      </c>
      <c r="M259" s="177">
        <f t="shared" si="21"/>
        <v>0</v>
      </c>
    </row>
    <row r="260" spans="1:13">
      <c r="A260" s="268" t="s">
        <v>247</v>
      </c>
      <c r="B260" s="268" t="s">
        <v>1398</v>
      </c>
      <c r="C260" s="268" t="s">
        <v>1399</v>
      </c>
      <c r="D260" s="268">
        <v>94</v>
      </c>
      <c r="E260" s="268">
        <v>0</v>
      </c>
      <c r="F260" s="83">
        <f t="shared" si="22"/>
        <v>94</v>
      </c>
      <c r="G260" s="268">
        <v>22</v>
      </c>
      <c r="H260" s="268">
        <v>0</v>
      </c>
      <c r="I260" s="83">
        <f t="shared" si="23"/>
        <v>22</v>
      </c>
      <c r="J260" s="171">
        <f t="shared" si="24"/>
        <v>0.23400000000000001</v>
      </c>
      <c r="K260" s="177">
        <f t="shared" si="19"/>
        <v>0</v>
      </c>
      <c r="L260" s="177">
        <f t="shared" si="20"/>
        <v>0</v>
      </c>
      <c r="M260" s="177">
        <f t="shared" si="21"/>
        <v>0</v>
      </c>
    </row>
    <row r="261" spans="1:13">
      <c r="A261" s="268" t="s">
        <v>248</v>
      </c>
      <c r="B261" s="268" t="s">
        <v>1400</v>
      </c>
      <c r="C261" s="268" t="s">
        <v>1401</v>
      </c>
      <c r="D261" s="268">
        <v>295</v>
      </c>
      <c r="E261" s="268">
        <v>0</v>
      </c>
      <c r="F261" s="83">
        <f t="shared" si="22"/>
        <v>295</v>
      </c>
      <c r="G261" s="268">
        <v>71</v>
      </c>
      <c r="H261" s="268">
        <v>0</v>
      </c>
      <c r="I261" s="83">
        <f t="shared" si="23"/>
        <v>71</v>
      </c>
      <c r="J261" s="171">
        <f t="shared" si="24"/>
        <v>0.2407</v>
      </c>
      <c r="K261" s="177">
        <f t="shared" ref="K261:K324" si="25">IF(AND((J261-35%)&gt;0,J261&lt;50%),I261*(J261-35%)*0.7,0)</f>
        <v>0</v>
      </c>
      <c r="L261" s="177">
        <f t="shared" ref="L261:L324" si="26">IF(J261&gt;=50%,I261*10.5%,0)</f>
        <v>0</v>
      </c>
      <c r="M261" s="177">
        <f t="shared" ref="M261:M324" si="27">MAX(K261,L261)</f>
        <v>0</v>
      </c>
    </row>
    <row r="262" spans="1:13">
      <c r="A262" s="268" t="s">
        <v>248</v>
      </c>
      <c r="B262" s="268" t="s">
        <v>1402</v>
      </c>
      <c r="C262" s="268" t="s">
        <v>1403</v>
      </c>
      <c r="D262" s="268">
        <v>290</v>
      </c>
      <c r="E262" s="268">
        <v>0</v>
      </c>
      <c r="F262" s="83">
        <f t="shared" ref="F262:F325" si="28">SUM(D262+E262)</f>
        <v>290</v>
      </c>
      <c r="G262" s="268">
        <v>102</v>
      </c>
      <c r="H262" s="268">
        <v>0</v>
      </c>
      <c r="I262" s="83">
        <f t="shared" ref="I262:I290" si="29">SUM(G262+H262)</f>
        <v>102</v>
      </c>
      <c r="J262" s="171">
        <f t="shared" ref="J262:J290" si="30">IF(ISERROR(I262/F262),0,I262/F262)</f>
        <v>0.35170000000000001</v>
      </c>
      <c r="K262" s="177">
        <f t="shared" si="25"/>
        <v>0.1</v>
      </c>
      <c r="L262" s="177">
        <f t="shared" si="26"/>
        <v>0</v>
      </c>
      <c r="M262" s="177">
        <f t="shared" si="27"/>
        <v>0.1</v>
      </c>
    </row>
    <row r="263" spans="1:13">
      <c r="A263" s="268" t="s">
        <v>248</v>
      </c>
      <c r="B263" s="268" t="s">
        <v>1404</v>
      </c>
      <c r="C263" s="268" t="s">
        <v>1405</v>
      </c>
      <c r="D263" s="268">
        <v>248</v>
      </c>
      <c r="E263" s="268">
        <v>0</v>
      </c>
      <c r="F263" s="83">
        <f t="shared" si="28"/>
        <v>248</v>
      </c>
      <c r="G263" s="268">
        <v>83</v>
      </c>
      <c r="H263" s="268">
        <v>0</v>
      </c>
      <c r="I263" s="83">
        <f t="shared" si="29"/>
        <v>83</v>
      </c>
      <c r="J263" s="171">
        <f t="shared" si="30"/>
        <v>0.3347</v>
      </c>
      <c r="K263" s="177">
        <f t="shared" si="25"/>
        <v>0</v>
      </c>
      <c r="L263" s="177">
        <f t="shared" si="26"/>
        <v>0</v>
      </c>
      <c r="M263" s="177">
        <f t="shared" si="27"/>
        <v>0</v>
      </c>
    </row>
    <row r="264" spans="1:13">
      <c r="A264" s="268" t="s">
        <v>249</v>
      </c>
      <c r="B264" s="268" t="s">
        <v>1406</v>
      </c>
      <c r="C264" s="268" t="s">
        <v>1407</v>
      </c>
      <c r="D264" s="268">
        <v>44</v>
      </c>
      <c r="E264" s="268">
        <v>0</v>
      </c>
      <c r="F264" s="83">
        <f t="shared" si="28"/>
        <v>44</v>
      </c>
      <c r="G264" s="268">
        <v>20</v>
      </c>
      <c r="H264" s="268">
        <v>0</v>
      </c>
      <c r="I264" s="83">
        <f t="shared" si="29"/>
        <v>20</v>
      </c>
      <c r="J264" s="171">
        <f t="shared" si="30"/>
        <v>0.45450000000000002</v>
      </c>
      <c r="K264" s="177">
        <f t="shared" si="25"/>
        <v>1.5</v>
      </c>
      <c r="L264" s="177">
        <f t="shared" si="26"/>
        <v>0</v>
      </c>
      <c r="M264" s="177">
        <f t="shared" si="27"/>
        <v>1.5</v>
      </c>
    </row>
    <row r="265" spans="1:13">
      <c r="A265" s="268" t="s">
        <v>249</v>
      </c>
      <c r="B265" s="268" t="s">
        <v>1408</v>
      </c>
      <c r="C265" s="268" t="s">
        <v>1409</v>
      </c>
      <c r="D265" s="268">
        <v>61</v>
      </c>
      <c r="E265" s="268">
        <v>0</v>
      </c>
      <c r="F265" s="83">
        <f t="shared" si="28"/>
        <v>61</v>
      </c>
      <c r="G265" s="268">
        <v>18</v>
      </c>
      <c r="H265" s="268">
        <v>0</v>
      </c>
      <c r="I265" s="83">
        <f t="shared" si="29"/>
        <v>18</v>
      </c>
      <c r="J265" s="171">
        <f t="shared" si="30"/>
        <v>0.29509999999999997</v>
      </c>
      <c r="K265" s="177">
        <f t="shared" si="25"/>
        <v>0</v>
      </c>
      <c r="L265" s="177">
        <f t="shared" si="26"/>
        <v>0</v>
      </c>
      <c r="M265" s="177">
        <f t="shared" si="27"/>
        <v>0</v>
      </c>
    </row>
    <row r="266" spans="1:13">
      <c r="A266" s="268" t="s">
        <v>249</v>
      </c>
      <c r="B266" s="268" t="s">
        <v>1410</v>
      </c>
      <c r="C266" s="268" t="s">
        <v>1411</v>
      </c>
      <c r="D266" s="268">
        <v>57</v>
      </c>
      <c r="E266" s="268">
        <v>0</v>
      </c>
      <c r="F266" s="83">
        <f t="shared" si="28"/>
        <v>57</v>
      </c>
      <c r="G266" s="268">
        <v>20</v>
      </c>
      <c r="H266" s="268">
        <v>0</v>
      </c>
      <c r="I266" s="83">
        <f t="shared" si="29"/>
        <v>20</v>
      </c>
      <c r="J266" s="171">
        <f t="shared" si="30"/>
        <v>0.35089999999999999</v>
      </c>
      <c r="K266" s="177">
        <f t="shared" si="25"/>
        <v>0</v>
      </c>
      <c r="L266" s="177">
        <f t="shared" si="26"/>
        <v>0</v>
      </c>
      <c r="M266" s="177">
        <f t="shared" si="27"/>
        <v>0</v>
      </c>
    </row>
    <row r="267" spans="1:13" ht="12.75" customHeight="1">
      <c r="A267" s="268" t="s">
        <v>249</v>
      </c>
      <c r="B267" s="268" t="s">
        <v>1412</v>
      </c>
      <c r="C267" s="268" t="s">
        <v>1413</v>
      </c>
      <c r="D267" s="268">
        <v>45</v>
      </c>
      <c r="E267" s="268">
        <v>0</v>
      </c>
      <c r="F267" s="83">
        <f t="shared" si="28"/>
        <v>45</v>
      </c>
      <c r="G267" s="268">
        <v>14</v>
      </c>
      <c r="H267" s="268">
        <v>0</v>
      </c>
      <c r="I267" s="83">
        <f t="shared" si="29"/>
        <v>14</v>
      </c>
      <c r="J267" s="171">
        <f t="shared" si="30"/>
        <v>0.31109999999999999</v>
      </c>
      <c r="K267" s="177">
        <f t="shared" si="25"/>
        <v>0</v>
      </c>
      <c r="L267" s="177">
        <f t="shared" si="26"/>
        <v>0</v>
      </c>
      <c r="M267" s="177">
        <f t="shared" si="27"/>
        <v>0</v>
      </c>
    </row>
    <row r="268" spans="1:13">
      <c r="A268" s="268" t="s">
        <v>250</v>
      </c>
      <c r="B268" s="268" t="s">
        <v>1414</v>
      </c>
      <c r="C268" s="268" t="s">
        <v>1415</v>
      </c>
      <c r="D268" s="268">
        <v>321</v>
      </c>
      <c r="E268" s="268">
        <v>0</v>
      </c>
      <c r="F268" s="83">
        <f t="shared" si="28"/>
        <v>321</v>
      </c>
      <c r="G268" s="268">
        <v>196</v>
      </c>
      <c r="H268" s="268">
        <v>0</v>
      </c>
      <c r="I268" s="83">
        <f t="shared" si="29"/>
        <v>196</v>
      </c>
      <c r="J268" s="171">
        <f t="shared" si="30"/>
        <v>0.61060000000000003</v>
      </c>
      <c r="K268" s="177">
        <f t="shared" si="25"/>
        <v>0</v>
      </c>
      <c r="L268" s="177">
        <f t="shared" si="26"/>
        <v>20.6</v>
      </c>
      <c r="M268" s="177">
        <f t="shared" si="27"/>
        <v>20.6</v>
      </c>
    </row>
    <row r="269" spans="1:13">
      <c r="A269" s="268" t="s">
        <v>250</v>
      </c>
      <c r="B269" s="268" t="s">
        <v>1416</v>
      </c>
      <c r="C269" s="268" t="s">
        <v>1417</v>
      </c>
      <c r="D269" s="268">
        <v>144</v>
      </c>
      <c r="E269" s="268">
        <v>0</v>
      </c>
      <c r="F269" s="83">
        <f t="shared" si="28"/>
        <v>144</v>
      </c>
      <c r="G269" s="268">
        <v>68</v>
      </c>
      <c r="H269" s="268">
        <v>0</v>
      </c>
      <c r="I269" s="83">
        <f t="shared" si="29"/>
        <v>68</v>
      </c>
      <c r="J269" s="171">
        <f t="shared" si="30"/>
        <v>0.47220000000000001</v>
      </c>
      <c r="K269" s="177">
        <f t="shared" si="25"/>
        <v>5.8</v>
      </c>
      <c r="L269" s="177">
        <f t="shared" si="26"/>
        <v>0</v>
      </c>
      <c r="M269" s="177">
        <f t="shared" si="27"/>
        <v>5.8</v>
      </c>
    </row>
    <row r="270" spans="1:13">
      <c r="A270" s="268" t="s">
        <v>251</v>
      </c>
      <c r="B270" s="268" t="s">
        <v>1418</v>
      </c>
      <c r="C270" s="268" t="s">
        <v>1419</v>
      </c>
      <c r="D270" s="268">
        <v>143</v>
      </c>
      <c r="E270" s="268">
        <v>0</v>
      </c>
      <c r="F270" s="83">
        <f t="shared" si="28"/>
        <v>143</v>
      </c>
      <c r="G270" s="268">
        <v>82</v>
      </c>
      <c r="H270" s="268">
        <v>0</v>
      </c>
      <c r="I270" s="83">
        <f t="shared" si="29"/>
        <v>82</v>
      </c>
      <c r="J270" s="171">
        <f t="shared" si="30"/>
        <v>0.57340000000000002</v>
      </c>
      <c r="K270" s="177">
        <f t="shared" si="25"/>
        <v>0</v>
      </c>
      <c r="L270" s="177">
        <f t="shared" si="26"/>
        <v>8.6</v>
      </c>
      <c r="M270" s="177">
        <f t="shared" si="27"/>
        <v>8.6</v>
      </c>
    </row>
    <row r="271" spans="1:13">
      <c r="A271" s="268" t="s">
        <v>251</v>
      </c>
      <c r="B271" s="268" t="s">
        <v>1420</v>
      </c>
      <c r="C271" s="268" t="s">
        <v>1421</v>
      </c>
      <c r="D271" s="268">
        <v>167</v>
      </c>
      <c r="E271" s="268">
        <v>0</v>
      </c>
      <c r="F271" s="83">
        <f t="shared" si="28"/>
        <v>167</v>
      </c>
      <c r="G271" s="268">
        <v>73</v>
      </c>
      <c r="H271" s="268">
        <v>0</v>
      </c>
      <c r="I271" s="83">
        <f t="shared" si="29"/>
        <v>73</v>
      </c>
      <c r="J271" s="171">
        <f t="shared" si="30"/>
        <v>0.43709999999999999</v>
      </c>
      <c r="K271" s="177">
        <f t="shared" si="25"/>
        <v>4.5</v>
      </c>
      <c r="L271" s="177">
        <f t="shared" si="26"/>
        <v>0</v>
      </c>
      <c r="M271" s="177">
        <f t="shared" si="27"/>
        <v>4.5</v>
      </c>
    </row>
    <row r="272" spans="1:13">
      <c r="A272" s="268" t="s">
        <v>251</v>
      </c>
      <c r="B272" s="268" t="s">
        <v>1422</v>
      </c>
      <c r="C272" s="268" t="s">
        <v>1423</v>
      </c>
      <c r="D272" s="268">
        <v>174</v>
      </c>
      <c r="E272" s="268">
        <v>0</v>
      </c>
      <c r="F272" s="83">
        <f t="shared" si="28"/>
        <v>174</v>
      </c>
      <c r="G272" s="268">
        <v>103</v>
      </c>
      <c r="H272" s="268">
        <v>0</v>
      </c>
      <c r="I272" s="83">
        <f t="shared" si="29"/>
        <v>103</v>
      </c>
      <c r="J272" s="171">
        <f t="shared" si="30"/>
        <v>0.59199999999999997</v>
      </c>
      <c r="K272" s="177">
        <f t="shared" si="25"/>
        <v>0</v>
      </c>
      <c r="L272" s="177">
        <f t="shared" si="26"/>
        <v>10.8</v>
      </c>
      <c r="M272" s="177">
        <f t="shared" si="27"/>
        <v>10.8</v>
      </c>
    </row>
    <row r="273" spans="1:13">
      <c r="A273" s="268" t="s">
        <v>252</v>
      </c>
      <c r="B273" s="268" t="s">
        <v>1424</v>
      </c>
      <c r="C273" s="268" t="s">
        <v>1425</v>
      </c>
      <c r="D273" s="268">
        <v>469</v>
      </c>
      <c r="E273" s="268">
        <v>0</v>
      </c>
      <c r="F273" s="83">
        <f t="shared" si="28"/>
        <v>469</v>
      </c>
      <c r="G273" s="268">
        <v>188</v>
      </c>
      <c r="H273" s="268">
        <v>0</v>
      </c>
      <c r="I273" s="83">
        <f t="shared" si="29"/>
        <v>188</v>
      </c>
      <c r="J273" s="171">
        <f t="shared" si="30"/>
        <v>0.40089999999999998</v>
      </c>
      <c r="K273" s="177">
        <f t="shared" si="25"/>
        <v>6.7</v>
      </c>
      <c r="L273" s="177">
        <f t="shared" si="26"/>
        <v>0</v>
      </c>
      <c r="M273" s="177">
        <f t="shared" si="27"/>
        <v>6.7</v>
      </c>
    </row>
    <row r="274" spans="1:13">
      <c r="A274" s="268" t="s">
        <v>252</v>
      </c>
      <c r="B274" s="268" t="s">
        <v>1426</v>
      </c>
      <c r="C274" s="268" t="s">
        <v>1427</v>
      </c>
      <c r="D274" s="268">
        <v>268</v>
      </c>
      <c r="E274" s="268">
        <v>0</v>
      </c>
      <c r="F274" s="83">
        <f t="shared" si="28"/>
        <v>268</v>
      </c>
      <c r="G274" s="268">
        <v>90</v>
      </c>
      <c r="H274" s="268">
        <v>0</v>
      </c>
      <c r="I274" s="83">
        <f t="shared" si="29"/>
        <v>90</v>
      </c>
      <c r="J274" s="171">
        <f t="shared" si="30"/>
        <v>0.33579999999999999</v>
      </c>
      <c r="K274" s="177">
        <f t="shared" si="25"/>
        <v>0</v>
      </c>
      <c r="L274" s="177">
        <f t="shared" si="26"/>
        <v>0</v>
      </c>
      <c r="M274" s="177">
        <f t="shared" si="27"/>
        <v>0</v>
      </c>
    </row>
    <row r="275" spans="1:13">
      <c r="A275" s="268" t="s">
        <v>252</v>
      </c>
      <c r="B275" s="268" t="s">
        <v>1428</v>
      </c>
      <c r="C275" s="268" t="s">
        <v>1429</v>
      </c>
      <c r="D275" s="268">
        <v>299</v>
      </c>
      <c r="E275" s="268">
        <v>0</v>
      </c>
      <c r="F275" s="83">
        <f t="shared" si="28"/>
        <v>299</v>
      </c>
      <c r="G275" s="268">
        <v>98</v>
      </c>
      <c r="H275" s="268">
        <v>0</v>
      </c>
      <c r="I275" s="83">
        <f t="shared" si="29"/>
        <v>98</v>
      </c>
      <c r="J275" s="171">
        <f t="shared" si="30"/>
        <v>0.32779999999999998</v>
      </c>
      <c r="K275" s="177">
        <f t="shared" si="25"/>
        <v>0</v>
      </c>
      <c r="L275" s="177">
        <f t="shared" si="26"/>
        <v>0</v>
      </c>
      <c r="M275" s="177">
        <f t="shared" si="27"/>
        <v>0</v>
      </c>
    </row>
    <row r="276" spans="1:13">
      <c r="A276" s="268" t="s">
        <v>253</v>
      </c>
      <c r="B276" s="268" t="s">
        <v>1430</v>
      </c>
      <c r="C276" s="268" t="s">
        <v>1431</v>
      </c>
      <c r="D276" s="268">
        <v>433</v>
      </c>
      <c r="E276" s="268">
        <v>0</v>
      </c>
      <c r="F276" s="83">
        <f t="shared" si="28"/>
        <v>433</v>
      </c>
      <c r="G276" s="268">
        <v>140</v>
      </c>
      <c r="H276" s="268">
        <v>0</v>
      </c>
      <c r="I276" s="83">
        <f t="shared" si="29"/>
        <v>140</v>
      </c>
      <c r="J276" s="171">
        <f t="shared" si="30"/>
        <v>0.32329999999999998</v>
      </c>
      <c r="K276" s="177">
        <f t="shared" si="25"/>
        <v>0</v>
      </c>
      <c r="L276" s="177">
        <f t="shared" si="26"/>
        <v>0</v>
      </c>
      <c r="M276" s="177">
        <f t="shared" si="27"/>
        <v>0</v>
      </c>
    </row>
    <row r="277" spans="1:13">
      <c r="A277" s="268" t="s">
        <v>253</v>
      </c>
      <c r="B277" s="268" t="s">
        <v>1432</v>
      </c>
      <c r="C277" s="268" t="s">
        <v>1433</v>
      </c>
      <c r="D277" s="268">
        <v>228</v>
      </c>
      <c r="E277" s="268">
        <v>0</v>
      </c>
      <c r="F277" s="83">
        <f t="shared" si="28"/>
        <v>228</v>
      </c>
      <c r="G277" s="268">
        <v>77</v>
      </c>
      <c r="H277" s="268">
        <v>0</v>
      </c>
      <c r="I277" s="83">
        <f t="shared" si="29"/>
        <v>77</v>
      </c>
      <c r="J277" s="171">
        <f t="shared" si="30"/>
        <v>0.3377</v>
      </c>
      <c r="K277" s="177">
        <f t="shared" si="25"/>
        <v>0</v>
      </c>
      <c r="L277" s="177">
        <f t="shared" si="26"/>
        <v>0</v>
      </c>
      <c r="M277" s="177">
        <f t="shared" si="27"/>
        <v>0</v>
      </c>
    </row>
    <row r="278" spans="1:13">
      <c r="A278" s="268" t="s">
        <v>253</v>
      </c>
      <c r="B278" s="268" t="s">
        <v>1434</v>
      </c>
      <c r="C278" s="268" t="s">
        <v>1435</v>
      </c>
      <c r="D278" s="268">
        <v>260</v>
      </c>
      <c r="E278" s="268">
        <v>0</v>
      </c>
      <c r="F278" s="83">
        <f t="shared" si="28"/>
        <v>260</v>
      </c>
      <c r="G278" s="268">
        <v>80</v>
      </c>
      <c r="H278" s="268">
        <v>0</v>
      </c>
      <c r="I278" s="83">
        <f t="shared" si="29"/>
        <v>80</v>
      </c>
      <c r="J278" s="171">
        <f t="shared" si="30"/>
        <v>0.30769999999999997</v>
      </c>
      <c r="K278" s="177">
        <f t="shared" si="25"/>
        <v>0</v>
      </c>
      <c r="L278" s="177">
        <f t="shared" si="26"/>
        <v>0</v>
      </c>
      <c r="M278" s="177">
        <f t="shared" si="27"/>
        <v>0</v>
      </c>
    </row>
    <row r="279" spans="1:13">
      <c r="A279" s="268" t="s">
        <v>254</v>
      </c>
      <c r="B279" s="268" t="s">
        <v>1436</v>
      </c>
      <c r="C279" s="268" t="s">
        <v>1437</v>
      </c>
      <c r="D279" s="268">
        <v>344</v>
      </c>
      <c r="E279" s="268">
        <v>0</v>
      </c>
      <c r="F279" s="83">
        <f t="shared" si="28"/>
        <v>344</v>
      </c>
      <c r="G279" s="268">
        <v>153</v>
      </c>
      <c r="H279" s="268">
        <v>0</v>
      </c>
      <c r="I279" s="83">
        <f t="shared" si="29"/>
        <v>153</v>
      </c>
      <c r="J279" s="171">
        <f t="shared" si="30"/>
        <v>0.44479999999999997</v>
      </c>
      <c r="K279" s="177">
        <f t="shared" si="25"/>
        <v>10.199999999999999</v>
      </c>
      <c r="L279" s="177">
        <f t="shared" si="26"/>
        <v>0</v>
      </c>
      <c r="M279" s="177">
        <f t="shared" si="27"/>
        <v>10.199999999999999</v>
      </c>
    </row>
    <row r="280" spans="1:13">
      <c r="A280" s="268" t="s">
        <v>254</v>
      </c>
      <c r="B280" s="268" t="s">
        <v>1438</v>
      </c>
      <c r="C280" s="268" t="s">
        <v>1439</v>
      </c>
      <c r="D280" s="268">
        <v>424</v>
      </c>
      <c r="E280" s="268">
        <v>0</v>
      </c>
      <c r="F280" s="83">
        <f t="shared" si="28"/>
        <v>424</v>
      </c>
      <c r="G280" s="268">
        <v>228</v>
      </c>
      <c r="H280" s="268">
        <v>0</v>
      </c>
      <c r="I280" s="83">
        <f t="shared" si="29"/>
        <v>228</v>
      </c>
      <c r="J280" s="171">
        <f t="shared" si="30"/>
        <v>0.53769999999999996</v>
      </c>
      <c r="K280" s="177">
        <f t="shared" si="25"/>
        <v>0</v>
      </c>
      <c r="L280" s="177">
        <f t="shared" si="26"/>
        <v>23.9</v>
      </c>
      <c r="M280" s="177">
        <f t="shared" si="27"/>
        <v>23.9</v>
      </c>
    </row>
    <row r="281" spans="1:13">
      <c r="A281" s="268" t="s">
        <v>254</v>
      </c>
      <c r="B281" s="268" t="s">
        <v>1440</v>
      </c>
      <c r="C281" s="268" t="s">
        <v>1441</v>
      </c>
      <c r="D281" s="268">
        <v>346</v>
      </c>
      <c r="E281" s="268">
        <v>0</v>
      </c>
      <c r="F281" s="83">
        <f t="shared" si="28"/>
        <v>346</v>
      </c>
      <c r="G281" s="268">
        <v>244</v>
      </c>
      <c r="H281" s="268">
        <v>0</v>
      </c>
      <c r="I281" s="83">
        <f t="shared" si="29"/>
        <v>244</v>
      </c>
      <c r="J281" s="171">
        <f t="shared" si="30"/>
        <v>0.70520000000000005</v>
      </c>
      <c r="K281" s="177">
        <f t="shared" si="25"/>
        <v>0</v>
      </c>
      <c r="L281" s="177">
        <f t="shared" si="26"/>
        <v>25.6</v>
      </c>
      <c r="M281" s="177">
        <f t="shared" si="27"/>
        <v>25.6</v>
      </c>
    </row>
    <row r="282" spans="1:13">
      <c r="A282" s="268" t="s">
        <v>254</v>
      </c>
      <c r="B282" s="268" t="s">
        <v>1442</v>
      </c>
      <c r="C282" s="268" t="s">
        <v>1443</v>
      </c>
      <c r="D282" s="268">
        <v>429</v>
      </c>
      <c r="E282" s="268">
        <v>0</v>
      </c>
      <c r="F282" s="83">
        <f t="shared" si="28"/>
        <v>429</v>
      </c>
      <c r="G282" s="268">
        <v>220</v>
      </c>
      <c r="H282" s="268">
        <v>0</v>
      </c>
      <c r="I282" s="83">
        <f t="shared" si="29"/>
        <v>220</v>
      </c>
      <c r="J282" s="171">
        <f t="shared" si="30"/>
        <v>0.51280000000000003</v>
      </c>
      <c r="K282" s="177">
        <f t="shared" si="25"/>
        <v>0</v>
      </c>
      <c r="L282" s="177">
        <f t="shared" si="26"/>
        <v>23.1</v>
      </c>
      <c r="M282" s="177">
        <f t="shared" si="27"/>
        <v>23.1</v>
      </c>
    </row>
    <row r="283" spans="1:13">
      <c r="A283" s="268" t="s">
        <v>254</v>
      </c>
      <c r="B283" s="268" t="s">
        <v>1444</v>
      </c>
      <c r="C283" s="268" t="s">
        <v>1445</v>
      </c>
      <c r="D283" s="268">
        <v>688</v>
      </c>
      <c r="E283" s="268">
        <v>0</v>
      </c>
      <c r="F283" s="83">
        <f t="shared" si="28"/>
        <v>688</v>
      </c>
      <c r="G283" s="268">
        <v>382</v>
      </c>
      <c r="H283" s="268">
        <v>0</v>
      </c>
      <c r="I283" s="83">
        <f t="shared" si="29"/>
        <v>382</v>
      </c>
      <c r="J283" s="171">
        <f t="shared" si="30"/>
        <v>0.55520000000000003</v>
      </c>
      <c r="K283" s="177">
        <f t="shared" si="25"/>
        <v>0</v>
      </c>
      <c r="L283" s="177">
        <f t="shared" si="26"/>
        <v>40.1</v>
      </c>
      <c r="M283" s="177">
        <f t="shared" si="27"/>
        <v>40.1</v>
      </c>
    </row>
    <row r="284" spans="1:13">
      <c r="A284" s="268" t="s">
        <v>254</v>
      </c>
      <c r="B284" s="268" t="s">
        <v>1446</v>
      </c>
      <c r="C284" s="268" t="s">
        <v>1447</v>
      </c>
      <c r="D284" s="268">
        <v>839</v>
      </c>
      <c r="E284" s="268">
        <v>0</v>
      </c>
      <c r="F284" s="83">
        <f t="shared" si="28"/>
        <v>839</v>
      </c>
      <c r="G284" s="268">
        <v>423</v>
      </c>
      <c r="H284" s="268">
        <v>0</v>
      </c>
      <c r="I284" s="83">
        <f t="shared" si="29"/>
        <v>423</v>
      </c>
      <c r="J284" s="171">
        <f t="shared" si="30"/>
        <v>0.50419999999999998</v>
      </c>
      <c r="K284" s="177">
        <f t="shared" si="25"/>
        <v>0</v>
      </c>
      <c r="L284" s="177">
        <f t="shared" si="26"/>
        <v>44.4</v>
      </c>
      <c r="M284" s="177">
        <f t="shared" si="27"/>
        <v>44.4</v>
      </c>
    </row>
    <row r="285" spans="1:13">
      <c r="A285" s="268" t="s">
        <v>255</v>
      </c>
      <c r="B285" s="268" t="s">
        <v>1448</v>
      </c>
      <c r="C285" s="268" t="s">
        <v>3603</v>
      </c>
      <c r="D285" s="268">
        <v>237</v>
      </c>
      <c r="E285" s="268">
        <v>0</v>
      </c>
      <c r="F285" s="83">
        <f t="shared" si="28"/>
        <v>237</v>
      </c>
      <c r="G285" s="268">
        <v>83</v>
      </c>
      <c r="H285" s="268">
        <v>0</v>
      </c>
      <c r="I285" s="83">
        <f t="shared" si="29"/>
        <v>83</v>
      </c>
      <c r="J285" s="171">
        <f t="shared" si="30"/>
        <v>0.35020000000000001</v>
      </c>
      <c r="K285" s="177">
        <f t="shared" si="25"/>
        <v>0</v>
      </c>
      <c r="L285" s="177">
        <f t="shared" si="26"/>
        <v>0</v>
      </c>
      <c r="M285" s="177">
        <f t="shared" si="27"/>
        <v>0</v>
      </c>
    </row>
    <row r="286" spans="1:13">
      <c r="A286" s="268" t="s">
        <v>255</v>
      </c>
      <c r="B286" s="268" t="s">
        <v>1449</v>
      </c>
      <c r="C286" s="268" t="s">
        <v>1450</v>
      </c>
      <c r="D286" s="268">
        <v>110</v>
      </c>
      <c r="E286" s="268">
        <v>0</v>
      </c>
      <c r="F286" s="83">
        <f t="shared" si="28"/>
        <v>110</v>
      </c>
      <c r="G286" s="268">
        <v>43</v>
      </c>
      <c r="H286" s="268">
        <v>0</v>
      </c>
      <c r="I286" s="83">
        <f t="shared" si="29"/>
        <v>43</v>
      </c>
      <c r="J286" s="171">
        <f t="shared" si="30"/>
        <v>0.39090000000000003</v>
      </c>
      <c r="K286" s="177">
        <f t="shared" si="25"/>
        <v>1.2</v>
      </c>
      <c r="L286" s="177">
        <f t="shared" si="26"/>
        <v>0</v>
      </c>
      <c r="M286" s="177">
        <f t="shared" si="27"/>
        <v>1.2</v>
      </c>
    </row>
    <row r="287" spans="1:13">
      <c r="A287" s="268" t="s">
        <v>256</v>
      </c>
      <c r="B287" s="268" t="s">
        <v>1451</v>
      </c>
      <c r="C287" s="268" t="s">
        <v>1452</v>
      </c>
      <c r="D287" s="268">
        <v>115</v>
      </c>
      <c r="E287" s="268">
        <v>0</v>
      </c>
      <c r="F287" s="83">
        <f t="shared" si="28"/>
        <v>115</v>
      </c>
      <c r="G287" s="268">
        <v>49</v>
      </c>
      <c r="H287" s="268">
        <v>0</v>
      </c>
      <c r="I287" s="83">
        <f t="shared" si="29"/>
        <v>49</v>
      </c>
      <c r="J287" s="171">
        <f t="shared" si="30"/>
        <v>0.42609999999999998</v>
      </c>
      <c r="K287" s="177">
        <f t="shared" si="25"/>
        <v>2.6</v>
      </c>
      <c r="L287" s="177">
        <f t="shared" si="26"/>
        <v>0</v>
      </c>
      <c r="M287" s="177">
        <f t="shared" si="27"/>
        <v>2.6</v>
      </c>
    </row>
    <row r="288" spans="1:13">
      <c r="A288" s="268" t="s">
        <v>256</v>
      </c>
      <c r="B288" s="268" t="s">
        <v>1453</v>
      </c>
      <c r="C288" s="268" t="s">
        <v>1454</v>
      </c>
      <c r="D288" s="268">
        <v>106</v>
      </c>
      <c r="E288" s="268">
        <v>0</v>
      </c>
      <c r="F288" s="83">
        <f t="shared" si="28"/>
        <v>106</v>
      </c>
      <c r="G288" s="268">
        <v>77</v>
      </c>
      <c r="H288" s="268">
        <v>0</v>
      </c>
      <c r="I288" s="83">
        <f t="shared" si="29"/>
        <v>77</v>
      </c>
      <c r="J288" s="171">
        <f t="shared" si="30"/>
        <v>0.72640000000000005</v>
      </c>
      <c r="K288" s="177">
        <f t="shared" si="25"/>
        <v>0</v>
      </c>
      <c r="L288" s="177">
        <f t="shared" si="26"/>
        <v>8.1</v>
      </c>
      <c r="M288" s="177">
        <f t="shared" si="27"/>
        <v>8.1</v>
      </c>
    </row>
    <row r="289" spans="1:13">
      <c r="A289" s="268" t="s">
        <v>256</v>
      </c>
      <c r="B289" s="268" t="s">
        <v>1455</v>
      </c>
      <c r="C289" s="268" t="s">
        <v>1456</v>
      </c>
      <c r="D289" s="268">
        <v>130</v>
      </c>
      <c r="E289" s="268">
        <v>0</v>
      </c>
      <c r="F289" s="83">
        <f t="shared" si="28"/>
        <v>130</v>
      </c>
      <c r="G289" s="268">
        <v>25</v>
      </c>
      <c r="H289" s="268">
        <v>0</v>
      </c>
      <c r="I289" s="83">
        <f t="shared" si="29"/>
        <v>25</v>
      </c>
      <c r="J289" s="171">
        <f t="shared" si="30"/>
        <v>0.1923</v>
      </c>
      <c r="K289" s="177">
        <f t="shared" si="25"/>
        <v>0</v>
      </c>
      <c r="L289" s="177">
        <f t="shared" si="26"/>
        <v>0</v>
      </c>
      <c r="M289" s="177">
        <f t="shared" si="27"/>
        <v>0</v>
      </c>
    </row>
    <row r="290" spans="1:13">
      <c r="A290" s="268" t="s">
        <v>256</v>
      </c>
      <c r="B290" s="268" t="s">
        <v>1457</v>
      </c>
      <c r="C290" s="268" t="s">
        <v>1458</v>
      </c>
      <c r="D290" s="268">
        <v>133</v>
      </c>
      <c r="E290" s="268">
        <v>0</v>
      </c>
      <c r="F290" s="83">
        <f t="shared" si="28"/>
        <v>133</v>
      </c>
      <c r="G290" s="268">
        <v>19</v>
      </c>
      <c r="H290" s="268">
        <v>0</v>
      </c>
      <c r="I290" s="83">
        <f t="shared" si="29"/>
        <v>19</v>
      </c>
      <c r="J290" s="171">
        <f t="shared" si="30"/>
        <v>0.1429</v>
      </c>
      <c r="K290" s="177">
        <f t="shared" si="25"/>
        <v>0</v>
      </c>
      <c r="L290" s="177">
        <f t="shared" si="26"/>
        <v>0</v>
      </c>
      <c r="M290" s="177">
        <f t="shared" si="27"/>
        <v>0</v>
      </c>
    </row>
    <row r="291" spans="1:13">
      <c r="A291" s="268" t="s">
        <v>257</v>
      </c>
      <c r="B291" s="268" t="s">
        <v>1459</v>
      </c>
      <c r="C291" s="268" t="s">
        <v>1460</v>
      </c>
      <c r="D291" s="268">
        <v>427</v>
      </c>
      <c r="E291" s="268">
        <v>0</v>
      </c>
      <c r="F291" s="83">
        <f t="shared" si="28"/>
        <v>427</v>
      </c>
      <c r="G291" s="268">
        <v>195</v>
      </c>
      <c r="H291" s="268">
        <v>0</v>
      </c>
      <c r="I291" s="83">
        <f t="shared" ref="I291:I354" si="31">SUM(G291+H291)</f>
        <v>195</v>
      </c>
      <c r="J291" s="171">
        <f t="shared" ref="J291:J354" si="32">IF(ISERROR(I291/F291),0,I291/F291)</f>
        <v>0.45669999999999999</v>
      </c>
      <c r="K291" s="177">
        <f t="shared" si="25"/>
        <v>14.6</v>
      </c>
      <c r="L291" s="177">
        <f t="shared" si="26"/>
        <v>0</v>
      </c>
      <c r="M291" s="177">
        <f t="shared" si="27"/>
        <v>14.6</v>
      </c>
    </row>
    <row r="292" spans="1:13">
      <c r="A292" s="268" t="s">
        <v>257</v>
      </c>
      <c r="B292" s="268" t="s">
        <v>1461</v>
      </c>
      <c r="C292" s="268" t="s">
        <v>1462</v>
      </c>
      <c r="D292" s="268">
        <v>298</v>
      </c>
      <c r="E292" s="268">
        <v>0</v>
      </c>
      <c r="F292" s="83">
        <f t="shared" si="28"/>
        <v>298</v>
      </c>
      <c r="G292" s="268">
        <v>131</v>
      </c>
      <c r="H292" s="268">
        <v>0</v>
      </c>
      <c r="I292" s="83">
        <f t="shared" si="31"/>
        <v>131</v>
      </c>
      <c r="J292" s="171">
        <f t="shared" si="32"/>
        <v>0.43959999999999999</v>
      </c>
      <c r="K292" s="177">
        <f t="shared" si="25"/>
        <v>8.1999999999999993</v>
      </c>
      <c r="L292" s="177">
        <f t="shared" si="26"/>
        <v>0</v>
      </c>
      <c r="M292" s="177">
        <f t="shared" si="27"/>
        <v>8.1999999999999993</v>
      </c>
    </row>
    <row r="293" spans="1:13">
      <c r="A293" s="268" t="s">
        <v>257</v>
      </c>
      <c r="B293" s="268" t="s">
        <v>1463</v>
      </c>
      <c r="C293" s="268" t="s">
        <v>1464</v>
      </c>
      <c r="D293" s="268">
        <v>271</v>
      </c>
      <c r="E293" s="268">
        <v>0</v>
      </c>
      <c r="F293" s="83">
        <f t="shared" si="28"/>
        <v>271</v>
      </c>
      <c r="G293" s="268">
        <v>168</v>
      </c>
      <c r="H293" s="268">
        <v>0</v>
      </c>
      <c r="I293" s="83">
        <f t="shared" si="31"/>
        <v>168</v>
      </c>
      <c r="J293" s="171">
        <f t="shared" si="32"/>
        <v>0.61990000000000001</v>
      </c>
      <c r="K293" s="177">
        <f t="shared" si="25"/>
        <v>0</v>
      </c>
      <c r="L293" s="177">
        <f t="shared" si="26"/>
        <v>17.600000000000001</v>
      </c>
      <c r="M293" s="177">
        <f t="shared" si="27"/>
        <v>17.600000000000001</v>
      </c>
    </row>
    <row r="294" spans="1:13">
      <c r="A294" s="268" t="s">
        <v>257</v>
      </c>
      <c r="B294" s="268" t="s">
        <v>1465</v>
      </c>
      <c r="C294" s="268" t="s">
        <v>1466</v>
      </c>
      <c r="D294" s="268">
        <v>1029</v>
      </c>
      <c r="E294" s="268">
        <v>0</v>
      </c>
      <c r="F294" s="83">
        <f t="shared" si="28"/>
        <v>1029</v>
      </c>
      <c r="G294" s="268">
        <v>482</v>
      </c>
      <c r="H294" s="268">
        <v>0</v>
      </c>
      <c r="I294" s="83">
        <f t="shared" si="31"/>
        <v>482</v>
      </c>
      <c r="J294" s="171">
        <f t="shared" si="32"/>
        <v>0.46839999999999998</v>
      </c>
      <c r="K294" s="177">
        <f t="shared" si="25"/>
        <v>39.9</v>
      </c>
      <c r="L294" s="177">
        <f t="shared" si="26"/>
        <v>0</v>
      </c>
      <c r="M294" s="177">
        <f t="shared" si="27"/>
        <v>39.9</v>
      </c>
    </row>
    <row r="295" spans="1:13">
      <c r="A295" s="268" t="s">
        <v>257</v>
      </c>
      <c r="B295" s="268" t="s">
        <v>1467</v>
      </c>
      <c r="C295" s="268" t="s">
        <v>1468</v>
      </c>
      <c r="D295" s="268">
        <v>1531</v>
      </c>
      <c r="E295" s="268">
        <v>0</v>
      </c>
      <c r="F295" s="83">
        <f t="shared" si="28"/>
        <v>1531</v>
      </c>
      <c r="G295" s="268">
        <v>561</v>
      </c>
      <c r="H295" s="268">
        <v>0</v>
      </c>
      <c r="I295" s="83">
        <f t="shared" si="31"/>
        <v>561</v>
      </c>
      <c r="J295" s="171">
        <f t="shared" si="32"/>
        <v>0.3664</v>
      </c>
      <c r="K295" s="177">
        <f t="shared" si="25"/>
        <v>6.4</v>
      </c>
      <c r="L295" s="177">
        <f t="shared" si="26"/>
        <v>0</v>
      </c>
      <c r="M295" s="177">
        <f t="shared" si="27"/>
        <v>6.4</v>
      </c>
    </row>
    <row r="296" spans="1:13">
      <c r="A296" s="268" t="s">
        <v>257</v>
      </c>
      <c r="B296" s="268" t="s">
        <v>1469</v>
      </c>
      <c r="C296" s="268" t="s">
        <v>1470</v>
      </c>
      <c r="D296" s="268">
        <v>291</v>
      </c>
      <c r="E296" s="268">
        <v>0</v>
      </c>
      <c r="F296" s="83">
        <f t="shared" si="28"/>
        <v>291</v>
      </c>
      <c r="G296" s="268">
        <v>181</v>
      </c>
      <c r="H296" s="268">
        <v>0</v>
      </c>
      <c r="I296" s="83">
        <f t="shared" si="31"/>
        <v>181</v>
      </c>
      <c r="J296" s="171">
        <f t="shared" si="32"/>
        <v>0.622</v>
      </c>
      <c r="K296" s="177">
        <f t="shared" si="25"/>
        <v>0</v>
      </c>
      <c r="L296" s="177">
        <f t="shared" si="26"/>
        <v>19</v>
      </c>
      <c r="M296" s="177">
        <f t="shared" si="27"/>
        <v>19</v>
      </c>
    </row>
    <row r="297" spans="1:13">
      <c r="A297" s="268" t="s">
        <v>257</v>
      </c>
      <c r="B297" s="268" t="s">
        <v>1471</v>
      </c>
      <c r="C297" s="268" t="s">
        <v>1472</v>
      </c>
      <c r="D297" s="268">
        <v>398</v>
      </c>
      <c r="E297" s="268">
        <v>0</v>
      </c>
      <c r="F297" s="83">
        <f t="shared" si="28"/>
        <v>398</v>
      </c>
      <c r="G297" s="268">
        <v>272</v>
      </c>
      <c r="H297" s="268">
        <v>0</v>
      </c>
      <c r="I297" s="83">
        <f t="shared" si="31"/>
        <v>272</v>
      </c>
      <c r="J297" s="171">
        <f t="shared" si="32"/>
        <v>0.68340000000000001</v>
      </c>
      <c r="K297" s="177">
        <f t="shared" si="25"/>
        <v>0</v>
      </c>
      <c r="L297" s="177">
        <f t="shared" si="26"/>
        <v>28.6</v>
      </c>
      <c r="M297" s="177">
        <f t="shared" si="27"/>
        <v>28.6</v>
      </c>
    </row>
    <row r="298" spans="1:13">
      <c r="A298" s="268" t="s">
        <v>257</v>
      </c>
      <c r="B298" s="268" t="s">
        <v>1473</v>
      </c>
      <c r="C298" s="268" t="s">
        <v>1474</v>
      </c>
      <c r="D298" s="268">
        <v>413</v>
      </c>
      <c r="E298" s="268">
        <v>0</v>
      </c>
      <c r="F298" s="83">
        <f t="shared" si="28"/>
        <v>413</v>
      </c>
      <c r="G298" s="268">
        <v>121</v>
      </c>
      <c r="H298" s="268">
        <v>0</v>
      </c>
      <c r="I298" s="83">
        <f t="shared" si="31"/>
        <v>121</v>
      </c>
      <c r="J298" s="171">
        <f t="shared" si="32"/>
        <v>0.29299999999999998</v>
      </c>
      <c r="K298" s="177">
        <f t="shared" si="25"/>
        <v>0</v>
      </c>
      <c r="L298" s="177">
        <f t="shared" si="26"/>
        <v>0</v>
      </c>
      <c r="M298" s="177">
        <f t="shared" si="27"/>
        <v>0</v>
      </c>
    </row>
    <row r="299" spans="1:13">
      <c r="A299" s="268" t="s">
        <v>258</v>
      </c>
      <c r="B299" s="268" t="s">
        <v>1475</v>
      </c>
      <c r="C299" s="268" t="s">
        <v>1476</v>
      </c>
      <c r="D299" s="268">
        <v>297</v>
      </c>
      <c r="E299" s="268">
        <v>0</v>
      </c>
      <c r="F299" s="83">
        <f t="shared" si="28"/>
        <v>297</v>
      </c>
      <c r="G299" s="268">
        <v>127</v>
      </c>
      <c r="H299" s="268">
        <v>0</v>
      </c>
      <c r="I299" s="83">
        <f t="shared" si="31"/>
        <v>127</v>
      </c>
      <c r="J299" s="171">
        <f t="shared" si="32"/>
        <v>0.42759999999999998</v>
      </c>
      <c r="K299" s="177">
        <f t="shared" si="25"/>
        <v>6.9</v>
      </c>
      <c r="L299" s="177">
        <f t="shared" si="26"/>
        <v>0</v>
      </c>
      <c r="M299" s="177">
        <f t="shared" si="27"/>
        <v>6.9</v>
      </c>
    </row>
    <row r="300" spans="1:13">
      <c r="A300" s="268" t="s">
        <v>258</v>
      </c>
      <c r="B300" s="268" t="s">
        <v>1477</v>
      </c>
      <c r="C300" s="268" t="s">
        <v>1478</v>
      </c>
      <c r="D300" s="268">
        <v>205</v>
      </c>
      <c r="E300" s="268">
        <v>0</v>
      </c>
      <c r="F300" s="83">
        <f t="shared" si="28"/>
        <v>205</v>
      </c>
      <c r="G300" s="268">
        <v>54</v>
      </c>
      <c r="H300" s="268">
        <v>0</v>
      </c>
      <c r="I300" s="83">
        <f t="shared" si="31"/>
        <v>54</v>
      </c>
      <c r="J300" s="171">
        <f t="shared" si="32"/>
        <v>0.26340000000000002</v>
      </c>
      <c r="K300" s="177">
        <f t="shared" si="25"/>
        <v>0</v>
      </c>
      <c r="L300" s="177">
        <f t="shared" si="26"/>
        <v>0</v>
      </c>
      <c r="M300" s="177">
        <f t="shared" si="27"/>
        <v>0</v>
      </c>
    </row>
    <row r="301" spans="1:13">
      <c r="A301" s="268" t="s">
        <v>259</v>
      </c>
      <c r="B301" s="268" t="s">
        <v>1479</v>
      </c>
      <c r="C301" s="268" t="s">
        <v>1480</v>
      </c>
      <c r="D301" s="268">
        <v>155</v>
      </c>
      <c r="E301" s="268">
        <v>0</v>
      </c>
      <c r="F301" s="83">
        <f t="shared" si="28"/>
        <v>155</v>
      </c>
      <c r="G301" s="268">
        <v>70</v>
      </c>
      <c r="H301" s="268">
        <v>0</v>
      </c>
      <c r="I301" s="83">
        <f t="shared" si="31"/>
        <v>70</v>
      </c>
      <c r="J301" s="171">
        <f t="shared" si="32"/>
        <v>0.4516</v>
      </c>
      <c r="K301" s="177">
        <f t="shared" si="25"/>
        <v>5</v>
      </c>
      <c r="L301" s="177">
        <f t="shared" si="26"/>
        <v>0</v>
      </c>
      <c r="M301" s="177">
        <f t="shared" si="27"/>
        <v>5</v>
      </c>
    </row>
    <row r="302" spans="1:13">
      <c r="A302" s="268" t="s">
        <v>259</v>
      </c>
      <c r="B302" s="268" t="s">
        <v>1481</v>
      </c>
      <c r="C302" s="268" t="s">
        <v>1482</v>
      </c>
      <c r="D302" s="268">
        <v>90</v>
      </c>
      <c r="E302" s="268">
        <v>0</v>
      </c>
      <c r="F302" s="83">
        <f t="shared" si="28"/>
        <v>90</v>
      </c>
      <c r="G302" s="268">
        <v>25</v>
      </c>
      <c r="H302" s="268">
        <v>0</v>
      </c>
      <c r="I302" s="83">
        <f t="shared" si="31"/>
        <v>25</v>
      </c>
      <c r="J302" s="171">
        <f t="shared" si="32"/>
        <v>0.27779999999999999</v>
      </c>
      <c r="K302" s="177">
        <f t="shared" si="25"/>
        <v>0</v>
      </c>
      <c r="L302" s="177">
        <f t="shared" si="26"/>
        <v>0</v>
      </c>
      <c r="M302" s="177">
        <f t="shared" si="27"/>
        <v>0</v>
      </c>
    </row>
    <row r="303" spans="1:13">
      <c r="A303" s="268" t="s">
        <v>260</v>
      </c>
      <c r="B303" s="268" t="s">
        <v>1483</v>
      </c>
      <c r="C303" s="268" t="s">
        <v>1484</v>
      </c>
      <c r="D303" s="268">
        <v>136</v>
      </c>
      <c r="E303" s="268">
        <v>0</v>
      </c>
      <c r="F303" s="83">
        <f t="shared" si="28"/>
        <v>136</v>
      </c>
      <c r="G303" s="268">
        <v>62</v>
      </c>
      <c r="H303" s="268">
        <v>0</v>
      </c>
      <c r="I303" s="83">
        <f t="shared" si="31"/>
        <v>62</v>
      </c>
      <c r="J303" s="171">
        <f t="shared" si="32"/>
        <v>0.45590000000000003</v>
      </c>
      <c r="K303" s="177">
        <f t="shared" si="25"/>
        <v>4.5999999999999996</v>
      </c>
      <c r="L303" s="177">
        <f t="shared" si="26"/>
        <v>0</v>
      </c>
      <c r="M303" s="177">
        <f t="shared" si="27"/>
        <v>4.5999999999999996</v>
      </c>
    </row>
    <row r="304" spans="1:13">
      <c r="A304" s="268" t="s">
        <v>260</v>
      </c>
      <c r="B304" s="268" t="s">
        <v>1485</v>
      </c>
      <c r="C304" s="268" t="s">
        <v>1486</v>
      </c>
      <c r="D304" s="268">
        <v>125</v>
      </c>
      <c r="E304" s="268">
        <v>0</v>
      </c>
      <c r="F304" s="83">
        <f t="shared" si="28"/>
        <v>125</v>
      </c>
      <c r="G304" s="268">
        <v>55</v>
      </c>
      <c r="H304" s="268">
        <v>0</v>
      </c>
      <c r="I304" s="83">
        <f t="shared" si="31"/>
        <v>55</v>
      </c>
      <c r="J304" s="171">
        <f t="shared" si="32"/>
        <v>0.44</v>
      </c>
      <c r="K304" s="177">
        <f t="shared" si="25"/>
        <v>3.5</v>
      </c>
      <c r="L304" s="177">
        <f t="shared" si="26"/>
        <v>0</v>
      </c>
      <c r="M304" s="177">
        <f t="shared" si="27"/>
        <v>3.5</v>
      </c>
    </row>
    <row r="305" spans="1:13">
      <c r="A305" s="268" t="s">
        <v>261</v>
      </c>
      <c r="B305" s="268" t="s">
        <v>1487</v>
      </c>
      <c r="C305" s="268" t="s">
        <v>1488</v>
      </c>
      <c r="D305" s="268">
        <v>166</v>
      </c>
      <c r="E305" s="268">
        <v>0</v>
      </c>
      <c r="F305" s="83">
        <f t="shared" si="28"/>
        <v>166</v>
      </c>
      <c r="G305" s="268">
        <v>83</v>
      </c>
      <c r="H305" s="268">
        <v>0</v>
      </c>
      <c r="I305" s="83">
        <f t="shared" si="31"/>
        <v>83</v>
      </c>
      <c r="J305" s="171">
        <f t="shared" si="32"/>
        <v>0.5</v>
      </c>
      <c r="K305" s="177">
        <f t="shared" si="25"/>
        <v>0</v>
      </c>
      <c r="L305" s="177">
        <f t="shared" si="26"/>
        <v>8.6999999999999993</v>
      </c>
      <c r="M305" s="177">
        <f t="shared" si="27"/>
        <v>8.6999999999999993</v>
      </c>
    </row>
    <row r="306" spans="1:13">
      <c r="A306" s="268" t="s">
        <v>261</v>
      </c>
      <c r="B306" s="268" t="s">
        <v>1489</v>
      </c>
      <c r="C306" s="268" t="s">
        <v>1490</v>
      </c>
      <c r="D306" s="268">
        <v>169</v>
      </c>
      <c r="E306" s="268">
        <v>0</v>
      </c>
      <c r="F306" s="83">
        <f t="shared" si="28"/>
        <v>169</v>
      </c>
      <c r="G306" s="268">
        <v>86</v>
      </c>
      <c r="H306" s="268">
        <v>0</v>
      </c>
      <c r="I306" s="83">
        <f t="shared" si="31"/>
        <v>86</v>
      </c>
      <c r="J306" s="171">
        <f t="shared" si="32"/>
        <v>0.50890000000000002</v>
      </c>
      <c r="K306" s="177">
        <f t="shared" si="25"/>
        <v>0</v>
      </c>
      <c r="L306" s="177">
        <f t="shared" si="26"/>
        <v>9</v>
      </c>
      <c r="M306" s="177">
        <f t="shared" si="27"/>
        <v>9</v>
      </c>
    </row>
    <row r="307" spans="1:13">
      <c r="A307" s="268" t="s">
        <v>261</v>
      </c>
      <c r="B307" s="268" t="s">
        <v>1491</v>
      </c>
      <c r="C307" s="268" t="s">
        <v>1492</v>
      </c>
      <c r="D307" s="268">
        <v>131</v>
      </c>
      <c r="E307" s="268">
        <v>0</v>
      </c>
      <c r="F307" s="83">
        <f t="shared" si="28"/>
        <v>131</v>
      </c>
      <c r="G307" s="268">
        <v>72</v>
      </c>
      <c r="H307" s="268">
        <v>0</v>
      </c>
      <c r="I307" s="83">
        <f t="shared" si="31"/>
        <v>72</v>
      </c>
      <c r="J307" s="171">
        <f t="shared" si="32"/>
        <v>0.54959999999999998</v>
      </c>
      <c r="K307" s="177">
        <f t="shared" si="25"/>
        <v>0</v>
      </c>
      <c r="L307" s="177">
        <f t="shared" si="26"/>
        <v>7.6</v>
      </c>
      <c r="M307" s="177">
        <f t="shared" si="27"/>
        <v>7.6</v>
      </c>
    </row>
    <row r="308" spans="1:13">
      <c r="A308" s="268" t="s">
        <v>261</v>
      </c>
      <c r="B308" s="268" t="s">
        <v>1493</v>
      </c>
      <c r="C308" s="268" t="s">
        <v>1494</v>
      </c>
      <c r="D308" s="268">
        <v>360</v>
      </c>
      <c r="E308" s="268">
        <v>0</v>
      </c>
      <c r="F308" s="83">
        <f t="shared" si="28"/>
        <v>360</v>
      </c>
      <c r="G308" s="268">
        <v>162</v>
      </c>
      <c r="H308" s="268">
        <v>0</v>
      </c>
      <c r="I308" s="83">
        <f t="shared" si="31"/>
        <v>162</v>
      </c>
      <c r="J308" s="171">
        <f t="shared" si="32"/>
        <v>0.45</v>
      </c>
      <c r="K308" s="177">
        <f t="shared" si="25"/>
        <v>11.3</v>
      </c>
      <c r="L308" s="177">
        <f t="shared" si="26"/>
        <v>0</v>
      </c>
      <c r="M308" s="177">
        <f t="shared" si="27"/>
        <v>11.3</v>
      </c>
    </row>
    <row r="309" spans="1:13">
      <c r="A309" s="268" t="s">
        <v>261</v>
      </c>
      <c r="B309" s="268" t="s">
        <v>1495</v>
      </c>
      <c r="C309" s="268" t="s">
        <v>1496</v>
      </c>
      <c r="D309" s="268">
        <v>363</v>
      </c>
      <c r="E309" s="268">
        <v>0</v>
      </c>
      <c r="F309" s="83">
        <f t="shared" si="28"/>
        <v>363</v>
      </c>
      <c r="G309" s="268">
        <v>138</v>
      </c>
      <c r="H309" s="268">
        <v>0</v>
      </c>
      <c r="I309" s="83">
        <f t="shared" si="31"/>
        <v>138</v>
      </c>
      <c r="J309" s="171">
        <f t="shared" si="32"/>
        <v>0.38019999999999998</v>
      </c>
      <c r="K309" s="177">
        <f t="shared" si="25"/>
        <v>2.9</v>
      </c>
      <c r="L309" s="177">
        <f t="shared" si="26"/>
        <v>0</v>
      </c>
      <c r="M309" s="177">
        <f t="shared" si="27"/>
        <v>2.9</v>
      </c>
    </row>
    <row r="310" spans="1:13">
      <c r="A310" s="268" t="s">
        <v>262</v>
      </c>
      <c r="B310" s="268" t="s">
        <v>1497</v>
      </c>
      <c r="C310" s="268" t="s">
        <v>1498</v>
      </c>
      <c r="D310" s="268">
        <v>171</v>
      </c>
      <c r="E310" s="268">
        <v>0</v>
      </c>
      <c r="F310" s="83">
        <f t="shared" si="28"/>
        <v>171</v>
      </c>
      <c r="G310" s="268">
        <v>58</v>
      </c>
      <c r="H310" s="268">
        <v>0</v>
      </c>
      <c r="I310" s="83">
        <f t="shared" si="31"/>
        <v>58</v>
      </c>
      <c r="J310" s="171">
        <f t="shared" si="32"/>
        <v>0.3392</v>
      </c>
      <c r="K310" s="177">
        <f t="shared" si="25"/>
        <v>0</v>
      </c>
      <c r="L310" s="177">
        <f t="shared" si="26"/>
        <v>0</v>
      </c>
      <c r="M310" s="177">
        <f t="shared" si="27"/>
        <v>0</v>
      </c>
    </row>
    <row r="311" spans="1:13">
      <c r="A311" s="268" t="s">
        <v>262</v>
      </c>
      <c r="B311" s="268" t="s">
        <v>1499</v>
      </c>
      <c r="C311" s="268" t="s">
        <v>1500</v>
      </c>
      <c r="D311" s="268">
        <v>280</v>
      </c>
      <c r="E311" s="268">
        <v>0</v>
      </c>
      <c r="F311" s="83">
        <f t="shared" si="28"/>
        <v>280</v>
      </c>
      <c r="G311" s="268">
        <v>102</v>
      </c>
      <c r="H311" s="268">
        <v>0</v>
      </c>
      <c r="I311" s="83">
        <f t="shared" si="31"/>
        <v>102</v>
      </c>
      <c r="J311" s="171">
        <f t="shared" si="32"/>
        <v>0.36430000000000001</v>
      </c>
      <c r="K311" s="177">
        <f t="shared" si="25"/>
        <v>1</v>
      </c>
      <c r="L311" s="177">
        <f t="shared" si="26"/>
        <v>0</v>
      </c>
      <c r="M311" s="177">
        <f t="shared" si="27"/>
        <v>1</v>
      </c>
    </row>
    <row r="312" spans="1:13">
      <c r="A312" s="268" t="s">
        <v>262</v>
      </c>
      <c r="B312" s="268" t="s">
        <v>1501</v>
      </c>
      <c r="C312" s="268" t="s">
        <v>1502</v>
      </c>
      <c r="D312" s="268">
        <v>149</v>
      </c>
      <c r="E312" s="268">
        <v>0</v>
      </c>
      <c r="F312" s="83">
        <f t="shared" si="28"/>
        <v>149</v>
      </c>
      <c r="G312" s="268">
        <v>56</v>
      </c>
      <c r="H312" s="268">
        <v>0</v>
      </c>
      <c r="I312" s="83">
        <f t="shared" si="31"/>
        <v>56</v>
      </c>
      <c r="J312" s="171">
        <f t="shared" si="32"/>
        <v>0.37580000000000002</v>
      </c>
      <c r="K312" s="177">
        <f t="shared" si="25"/>
        <v>1</v>
      </c>
      <c r="L312" s="177">
        <f t="shared" si="26"/>
        <v>0</v>
      </c>
      <c r="M312" s="177">
        <f t="shared" si="27"/>
        <v>1</v>
      </c>
    </row>
    <row r="313" spans="1:13">
      <c r="A313" s="268" t="s">
        <v>263</v>
      </c>
      <c r="B313" s="268" t="s">
        <v>1503</v>
      </c>
      <c r="C313" s="268" t="s">
        <v>1504</v>
      </c>
      <c r="D313" s="268">
        <v>0</v>
      </c>
      <c r="E313" s="268">
        <v>0</v>
      </c>
      <c r="F313" s="83">
        <f t="shared" si="28"/>
        <v>0</v>
      </c>
      <c r="G313" s="268">
        <v>0</v>
      </c>
      <c r="H313" s="268">
        <v>0</v>
      </c>
      <c r="I313" s="83">
        <f t="shared" si="31"/>
        <v>0</v>
      </c>
      <c r="J313" s="171">
        <f t="shared" si="32"/>
        <v>0</v>
      </c>
      <c r="K313" s="177">
        <f t="shared" si="25"/>
        <v>0</v>
      </c>
      <c r="L313" s="177">
        <f t="shared" si="26"/>
        <v>0</v>
      </c>
      <c r="M313" s="177">
        <f t="shared" si="27"/>
        <v>0</v>
      </c>
    </row>
    <row r="314" spans="1:13">
      <c r="A314" s="268" t="s">
        <v>263</v>
      </c>
      <c r="B314" s="268" t="s">
        <v>1505</v>
      </c>
      <c r="C314" s="268" t="s">
        <v>1506</v>
      </c>
      <c r="D314" s="268">
        <v>524</v>
      </c>
      <c r="E314" s="268">
        <v>0</v>
      </c>
      <c r="F314" s="83">
        <f t="shared" si="28"/>
        <v>524</v>
      </c>
      <c r="G314" s="268">
        <v>475</v>
      </c>
      <c r="H314" s="268">
        <v>0</v>
      </c>
      <c r="I314" s="83">
        <f t="shared" si="31"/>
        <v>475</v>
      </c>
      <c r="J314" s="171">
        <f t="shared" si="32"/>
        <v>0.90649999999999997</v>
      </c>
      <c r="K314" s="177">
        <f t="shared" si="25"/>
        <v>0</v>
      </c>
      <c r="L314" s="177">
        <f t="shared" si="26"/>
        <v>49.9</v>
      </c>
      <c r="M314" s="177">
        <f t="shared" si="27"/>
        <v>49.9</v>
      </c>
    </row>
    <row r="315" spans="1:13">
      <c r="A315" s="268" t="s">
        <v>263</v>
      </c>
      <c r="B315" s="268" t="s">
        <v>1507</v>
      </c>
      <c r="C315" s="268" t="s">
        <v>1508</v>
      </c>
      <c r="D315" s="268">
        <v>532</v>
      </c>
      <c r="E315" s="268">
        <v>0</v>
      </c>
      <c r="F315" s="83">
        <f t="shared" si="28"/>
        <v>532</v>
      </c>
      <c r="G315" s="268">
        <v>444</v>
      </c>
      <c r="H315" s="268">
        <v>0</v>
      </c>
      <c r="I315" s="83">
        <f t="shared" si="31"/>
        <v>444</v>
      </c>
      <c r="J315" s="171">
        <f t="shared" si="32"/>
        <v>0.83460000000000001</v>
      </c>
      <c r="K315" s="177">
        <f t="shared" si="25"/>
        <v>0</v>
      </c>
      <c r="L315" s="177">
        <f t="shared" si="26"/>
        <v>46.6</v>
      </c>
      <c r="M315" s="177">
        <f t="shared" si="27"/>
        <v>46.6</v>
      </c>
    </row>
    <row r="316" spans="1:13">
      <c r="A316" s="268" t="s">
        <v>263</v>
      </c>
      <c r="B316" s="268" t="s">
        <v>1509</v>
      </c>
      <c r="C316" s="268" t="s">
        <v>1510</v>
      </c>
      <c r="D316" s="268">
        <v>519</v>
      </c>
      <c r="E316" s="268">
        <v>0</v>
      </c>
      <c r="F316" s="83">
        <f t="shared" si="28"/>
        <v>519</v>
      </c>
      <c r="G316" s="268">
        <v>408</v>
      </c>
      <c r="H316" s="268">
        <v>0</v>
      </c>
      <c r="I316" s="83">
        <f t="shared" si="31"/>
        <v>408</v>
      </c>
      <c r="J316" s="171">
        <f t="shared" si="32"/>
        <v>0.78610000000000002</v>
      </c>
      <c r="K316" s="177">
        <f t="shared" si="25"/>
        <v>0</v>
      </c>
      <c r="L316" s="177">
        <f t="shared" si="26"/>
        <v>42.8</v>
      </c>
      <c r="M316" s="177">
        <f t="shared" si="27"/>
        <v>42.8</v>
      </c>
    </row>
    <row r="317" spans="1:13">
      <c r="A317" s="268" t="s">
        <v>263</v>
      </c>
      <c r="B317" s="268" t="s">
        <v>1511</v>
      </c>
      <c r="C317" s="268" t="s">
        <v>1512</v>
      </c>
      <c r="D317" s="268">
        <v>313</v>
      </c>
      <c r="E317" s="268">
        <v>0</v>
      </c>
      <c r="F317" s="83">
        <f t="shared" si="28"/>
        <v>313</v>
      </c>
      <c r="G317" s="268">
        <v>183</v>
      </c>
      <c r="H317" s="268">
        <v>0</v>
      </c>
      <c r="I317" s="83">
        <f t="shared" si="31"/>
        <v>183</v>
      </c>
      <c r="J317" s="171">
        <f t="shared" si="32"/>
        <v>0.5847</v>
      </c>
      <c r="K317" s="177">
        <f t="shared" si="25"/>
        <v>0</v>
      </c>
      <c r="L317" s="177">
        <f t="shared" si="26"/>
        <v>19.2</v>
      </c>
      <c r="M317" s="177">
        <f t="shared" si="27"/>
        <v>19.2</v>
      </c>
    </row>
    <row r="318" spans="1:13">
      <c r="A318" s="268" t="s">
        <v>263</v>
      </c>
      <c r="B318" s="268" t="s">
        <v>1513</v>
      </c>
      <c r="C318" s="268" t="s">
        <v>1514</v>
      </c>
      <c r="D318" s="268">
        <v>580</v>
      </c>
      <c r="E318" s="268">
        <v>0</v>
      </c>
      <c r="F318" s="83">
        <f t="shared" si="28"/>
        <v>580</v>
      </c>
      <c r="G318" s="268">
        <v>378</v>
      </c>
      <c r="H318" s="268">
        <v>0</v>
      </c>
      <c r="I318" s="83">
        <f t="shared" si="31"/>
        <v>378</v>
      </c>
      <c r="J318" s="171">
        <f t="shared" si="32"/>
        <v>0.65169999999999995</v>
      </c>
      <c r="K318" s="177">
        <f t="shared" si="25"/>
        <v>0</v>
      </c>
      <c r="L318" s="177">
        <f t="shared" si="26"/>
        <v>39.700000000000003</v>
      </c>
      <c r="M318" s="177">
        <f t="shared" si="27"/>
        <v>39.700000000000003</v>
      </c>
    </row>
    <row r="319" spans="1:13">
      <c r="A319" s="268" t="s">
        <v>263</v>
      </c>
      <c r="B319" s="268" t="s">
        <v>1515</v>
      </c>
      <c r="C319" s="268" t="s">
        <v>1516</v>
      </c>
      <c r="D319" s="268">
        <v>411</v>
      </c>
      <c r="E319" s="268">
        <v>0</v>
      </c>
      <c r="F319" s="83">
        <f t="shared" si="28"/>
        <v>411</v>
      </c>
      <c r="G319" s="268">
        <v>274</v>
      </c>
      <c r="H319" s="268">
        <v>0</v>
      </c>
      <c r="I319" s="83">
        <f t="shared" si="31"/>
        <v>274</v>
      </c>
      <c r="J319" s="171">
        <f t="shared" si="32"/>
        <v>0.66669999999999996</v>
      </c>
      <c r="K319" s="177">
        <f t="shared" si="25"/>
        <v>0</v>
      </c>
      <c r="L319" s="177">
        <f t="shared" si="26"/>
        <v>28.8</v>
      </c>
      <c r="M319" s="177">
        <f t="shared" si="27"/>
        <v>28.8</v>
      </c>
    </row>
    <row r="320" spans="1:13">
      <c r="A320" s="268" t="s">
        <v>263</v>
      </c>
      <c r="B320" s="268" t="s">
        <v>1517</v>
      </c>
      <c r="C320" s="268" t="s">
        <v>1518</v>
      </c>
      <c r="D320" s="268">
        <v>384</v>
      </c>
      <c r="E320" s="268">
        <v>0</v>
      </c>
      <c r="F320" s="83">
        <f t="shared" si="28"/>
        <v>384</v>
      </c>
      <c r="G320" s="268">
        <v>320</v>
      </c>
      <c r="H320" s="268">
        <v>0</v>
      </c>
      <c r="I320" s="83">
        <f t="shared" si="31"/>
        <v>320</v>
      </c>
      <c r="J320" s="171">
        <f t="shared" si="32"/>
        <v>0.83330000000000004</v>
      </c>
      <c r="K320" s="177">
        <f t="shared" si="25"/>
        <v>0</v>
      </c>
      <c r="L320" s="177">
        <f t="shared" si="26"/>
        <v>33.6</v>
      </c>
      <c r="M320" s="177">
        <f t="shared" si="27"/>
        <v>33.6</v>
      </c>
    </row>
    <row r="321" spans="1:13">
      <c r="A321" s="268" t="s">
        <v>263</v>
      </c>
      <c r="B321" s="268" t="s">
        <v>1519</v>
      </c>
      <c r="C321" s="268" t="s">
        <v>1520</v>
      </c>
      <c r="D321" s="268">
        <v>527</v>
      </c>
      <c r="E321" s="268">
        <v>0</v>
      </c>
      <c r="F321" s="83">
        <f t="shared" si="28"/>
        <v>527</v>
      </c>
      <c r="G321" s="268">
        <v>450</v>
      </c>
      <c r="H321" s="268">
        <v>0</v>
      </c>
      <c r="I321" s="83">
        <f t="shared" si="31"/>
        <v>450</v>
      </c>
      <c r="J321" s="171">
        <f t="shared" si="32"/>
        <v>0.85389999999999999</v>
      </c>
      <c r="K321" s="177">
        <f t="shared" si="25"/>
        <v>0</v>
      </c>
      <c r="L321" s="177">
        <f t="shared" si="26"/>
        <v>47.3</v>
      </c>
      <c r="M321" s="177">
        <f t="shared" si="27"/>
        <v>47.3</v>
      </c>
    </row>
    <row r="322" spans="1:13">
      <c r="A322" s="268" t="s">
        <v>263</v>
      </c>
      <c r="B322" s="268" t="s">
        <v>1521</v>
      </c>
      <c r="C322" s="268" t="s">
        <v>1522</v>
      </c>
      <c r="D322" s="268">
        <v>398</v>
      </c>
      <c r="E322" s="268">
        <v>0</v>
      </c>
      <c r="F322" s="83">
        <f t="shared" si="28"/>
        <v>398</v>
      </c>
      <c r="G322" s="268">
        <v>260</v>
      </c>
      <c r="H322" s="268">
        <v>0</v>
      </c>
      <c r="I322" s="83">
        <f t="shared" si="31"/>
        <v>260</v>
      </c>
      <c r="J322" s="171">
        <f t="shared" si="32"/>
        <v>0.65329999999999999</v>
      </c>
      <c r="K322" s="177">
        <f t="shared" si="25"/>
        <v>0</v>
      </c>
      <c r="L322" s="177">
        <f t="shared" si="26"/>
        <v>27.3</v>
      </c>
      <c r="M322" s="177">
        <f t="shared" si="27"/>
        <v>27.3</v>
      </c>
    </row>
    <row r="323" spans="1:13" ht="12.75" customHeight="1">
      <c r="A323" s="268" t="s">
        <v>263</v>
      </c>
      <c r="B323" s="268" t="s">
        <v>1523</v>
      </c>
      <c r="C323" s="268" t="s">
        <v>1524</v>
      </c>
      <c r="D323" s="268">
        <v>383</v>
      </c>
      <c r="E323" s="268">
        <v>0</v>
      </c>
      <c r="F323" s="83">
        <f t="shared" si="28"/>
        <v>383</v>
      </c>
      <c r="G323" s="268">
        <v>282</v>
      </c>
      <c r="H323" s="268">
        <v>0</v>
      </c>
      <c r="I323" s="83">
        <f t="shared" si="31"/>
        <v>282</v>
      </c>
      <c r="J323" s="171">
        <f t="shared" si="32"/>
        <v>0.73629999999999995</v>
      </c>
      <c r="K323" s="177">
        <f t="shared" si="25"/>
        <v>0</v>
      </c>
      <c r="L323" s="177">
        <f t="shared" si="26"/>
        <v>29.6</v>
      </c>
      <c r="M323" s="177">
        <f t="shared" si="27"/>
        <v>29.6</v>
      </c>
    </row>
    <row r="324" spans="1:13">
      <c r="A324" s="268" t="s">
        <v>263</v>
      </c>
      <c r="B324" s="268" t="s">
        <v>1525</v>
      </c>
      <c r="C324" s="268" t="s">
        <v>1526</v>
      </c>
      <c r="D324" s="268">
        <v>474</v>
      </c>
      <c r="E324" s="268">
        <v>0</v>
      </c>
      <c r="F324" s="83">
        <f t="shared" si="28"/>
        <v>474</v>
      </c>
      <c r="G324" s="268">
        <v>395</v>
      </c>
      <c r="H324" s="268">
        <v>0</v>
      </c>
      <c r="I324" s="83">
        <f t="shared" si="31"/>
        <v>395</v>
      </c>
      <c r="J324" s="171">
        <f t="shared" si="32"/>
        <v>0.83330000000000004</v>
      </c>
      <c r="K324" s="177">
        <f t="shared" si="25"/>
        <v>0</v>
      </c>
      <c r="L324" s="177">
        <f t="shared" si="26"/>
        <v>41.5</v>
      </c>
      <c r="M324" s="177">
        <f t="shared" si="27"/>
        <v>41.5</v>
      </c>
    </row>
    <row r="325" spans="1:13">
      <c r="A325" s="268" t="s">
        <v>263</v>
      </c>
      <c r="B325" s="268" t="s">
        <v>1527</v>
      </c>
      <c r="C325" s="268" t="s">
        <v>1528</v>
      </c>
      <c r="D325" s="268">
        <v>475</v>
      </c>
      <c r="E325" s="268">
        <v>0</v>
      </c>
      <c r="F325" s="83">
        <f t="shared" si="28"/>
        <v>475</v>
      </c>
      <c r="G325" s="268">
        <v>380</v>
      </c>
      <c r="H325" s="268">
        <v>0</v>
      </c>
      <c r="I325" s="83">
        <f t="shared" si="31"/>
        <v>380</v>
      </c>
      <c r="J325" s="171">
        <f t="shared" si="32"/>
        <v>0.8</v>
      </c>
      <c r="K325" s="177">
        <f t="shared" ref="K325:K388" si="33">IF(AND((J325-35%)&gt;0,J325&lt;50%),I325*(J325-35%)*0.7,0)</f>
        <v>0</v>
      </c>
      <c r="L325" s="177">
        <f t="shared" ref="L325:L388" si="34">IF(J325&gt;=50%,I325*10.5%,0)</f>
        <v>39.9</v>
      </c>
      <c r="M325" s="177">
        <f t="shared" ref="M325:M388" si="35">MAX(K325,L325)</f>
        <v>39.9</v>
      </c>
    </row>
    <row r="326" spans="1:13">
      <c r="A326" s="268" t="s">
        <v>263</v>
      </c>
      <c r="B326" s="268" t="s">
        <v>1529</v>
      </c>
      <c r="C326" s="268" t="s">
        <v>1530</v>
      </c>
      <c r="D326" s="268">
        <v>464</v>
      </c>
      <c r="E326" s="268">
        <v>0</v>
      </c>
      <c r="F326" s="83">
        <f t="shared" ref="F326:F389" si="36">SUM(D326+E326)</f>
        <v>464</v>
      </c>
      <c r="G326" s="268">
        <v>212</v>
      </c>
      <c r="H326" s="268">
        <v>0</v>
      </c>
      <c r="I326" s="83">
        <f t="shared" si="31"/>
        <v>212</v>
      </c>
      <c r="J326" s="171">
        <f t="shared" si="32"/>
        <v>0.45689999999999997</v>
      </c>
      <c r="K326" s="177">
        <f t="shared" si="33"/>
        <v>15.9</v>
      </c>
      <c r="L326" s="177">
        <f t="shared" si="34"/>
        <v>0</v>
      </c>
      <c r="M326" s="177">
        <f t="shared" si="35"/>
        <v>15.9</v>
      </c>
    </row>
    <row r="327" spans="1:13">
      <c r="A327" s="268" t="s">
        <v>263</v>
      </c>
      <c r="B327" s="268" t="s">
        <v>1531</v>
      </c>
      <c r="C327" s="268" t="s">
        <v>1532</v>
      </c>
      <c r="D327" s="268">
        <v>346</v>
      </c>
      <c r="E327" s="268">
        <v>0</v>
      </c>
      <c r="F327" s="83">
        <f t="shared" si="36"/>
        <v>346</v>
      </c>
      <c r="G327" s="268">
        <v>276</v>
      </c>
      <c r="H327" s="268">
        <v>0</v>
      </c>
      <c r="I327" s="83">
        <f t="shared" si="31"/>
        <v>276</v>
      </c>
      <c r="J327" s="171">
        <f t="shared" si="32"/>
        <v>0.79769999999999996</v>
      </c>
      <c r="K327" s="177">
        <f t="shared" si="33"/>
        <v>0</v>
      </c>
      <c r="L327" s="177">
        <f t="shared" si="34"/>
        <v>29</v>
      </c>
      <c r="M327" s="177">
        <f t="shared" si="35"/>
        <v>29</v>
      </c>
    </row>
    <row r="328" spans="1:13" ht="12.75" customHeight="1">
      <c r="A328" s="268" t="s">
        <v>263</v>
      </c>
      <c r="B328" s="268" t="s">
        <v>1533</v>
      </c>
      <c r="C328" s="268" t="s">
        <v>1534</v>
      </c>
      <c r="D328" s="268">
        <v>260</v>
      </c>
      <c r="E328" s="268">
        <v>0</v>
      </c>
      <c r="F328" s="83">
        <f t="shared" si="36"/>
        <v>260</v>
      </c>
      <c r="G328" s="268">
        <v>156</v>
      </c>
      <c r="H328" s="268">
        <v>0</v>
      </c>
      <c r="I328" s="83">
        <f t="shared" si="31"/>
        <v>156</v>
      </c>
      <c r="J328" s="171">
        <f t="shared" si="32"/>
        <v>0.6</v>
      </c>
      <c r="K328" s="177">
        <f t="shared" si="33"/>
        <v>0</v>
      </c>
      <c r="L328" s="177">
        <f t="shared" si="34"/>
        <v>16.399999999999999</v>
      </c>
      <c r="M328" s="177">
        <f t="shared" si="35"/>
        <v>16.399999999999999</v>
      </c>
    </row>
    <row r="329" spans="1:13">
      <c r="A329" s="268" t="s">
        <v>263</v>
      </c>
      <c r="B329" s="268" t="s">
        <v>1535</v>
      </c>
      <c r="C329" s="268" t="s">
        <v>1536</v>
      </c>
      <c r="D329" s="268">
        <v>116</v>
      </c>
      <c r="E329" s="268">
        <v>0</v>
      </c>
      <c r="F329" s="83">
        <f t="shared" si="36"/>
        <v>116</v>
      </c>
      <c r="G329" s="268">
        <v>2</v>
      </c>
      <c r="H329" s="268">
        <v>0</v>
      </c>
      <c r="I329" s="83">
        <f t="shared" si="31"/>
        <v>2</v>
      </c>
      <c r="J329" s="171">
        <f t="shared" si="32"/>
        <v>1.72E-2</v>
      </c>
      <c r="K329" s="177">
        <f t="shared" si="33"/>
        <v>0</v>
      </c>
      <c r="L329" s="177">
        <f t="shared" si="34"/>
        <v>0</v>
      </c>
      <c r="M329" s="177">
        <f t="shared" si="35"/>
        <v>0</v>
      </c>
    </row>
    <row r="330" spans="1:13">
      <c r="A330" s="268" t="s">
        <v>263</v>
      </c>
      <c r="B330" s="268" t="s">
        <v>1537</v>
      </c>
      <c r="C330" s="268" t="s">
        <v>1538</v>
      </c>
      <c r="D330" s="268">
        <v>597</v>
      </c>
      <c r="E330" s="268">
        <v>0</v>
      </c>
      <c r="F330" s="83">
        <f t="shared" si="36"/>
        <v>597</v>
      </c>
      <c r="G330" s="268">
        <v>512</v>
      </c>
      <c r="H330" s="268">
        <v>0</v>
      </c>
      <c r="I330" s="83">
        <f t="shared" si="31"/>
        <v>512</v>
      </c>
      <c r="J330" s="171">
        <f t="shared" si="32"/>
        <v>0.85760000000000003</v>
      </c>
      <c r="K330" s="177">
        <f t="shared" si="33"/>
        <v>0</v>
      </c>
      <c r="L330" s="177">
        <f t="shared" si="34"/>
        <v>53.8</v>
      </c>
      <c r="M330" s="177">
        <f t="shared" si="35"/>
        <v>53.8</v>
      </c>
    </row>
    <row r="331" spans="1:13">
      <c r="A331" s="268" t="s">
        <v>263</v>
      </c>
      <c r="B331" s="268" t="s">
        <v>1539</v>
      </c>
      <c r="C331" s="268" t="s">
        <v>1540</v>
      </c>
      <c r="D331" s="268">
        <v>432</v>
      </c>
      <c r="E331" s="268">
        <v>0</v>
      </c>
      <c r="F331" s="83">
        <f t="shared" si="36"/>
        <v>432</v>
      </c>
      <c r="G331" s="268">
        <v>250</v>
      </c>
      <c r="H331" s="268">
        <v>0</v>
      </c>
      <c r="I331" s="83">
        <f t="shared" si="31"/>
        <v>250</v>
      </c>
      <c r="J331" s="171">
        <f t="shared" si="32"/>
        <v>0.57869999999999999</v>
      </c>
      <c r="K331" s="177">
        <f t="shared" si="33"/>
        <v>0</v>
      </c>
      <c r="L331" s="177">
        <f t="shared" si="34"/>
        <v>26.3</v>
      </c>
      <c r="M331" s="177">
        <f t="shared" si="35"/>
        <v>26.3</v>
      </c>
    </row>
    <row r="332" spans="1:13">
      <c r="A332" s="268" t="s">
        <v>263</v>
      </c>
      <c r="B332" s="268" t="s">
        <v>1541</v>
      </c>
      <c r="C332" s="268" t="s">
        <v>1542</v>
      </c>
      <c r="D332" s="268">
        <v>656</v>
      </c>
      <c r="E332" s="268">
        <v>0</v>
      </c>
      <c r="F332" s="83">
        <f t="shared" si="36"/>
        <v>656</v>
      </c>
      <c r="G332" s="268">
        <v>592</v>
      </c>
      <c r="H332" s="268">
        <v>0</v>
      </c>
      <c r="I332" s="83">
        <f t="shared" si="31"/>
        <v>592</v>
      </c>
      <c r="J332" s="171">
        <f t="shared" si="32"/>
        <v>0.90239999999999998</v>
      </c>
      <c r="K332" s="177">
        <f t="shared" si="33"/>
        <v>0</v>
      </c>
      <c r="L332" s="177">
        <f t="shared" si="34"/>
        <v>62.2</v>
      </c>
      <c r="M332" s="177">
        <f t="shared" si="35"/>
        <v>62.2</v>
      </c>
    </row>
    <row r="333" spans="1:13">
      <c r="A333" s="268" t="s">
        <v>263</v>
      </c>
      <c r="B333" s="268" t="s">
        <v>1543</v>
      </c>
      <c r="C333" s="268" t="s">
        <v>1544</v>
      </c>
      <c r="D333" s="268">
        <v>411</v>
      </c>
      <c r="E333" s="268">
        <v>0</v>
      </c>
      <c r="F333" s="83">
        <f t="shared" si="36"/>
        <v>411</v>
      </c>
      <c r="G333" s="268">
        <v>196</v>
      </c>
      <c r="H333" s="268">
        <v>0</v>
      </c>
      <c r="I333" s="83">
        <f t="shared" si="31"/>
        <v>196</v>
      </c>
      <c r="J333" s="171">
        <f t="shared" si="32"/>
        <v>0.47689999999999999</v>
      </c>
      <c r="K333" s="177">
        <f t="shared" si="33"/>
        <v>17.399999999999999</v>
      </c>
      <c r="L333" s="177">
        <f t="shared" si="34"/>
        <v>0</v>
      </c>
      <c r="M333" s="177">
        <f t="shared" si="35"/>
        <v>17.399999999999999</v>
      </c>
    </row>
    <row r="334" spans="1:13">
      <c r="A334" s="268" t="s">
        <v>263</v>
      </c>
      <c r="B334" s="268" t="s">
        <v>1545</v>
      </c>
      <c r="C334" s="268" t="s">
        <v>1546</v>
      </c>
      <c r="D334" s="268">
        <v>454</v>
      </c>
      <c r="E334" s="268">
        <v>0</v>
      </c>
      <c r="F334" s="83">
        <f t="shared" si="36"/>
        <v>454</v>
      </c>
      <c r="G334" s="268">
        <v>361</v>
      </c>
      <c r="H334" s="268">
        <v>0</v>
      </c>
      <c r="I334" s="83">
        <f t="shared" si="31"/>
        <v>361</v>
      </c>
      <c r="J334" s="171">
        <f t="shared" si="32"/>
        <v>0.79520000000000002</v>
      </c>
      <c r="K334" s="177">
        <f t="shared" si="33"/>
        <v>0</v>
      </c>
      <c r="L334" s="177">
        <f t="shared" si="34"/>
        <v>37.9</v>
      </c>
      <c r="M334" s="177">
        <f t="shared" si="35"/>
        <v>37.9</v>
      </c>
    </row>
    <row r="335" spans="1:13">
      <c r="A335" s="268" t="s">
        <v>263</v>
      </c>
      <c r="B335" s="268" t="s">
        <v>1547</v>
      </c>
      <c r="C335" s="268" t="s">
        <v>1548</v>
      </c>
      <c r="D335" s="268">
        <v>559</v>
      </c>
      <c r="E335" s="268">
        <v>0</v>
      </c>
      <c r="F335" s="83">
        <f t="shared" si="36"/>
        <v>559</v>
      </c>
      <c r="G335" s="268">
        <v>380</v>
      </c>
      <c r="H335" s="268">
        <v>0</v>
      </c>
      <c r="I335" s="83">
        <f t="shared" si="31"/>
        <v>380</v>
      </c>
      <c r="J335" s="171">
        <f t="shared" si="32"/>
        <v>0.67979999999999996</v>
      </c>
      <c r="K335" s="177">
        <f t="shared" si="33"/>
        <v>0</v>
      </c>
      <c r="L335" s="177">
        <f t="shared" si="34"/>
        <v>39.9</v>
      </c>
      <c r="M335" s="177">
        <f t="shared" si="35"/>
        <v>39.9</v>
      </c>
    </row>
    <row r="336" spans="1:13">
      <c r="A336" s="268" t="s">
        <v>263</v>
      </c>
      <c r="B336" s="268" t="s">
        <v>1549</v>
      </c>
      <c r="C336" s="268" t="s">
        <v>1550</v>
      </c>
      <c r="D336" s="268">
        <v>392</v>
      </c>
      <c r="E336" s="268">
        <v>0</v>
      </c>
      <c r="F336" s="83">
        <f t="shared" si="36"/>
        <v>392</v>
      </c>
      <c r="G336" s="268">
        <v>320</v>
      </c>
      <c r="H336" s="268">
        <v>0</v>
      </c>
      <c r="I336" s="83">
        <f t="shared" si="31"/>
        <v>320</v>
      </c>
      <c r="J336" s="171">
        <f t="shared" si="32"/>
        <v>0.81630000000000003</v>
      </c>
      <c r="K336" s="177">
        <f t="shared" si="33"/>
        <v>0</v>
      </c>
      <c r="L336" s="177">
        <f t="shared" si="34"/>
        <v>33.6</v>
      </c>
      <c r="M336" s="177">
        <f t="shared" si="35"/>
        <v>33.6</v>
      </c>
    </row>
    <row r="337" spans="1:13">
      <c r="A337" s="268" t="s">
        <v>263</v>
      </c>
      <c r="B337" s="268" t="s">
        <v>1551</v>
      </c>
      <c r="C337" s="268" t="s">
        <v>1552</v>
      </c>
      <c r="D337" s="268">
        <v>926</v>
      </c>
      <c r="E337" s="268">
        <v>0</v>
      </c>
      <c r="F337" s="83">
        <f t="shared" si="36"/>
        <v>926</v>
      </c>
      <c r="G337" s="268">
        <v>313</v>
      </c>
      <c r="H337" s="268">
        <v>0</v>
      </c>
      <c r="I337" s="83">
        <f t="shared" si="31"/>
        <v>313</v>
      </c>
      <c r="J337" s="171">
        <f t="shared" si="32"/>
        <v>0.33800000000000002</v>
      </c>
      <c r="K337" s="177">
        <f t="shared" si="33"/>
        <v>0</v>
      </c>
      <c r="L337" s="177">
        <f t="shared" si="34"/>
        <v>0</v>
      </c>
      <c r="M337" s="177">
        <f t="shared" si="35"/>
        <v>0</v>
      </c>
    </row>
    <row r="338" spans="1:13">
      <c r="A338" s="268" t="s">
        <v>263</v>
      </c>
      <c r="B338" s="268" t="s">
        <v>3604</v>
      </c>
      <c r="C338" s="268" t="s">
        <v>3605</v>
      </c>
      <c r="D338" s="268">
        <v>61</v>
      </c>
      <c r="E338" s="268">
        <v>0</v>
      </c>
      <c r="F338" s="83">
        <f t="shared" si="36"/>
        <v>61</v>
      </c>
      <c r="G338" s="268">
        <v>53</v>
      </c>
      <c r="H338" s="268">
        <v>0</v>
      </c>
      <c r="I338" s="83">
        <f t="shared" si="31"/>
        <v>53</v>
      </c>
      <c r="J338" s="171">
        <f t="shared" si="32"/>
        <v>0.86890000000000001</v>
      </c>
      <c r="K338" s="177">
        <f t="shared" si="33"/>
        <v>0</v>
      </c>
      <c r="L338" s="177">
        <f t="shared" si="34"/>
        <v>5.6</v>
      </c>
      <c r="M338" s="177">
        <f t="shared" si="35"/>
        <v>5.6</v>
      </c>
    </row>
    <row r="339" spans="1:13">
      <c r="A339" s="268" t="s">
        <v>263</v>
      </c>
      <c r="B339" s="268" t="s">
        <v>1553</v>
      </c>
      <c r="C339" s="268" t="s">
        <v>1554</v>
      </c>
      <c r="D339" s="268">
        <v>377</v>
      </c>
      <c r="E339" s="268">
        <v>0</v>
      </c>
      <c r="F339" s="83">
        <f t="shared" si="36"/>
        <v>377</v>
      </c>
      <c r="G339" s="268">
        <v>295</v>
      </c>
      <c r="H339" s="268">
        <v>0</v>
      </c>
      <c r="I339" s="83">
        <f t="shared" si="31"/>
        <v>295</v>
      </c>
      <c r="J339" s="171">
        <f t="shared" si="32"/>
        <v>0.78249999999999997</v>
      </c>
      <c r="K339" s="177">
        <f t="shared" si="33"/>
        <v>0</v>
      </c>
      <c r="L339" s="177">
        <f t="shared" si="34"/>
        <v>31</v>
      </c>
      <c r="M339" s="177">
        <f t="shared" si="35"/>
        <v>31</v>
      </c>
    </row>
    <row r="340" spans="1:13">
      <c r="A340" s="268" t="s">
        <v>263</v>
      </c>
      <c r="B340" s="268" t="s">
        <v>1555</v>
      </c>
      <c r="C340" s="268" t="s">
        <v>1556</v>
      </c>
      <c r="D340" s="268">
        <v>444</v>
      </c>
      <c r="E340" s="268">
        <v>0</v>
      </c>
      <c r="F340" s="83">
        <f t="shared" si="36"/>
        <v>444</v>
      </c>
      <c r="G340" s="268">
        <v>308</v>
      </c>
      <c r="H340" s="268">
        <v>0</v>
      </c>
      <c r="I340" s="83">
        <f t="shared" si="31"/>
        <v>308</v>
      </c>
      <c r="J340" s="171">
        <f t="shared" si="32"/>
        <v>0.69369999999999998</v>
      </c>
      <c r="K340" s="177">
        <f t="shared" si="33"/>
        <v>0</v>
      </c>
      <c r="L340" s="177">
        <f t="shared" si="34"/>
        <v>32.299999999999997</v>
      </c>
      <c r="M340" s="177">
        <f t="shared" si="35"/>
        <v>32.299999999999997</v>
      </c>
    </row>
    <row r="341" spans="1:13">
      <c r="A341" s="268" t="s">
        <v>263</v>
      </c>
      <c r="B341" s="268" t="s">
        <v>1557</v>
      </c>
      <c r="C341" s="268" t="s">
        <v>1558</v>
      </c>
      <c r="D341" s="268">
        <v>541</v>
      </c>
      <c r="E341" s="268">
        <v>0</v>
      </c>
      <c r="F341" s="83">
        <f t="shared" si="36"/>
        <v>541</v>
      </c>
      <c r="G341" s="268">
        <v>478</v>
      </c>
      <c r="H341" s="268">
        <v>0</v>
      </c>
      <c r="I341" s="83">
        <f t="shared" si="31"/>
        <v>478</v>
      </c>
      <c r="J341" s="171">
        <f t="shared" si="32"/>
        <v>0.88349999999999995</v>
      </c>
      <c r="K341" s="177">
        <f t="shared" si="33"/>
        <v>0</v>
      </c>
      <c r="L341" s="177">
        <f t="shared" si="34"/>
        <v>50.2</v>
      </c>
      <c r="M341" s="177">
        <f t="shared" si="35"/>
        <v>50.2</v>
      </c>
    </row>
    <row r="342" spans="1:13" ht="12.75" customHeight="1">
      <c r="A342" s="268" t="s">
        <v>263</v>
      </c>
      <c r="B342" s="268" t="s">
        <v>1559</v>
      </c>
      <c r="C342" s="268" t="s">
        <v>1560</v>
      </c>
      <c r="D342" s="268">
        <v>36</v>
      </c>
      <c r="E342" s="268">
        <v>0</v>
      </c>
      <c r="F342" s="83">
        <f t="shared" si="36"/>
        <v>36</v>
      </c>
      <c r="G342" s="268">
        <v>35</v>
      </c>
      <c r="H342" s="268">
        <v>0</v>
      </c>
      <c r="I342" s="83">
        <f t="shared" si="31"/>
        <v>35</v>
      </c>
      <c r="J342" s="171">
        <f t="shared" si="32"/>
        <v>0.97219999999999995</v>
      </c>
      <c r="K342" s="177">
        <f t="shared" si="33"/>
        <v>0</v>
      </c>
      <c r="L342" s="177">
        <f t="shared" si="34"/>
        <v>3.7</v>
      </c>
      <c r="M342" s="177">
        <f t="shared" si="35"/>
        <v>3.7</v>
      </c>
    </row>
    <row r="343" spans="1:13">
      <c r="A343" s="268" t="s">
        <v>263</v>
      </c>
      <c r="B343" s="268" t="s">
        <v>1561</v>
      </c>
      <c r="C343" s="268" t="s">
        <v>1562</v>
      </c>
      <c r="D343" s="268">
        <v>502</v>
      </c>
      <c r="E343" s="268">
        <v>0</v>
      </c>
      <c r="F343" s="83">
        <f t="shared" si="36"/>
        <v>502</v>
      </c>
      <c r="G343" s="268">
        <v>371</v>
      </c>
      <c r="H343" s="268">
        <v>0</v>
      </c>
      <c r="I343" s="83">
        <f t="shared" si="31"/>
        <v>371</v>
      </c>
      <c r="J343" s="171">
        <f t="shared" si="32"/>
        <v>0.73899999999999999</v>
      </c>
      <c r="K343" s="177">
        <f t="shared" si="33"/>
        <v>0</v>
      </c>
      <c r="L343" s="177">
        <f t="shared" si="34"/>
        <v>39</v>
      </c>
      <c r="M343" s="177">
        <f t="shared" si="35"/>
        <v>39</v>
      </c>
    </row>
    <row r="344" spans="1:13" ht="12.75" customHeight="1">
      <c r="A344" s="268" t="s">
        <v>263</v>
      </c>
      <c r="B344" s="268" t="s">
        <v>1563</v>
      </c>
      <c r="C344" s="268" t="s">
        <v>1564</v>
      </c>
      <c r="D344" s="268">
        <v>414</v>
      </c>
      <c r="E344" s="268">
        <v>0</v>
      </c>
      <c r="F344" s="83">
        <f t="shared" si="36"/>
        <v>414</v>
      </c>
      <c r="G344" s="268">
        <v>193</v>
      </c>
      <c r="H344" s="268">
        <v>0</v>
      </c>
      <c r="I344" s="83">
        <f t="shared" si="31"/>
        <v>193</v>
      </c>
      <c r="J344" s="171">
        <f t="shared" si="32"/>
        <v>0.4662</v>
      </c>
      <c r="K344" s="177">
        <f t="shared" si="33"/>
        <v>15.7</v>
      </c>
      <c r="L344" s="177">
        <f t="shared" si="34"/>
        <v>0</v>
      </c>
      <c r="M344" s="177">
        <f t="shared" si="35"/>
        <v>15.7</v>
      </c>
    </row>
    <row r="345" spans="1:13">
      <c r="A345" s="268" t="s">
        <v>263</v>
      </c>
      <c r="B345" s="268" t="s">
        <v>1565</v>
      </c>
      <c r="C345" s="268" t="s">
        <v>1566</v>
      </c>
      <c r="D345" s="268">
        <v>425</v>
      </c>
      <c r="E345" s="268">
        <v>0</v>
      </c>
      <c r="F345" s="83">
        <f t="shared" si="36"/>
        <v>425</v>
      </c>
      <c r="G345" s="268">
        <v>381</v>
      </c>
      <c r="H345" s="268">
        <v>0</v>
      </c>
      <c r="I345" s="83">
        <f t="shared" si="31"/>
        <v>381</v>
      </c>
      <c r="J345" s="171">
        <f t="shared" si="32"/>
        <v>0.89649999999999996</v>
      </c>
      <c r="K345" s="177">
        <f t="shared" si="33"/>
        <v>0</v>
      </c>
      <c r="L345" s="177">
        <f t="shared" si="34"/>
        <v>40</v>
      </c>
      <c r="M345" s="177">
        <f t="shared" si="35"/>
        <v>40</v>
      </c>
    </row>
    <row r="346" spans="1:13" ht="12.75" customHeight="1">
      <c r="A346" s="268" t="s">
        <v>263</v>
      </c>
      <c r="B346" s="268" t="s">
        <v>1567</v>
      </c>
      <c r="C346" s="268" t="s">
        <v>1568</v>
      </c>
      <c r="D346" s="268">
        <v>291</v>
      </c>
      <c r="E346" s="268">
        <v>0</v>
      </c>
      <c r="F346" s="83">
        <f t="shared" si="36"/>
        <v>291</v>
      </c>
      <c r="G346" s="268">
        <v>85</v>
      </c>
      <c r="H346" s="268">
        <v>0</v>
      </c>
      <c r="I346" s="83">
        <f t="shared" si="31"/>
        <v>85</v>
      </c>
      <c r="J346" s="171">
        <f t="shared" si="32"/>
        <v>0.29210000000000003</v>
      </c>
      <c r="K346" s="177">
        <f t="shared" si="33"/>
        <v>0</v>
      </c>
      <c r="L346" s="177">
        <f t="shared" si="34"/>
        <v>0</v>
      </c>
      <c r="M346" s="177">
        <f t="shared" si="35"/>
        <v>0</v>
      </c>
    </row>
    <row r="347" spans="1:13">
      <c r="A347" s="268" t="s">
        <v>263</v>
      </c>
      <c r="B347" s="268" t="s">
        <v>1569</v>
      </c>
      <c r="C347" s="268" t="s">
        <v>1570</v>
      </c>
      <c r="D347" s="268">
        <v>465</v>
      </c>
      <c r="E347" s="268">
        <v>0</v>
      </c>
      <c r="F347" s="83">
        <f t="shared" si="36"/>
        <v>465</v>
      </c>
      <c r="G347" s="268">
        <v>434</v>
      </c>
      <c r="H347" s="268">
        <v>0</v>
      </c>
      <c r="I347" s="83">
        <f t="shared" si="31"/>
        <v>434</v>
      </c>
      <c r="J347" s="171">
        <f t="shared" si="32"/>
        <v>0.93330000000000002</v>
      </c>
      <c r="K347" s="177">
        <f t="shared" si="33"/>
        <v>0</v>
      </c>
      <c r="L347" s="177">
        <f t="shared" si="34"/>
        <v>45.6</v>
      </c>
      <c r="M347" s="177">
        <f t="shared" si="35"/>
        <v>45.6</v>
      </c>
    </row>
    <row r="348" spans="1:13">
      <c r="A348" s="268" t="s">
        <v>263</v>
      </c>
      <c r="B348" s="268" t="s">
        <v>1571</v>
      </c>
      <c r="C348" s="268" t="s">
        <v>1572</v>
      </c>
      <c r="D348" s="268">
        <v>420</v>
      </c>
      <c r="E348" s="268">
        <v>0</v>
      </c>
      <c r="F348" s="83">
        <f t="shared" si="36"/>
        <v>420</v>
      </c>
      <c r="G348" s="268">
        <v>358</v>
      </c>
      <c r="H348" s="268">
        <v>0</v>
      </c>
      <c r="I348" s="83">
        <f t="shared" si="31"/>
        <v>358</v>
      </c>
      <c r="J348" s="171">
        <f t="shared" si="32"/>
        <v>0.85240000000000005</v>
      </c>
      <c r="K348" s="177">
        <f t="shared" si="33"/>
        <v>0</v>
      </c>
      <c r="L348" s="177">
        <f t="shared" si="34"/>
        <v>37.6</v>
      </c>
      <c r="M348" s="177">
        <f t="shared" si="35"/>
        <v>37.6</v>
      </c>
    </row>
    <row r="349" spans="1:13">
      <c r="A349" s="268" t="s">
        <v>263</v>
      </c>
      <c r="B349" s="268" t="s">
        <v>1573</v>
      </c>
      <c r="C349" s="268" t="s">
        <v>1574</v>
      </c>
      <c r="D349" s="268">
        <v>567</v>
      </c>
      <c r="E349" s="268">
        <v>0</v>
      </c>
      <c r="F349" s="83">
        <f t="shared" si="36"/>
        <v>567</v>
      </c>
      <c r="G349" s="268">
        <v>174</v>
      </c>
      <c r="H349" s="268">
        <v>0</v>
      </c>
      <c r="I349" s="83">
        <f t="shared" si="31"/>
        <v>174</v>
      </c>
      <c r="J349" s="171">
        <f t="shared" si="32"/>
        <v>0.30690000000000001</v>
      </c>
      <c r="K349" s="177">
        <f t="shared" si="33"/>
        <v>0</v>
      </c>
      <c r="L349" s="177">
        <f t="shared" si="34"/>
        <v>0</v>
      </c>
      <c r="M349" s="177">
        <f t="shared" si="35"/>
        <v>0</v>
      </c>
    </row>
    <row r="350" spans="1:13">
      <c r="A350" s="268" t="s">
        <v>263</v>
      </c>
      <c r="B350" s="268" t="s">
        <v>1575</v>
      </c>
      <c r="C350" s="268" t="s">
        <v>1488</v>
      </c>
      <c r="D350" s="268">
        <v>448</v>
      </c>
      <c r="E350" s="268">
        <v>0</v>
      </c>
      <c r="F350" s="83">
        <f t="shared" si="36"/>
        <v>448</v>
      </c>
      <c r="G350" s="268">
        <v>393</v>
      </c>
      <c r="H350" s="268">
        <v>0</v>
      </c>
      <c r="I350" s="83">
        <f t="shared" si="31"/>
        <v>393</v>
      </c>
      <c r="J350" s="171">
        <f t="shared" si="32"/>
        <v>0.87719999999999998</v>
      </c>
      <c r="K350" s="177">
        <f t="shared" si="33"/>
        <v>0</v>
      </c>
      <c r="L350" s="177">
        <f t="shared" si="34"/>
        <v>41.3</v>
      </c>
      <c r="M350" s="177">
        <f t="shared" si="35"/>
        <v>41.3</v>
      </c>
    </row>
    <row r="351" spans="1:13">
      <c r="A351" s="268" t="s">
        <v>263</v>
      </c>
      <c r="B351" s="268" t="s">
        <v>1576</v>
      </c>
      <c r="C351" s="268" t="s">
        <v>1577</v>
      </c>
      <c r="D351" s="268">
        <v>468</v>
      </c>
      <c r="E351" s="268">
        <v>0</v>
      </c>
      <c r="F351" s="83">
        <f t="shared" si="36"/>
        <v>468</v>
      </c>
      <c r="G351" s="268">
        <v>329</v>
      </c>
      <c r="H351" s="268">
        <v>0</v>
      </c>
      <c r="I351" s="83">
        <f t="shared" si="31"/>
        <v>329</v>
      </c>
      <c r="J351" s="171">
        <f t="shared" si="32"/>
        <v>0.70299999999999996</v>
      </c>
      <c r="K351" s="177">
        <f t="shared" si="33"/>
        <v>0</v>
      </c>
      <c r="L351" s="177">
        <f t="shared" si="34"/>
        <v>34.5</v>
      </c>
      <c r="M351" s="177">
        <f t="shared" si="35"/>
        <v>34.5</v>
      </c>
    </row>
    <row r="352" spans="1:13">
      <c r="A352" s="268" t="s">
        <v>263</v>
      </c>
      <c r="B352" s="268" t="s">
        <v>1578</v>
      </c>
      <c r="C352" s="268" t="s">
        <v>1579</v>
      </c>
      <c r="D352" s="268">
        <v>543</v>
      </c>
      <c r="E352" s="268">
        <v>0</v>
      </c>
      <c r="F352" s="83">
        <f t="shared" si="36"/>
        <v>543</v>
      </c>
      <c r="G352" s="268">
        <v>315</v>
      </c>
      <c r="H352" s="268">
        <v>0</v>
      </c>
      <c r="I352" s="83">
        <f t="shared" si="31"/>
        <v>315</v>
      </c>
      <c r="J352" s="171">
        <f t="shared" si="32"/>
        <v>0.58009999999999995</v>
      </c>
      <c r="K352" s="177">
        <f t="shared" si="33"/>
        <v>0</v>
      </c>
      <c r="L352" s="177">
        <f t="shared" si="34"/>
        <v>33.1</v>
      </c>
      <c r="M352" s="177">
        <f t="shared" si="35"/>
        <v>33.1</v>
      </c>
    </row>
    <row r="353" spans="1:13">
      <c r="A353" s="268" t="s">
        <v>263</v>
      </c>
      <c r="B353" s="268" t="s">
        <v>1580</v>
      </c>
      <c r="C353" s="268" t="s">
        <v>1581</v>
      </c>
      <c r="D353" s="268">
        <v>265</v>
      </c>
      <c r="E353" s="268">
        <v>0</v>
      </c>
      <c r="F353" s="83">
        <f t="shared" si="36"/>
        <v>265</v>
      </c>
      <c r="G353" s="268">
        <v>76</v>
      </c>
      <c r="H353" s="268">
        <v>0</v>
      </c>
      <c r="I353" s="83">
        <f t="shared" si="31"/>
        <v>76</v>
      </c>
      <c r="J353" s="171">
        <f t="shared" si="32"/>
        <v>0.2868</v>
      </c>
      <c r="K353" s="177">
        <f t="shared" si="33"/>
        <v>0</v>
      </c>
      <c r="L353" s="177">
        <f t="shared" si="34"/>
        <v>0</v>
      </c>
      <c r="M353" s="177">
        <f t="shared" si="35"/>
        <v>0</v>
      </c>
    </row>
    <row r="354" spans="1:13">
      <c r="A354" s="268" t="s">
        <v>263</v>
      </c>
      <c r="B354" s="268" t="s">
        <v>1582</v>
      </c>
      <c r="C354" s="268" t="s">
        <v>1583</v>
      </c>
      <c r="D354" s="268">
        <v>393</v>
      </c>
      <c r="E354" s="268">
        <v>0</v>
      </c>
      <c r="F354" s="83">
        <f t="shared" si="36"/>
        <v>393</v>
      </c>
      <c r="G354" s="268">
        <v>261</v>
      </c>
      <c r="H354" s="268">
        <v>0</v>
      </c>
      <c r="I354" s="83">
        <f t="shared" si="31"/>
        <v>261</v>
      </c>
      <c r="J354" s="171">
        <f t="shared" si="32"/>
        <v>0.66410000000000002</v>
      </c>
      <c r="K354" s="177">
        <f t="shared" si="33"/>
        <v>0</v>
      </c>
      <c r="L354" s="177">
        <f t="shared" si="34"/>
        <v>27.4</v>
      </c>
      <c r="M354" s="177">
        <f t="shared" si="35"/>
        <v>27.4</v>
      </c>
    </row>
    <row r="355" spans="1:13">
      <c r="A355" s="268" t="s">
        <v>263</v>
      </c>
      <c r="B355" s="268" t="s">
        <v>1584</v>
      </c>
      <c r="C355" s="268" t="s">
        <v>1585</v>
      </c>
      <c r="D355" s="268">
        <v>447</v>
      </c>
      <c r="E355" s="268">
        <v>0</v>
      </c>
      <c r="F355" s="83">
        <f t="shared" si="36"/>
        <v>447</v>
      </c>
      <c r="G355" s="268">
        <v>348</v>
      </c>
      <c r="H355" s="268">
        <v>0</v>
      </c>
      <c r="I355" s="83">
        <f t="shared" ref="I355:I418" si="37">SUM(G355+H355)</f>
        <v>348</v>
      </c>
      <c r="J355" s="171">
        <f t="shared" ref="J355:J418" si="38">IF(ISERROR(I355/F355),0,I355/F355)</f>
        <v>0.77849999999999997</v>
      </c>
      <c r="K355" s="177">
        <f t="shared" si="33"/>
        <v>0</v>
      </c>
      <c r="L355" s="177">
        <f t="shared" si="34"/>
        <v>36.5</v>
      </c>
      <c r="M355" s="177">
        <f t="shared" si="35"/>
        <v>36.5</v>
      </c>
    </row>
    <row r="356" spans="1:13">
      <c r="A356" s="268" t="s">
        <v>263</v>
      </c>
      <c r="B356" s="268" t="s">
        <v>1586</v>
      </c>
      <c r="C356" s="268" t="s">
        <v>1587</v>
      </c>
      <c r="D356" s="268">
        <v>78</v>
      </c>
      <c r="E356" s="268">
        <v>0</v>
      </c>
      <c r="F356" s="83">
        <f t="shared" si="36"/>
        <v>78</v>
      </c>
      <c r="G356" s="268">
        <v>54</v>
      </c>
      <c r="H356" s="268">
        <v>0</v>
      </c>
      <c r="I356" s="83">
        <f t="shared" si="37"/>
        <v>54</v>
      </c>
      <c r="J356" s="171">
        <f t="shared" si="38"/>
        <v>0.69230000000000003</v>
      </c>
      <c r="K356" s="177">
        <f t="shared" si="33"/>
        <v>0</v>
      </c>
      <c r="L356" s="177">
        <f t="shared" si="34"/>
        <v>5.7</v>
      </c>
      <c r="M356" s="177">
        <f t="shared" si="35"/>
        <v>5.7</v>
      </c>
    </row>
    <row r="357" spans="1:13">
      <c r="A357" s="268" t="s">
        <v>263</v>
      </c>
      <c r="B357" s="268" t="s">
        <v>1588</v>
      </c>
      <c r="C357" s="268" t="s">
        <v>1589</v>
      </c>
      <c r="D357" s="268">
        <v>509</v>
      </c>
      <c r="E357" s="268">
        <v>0</v>
      </c>
      <c r="F357" s="83">
        <f t="shared" si="36"/>
        <v>509</v>
      </c>
      <c r="G357" s="268">
        <v>398</v>
      </c>
      <c r="H357" s="268">
        <v>0</v>
      </c>
      <c r="I357" s="83">
        <f t="shared" si="37"/>
        <v>398</v>
      </c>
      <c r="J357" s="171">
        <f t="shared" si="38"/>
        <v>0.78190000000000004</v>
      </c>
      <c r="K357" s="177">
        <f t="shared" si="33"/>
        <v>0</v>
      </c>
      <c r="L357" s="177">
        <f t="shared" si="34"/>
        <v>41.8</v>
      </c>
      <c r="M357" s="177">
        <f t="shared" si="35"/>
        <v>41.8</v>
      </c>
    </row>
    <row r="358" spans="1:13" ht="12.75" customHeight="1">
      <c r="A358" s="268" t="s">
        <v>263</v>
      </c>
      <c r="B358" s="268" t="s">
        <v>1590</v>
      </c>
      <c r="C358" s="268" t="s">
        <v>1591</v>
      </c>
      <c r="D358" s="268">
        <v>359</v>
      </c>
      <c r="E358" s="268">
        <v>0</v>
      </c>
      <c r="F358" s="83">
        <f t="shared" si="36"/>
        <v>359</v>
      </c>
      <c r="G358" s="268">
        <v>307</v>
      </c>
      <c r="H358" s="268">
        <v>0</v>
      </c>
      <c r="I358" s="83">
        <f t="shared" si="37"/>
        <v>307</v>
      </c>
      <c r="J358" s="171">
        <f t="shared" si="38"/>
        <v>0.85519999999999996</v>
      </c>
      <c r="K358" s="177">
        <f t="shared" si="33"/>
        <v>0</v>
      </c>
      <c r="L358" s="177">
        <f t="shared" si="34"/>
        <v>32.200000000000003</v>
      </c>
      <c r="M358" s="177">
        <f t="shared" si="35"/>
        <v>32.200000000000003</v>
      </c>
    </row>
    <row r="359" spans="1:13">
      <c r="A359" s="268" t="s">
        <v>263</v>
      </c>
      <c r="B359" s="268" t="s">
        <v>1592</v>
      </c>
      <c r="C359" s="268" t="s">
        <v>1593</v>
      </c>
      <c r="D359" s="268">
        <v>436</v>
      </c>
      <c r="E359" s="268">
        <v>0</v>
      </c>
      <c r="F359" s="83">
        <f t="shared" si="36"/>
        <v>436</v>
      </c>
      <c r="G359" s="268">
        <v>144</v>
      </c>
      <c r="H359" s="268">
        <v>0</v>
      </c>
      <c r="I359" s="83">
        <f t="shared" si="37"/>
        <v>144</v>
      </c>
      <c r="J359" s="171">
        <f t="shared" si="38"/>
        <v>0.33029999999999998</v>
      </c>
      <c r="K359" s="177">
        <f t="shared" si="33"/>
        <v>0</v>
      </c>
      <c r="L359" s="177">
        <f t="shared" si="34"/>
        <v>0</v>
      </c>
      <c r="M359" s="177">
        <f t="shared" si="35"/>
        <v>0</v>
      </c>
    </row>
    <row r="360" spans="1:13">
      <c r="A360" s="268" t="s">
        <v>263</v>
      </c>
      <c r="B360" s="268" t="s">
        <v>1594</v>
      </c>
      <c r="C360" s="268" t="s">
        <v>1595</v>
      </c>
      <c r="D360" s="268">
        <v>251</v>
      </c>
      <c r="E360" s="268">
        <v>0</v>
      </c>
      <c r="F360" s="83">
        <f t="shared" si="36"/>
        <v>251</v>
      </c>
      <c r="G360" s="268">
        <v>117</v>
      </c>
      <c r="H360" s="268">
        <v>0</v>
      </c>
      <c r="I360" s="83">
        <f t="shared" si="37"/>
        <v>117</v>
      </c>
      <c r="J360" s="171">
        <f t="shared" si="38"/>
        <v>0.46610000000000001</v>
      </c>
      <c r="K360" s="177">
        <f t="shared" si="33"/>
        <v>9.5</v>
      </c>
      <c r="L360" s="177">
        <f t="shared" si="34"/>
        <v>0</v>
      </c>
      <c r="M360" s="177">
        <f t="shared" si="35"/>
        <v>9.5</v>
      </c>
    </row>
    <row r="361" spans="1:13">
      <c r="A361" s="268" t="s">
        <v>263</v>
      </c>
      <c r="B361" s="268" t="s">
        <v>1596</v>
      </c>
      <c r="C361" s="268" t="s">
        <v>1597</v>
      </c>
      <c r="D361" s="268">
        <v>562</v>
      </c>
      <c r="E361" s="268">
        <v>0</v>
      </c>
      <c r="F361" s="83">
        <f t="shared" si="36"/>
        <v>562</v>
      </c>
      <c r="G361" s="268">
        <v>334</v>
      </c>
      <c r="H361" s="268">
        <v>0</v>
      </c>
      <c r="I361" s="83">
        <f t="shared" si="37"/>
        <v>334</v>
      </c>
      <c r="J361" s="171">
        <f t="shared" si="38"/>
        <v>0.59430000000000005</v>
      </c>
      <c r="K361" s="177">
        <f t="shared" si="33"/>
        <v>0</v>
      </c>
      <c r="L361" s="177">
        <f t="shared" si="34"/>
        <v>35.1</v>
      </c>
      <c r="M361" s="177">
        <f t="shared" si="35"/>
        <v>35.1</v>
      </c>
    </row>
    <row r="362" spans="1:13" ht="12.75" customHeight="1">
      <c r="A362" s="268" t="s">
        <v>263</v>
      </c>
      <c r="B362" s="268" t="s">
        <v>1598</v>
      </c>
      <c r="C362" s="268" t="s">
        <v>1599</v>
      </c>
      <c r="D362" s="268">
        <v>422</v>
      </c>
      <c r="E362" s="268">
        <v>0</v>
      </c>
      <c r="F362" s="83">
        <f t="shared" si="36"/>
        <v>422</v>
      </c>
      <c r="G362" s="268">
        <v>362</v>
      </c>
      <c r="H362" s="268">
        <v>0</v>
      </c>
      <c r="I362" s="83">
        <f t="shared" si="37"/>
        <v>362</v>
      </c>
      <c r="J362" s="171">
        <f t="shared" si="38"/>
        <v>0.85780000000000001</v>
      </c>
      <c r="K362" s="177">
        <f t="shared" si="33"/>
        <v>0</v>
      </c>
      <c r="L362" s="177">
        <f t="shared" si="34"/>
        <v>38</v>
      </c>
      <c r="M362" s="177">
        <f t="shared" si="35"/>
        <v>38</v>
      </c>
    </row>
    <row r="363" spans="1:13">
      <c r="A363" s="268" t="s">
        <v>263</v>
      </c>
      <c r="B363" s="268" t="s">
        <v>1600</v>
      </c>
      <c r="C363" s="268" t="s">
        <v>1601</v>
      </c>
      <c r="D363" s="268">
        <v>372</v>
      </c>
      <c r="E363" s="268">
        <v>0</v>
      </c>
      <c r="F363" s="83">
        <f t="shared" si="36"/>
        <v>372</v>
      </c>
      <c r="G363" s="268">
        <v>211</v>
      </c>
      <c r="H363" s="268">
        <v>0</v>
      </c>
      <c r="I363" s="83">
        <f t="shared" si="37"/>
        <v>211</v>
      </c>
      <c r="J363" s="171">
        <f t="shared" si="38"/>
        <v>0.56720000000000004</v>
      </c>
      <c r="K363" s="177">
        <f t="shared" si="33"/>
        <v>0</v>
      </c>
      <c r="L363" s="177">
        <f t="shared" si="34"/>
        <v>22.2</v>
      </c>
      <c r="M363" s="177">
        <f t="shared" si="35"/>
        <v>22.2</v>
      </c>
    </row>
    <row r="364" spans="1:13">
      <c r="A364" s="268" t="s">
        <v>263</v>
      </c>
      <c r="B364" s="268" t="s">
        <v>1602</v>
      </c>
      <c r="C364" s="268" t="s">
        <v>1603</v>
      </c>
      <c r="D364" s="268">
        <v>297</v>
      </c>
      <c r="E364" s="268">
        <v>0</v>
      </c>
      <c r="F364" s="83">
        <f t="shared" si="36"/>
        <v>297</v>
      </c>
      <c r="G364" s="268">
        <v>257</v>
      </c>
      <c r="H364" s="268">
        <v>0</v>
      </c>
      <c r="I364" s="83">
        <f t="shared" si="37"/>
        <v>257</v>
      </c>
      <c r="J364" s="171">
        <f t="shared" si="38"/>
        <v>0.86529999999999996</v>
      </c>
      <c r="K364" s="177">
        <f t="shared" si="33"/>
        <v>0</v>
      </c>
      <c r="L364" s="177">
        <f t="shared" si="34"/>
        <v>27</v>
      </c>
      <c r="M364" s="177">
        <f t="shared" si="35"/>
        <v>27</v>
      </c>
    </row>
    <row r="365" spans="1:13">
      <c r="A365" s="268" t="s">
        <v>263</v>
      </c>
      <c r="B365" s="268" t="s">
        <v>1604</v>
      </c>
      <c r="C365" s="268" t="s">
        <v>1605</v>
      </c>
      <c r="D365" s="268">
        <v>293</v>
      </c>
      <c r="E365" s="268">
        <v>0</v>
      </c>
      <c r="F365" s="83">
        <f t="shared" si="36"/>
        <v>293</v>
      </c>
      <c r="G365" s="268">
        <v>234</v>
      </c>
      <c r="H365" s="268">
        <v>0</v>
      </c>
      <c r="I365" s="83">
        <f t="shared" si="37"/>
        <v>234</v>
      </c>
      <c r="J365" s="171">
        <f t="shared" si="38"/>
        <v>0.79859999999999998</v>
      </c>
      <c r="K365" s="177">
        <f t="shared" si="33"/>
        <v>0</v>
      </c>
      <c r="L365" s="177">
        <f t="shared" si="34"/>
        <v>24.6</v>
      </c>
      <c r="M365" s="177">
        <f t="shared" si="35"/>
        <v>24.6</v>
      </c>
    </row>
    <row r="366" spans="1:13">
      <c r="A366" s="268" t="s">
        <v>263</v>
      </c>
      <c r="B366" s="268" t="s">
        <v>1606</v>
      </c>
      <c r="C366" s="268" t="s">
        <v>1607</v>
      </c>
      <c r="D366" s="268">
        <v>470</v>
      </c>
      <c r="E366" s="268">
        <v>0</v>
      </c>
      <c r="F366" s="83">
        <f t="shared" si="36"/>
        <v>470</v>
      </c>
      <c r="G366" s="268">
        <v>216</v>
      </c>
      <c r="H366" s="268">
        <v>0</v>
      </c>
      <c r="I366" s="83">
        <f t="shared" si="37"/>
        <v>216</v>
      </c>
      <c r="J366" s="171">
        <f t="shared" si="38"/>
        <v>0.45960000000000001</v>
      </c>
      <c r="K366" s="177">
        <f t="shared" si="33"/>
        <v>16.600000000000001</v>
      </c>
      <c r="L366" s="177">
        <f t="shared" si="34"/>
        <v>0</v>
      </c>
      <c r="M366" s="177">
        <f t="shared" si="35"/>
        <v>16.600000000000001</v>
      </c>
    </row>
    <row r="367" spans="1:13" ht="12.75" customHeight="1">
      <c r="A367" s="268" t="s">
        <v>263</v>
      </c>
      <c r="B367" s="268" t="s">
        <v>1608</v>
      </c>
      <c r="C367" s="268" t="s">
        <v>1609</v>
      </c>
      <c r="D367" s="268">
        <v>271</v>
      </c>
      <c r="E367" s="268">
        <v>0</v>
      </c>
      <c r="F367" s="83">
        <f t="shared" si="36"/>
        <v>271</v>
      </c>
      <c r="G367" s="268">
        <v>98</v>
      </c>
      <c r="H367" s="268">
        <v>0</v>
      </c>
      <c r="I367" s="83">
        <f t="shared" si="37"/>
        <v>98</v>
      </c>
      <c r="J367" s="171">
        <f t="shared" si="38"/>
        <v>0.36159999999999998</v>
      </c>
      <c r="K367" s="177">
        <f t="shared" si="33"/>
        <v>0.8</v>
      </c>
      <c r="L367" s="177">
        <f t="shared" si="34"/>
        <v>0</v>
      </c>
      <c r="M367" s="177">
        <f t="shared" si="35"/>
        <v>0.8</v>
      </c>
    </row>
    <row r="368" spans="1:13">
      <c r="A368" s="268" t="s">
        <v>263</v>
      </c>
      <c r="B368" s="268" t="s">
        <v>1610</v>
      </c>
      <c r="C368" s="268" t="s">
        <v>1611</v>
      </c>
      <c r="D368" s="268">
        <v>584</v>
      </c>
      <c r="E368" s="268">
        <v>0</v>
      </c>
      <c r="F368" s="83">
        <f t="shared" si="36"/>
        <v>584</v>
      </c>
      <c r="G368" s="268">
        <v>251</v>
      </c>
      <c r="H368" s="268">
        <v>0</v>
      </c>
      <c r="I368" s="83">
        <f t="shared" si="37"/>
        <v>251</v>
      </c>
      <c r="J368" s="171">
        <f t="shared" si="38"/>
        <v>0.42980000000000002</v>
      </c>
      <c r="K368" s="177">
        <f t="shared" si="33"/>
        <v>14</v>
      </c>
      <c r="L368" s="177">
        <f t="shared" si="34"/>
        <v>0</v>
      </c>
      <c r="M368" s="177">
        <f t="shared" si="35"/>
        <v>14</v>
      </c>
    </row>
    <row r="369" spans="1:13">
      <c r="A369" s="268" t="s">
        <v>263</v>
      </c>
      <c r="B369" s="268" t="s">
        <v>1612</v>
      </c>
      <c r="C369" s="268" t="s">
        <v>1613</v>
      </c>
      <c r="D369" s="268">
        <v>395</v>
      </c>
      <c r="E369" s="268">
        <v>0</v>
      </c>
      <c r="F369" s="83">
        <f t="shared" si="36"/>
        <v>395</v>
      </c>
      <c r="G369" s="268">
        <v>321</v>
      </c>
      <c r="H369" s="268">
        <v>0</v>
      </c>
      <c r="I369" s="83">
        <f t="shared" si="37"/>
        <v>321</v>
      </c>
      <c r="J369" s="171">
        <f t="shared" si="38"/>
        <v>0.81269999999999998</v>
      </c>
      <c r="K369" s="177">
        <f t="shared" si="33"/>
        <v>0</v>
      </c>
      <c r="L369" s="177">
        <f t="shared" si="34"/>
        <v>33.700000000000003</v>
      </c>
      <c r="M369" s="177">
        <f t="shared" si="35"/>
        <v>33.700000000000003</v>
      </c>
    </row>
    <row r="370" spans="1:13">
      <c r="A370" s="268" t="s">
        <v>263</v>
      </c>
      <c r="B370" s="268" t="s">
        <v>1614</v>
      </c>
      <c r="C370" s="268" t="s">
        <v>1615</v>
      </c>
      <c r="D370" s="268">
        <v>61</v>
      </c>
      <c r="E370" s="268">
        <v>0</v>
      </c>
      <c r="F370" s="83">
        <f t="shared" si="36"/>
        <v>61</v>
      </c>
      <c r="G370" s="268">
        <v>51</v>
      </c>
      <c r="H370" s="268">
        <v>0</v>
      </c>
      <c r="I370" s="83">
        <f t="shared" si="37"/>
        <v>51</v>
      </c>
      <c r="J370" s="171">
        <f t="shared" si="38"/>
        <v>0.83609999999999995</v>
      </c>
      <c r="K370" s="177">
        <f t="shared" si="33"/>
        <v>0</v>
      </c>
      <c r="L370" s="177">
        <f t="shared" si="34"/>
        <v>5.4</v>
      </c>
      <c r="M370" s="177">
        <f t="shared" si="35"/>
        <v>5.4</v>
      </c>
    </row>
    <row r="371" spans="1:13">
      <c r="A371" s="268" t="s">
        <v>263</v>
      </c>
      <c r="B371" s="268" t="s">
        <v>1616</v>
      </c>
      <c r="C371" s="268" t="s">
        <v>1617</v>
      </c>
      <c r="D371" s="268">
        <v>451</v>
      </c>
      <c r="E371" s="268">
        <v>0</v>
      </c>
      <c r="F371" s="83">
        <f t="shared" si="36"/>
        <v>451</v>
      </c>
      <c r="G371" s="268">
        <v>365</v>
      </c>
      <c r="H371" s="268">
        <v>0</v>
      </c>
      <c r="I371" s="83">
        <f t="shared" si="37"/>
        <v>365</v>
      </c>
      <c r="J371" s="171">
        <f t="shared" si="38"/>
        <v>0.80930000000000002</v>
      </c>
      <c r="K371" s="177">
        <f t="shared" si="33"/>
        <v>0</v>
      </c>
      <c r="L371" s="177">
        <f t="shared" si="34"/>
        <v>38.299999999999997</v>
      </c>
      <c r="M371" s="177">
        <f t="shared" si="35"/>
        <v>38.299999999999997</v>
      </c>
    </row>
    <row r="372" spans="1:13">
      <c r="A372" s="268" t="s">
        <v>263</v>
      </c>
      <c r="B372" s="268" t="s">
        <v>1618</v>
      </c>
      <c r="C372" s="268" t="s">
        <v>1619</v>
      </c>
      <c r="D372" s="268">
        <v>541</v>
      </c>
      <c r="E372" s="268">
        <v>0</v>
      </c>
      <c r="F372" s="83">
        <f t="shared" si="36"/>
        <v>541</v>
      </c>
      <c r="G372" s="268">
        <v>321</v>
      </c>
      <c r="H372" s="268">
        <v>0</v>
      </c>
      <c r="I372" s="83">
        <f t="shared" si="37"/>
        <v>321</v>
      </c>
      <c r="J372" s="171">
        <f t="shared" si="38"/>
        <v>0.59330000000000005</v>
      </c>
      <c r="K372" s="177">
        <f t="shared" si="33"/>
        <v>0</v>
      </c>
      <c r="L372" s="177">
        <f t="shared" si="34"/>
        <v>33.700000000000003</v>
      </c>
      <c r="M372" s="177">
        <f t="shared" si="35"/>
        <v>33.700000000000003</v>
      </c>
    </row>
    <row r="373" spans="1:13" ht="12.75" customHeight="1">
      <c r="A373" s="268" t="s">
        <v>263</v>
      </c>
      <c r="B373" s="268" t="s">
        <v>1620</v>
      </c>
      <c r="C373" s="268" t="s">
        <v>1621</v>
      </c>
      <c r="D373" s="268">
        <v>514</v>
      </c>
      <c r="E373" s="268">
        <v>0</v>
      </c>
      <c r="F373" s="83">
        <f t="shared" si="36"/>
        <v>514</v>
      </c>
      <c r="G373" s="268">
        <v>463</v>
      </c>
      <c r="H373" s="268">
        <v>0</v>
      </c>
      <c r="I373" s="83">
        <f t="shared" si="37"/>
        <v>463</v>
      </c>
      <c r="J373" s="171">
        <f t="shared" si="38"/>
        <v>0.90080000000000005</v>
      </c>
      <c r="K373" s="177">
        <f t="shared" si="33"/>
        <v>0</v>
      </c>
      <c r="L373" s="177">
        <f t="shared" si="34"/>
        <v>48.6</v>
      </c>
      <c r="M373" s="177">
        <f t="shared" si="35"/>
        <v>48.6</v>
      </c>
    </row>
    <row r="374" spans="1:13">
      <c r="A374" s="268" t="s">
        <v>263</v>
      </c>
      <c r="B374" s="268" t="s">
        <v>1622</v>
      </c>
      <c r="C374" s="268" t="s">
        <v>1623</v>
      </c>
      <c r="D374" s="268">
        <v>43</v>
      </c>
      <c r="E374" s="268">
        <v>0</v>
      </c>
      <c r="F374" s="83">
        <f t="shared" si="36"/>
        <v>43</v>
      </c>
      <c r="G374" s="268">
        <v>36</v>
      </c>
      <c r="H374" s="268">
        <v>0</v>
      </c>
      <c r="I374" s="83">
        <f t="shared" si="37"/>
        <v>36</v>
      </c>
      <c r="J374" s="171">
        <f t="shared" si="38"/>
        <v>0.83720000000000006</v>
      </c>
      <c r="K374" s="177">
        <f t="shared" si="33"/>
        <v>0</v>
      </c>
      <c r="L374" s="177">
        <f t="shared" si="34"/>
        <v>3.8</v>
      </c>
      <c r="M374" s="177">
        <f t="shared" si="35"/>
        <v>3.8</v>
      </c>
    </row>
    <row r="375" spans="1:13">
      <c r="A375" s="268" t="s">
        <v>263</v>
      </c>
      <c r="B375" s="268" t="s">
        <v>1624</v>
      </c>
      <c r="C375" s="268" t="s">
        <v>1625</v>
      </c>
      <c r="D375" s="268">
        <v>495</v>
      </c>
      <c r="E375" s="268">
        <v>0</v>
      </c>
      <c r="F375" s="83">
        <f t="shared" si="36"/>
        <v>495</v>
      </c>
      <c r="G375" s="268">
        <v>372</v>
      </c>
      <c r="H375" s="268">
        <v>0</v>
      </c>
      <c r="I375" s="83">
        <f t="shared" si="37"/>
        <v>372</v>
      </c>
      <c r="J375" s="171">
        <f t="shared" si="38"/>
        <v>0.75149999999999995</v>
      </c>
      <c r="K375" s="177">
        <f t="shared" si="33"/>
        <v>0</v>
      </c>
      <c r="L375" s="177">
        <f t="shared" si="34"/>
        <v>39.1</v>
      </c>
      <c r="M375" s="177">
        <f t="shared" si="35"/>
        <v>39.1</v>
      </c>
    </row>
    <row r="376" spans="1:13">
      <c r="A376" s="268" t="s">
        <v>263</v>
      </c>
      <c r="B376" s="268" t="s">
        <v>1626</v>
      </c>
      <c r="C376" s="268" t="s">
        <v>1627</v>
      </c>
      <c r="D376" s="268">
        <v>622</v>
      </c>
      <c r="E376" s="268">
        <v>0</v>
      </c>
      <c r="F376" s="83">
        <f t="shared" si="36"/>
        <v>622</v>
      </c>
      <c r="G376" s="268">
        <v>507</v>
      </c>
      <c r="H376" s="268">
        <v>0</v>
      </c>
      <c r="I376" s="83">
        <f t="shared" si="37"/>
        <v>507</v>
      </c>
      <c r="J376" s="171">
        <f t="shared" si="38"/>
        <v>0.81510000000000005</v>
      </c>
      <c r="K376" s="177">
        <f t="shared" si="33"/>
        <v>0</v>
      </c>
      <c r="L376" s="177">
        <f t="shared" si="34"/>
        <v>53.2</v>
      </c>
      <c r="M376" s="177">
        <f t="shared" si="35"/>
        <v>53.2</v>
      </c>
    </row>
    <row r="377" spans="1:13" ht="12.75" customHeight="1">
      <c r="A377" s="268" t="s">
        <v>263</v>
      </c>
      <c r="B377" s="268" t="s">
        <v>1628</v>
      </c>
      <c r="C377" s="268" t="s">
        <v>1629</v>
      </c>
      <c r="D377" s="268">
        <v>332</v>
      </c>
      <c r="E377" s="268">
        <v>0</v>
      </c>
      <c r="F377" s="83">
        <f t="shared" si="36"/>
        <v>332</v>
      </c>
      <c r="G377" s="268">
        <v>247</v>
      </c>
      <c r="H377" s="268">
        <v>0</v>
      </c>
      <c r="I377" s="83">
        <f t="shared" si="37"/>
        <v>247</v>
      </c>
      <c r="J377" s="171">
        <f t="shared" si="38"/>
        <v>0.74399999999999999</v>
      </c>
      <c r="K377" s="177">
        <f t="shared" si="33"/>
        <v>0</v>
      </c>
      <c r="L377" s="177">
        <f t="shared" si="34"/>
        <v>25.9</v>
      </c>
      <c r="M377" s="177">
        <f t="shared" si="35"/>
        <v>25.9</v>
      </c>
    </row>
    <row r="378" spans="1:13">
      <c r="A378" s="268" t="s">
        <v>263</v>
      </c>
      <c r="B378" s="268" t="s">
        <v>1630</v>
      </c>
      <c r="C378" s="268" t="s">
        <v>1631</v>
      </c>
      <c r="D378" s="268">
        <v>627</v>
      </c>
      <c r="E378" s="268">
        <v>0</v>
      </c>
      <c r="F378" s="83">
        <f t="shared" si="36"/>
        <v>627</v>
      </c>
      <c r="G378" s="268">
        <v>487</v>
      </c>
      <c r="H378" s="268">
        <v>0</v>
      </c>
      <c r="I378" s="83">
        <f t="shared" si="37"/>
        <v>487</v>
      </c>
      <c r="J378" s="171">
        <f t="shared" si="38"/>
        <v>0.77669999999999995</v>
      </c>
      <c r="K378" s="177">
        <f t="shared" si="33"/>
        <v>0</v>
      </c>
      <c r="L378" s="177">
        <f t="shared" si="34"/>
        <v>51.1</v>
      </c>
      <c r="M378" s="177">
        <f t="shared" si="35"/>
        <v>51.1</v>
      </c>
    </row>
    <row r="379" spans="1:13">
      <c r="A379" s="268" t="s">
        <v>263</v>
      </c>
      <c r="B379" s="268" t="s">
        <v>1632</v>
      </c>
      <c r="C379" s="268" t="s">
        <v>1633</v>
      </c>
      <c r="D379" s="268">
        <v>531</v>
      </c>
      <c r="E379" s="268">
        <v>0</v>
      </c>
      <c r="F379" s="83">
        <f t="shared" si="36"/>
        <v>531</v>
      </c>
      <c r="G379" s="268">
        <v>258</v>
      </c>
      <c r="H379" s="268">
        <v>0</v>
      </c>
      <c r="I379" s="83">
        <f t="shared" si="37"/>
        <v>258</v>
      </c>
      <c r="J379" s="171">
        <f t="shared" si="38"/>
        <v>0.4859</v>
      </c>
      <c r="K379" s="177">
        <f t="shared" si="33"/>
        <v>24.5</v>
      </c>
      <c r="L379" s="177">
        <f t="shared" si="34"/>
        <v>0</v>
      </c>
      <c r="M379" s="177">
        <f t="shared" si="35"/>
        <v>24.5</v>
      </c>
    </row>
    <row r="380" spans="1:13">
      <c r="A380" s="268" t="s">
        <v>263</v>
      </c>
      <c r="B380" s="268" t="s">
        <v>1634</v>
      </c>
      <c r="C380" s="268" t="s">
        <v>1635</v>
      </c>
      <c r="D380" s="268">
        <v>568</v>
      </c>
      <c r="E380" s="268">
        <v>0</v>
      </c>
      <c r="F380" s="83">
        <f t="shared" si="36"/>
        <v>568</v>
      </c>
      <c r="G380" s="268">
        <v>375</v>
      </c>
      <c r="H380" s="268">
        <v>0</v>
      </c>
      <c r="I380" s="83">
        <f t="shared" si="37"/>
        <v>375</v>
      </c>
      <c r="J380" s="171">
        <f t="shared" si="38"/>
        <v>0.66020000000000001</v>
      </c>
      <c r="K380" s="177">
        <f t="shared" si="33"/>
        <v>0</v>
      </c>
      <c r="L380" s="177">
        <f t="shared" si="34"/>
        <v>39.4</v>
      </c>
      <c r="M380" s="177">
        <f t="shared" si="35"/>
        <v>39.4</v>
      </c>
    </row>
    <row r="381" spans="1:13">
      <c r="A381" s="268" t="s">
        <v>263</v>
      </c>
      <c r="B381" s="268" t="s">
        <v>1636</v>
      </c>
      <c r="C381" s="268" t="s">
        <v>1637</v>
      </c>
      <c r="D381" s="268">
        <v>785</v>
      </c>
      <c r="E381" s="268">
        <v>0</v>
      </c>
      <c r="F381" s="83">
        <f t="shared" si="36"/>
        <v>785</v>
      </c>
      <c r="G381" s="268">
        <v>659</v>
      </c>
      <c r="H381" s="268">
        <v>0</v>
      </c>
      <c r="I381" s="83">
        <f t="shared" si="37"/>
        <v>659</v>
      </c>
      <c r="J381" s="171">
        <f t="shared" si="38"/>
        <v>0.83950000000000002</v>
      </c>
      <c r="K381" s="177">
        <f t="shared" si="33"/>
        <v>0</v>
      </c>
      <c r="L381" s="177">
        <f t="shared" si="34"/>
        <v>69.2</v>
      </c>
      <c r="M381" s="177">
        <f t="shared" si="35"/>
        <v>69.2</v>
      </c>
    </row>
    <row r="382" spans="1:13">
      <c r="A382" s="268" t="s">
        <v>263</v>
      </c>
      <c r="B382" s="268" t="s">
        <v>1638</v>
      </c>
      <c r="C382" s="268" t="s">
        <v>1639</v>
      </c>
      <c r="D382" s="268">
        <v>468</v>
      </c>
      <c r="E382" s="268">
        <v>0</v>
      </c>
      <c r="F382" s="83">
        <f t="shared" si="36"/>
        <v>468</v>
      </c>
      <c r="G382" s="268">
        <v>360</v>
      </c>
      <c r="H382" s="268">
        <v>0</v>
      </c>
      <c r="I382" s="83">
        <f t="shared" si="37"/>
        <v>360</v>
      </c>
      <c r="J382" s="171">
        <f t="shared" si="38"/>
        <v>0.76919999999999999</v>
      </c>
      <c r="K382" s="177">
        <f t="shared" si="33"/>
        <v>0</v>
      </c>
      <c r="L382" s="177">
        <f t="shared" si="34"/>
        <v>37.799999999999997</v>
      </c>
      <c r="M382" s="177">
        <f t="shared" si="35"/>
        <v>37.799999999999997</v>
      </c>
    </row>
    <row r="383" spans="1:13">
      <c r="A383" s="268" t="s">
        <v>263</v>
      </c>
      <c r="B383" s="268" t="s">
        <v>1640</v>
      </c>
      <c r="C383" s="268" t="s">
        <v>1641</v>
      </c>
      <c r="D383" s="268">
        <v>577</v>
      </c>
      <c r="E383" s="268">
        <v>0</v>
      </c>
      <c r="F383" s="83">
        <f t="shared" si="36"/>
        <v>577</v>
      </c>
      <c r="G383" s="268">
        <v>429</v>
      </c>
      <c r="H383" s="268">
        <v>0</v>
      </c>
      <c r="I383" s="83">
        <f t="shared" si="37"/>
        <v>429</v>
      </c>
      <c r="J383" s="171">
        <f t="shared" si="38"/>
        <v>0.74350000000000005</v>
      </c>
      <c r="K383" s="177">
        <f t="shared" si="33"/>
        <v>0</v>
      </c>
      <c r="L383" s="177">
        <f t="shared" si="34"/>
        <v>45</v>
      </c>
      <c r="M383" s="177">
        <f t="shared" si="35"/>
        <v>45</v>
      </c>
    </row>
    <row r="384" spans="1:13">
      <c r="A384" s="268" t="s">
        <v>263</v>
      </c>
      <c r="B384" s="268" t="s">
        <v>1642</v>
      </c>
      <c r="C384" s="268" t="s">
        <v>1643</v>
      </c>
      <c r="D384" s="268">
        <v>673</v>
      </c>
      <c r="E384" s="268">
        <v>0</v>
      </c>
      <c r="F384" s="83">
        <f t="shared" si="36"/>
        <v>673</v>
      </c>
      <c r="G384" s="268">
        <v>599</v>
      </c>
      <c r="H384" s="268">
        <v>0</v>
      </c>
      <c r="I384" s="83">
        <f t="shared" si="37"/>
        <v>599</v>
      </c>
      <c r="J384" s="171">
        <f t="shared" si="38"/>
        <v>0.89</v>
      </c>
      <c r="K384" s="177">
        <f t="shared" si="33"/>
        <v>0</v>
      </c>
      <c r="L384" s="177">
        <f t="shared" si="34"/>
        <v>62.9</v>
      </c>
      <c r="M384" s="177">
        <f t="shared" si="35"/>
        <v>62.9</v>
      </c>
    </row>
    <row r="385" spans="1:13">
      <c r="A385" s="268" t="s">
        <v>263</v>
      </c>
      <c r="B385" s="268" t="s">
        <v>1644</v>
      </c>
      <c r="C385" s="268" t="s">
        <v>1645</v>
      </c>
      <c r="D385" s="268">
        <v>506</v>
      </c>
      <c r="E385" s="268">
        <v>0</v>
      </c>
      <c r="F385" s="83">
        <f t="shared" si="36"/>
        <v>506</v>
      </c>
      <c r="G385" s="268">
        <v>426</v>
      </c>
      <c r="H385" s="268">
        <v>0</v>
      </c>
      <c r="I385" s="83">
        <f t="shared" si="37"/>
        <v>426</v>
      </c>
      <c r="J385" s="171">
        <f t="shared" si="38"/>
        <v>0.84189999999999998</v>
      </c>
      <c r="K385" s="177">
        <f t="shared" si="33"/>
        <v>0</v>
      </c>
      <c r="L385" s="177">
        <f t="shared" si="34"/>
        <v>44.7</v>
      </c>
      <c r="M385" s="177">
        <f t="shared" si="35"/>
        <v>44.7</v>
      </c>
    </row>
    <row r="386" spans="1:13" ht="12.75" customHeight="1">
      <c r="A386" s="268" t="s">
        <v>263</v>
      </c>
      <c r="B386" s="268" t="s">
        <v>1646</v>
      </c>
      <c r="C386" s="268" t="s">
        <v>1647</v>
      </c>
      <c r="D386" s="268">
        <v>596</v>
      </c>
      <c r="E386" s="268">
        <v>0</v>
      </c>
      <c r="F386" s="83">
        <f t="shared" si="36"/>
        <v>596</v>
      </c>
      <c r="G386" s="268">
        <v>441</v>
      </c>
      <c r="H386" s="268">
        <v>0</v>
      </c>
      <c r="I386" s="83">
        <f t="shared" si="37"/>
        <v>441</v>
      </c>
      <c r="J386" s="171">
        <f t="shared" si="38"/>
        <v>0.7399</v>
      </c>
      <c r="K386" s="177">
        <f t="shared" si="33"/>
        <v>0</v>
      </c>
      <c r="L386" s="177">
        <f t="shared" si="34"/>
        <v>46.3</v>
      </c>
      <c r="M386" s="177">
        <f t="shared" si="35"/>
        <v>46.3</v>
      </c>
    </row>
    <row r="387" spans="1:13">
      <c r="A387" s="268" t="s">
        <v>263</v>
      </c>
      <c r="B387" s="268" t="s">
        <v>1648</v>
      </c>
      <c r="C387" s="268" t="s">
        <v>1649</v>
      </c>
      <c r="D387" s="268">
        <v>750</v>
      </c>
      <c r="E387" s="268">
        <v>0</v>
      </c>
      <c r="F387" s="83">
        <f t="shared" si="36"/>
        <v>750</v>
      </c>
      <c r="G387" s="268">
        <v>320</v>
      </c>
      <c r="H387" s="268">
        <v>0</v>
      </c>
      <c r="I387" s="83">
        <f t="shared" si="37"/>
        <v>320</v>
      </c>
      <c r="J387" s="171">
        <f t="shared" si="38"/>
        <v>0.42670000000000002</v>
      </c>
      <c r="K387" s="177">
        <f t="shared" si="33"/>
        <v>17.2</v>
      </c>
      <c r="L387" s="177">
        <f t="shared" si="34"/>
        <v>0</v>
      </c>
      <c r="M387" s="177">
        <f t="shared" si="35"/>
        <v>17.2</v>
      </c>
    </row>
    <row r="388" spans="1:13" ht="12.75" customHeight="1">
      <c r="A388" s="268" t="s">
        <v>263</v>
      </c>
      <c r="B388" s="268" t="s">
        <v>1650</v>
      </c>
      <c r="C388" s="268" t="s">
        <v>1651</v>
      </c>
      <c r="D388" s="268">
        <v>639</v>
      </c>
      <c r="E388" s="268">
        <v>0</v>
      </c>
      <c r="F388" s="83">
        <f t="shared" si="36"/>
        <v>639</v>
      </c>
      <c r="G388" s="268">
        <v>387</v>
      </c>
      <c r="H388" s="268">
        <v>0</v>
      </c>
      <c r="I388" s="83">
        <f t="shared" si="37"/>
        <v>387</v>
      </c>
      <c r="J388" s="171">
        <f t="shared" si="38"/>
        <v>0.60560000000000003</v>
      </c>
      <c r="K388" s="177">
        <f t="shared" si="33"/>
        <v>0</v>
      </c>
      <c r="L388" s="177">
        <f t="shared" si="34"/>
        <v>40.6</v>
      </c>
      <c r="M388" s="177">
        <f t="shared" si="35"/>
        <v>40.6</v>
      </c>
    </row>
    <row r="389" spans="1:13">
      <c r="A389" s="268" t="s">
        <v>263</v>
      </c>
      <c r="B389" s="268" t="s">
        <v>1652</v>
      </c>
      <c r="C389" s="268" t="s">
        <v>1653</v>
      </c>
      <c r="D389" s="268">
        <v>662</v>
      </c>
      <c r="E389" s="268">
        <v>0</v>
      </c>
      <c r="F389" s="83">
        <f t="shared" si="36"/>
        <v>662</v>
      </c>
      <c r="G389" s="268">
        <v>562</v>
      </c>
      <c r="H389" s="268">
        <v>0</v>
      </c>
      <c r="I389" s="83">
        <f t="shared" si="37"/>
        <v>562</v>
      </c>
      <c r="J389" s="171">
        <f t="shared" si="38"/>
        <v>0.84889999999999999</v>
      </c>
      <c r="K389" s="177">
        <f t="shared" ref="K389:K452" si="39">IF(AND((J389-35%)&gt;0,J389&lt;50%),I389*(J389-35%)*0.7,0)</f>
        <v>0</v>
      </c>
      <c r="L389" s="177">
        <f t="shared" ref="L389:L452" si="40">IF(J389&gt;=50%,I389*10.5%,0)</f>
        <v>59</v>
      </c>
      <c r="M389" s="177">
        <f t="shared" ref="M389:M452" si="41">MAX(K389,L389)</f>
        <v>59</v>
      </c>
    </row>
    <row r="390" spans="1:13">
      <c r="A390" s="268" t="s">
        <v>263</v>
      </c>
      <c r="B390" s="268" t="s">
        <v>1654</v>
      </c>
      <c r="C390" s="268" t="s">
        <v>1655</v>
      </c>
      <c r="D390" s="268">
        <v>776</v>
      </c>
      <c r="E390" s="268">
        <v>0</v>
      </c>
      <c r="F390" s="83">
        <f t="shared" ref="F390:F453" si="42">SUM(D390+E390)</f>
        <v>776</v>
      </c>
      <c r="G390" s="268">
        <v>393</v>
      </c>
      <c r="H390" s="268">
        <v>0</v>
      </c>
      <c r="I390" s="83">
        <f t="shared" si="37"/>
        <v>393</v>
      </c>
      <c r="J390" s="171">
        <f t="shared" si="38"/>
        <v>0.50639999999999996</v>
      </c>
      <c r="K390" s="177">
        <f t="shared" si="39"/>
        <v>0</v>
      </c>
      <c r="L390" s="177">
        <f t="shared" si="40"/>
        <v>41.3</v>
      </c>
      <c r="M390" s="177">
        <f t="shared" si="41"/>
        <v>41.3</v>
      </c>
    </row>
    <row r="391" spans="1:13">
      <c r="A391" s="268" t="s">
        <v>263</v>
      </c>
      <c r="B391" s="268" t="s">
        <v>1656</v>
      </c>
      <c r="C391" s="268" t="s">
        <v>1657</v>
      </c>
      <c r="D391" s="268">
        <v>836</v>
      </c>
      <c r="E391" s="268">
        <v>0</v>
      </c>
      <c r="F391" s="83">
        <f t="shared" si="42"/>
        <v>836</v>
      </c>
      <c r="G391" s="268">
        <v>395</v>
      </c>
      <c r="H391" s="268">
        <v>0</v>
      </c>
      <c r="I391" s="83">
        <f t="shared" si="37"/>
        <v>395</v>
      </c>
      <c r="J391" s="171">
        <f t="shared" si="38"/>
        <v>0.47249999999999998</v>
      </c>
      <c r="K391" s="177">
        <f t="shared" si="39"/>
        <v>33.9</v>
      </c>
      <c r="L391" s="177">
        <f t="shared" si="40"/>
        <v>0</v>
      </c>
      <c r="M391" s="177">
        <f t="shared" si="41"/>
        <v>33.9</v>
      </c>
    </row>
    <row r="392" spans="1:13">
      <c r="A392" s="268" t="s">
        <v>263</v>
      </c>
      <c r="B392" s="268" t="s">
        <v>1658</v>
      </c>
      <c r="C392" s="268" t="s">
        <v>1659</v>
      </c>
      <c r="D392" s="268">
        <v>1070</v>
      </c>
      <c r="E392" s="268">
        <v>0</v>
      </c>
      <c r="F392" s="83">
        <f t="shared" si="42"/>
        <v>1070</v>
      </c>
      <c r="G392" s="268">
        <v>832</v>
      </c>
      <c r="H392" s="268">
        <v>0</v>
      </c>
      <c r="I392" s="83">
        <f t="shared" si="37"/>
        <v>832</v>
      </c>
      <c r="J392" s="171">
        <f t="shared" si="38"/>
        <v>0.77759999999999996</v>
      </c>
      <c r="K392" s="177">
        <f t="shared" si="39"/>
        <v>0</v>
      </c>
      <c r="L392" s="177">
        <f t="shared" si="40"/>
        <v>87.4</v>
      </c>
      <c r="M392" s="177">
        <f t="shared" si="41"/>
        <v>87.4</v>
      </c>
    </row>
    <row r="393" spans="1:13">
      <c r="A393" s="268" t="s">
        <v>263</v>
      </c>
      <c r="B393" s="268" t="s">
        <v>1660</v>
      </c>
      <c r="C393" s="268" t="s">
        <v>1661</v>
      </c>
      <c r="D393" s="268">
        <v>2358</v>
      </c>
      <c r="E393" s="268">
        <v>0</v>
      </c>
      <c r="F393" s="83">
        <f t="shared" si="42"/>
        <v>2358</v>
      </c>
      <c r="G393" s="268">
        <v>1470</v>
      </c>
      <c r="H393" s="268">
        <v>0</v>
      </c>
      <c r="I393" s="83">
        <f t="shared" si="37"/>
        <v>1470</v>
      </c>
      <c r="J393" s="171">
        <f t="shared" si="38"/>
        <v>0.62339999999999995</v>
      </c>
      <c r="K393" s="177">
        <f t="shared" si="39"/>
        <v>0</v>
      </c>
      <c r="L393" s="177">
        <f t="shared" si="40"/>
        <v>154.4</v>
      </c>
      <c r="M393" s="177">
        <f t="shared" si="41"/>
        <v>154.4</v>
      </c>
    </row>
    <row r="394" spans="1:13">
      <c r="A394" s="268" t="s">
        <v>263</v>
      </c>
      <c r="B394" s="268" t="s">
        <v>1662</v>
      </c>
      <c r="C394" s="268" t="s">
        <v>1663</v>
      </c>
      <c r="D394" s="268">
        <v>115</v>
      </c>
      <c r="E394" s="268">
        <v>0</v>
      </c>
      <c r="F394" s="83">
        <f t="shared" si="42"/>
        <v>115</v>
      </c>
      <c r="G394" s="268">
        <v>84</v>
      </c>
      <c r="H394" s="268">
        <v>0</v>
      </c>
      <c r="I394" s="83">
        <f t="shared" si="37"/>
        <v>84</v>
      </c>
      <c r="J394" s="171">
        <f t="shared" si="38"/>
        <v>0.73040000000000005</v>
      </c>
      <c r="K394" s="177">
        <f t="shared" si="39"/>
        <v>0</v>
      </c>
      <c r="L394" s="177">
        <f t="shared" si="40"/>
        <v>8.8000000000000007</v>
      </c>
      <c r="M394" s="177">
        <f t="shared" si="41"/>
        <v>8.8000000000000007</v>
      </c>
    </row>
    <row r="395" spans="1:13">
      <c r="A395" s="268" t="s">
        <v>263</v>
      </c>
      <c r="B395" s="268" t="s">
        <v>1664</v>
      </c>
      <c r="C395" s="268" t="s">
        <v>1665</v>
      </c>
      <c r="D395" s="268">
        <v>2175</v>
      </c>
      <c r="E395" s="268">
        <v>0</v>
      </c>
      <c r="F395" s="83">
        <f t="shared" si="42"/>
        <v>2175</v>
      </c>
      <c r="G395" s="268">
        <v>1643</v>
      </c>
      <c r="H395" s="268">
        <v>0</v>
      </c>
      <c r="I395" s="83">
        <f t="shared" si="37"/>
        <v>1643</v>
      </c>
      <c r="J395" s="171">
        <f t="shared" si="38"/>
        <v>0.75539999999999996</v>
      </c>
      <c r="K395" s="177">
        <f t="shared" si="39"/>
        <v>0</v>
      </c>
      <c r="L395" s="177">
        <f t="shared" si="40"/>
        <v>172.5</v>
      </c>
      <c r="M395" s="177">
        <f t="shared" si="41"/>
        <v>172.5</v>
      </c>
    </row>
    <row r="396" spans="1:13">
      <c r="A396" s="268" t="s">
        <v>263</v>
      </c>
      <c r="B396" s="268" t="s">
        <v>1666</v>
      </c>
      <c r="C396" s="268" t="s">
        <v>1667</v>
      </c>
      <c r="D396" s="268">
        <v>1661</v>
      </c>
      <c r="E396" s="268">
        <v>0</v>
      </c>
      <c r="F396" s="83">
        <f t="shared" si="42"/>
        <v>1661</v>
      </c>
      <c r="G396" s="268">
        <v>1166</v>
      </c>
      <c r="H396" s="268">
        <v>0</v>
      </c>
      <c r="I396" s="83">
        <f t="shared" si="37"/>
        <v>1166</v>
      </c>
      <c r="J396" s="171">
        <f t="shared" si="38"/>
        <v>0.70199999999999996</v>
      </c>
      <c r="K396" s="177">
        <f t="shared" si="39"/>
        <v>0</v>
      </c>
      <c r="L396" s="177">
        <f t="shared" si="40"/>
        <v>122.4</v>
      </c>
      <c r="M396" s="177">
        <f t="shared" si="41"/>
        <v>122.4</v>
      </c>
    </row>
    <row r="397" spans="1:13">
      <c r="A397" s="268" t="s">
        <v>263</v>
      </c>
      <c r="B397" s="268" t="s">
        <v>1668</v>
      </c>
      <c r="C397" s="268" t="s">
        <v>1421</v>
      </c>
      <c r="D397" s="268">
        <v>1844</v>
      </c>
      <c r="E397" s="268">
        <v>0</v>
      </c>
      <c r="F397" s="83">
        <f t="shared" si="42"/>
        <v>1844</v>
      </c>
      <c r="G397" s="268">
        <v>1198</v>
      </c>
      <c r="H397" s="268">
        <v>0</v>
      </c>
      <c r="I397" s="83">
        <f t="shared" si="37"/>
        <v>1198</v>
      </c>
      <c r="J397" s="171">
        <f t="shared" si="38"/>
        <v>0.64970000000000006</v>
      </c>
      <c r="K397" s="177">
        <f t="shared" si="39"/>
        <v>0</v>
      </c>
      <c r="L397" s="177">
        <f t="shared" si="40"/>
        <v>125.8</v>
      </c>
      <c r="M397" s="177">
        <f t="shared" si="41"/>
        <v>125.8</v>
      </c>
    </row>
    <row r="398" spans="1:13">
      <c r="A398" s="268" t="s">
        <v>263</v>
      </c>
      <c r="B398" s="268" t="s">
        <v>1669</v>
      </c>
      <c r="C398" s="268" t="s">
        <v>1670</v>
      </c>
      <c r="D398" s="268">
        <v>1351</v>
      </c>
      <c r="E398" s="268">
        <v>0</v>
      </c>
      <c r="F398" s="83">
        <f t="shared" si="42"/>
        <v>1351</v>
      </c>
      <c r="G398" s="268">
        <v>1082</v>
      </c>
      <c r="H398" s="268">
        <v>0</v>
      </c>
      <c r="I398" s="83">
        <f t="shared" si="37"/>
        <v>1082</v>
      </c>
      <c r="J398" s="171">
        <f t="shared" si="38"/>
        <v>0.80089999999999995</v>
      </c>
      <c r="K398" s="177">
        <f t="shared" si="39"/>
        <v>0</v>
      </c>
      <c r="L398" s="177">
        <f t="shared" si="40"/>
        <v>113.6</v>
      </c>
      <c r="M398" s="177">
        <f t="shared" si="41"/>
        <v>113.6</v>
      </c>
    </row>
    <row r="399" spans="1:13">
      <c r="A399" s="268" t="s">
        <v>263</v>
      </c>
      <c r="B399" s="268" t="s">
        <v>1671</v>
      </c>
      <c r="C399" s="268" t="s">
        <v>1672</v>
      </c>
      <c r="D399" s="268">
        <v>1135</v>
      </c>
      <c r="E399" s="268">
        <v>0</v>
      </c>
      <c r="F399" s="83">
        <f t="shared" si="42"/>
        <v>1135</v>
      </c>
      <c r="G399" s="268">
        <v>646</v>
      </c>
      <c r="H399" s="268">
        <v>0</v>
      </c>
      <c r="I399" s="83">
        <f t="shared" si="37"/>
        <v>646</v>
      </c>
      <c r="J399" s="171">
        <f t="shared" si="38"/>
        <v>0.56920000000000004</v>
      </c>
      <c r="K399" s="177">
        <f t="shared" si="39"/>
        <v>0</v>
      </c>
      <c r="L399" s="177">
        <f t="shared" si="40"/>
        <v>67.8</v>
      </c>
      <c r="M399" s="177">
        <f t="shared" si="41"/>
        <v>67.8</v>
      </c>
    </row>
    <row r="400" spans="1:13">
      <c r="A400" s="268" t="s">
        <v>263</v>
      </c>
      <c r="B400" s="268" t="s">
        <v>1673</v>
      </c>
      <c r="C400" s="268" t="s">
        <v>1674</v>
      </c>
      <c r="D400" s="268">
        <v>1231</v>
      </c>
      <c r="E400" s="268">
        <v>0</v>
      </c>
      <c r="F400" s="83">
        <f t="shared" si="42"/>
        <v>1231</v>
      </c>
      <c r="G400" s="268">
        <v>514</v>
      </c>
      <c r="H400" s="268">
        <v>0</v>
      </c>
      <c r="I400" s="83">
        <f t="shared" si="37"/>
        <v>514</v>
      </c>
      <c r="J400" s="171">
        <f t="shared" si="38"/>
        <v>0.41749999999999998</v>
      </c>
      <c r="K400" s="177">
        <f t="shared" si="39"/>
        <v>24.3</v>
      </c>
      <c r="L400" s="177">
        <f t="shared" si="40"/>
        <v>0</v>
      </c>
      <c r="M400" s="177">
        <f t="shared" si="41"/>
        <v>24.3</v>
      </c>
    </row>
    <row r="401" spans="1:13">
      <c r="A401" s="268" t="s">
        <v>263</v>
      </c>
      <c r="B401" s="268" t="s">
        <v>1675</v>
      </c>
      <c r="C401" s="268" t="s">
        <v>1676</v>
      </c>
      <c r="D401" s="268">
        <v>92</v>
      </c>
      <c r="E401" s="268">
        <v>0</v>
      </c>
      <c r="F401" s="83">
        <f t="shared" si="42"/>
        <v>92</v>
      </c>
      <c r="G401" s="268">
        <v>70</v>
      </c>
      <c r="H401" s="268">
        <v>0</v>
      </c>
      <c r="I401" s="83">
        <f t="shared" si="37"/>
        <v>70</v>
      </c>
      <c r="J401" s="171">
        <f t="shared" si="38"/>
        <v>0.76090000000000002</v>
      </c>
      <c r="K401" s="177">
        <f t="shared" si="39"/>
        <v>0</v>
      </c>
      <c r="L401" s="177">
        <f t="shared" si="40"/>
        <v>7.4</v>
      </c>
      <c r="M401" s="177">
        <f t="shared" si="41"/>
        <v>7.4</v>
      </c>
    </row>
    <row r="402" spans="1:13">
      <c r="A402" s="268" t="s">
        <v>264</v>
      </c>
      <c r="B402" s="268" t="s">
        <v>1677</v>
      </c>
      <c r="C402" s="268" t="s">
        <v>1678</v>
      </c>
      <c r="D402" s="268">
        <v>865</v>
      </c>
      <c r="E402" s="268">
        <v>0</v>
      </c>
      <c r="F402" s="83">
        <f t="shared" si="42"/>
        <v>865</v>
      </c>
      <c r="G402" s="268">
        <v>322</v>
      </c>
      <c r="H402" s="268">
        <v>0</v>
      </c>
      <c r="I402" s="83">
        <f t="shared" si="37"/>
        <v>322</v>
      </c>
      <c r="J402" s="171">
        <f t="shared" si="38"/>
        <v>0.37230000000000002</v>
      </c>
      <c r="K402" s="177">
        <f t="shared" si="39"/>
        <v>5</v>
      </c>
      <c r="L402" s="177">
        <f t="shared" si="40"/>
        <v>0</v>
      </c>
      <c r="M402" s="177">
        <f t="shared" si="41"/>
        <v>5</v>
      </c>
    </row>
    <row r="403" spans="1:13">
      <c r="A403" s="268" t="s">
        <v>264</v>
      </c>
      <c r="B403" s="268" t="s">
        <v>1679</v>
      </c>
      <c r="C403" s="268" t="s">
        <v>1680</v>
      </c>
      <c r="D403" s="268">
        <v>299</v>
      </c>
      <c r="E403" s="268">
        <v>0</v>
      </c>
      <c r="F403" s="83">
        <f t="shared" si="42"/>
        <v>299</v>
      </c>
      <c r="G403" s="268">
        <v>69</v>
      </c>
      <c r="H403" s="268">
        <v>0</v>
      </c>
      <c r="I403" s="83">
        <f t="shared" si="37"/>
        <v>69</v>
      </c>
      <c r="J403" s="171">
        <f t="shared" si="38"/>
        <v>0.23080000000000001</v>
      </c>
      <c r="K403" s="177">
        <f t="shared" si="39"/>
        <v>0</v>
      </c>
      <c r="L403" s="177">
        <f t="shared" si="40"/>
        <v>0</v>
      </c>
      <c r="M403" s="177">
        <f t="shared" si="41"/>
        <v>0</v>
      </c>
    </row>
    <row r="404" spans="1:13">
      <c r="A404" s="268" t="s">
        <v>264</v>
      </c>
      <c r="B404" s="268" t="s">
        <v>1681</v>
      </c>
      <c r="C404" s="268" t="s">
        <v>1682</v>
      </c>
      <c r="D404" s="268">
        <v>264</v>
      </c>
      <c r="E404" s="268">
        <v>0</v>
      </c>
      <c r="F404" s="83">
        <f t="shared" si="42"/>
        <v>264</v>
      </c>
      <c r="G404" s="268">
        <v>207</v>
      </c>
      <c r="H404" s="268">
        <v>0</v>
      </c>
      <c r="I404" s="83">
        <f t="shared" si="37"/>
        <v>207</v>
      </c>
      <c r="J404" s="171">
        <f t="shared" si="38"/>
        <v>0.78410000000000002</v>
      </c>
      <c r="K404" s="177">
        <f t="shared" si="39"/>
        <v>0</v>
      </c>
      <c r="L404" s="177">
        <f t="shared" si="40"/>
        <v>21.7</v>
      </c>
      <c r="M404" s="177">
        <f t="shared" si="41"/>
        <v>21.7</v>
      </c>
    </row>
    <row r="405" spans="1:13">
      <c r="A405" s="268" t="s">
        <v>264</v>
      </c>
      <c r="B405" s="268" t="s">
        <v>1683</v>
      </c>
      <c r="C405" s="268" t="s">
        <v>1684</v>
      </c>
      <c r="D405" s="268">
        <v>324</v>
      </c>
      <c r="E405" s="268">
        <v>0</v>
      </c>
      <c r="F405" s="83">
        <f t="shared" si="42"/>
        <v>324</v>
      </c>
      <c r="G405" s="268">
        <v>234</v>
      </c>
      <c r="H405" s="268">
        <v>0</v>
      </c>
      <c r="I405" s="83">
        <f t="shared" si="37"/>
        <v>234</v>
      </c>
      <c r="J405" s="171">
        <f t="shared" si="38"/>
        <v>0.72219999999999995</v>
      </c>
      <c r="K405" s="177">
        <f t="shared" si="39"/>
        <v>0</v>
      </c>
      <c r="L405" s="177">
        <f t="shared" si="40"/>
        <v>24.6</v>
      </c>
      <c r="M405" s="177">
        <f t="shared" si="41"/>
        <v>24.6</v>
      </c>
    </row>
    <row r="406" spans="1:13">
      <c r="A406" s="268" t="s">
        <v>264</v>
      </c>
      <c r="B406" s="268" t="s">
        <v>1685</v>
      </c>
      <c r="C406" s="268" t="s">
        <v>1686</v>
      </c>
      <c r="D406" s="268">
        <v>261</v>
      </c>
      <c r="E406" s="268">
        <v>0</v>
      </c>
      <c r="F406" s="83">
        <f t="shared" si="42"/>
        <v>261</v>
      </c>
      <c r="G406" s="268">
        <v>106</v>
      </c>
      <c r="H406" s="268">
        <v>0</v>
      </c>
      <c r="I406" s="83">
        <f t="shared" si="37"/>
        <v>106</v>
      </c>
      <c r="J406" s="171">
        <f t="shared" si="38"/>
        <v>0.40610000000000002</v>
      </c>
      <c r="K406" s="177">
        <f t="shared" si="39"/>
        <v>4.2</v>
      </c>
      <c r="L406" s="177">
        <f t="shared" si="40"/>
        <v>0</v>
      </c>
      <c r="M406" s="177">
        <f t="shared" si="41"/>
        <v>4.2</v>
      </c>
    </row>
    <row r="407" spans="1:13">
      <c r="A407" s="268" t="s">
        <v>264</v>
      </c>
      <c r="B407" s="268" t="s">
        <v>1687</v>
      </c>
      <c r="C407" s="268" t="s">
        <v>1688</v>
      </c>
      <c r="D407" s="268">
        <v>443</v>
      </c>
      <c r="E407" s="268">
        <v>0</v>
      </c>
      <c r="F407" s="83">
        <f t="shared" si="42"/>
        <v>443</v>
      </c>
      <c r="G407" s="268">
        <v>159</v>
      </c>
      <c r="H407" s="268">
        <v>0</v>
      </c>
      <c r="I407" s="83">
        <f t="shared" si="37"/>
        <v>159</v>
      </c>
      <c r="J407" s="171">
        <f t="shared" si="38"/>
        <v>0.3589</v>
      </c>
      <c r="K407" s="177">
        <f t="shared" si="39"/>
        <v>1</v>
      </c>
      <c r="L407" s="177">
        <f t="shared" si="40"/>
        <v>0</v>
      </c>
      <c r="M407" s="177">
        <f t="shared" si="41"/>
        <v>1</v>
      </c>
    </row>
    <row r="408" spans="1:13">
      <c r="A408" s="268" t="s">
        <v>264</v>
      </c>
      <c r="B408" s="268" t="s">
        <v>1689</v>
      </c>
      <c r="C408" s="268" t="s">
        <v>1690</v>
      </c>
      <c r="D408" s="268">
        <v>460</v>
      </c>
      <c r="E408" s="268">
        <v>0</v>
      </c>
      <c r="F408" s="83">
        <f t="shared" si="42"/>
        <v>460</v>
      </c>
      <c r="G408" s="268">
        <v>172</v>
      </c>
      <c r="H408" s="268">
        <v>0</v>
      </c>
      <c r="I408" s="83">
        <f t="shared" si="37"/>
        <v>172</v>
      </c>
      <c r="J408" s="171">
        <f t="shared" si="38"/>
        <v>0.37390000000000001</v>
      </c>
      <c r="K408" s="177">
        <f t="shared" si="39"/>
        <v>2.9</v>
      </c>
      <c r="L408" s="177">
        <f t="shared" si="40"/>
        <v>0</v>
      </c>
      <c r="M408" s="177">
        <f t="shared" si="41"/>
        <v>2.9</v>
      </c>
    </row>
    <row r="409" spans="1:13">
      <c r="A409" s="268" t="s">
        <v>264</v>
      </c>
      <c r="B409" s="268" t="s">
        <v>1691</v>
      </c>
      <c r="C409" s="268" t="s">
        <v>1692</v>
      </c>
      <c r="D409" s="268">
        <v>567</v>
      </c>
      <c r="E409" s="268">
        <v>0</v>
      </c>
      <c r="F409" s="83">
        <f t="shared" si="42"/>
        <v>567</v>
      </c>
      <c r="G409" s="268">
        <v>94</v>
      </c>
      <c r="H409" s="268">
        <v>0</v>
      </c>
      <c r="I409" s="83">
        <f t="shared" si="37"/>
        <v>94</v>
      </c>
      <c r="J409" s="171">
        <f t="shared" si="38"/>
        <v>0.1658</v>
      </c>
      <c r="K409" s="177">
        <f t="shared" si="39"/>
        <v>0</v>
      </c>
      <c r="L409" s="177">
        <f t="shared" si="40"/>
        <v>0</v>
      </c>
      <c r="M409" s="177">
        <f t="shared" si="41"/>
        <v>0</v>
      </c>
    </row>
    <row r="410" spans="1:13">
      <c r="A410" s="268" t="s">
        <v>264</v>
      </c>
      <c r="B410" s="268" t="s">
        <v>1693</v>
      </c>
      <c r="C410" s="268" t="s">
        <v>1694</v>
      </c>
      <c r="D410" s="268">
        <v>2009</v>
      </c>
      <c r="E410" s="268">
        <v>0</v>
      </c>
      <c r="F410" s="83">
        <f t="shared" si="42"/>
        <v>2009</v>
      </c>
      <c r="G410" s="268">
        <v>630</v>
      </c>
      <c r="H410" s="268">
        <v>0</v>
      </c>
      <c r="I410" s="83">
        <f t="shared" si="37"/>
        <v>630</v>
      </c>
      <c r="J410" s="171">
        <f t="shared" si="38"/>
        <v>0.31359999999999999</v>
      </c>
      <c r="K410" s="177">
        <f t="shared" si="39"/>
        <v>0</v>
      </c>
      <c r="L410" s="177">
        <f t="shared" si="40"/>
        <v>0</v>
      </c>
      <c r="M410" s="177">
        <f t="shared" si="41"/>
        <v>0</v>
      </c>
    </row>
    <row r="411" spans="1:13">
      <c r="A411" s="268" t="s">
        <v>264</v>
      </c>
      <c r="B411" s="268" t="s">
        <v>1695</v>
      </c>
      <c r="C411" s="268" t="s">
        <v>1696</v>
      </c>
      <c r="D411" s="268">
        <v>597</v>
      </c>
      <c r="E411" s="268">
        <v>0</v>
      </c>
      <c r="F411" s="83">
        <f t="shared" si="42"/>
        <v>597</v>
      </c>
      <c r="G411" s="268">
        <v>95</v>
      </c>
      <c r="H411" s="268">
        <v>0</v>
      </c>
      <c r="I411" s="83">
        <f t="shared" si="37"/>
        <v>95</v>
      </c>
      <c r="J411" s="171">
        <f t="shared" si="38"/>
        <v>0.15909999999999999</v>
      </c>
      <c r="K411" s="177">
        <f t="shared" si="39"/>
        <v>0</v>
      </c>
      <c r="L411" s="177">
        <f t="shared" si="40"/>
        <v>0</v>
      </c>
      <c r="M411" s="177">
        <f t="shared" si="41"/>
        <v>0</v>
      </c>
    </row>
    <row r="412" spans="1:13">
      <c r="A412" s="268" t="s">
        <v>264</v>
      </c>
      <c r="B412" s="268" t="s">
        <v>1697</v>
      </c>
      <c r="C412" s="268" t="s">
        <v>1698</v>
      </c>
      <c r="D412" s="268">
        <v>365</v>
      </c>
      <c r="E412" s="268">
        <v>0</v>
      </c>
      <c r="F412" s="83">
        <f t="shared" si="42"/>
        <v>365</v>
      </c>
      <c r="G412" s="268">
        <v>69</v>
      </c>
      <c r="H412" s="268">
        <v>0</v>
      </c>
      <c r="I412" s="83">
        <f t="shared" si="37"/>
        <v>69</v>
      </c>
      <c r="J412" s="171">
        <f t="shared" si="38"/>
        <v>0.189</v>
      </c>
      <c r="K412" s="177">
        <f t="shared" si="39"/>
        <v>0</v>
      </c>
      <c r="L412" s="177">
        <f t="shared" si="40"/>
        <v>0</v>
      </c>
      <c r="M412" s="177">
        <f t="shared" si="41"/>
        <v>0</v>
      </c>
    </row>
    <row r="413" spans="1:13">
      <c r="A413" s="268" t="s">
        <v>264</v>
      </c>
      <c r="B413" s="268" t="s">
        <v>1699</v>
      </c>
      <c r="C413" s="268" t="s">
        <v>1700</v>
      </c>
      <c r="D413" s="268">
        <v>836</v>
      </c>
      <c r="E413" s="268">
        <v>0</v>
      </c>
      <c r="F413" s="83">
        <f t="shared" si="42"/>
        <v>836</v>
      </c>
      <c r="G413" s="268">
        <v>261</v>
      </c>
      <c r="H413" s="268">
        <v>0</v>
      </c>
      <c r="I413" s="83">
        <f t="shared" si="37"/>
        <v>261</v>
      </c>
      <c r="J413" s="171">
        <f t="shared" si="38"/>
        <v>0.31219999999999998</v>
      </c>
      <c r="K413" s="177">
        <f t="shared" si="39"/>
        <v>0</v>
      </c>
      <c r="L413" s="177">
        <f t="shared" si="40"/>
        <v>0</v>
      </c>
      <c r="M413" s="177">
        <f t="shared" si="41"/>
        <v>0</v>
      </c>
    </row>
    <row r="414" spans="1:13">
      <c r="A414" s="268" t="s">
        <v>265</v>
      </c>
      <c r="B414" s="268" t="s">
        <v>1701</v>
      </c>
      <c r="C414" s="268" t="s">
        <v>1702</v>
      </c>
      <c r="D414" s="268">
        <v>599</v>
      </c>
      <c r="E414" s="268">
        <v>0</v>
      </c>
      <c r="F414" s="83">
        <f t="shared" si="42"/>
        <v>599</v>
      </c>
      <c r="G414" s="268">
        <v>272</v>
      </c>
      <c r="H414" s="268">
        <v>0</v>
      </c>
      <c r="I414" s="83">
        <f t="shared" si="37"/>
        <v>272</v>
      </c>
      <c r="J414" s="171">
        <f t="shared" si="38"/>
        <v>0.4541</v>
      </c>
      <c r="K414" s="177">
        <f t="shared" si="39"/>
        <v>19.8</v>
      </c>
      <c r="L414" s="177">
        <f t="shared" si="40"/>
        <v>0</v>
      </c>
      <c r="M414" s="177">
        <f t="shared" si="41"/>
        <v>19.8</v>
      </c>
    </row>
    <row r="415" spans="1:13">
      <c r="A415" s="268" t="s">
        <v>265</v>
      </c>
      <c r="B415" s="268" t="s">
        <v>1703</v>
      </c>
      <c r="C415" s="268" t="s">
        <v>1704</v>
      </c>
      <c r="D415" s="268">
        <v>1841</v>
      </c>
      <c r="E415" s="268">
        <v>0</v>
      </c>
      <c r="F415" s="83">
        <f t="shared" si="42"/>
        <v>1841</v>
      </c>
      <c r="G415" s="268">
        <v>675</v>
      </c>
      <c r="H415" s="268">
        <v>0</v>
      </c>
      <c r="I415" s="83">
        <f t="shared" si="37"/>
        <v>675</v>
      </c>
      <c r="J415" s="171">
        <f t="shared" si="38"/>
        <v>0.36659999999999998</v>
      </c>
      <c r="K415" s="177">
        <f t="shared" si="39"/>
        <v>7.8</v>
      </c>
      <c r="L415" s="177">
        <f t="shared" si="40"/>
        <v>0</v>
      </c>
      <c r="M415" s="177">
        <f t="shared" si="41"/>
        <v>7.8</v>
      </c>
    </row>
    <row r="416" spans="1:13">
      <c r="A416" s="268" t="s">
        <v>265</v>
      </c>
      <c r="B416" s="268" t="s">
        <v>1705</v>
      </c>
      <c r="C416" s="268" t="s">
        <v>1706</v>
      </c>
      <c r="D416" s="268">
        <v>749</v>
      </c>
      <c r="E416" s="268">
        <v>0</v>
      </c>
      <c r="F416" s="83">
        <f t="shared" si="42"/>
        <v>749</v>
      </c>
      <c r="G416" s="268">
        <v>378</v>
      </c>
      <c r="H416" s="268">
        <v>0</v>
      </c>
      <c r="I416" s="83">
        <f t="shared" si="37"/>
        <v>378</v>
      </c>
      <c r="J416" s="171">
        <f t="shared" si="38"/>
        <v>0.50470000000000004</v>
      </c>
      <c r="K416" s="177">
        <f t="shared" si="39"/>
        <v>0</v>
      </c>
      <c r="L416" s="177">
        <f t="shared" si="40"/>
        <v>39.700000000000003</v>
      </c>
      <c r="M416" s="177">
        <f t="shared" si="41"/>
        <v>39.700000000000003</v>
      </c>
    </row>
    <row r="417" spans="1:13">
      <c r="A417" s="268" t="s">
        <v>265</v>
      </c>
      <c r="B417" s="268" t="s">
        <v>1707</v>
      </c>
      <c r="C417" s="268" t="s">
        <v>1708</v>
      </c>
      <c r="D417" s="268">
        <v>327</v>
      </c>
      <c r="E417" s="268">
        <v>0</v>
      </c>
      <c r="F417" s="83">
        <f t="shared" si="42"/>
        <v>327</v>
      </c>
      <c r="G417" s="268">
        <v>132</v>
      </c>
      <c r="H417" s="268">
        <v>0</v>
      </c>
      <c r="I417" s="83">
        <f t="shared" si="37"/>
        <v>132</v>
      </c>
      <c r="J417" s="171">
        <f t="shared" si="38"/>
        <v>0.4037</v>
      </c>
      <c r="K417" s="177">
        <f t="shared" si="39"/>
        <v>5</v>
      </c>
      <c r="L417" s="177">
        <f t="shared" si="40"/>
        <v>0</v>
      </c>
      <c r="M417" s="177">
        <f t="shared" si="41"/>
        <v>5</v>
      </c>
    </row>
    <row r="418" spans="1:13">
      <c r="A418" s="268" t="s">
        <v>265</v>
      </c>
      <c r="B418" s="268" t="s">
        <v>1709</v>
      </c>
      <c r="C418" s="268" t="s">
        <v>1710</v>
      </c>
      <c r="D418" s="268">
        <v>468</v>
      </c>
      <c r="E418" s="268">
        <v>0</v>
      </c>
      <c r="F418" s="83">
        <f t="shared" si="42"/>
        <v>468</v>
      </c>
      <c r="G418" s="268">
        <v>247</v>
      </c>
      <c r="H418" s="268">
        <v>0</v>
      </c>
      <c r="I418" s="83">
        <f t="shared" si="37"/>
        <v>247</v>
      </c>
      <c r="J418" s="171">
        <f t="shared" si="38"/>
        <v>0.52780000000000005</v>
      </c>
      <c r="K418" s="177">
        <f t="shared" si="39"/>
        <v>0</v>
      </c>
      <c r="L418" s="177">
        <f t="shared" si="40"/>
        <v>25.9</v>
      </c>
      <c r="M418" s="177">
        <f t="shared" si="41"/>
        <v>25.9</v>
      </c>
    </row>
    <row r="419" spans="1:13">
      <c r="A419" s="268" t="s">
        <v>265</v>
      </c>
      <c r="B419" s="268" t="s">
        <v>1711</v>
      </c>
      <c r="C419" s="268" t="s">
        <v>1712</v>
      </c>
      <c r="D419" s="268">
        <v>472</v>
      </c>
      <c r="E419" s="268">
        <v>0</v>
      </c>
      <c r="F419" s="83">
        <f t="shared" si="42"/>
        <v>472</v>
      </c>
      <c r="G419" s="268">
        <v>220</v>
      </c>
      <c r="H419" s="268">
        <v>0</v>
      </c>
      <c r="I419" s="83">
        <f t="shared" ref="I419:I482" si="43">SUM(G419+H419)</f>
        <v>220</v>
      </c>
      <c r="J419" s="171">
        <f t="shared" ref="J419:J482" si="44">IF(ISERROR(I419/F419),0,I419/F419)</f>
        <v>0.46610000000000001</v>
      </c>
      <c r="K419" s="177">
        <f t="shared" si="39"/>
        <v>17.899999999999999</v>
      </c>
      <c r="L419" s="177">
        <f t="shared" si="40"/>
        <v>0</v>
      </c>
      <c r="M419" s="177">
        <f t="shared" si="41"/>
        <v>17.899999999999999</v>
      </c>
    </row>
    <row r="420" spans="1:13">
      <c r="A420" s="268" t="s">
        <v>265</v>
      </c>
      <c r="B420" s="268" t="s">
        <v>1713</v>
      </c>
      <c r="C420" s="268" t="s">
        <v>1714</v>
      </c>
      <c r="D420" s="268">
        <v>397</v>
      </c>
      <c r="E420" s="268">
        <v>0</v>
      </c>
      <c r="F420" s="83">
        <f t="shared" si="42"/>
        <v>397</v>
      </c>
      <c r="G420" s="268">
        <v>171</v>
      </c>
      <c r="H420" s="268">
        <v>0</v>
      </c>
      <c r="I420" s="83">
        <f t="shared" si="43"/>
        <v>171</v>
      </c>
      <c r="J420" s="171">
        <f t="shared" si="44"/>
        <v>0.43070000000000003</v>
      </c>
      <c r="K420" s="177">
        <f t="shared" si="39"/>
        <v>9.6999999999999993</v>
      </c>
      <c r="L420" s="177">
        <f t="shared" si="40"/>
        <v>0</v>
      </c>
      <c r="M420" s="177">
        <f t="shared" si="41"/>
        <v>9.6999999999999993</v>
      </c>
    </row>
    <row r="421" spans="1:13">
      <c r="A421" s="268" t="s">
        <v>265</v>
      </c>
      <c r="B421" s="268" t="s">
        <v>1715</v>
      </c>
      <c r="C421" s="268" t="s">
        <v>1716</v>
      </c>
      <c r="D421" s="268">
        <v>411</v>
      </c>
      <c r="E421" s="268">
        <v>0</v>
      </c>
      <c r="F421" s="83">
        <f t="shared" si="42"/>
        <v>411</v>
      </c>
      <c r="G421" s="268">
        <v>154</v>
      </c>
      <c r="H421" s="268">
        <v>0</v>
      </c>
      <c r="I421" s="83">
        <f t="shared" si="43"/>
        <v>154</v>
      </c>
      <c r="J421" s="171">
        <f t="shared" si="44"/>
        <v>0.37469999999999998</v>
      </c>
      <c r="K421" s="177">
        <f t="shared" si="39"/>
        <v>2.7</v>
      </c>
      <c r="L421" s="177">
        <f t="shared" si="40"/>
        <v>0</v>
      </c>
      <c r="M421" s="177">
        <f t="shared" si="41"/>
        <v>2.7</v>
      </c>
    </row>
    <row r="422" spans="1:13">
      <c r="A422" s="268" t="s">
        <v>265</v>
      </c>
      <c r="B422" s="268" t="s">
        <v>1717</v>
      </c>
      <c r="C422" s="268" t="s">
        <v>1718</v>
      </c>
      <c r="D422" s="268">
        <v>551</v>
      </c>
      <c r="E422" s="268">
        <v>0</v>
      </c>
      <c r="F422" s="83">
        <f t="shared" si="42"/>
        <v>551</v>
      </c>
      <c r="G422" s="268">
        <v>260</v>
      </c>
      <c r="H422" s="268">
        <v>0</v>
      </c>
      <c r="I422" s="83">
        <f t="shared" si="43"/>
        <v>260</v>
      </c>
      <c r="J422" s="171">
        <f t="shared" si="44"/>
        <v>0.47189999999999999</v>
      </c>
      <c r="K422" s="177">
        <f t="shared" si="39"/>
        <v>22.2</v>
      </c>
      <c r="L422" s="177">
        <f t="shared" si="40"/>
        <v>0</v>
      </c>
      <c r="M422" s="177">
        <f t="shared" si="41"/>
        <v>22.2</v>
      </c>
    </row>
    <row r="423" spans="1:13">
      <c r="A423" s="268" t="s">
        <v>266</v>
      </c>
      <c r="B423" s="268" t="s">
        <v>1719</v>
      </c>
      <c r="C423" s="268" t="s">
        <v>1720</v>
      </c>
      <c r="D423" s="268">
        <v>461</v>
      </c>
      <c r="E423" s="268">
        <v>0</v>
      </c>
      <c r="F423" s="83">
        <f t="shared" si="42"/>
        <v>461</v>
      </c>
      <c r="G423" s="268">
        <v>143</v>
      </c>
      <c r="H423" s="268">
        <v>0</v>
      </c>
      <c r="I423" s="83">
        <f t="shared" si="43"/>
        <v>143</v>
      </c>
      <c r="J423" s="171">
        <f t="shared" si="44"/>
        <v>0.31019999999999998</v>
      </c>
      <c r="K423" s="177">
        <f t="shared" si="39"/>
        <v>0</v>
      </c>
      <c r="L423" s="177">
        <f t="shared" si="40"/>
        <v>0</v>
      </c>
      <c r="M423" s="177">
        <f t="shared" si="41"/>
        <v>0</v>
      </c>
    </row>
    <row r="424" spans="1:13">
      <c r="A424" s="268" t="s">
        <v>266</v>
      </c>
      <c r="B424" s="268" t="s">
        <v>1721</v>
      </c>
      <c r="C424" s="268" t="s">
        <v>1722</v>
      </c>
      <c r="D424" s="268">
        <v>235</v>
      </c>
      <c r="E424" s="268">
        <v>0</v>
      </c>
      <c r="F424" s="83">
        <f t="shared" si="42"/>
        <v>235</v>
      </c>
      <c r="G424" s="268">
        <v>74</v>
      </c>
      <c r="H424" s="268">
        <v>0</v>
      </c>
      <c r="I424" s="83">
        <f t="shared" si="43"/>
        <v>74</v>
      </c>
      <c r="J424" s="171">
        <f t="shared" si="44"/>
        <v>0.31490000000000001</v>
      </c>
      <c r="K424" s="177">
        <f t="shared" si="39"/>
        <v>0</v>
      </c>
      <c r="L424" s="177">
        <f t="shared" si="40"/>
        <v>0</v>
      </c>
      <c r="M424" s="177">
        <f t="shared" si="41"/>
        <v>0</v>
      </c>
    </row>
    <row r="425" spans="1:13">
      <c r="A425" s="268" t="s">
        <v>266</v>
      </c>
      <c r="B425" s="268" t="s">
        <v>1723</v>
      </c>
      <c r="C425" s="268" t="s">
        <v>1724</v>
      </c>
      <c r="D425" s="268">
        <v>329</v>
      </c>
      <c r="E425" s="268">
        <v>0</v>
      </c>
      <c r="F425" s="83">
        <f t="shared" si="42"/>
        <v>329</v>
      </c>
      <c r="G425" s="268">
        <v>106</v>
      </c>
      <c r="H425" s="268">
        <v>0</v>
      </c>
      <c r="I425" s="83">
        <f t="shared" si="43"/>
        <v>106</v>
      </c>
      <c r="J425" s="171">
        <f t="shared" si="44"/>
        <v>0.32219999999999999</v>
      </c>
      <c r="K425" s="177">
        <f t="shared" si="39"/>
        <v>0</v>
      </c>
      <c r="L425" s="177">
        <f t="shared" si="40"/>
        <v>0</v>
      </c>
      <c r="M425" s="177">
        <f t="shared" si="41"/>
        <v>0</v>
      </c>
    </row>
    <row r="426" spans="1:13">
      <c r="A426" s="268" t="s">
        <v>266</v>
      </c>
      <c r="B426" s="268" t="s">
        <v>1725</v>
      </c>
      <c r="C426" s="268" t="s">
        <v>1726</v>
      </c>
      <c r="D426" s="268">
        <v>329</v>
      </c>
      <c r="E426" s="268">
        <v>0</v>
      </c>
      <c r="F426" s="83">
        <f t="shared" si="42"/>
        <v>329</v>
      </c>
      <c r="G426" s="268">
        <v>112</v>
      </c>
      <c r="H426" s="268">
        <v>0</v>
      </c>
      <c r="I426" s="83">
        <f t="shared" si="43"/>
        <v>112</v>
      </c>
      <c r="J426" s="171">
        <f t="shared" si="44"/>
        <v>0.34039999999999998</v>
      </c>
      <c r="K426" s="177">
        <f t="shared" si="39"/>
        <v>0</v>
      </c>
      <c r="L426" s="177">
        <f t="shared" si="40"/>
        <v>0</v>
      </c>
      <c r="M426" s="177">
        <f t="shared" si="41"/>
        <v>0</v>
      </c>
    </row>
    <row r="427" spans="1:13">
      <c r="A427" s="268" t="s">
        <v>266</v>
      </c>
      <c r="B427" s="268" t="s">
        <v>1727</v>
      </c>
      <c r="C427" s="268" t="s">
        <v>1728</v>
      </c>
      <c r="D427" s="268">
        <v>718</v>
      </c>
      <c r="E427" s="268">
        <v>0</v>
      </c>
      <c r="F427" s="83">
        <f t="shared" si="42"/>
        <v>718</v>
      </c>
      <c r="G427" s="268">
        <v>196</v>
      </c>
      <c r="H427" s="268">
        <v>0</v>
      </c>
      <c r="I427" s="83">
        <f t="shared" si="43"/>
        <v>196</v>
      </c>
      <c r="J427" s="171">
        <f t="shared" si="44"/>
        <v>0.27300000000000002</v>
      </c>
      <c r="K427" s="177">
        <f t="shared" si="39"/>
        <v>0</v>
      </c>
      <c r="L427" s="177">
        <f t="shared" si="40"/>
        <v>0</v>
      </c>
      <c r="M427" s="177">
        <f t="shared" si="41"/>
        <v>0</v>
      </c>
    </row>
    <row r="428" spans="1:13">
      <c r="A428" s="268" t="s">
        <v>266</v>
      </c>
      <c r="B428" s="268" t="s">
        <v>1729</v>
      </c>
      <c r="C428" s="268" t="s">
        <v>1730</v>
      </c>
      <c r="D428" s="268">
        <v>885</v>
      </c>
      <c r="E428" s="268">
        <v>0</v>
      </c>
      <c r="F428" s="83">
        <f t="shared" si="42"/>
        <v>885</v>
      </c>
      <c r="G428" s="268">
        <v>237</v>
      </c>
      <c r="H428" s="268">
        <v>0</v>
      </c>
      <c r="I428" s="83">
        <f t="shared" si="43"/>
        <v>237</v>
      </c>
      <c r="J428" s="171">
        <f t="shared" si="44"/>
        <v>0.26779999999999998</v>
      </c>
      <c r="K428" s="177">
        <f t="shared" si="39"/>
        <v>0</v>
      </c>
      <c r="L428" s="177">
        <f t="shared" si="40"/>
        <v>0</v>
      </c>
      <c r="M428" s="177">
        <f t="shared" si="41"/>
        <v>0</v>
      </c>
    </row>
    <row r="429" spans="1:13">
      <c r="A429" s="268" t="s">
        <v>266</v>
      </c>
      <c r="B429" s="268" t="s">
        <v>1731</v>
      </c>
      <c r="C429" s="268" t="s">
        <v>1732</v>
      </c>
      <c r="D429" s="268">
        <v>0</v>
      </c>
      <c r="E429" s="268">
        <v>0</v>
      </c>
      <c r="F429" s="83">
        <f t="shared" si="42"/>
        <v>0</v>
      </c>
      <c r="G429" s="268">
        <v>0</v>
      </c>
      <c r="H429" s="268">
        <v>0</v>
      </c>
      <c r="I429" s="83">
        <f t="shared" si="43"/>
        <v>0</v>
      </c>
      <c r="J429" s="171">
        <f t="shared" si="44"/>
        <v>0</v>
      </c>
      <c r="K429" s="177">
        <f t="shared" si="39"/>
        <v>0</v>
      </c>
      <c r="L429" s="177">
        <f t="shared" si="40"/>
        <v>0</v>
      </c>
      <c r="M429" s="177">
        <f t="shared" si="41"/>
        <v>0</v>
      </c>
    </row>
    <row r="430" spans="1:13">
      <c r="A430" s="268" t="s">
        <v>267</v>
      </c>
      <c r="B430" s="268" t="s">
        <v>1733</v>
      </c>
      <c r="C430" s="268" t="s">
        <v>1734</v>
      </c>
      <c r="D430" s="268">
        <v>463</v>
      </c>
      <c r="E430" s="268">
        <v>0</v>
      </c>
      <c r="F430" s="83">
        <f t="shared" si="42"/>
        <v>463</v>
      </c>
      <c r="G430" s="268">
        <v>131</v>
      </c>
      <c r="H430" s="268">
        <v>0</v>
      </c>
      <c r="I430" s="83">
        <f t="shared" si="43"/>
        <v>131</v>
      </c>
      <c r="J430" s="171">
        <f t="shared" si="44"/>
        <v>0.28289999999999998</v>
      </c>
      <c r="K430" s="177">
        <f t="shared" si="39"/>
        <v>0</v>
      </c>
      <c r="L430" s="177">
        <f t="shared" si="40"/>
        <v>0</v>
      </c>
      <c r="M430" s="177">
        <f t="shared" si="41"/>
        <v>0</v>
      </c>
    </row>
    <row r="431" spans="1:13">
      <c r="A431" s="268" t="s">
        <v>267</v>
      </c>
      <c r="B431" s="268" t="s">
        <v>1735</v>
      </c>
      <c r="C431" s="268" t="s">
        <v>1736</v>
      </c>
      <c r="D431" s="268">
        <v>533</v>
      </c>
      <c r="E431" s="268">
        <v>0</v>
      </c>
      <c r="F431" s="83">
        <f t="shared" si="42"/>
        <v>533</v>
      </c>
      <c r="G431" s="268">
        <v>136</v>
      </c>
      <c r="H431" s="268">
        <v>0</v>
      </c>
      <c r="I431" s="83">
        <f t="shared" si="43"/>
        <v>136</v>
      </c>
      <c r="J431" s="171">
        <f t="shared" si="44"/>
        <v>0.25519999999999998</v>
      </c>
      <c r="K431" s="177">
        <f t="shared" si="39"/>
        <v>0</v>
      </c>
      <c r="L431" s="177">
        <f t="shared" si="40"/>
        <v>0</v>
      </c>
      <c r="M431" s="177">
        <f t="shared" si="41"/>
        <v>0</v>
      </c>
    </row>
    <row r="432" spans="1:13">
      <c r="A432" s="268" t="s">
        <v>267</v>
      </c>
      <c r="B432" s="268" t="s">
        <v>1737</v>
      </c>
      <c r="C432" s="268" t="s">
        <v>1738</v>
      </c>
      <c r="D432" s="268">
        <v>430</v>
      </c>
      <c r="E432" s="268">
        <v>0</v>
      </c>
      <c r="F432" s="83">
        <f t="shared" si="42"/>
        <v>430</v>
      </c>
      <c r="G432" s="268">
        <v>132</v>
      </c>
      <c r="H432" s="268">
        <v>0</v>
      </c>
      <c r="I432" s="83">
        <f t="shared" si="43"/>
        <v>132</v>
      </c>
      <c r="J432" s="171">
        <f t="shared" si="44"/>
        <v>0.307</v>
      </c>
      <c r="K432" s="177">
        <f t="shared" si="39"/>
        <v>0</v>
      </c>
      <c r="L432" s="177">
        <f t="shared" si="40"/>
        <v>0</v>
      </c>
      <c r="M432" s="177">
        <f t="shared" si="41"/>
        <v>0</v>
      </c>
    </row>
    <row r="433" spans="1:13">
      <c r="A433" s="268" t="s">
        <v>267</v>
      </c>
      <c r="B433" s="268" t="s">
        <v>1739</v>
      </c>
      <c r="C433" s="268" t="s">
        <v>1740</v>
      </c>
      <c r="D433" s="268">
        <v>412</v>
      </c>
      <c r="E433" s="268">
        <v>0</v>
      </c>
      <c r="F433" s="83">
        <f t="shared" si="42"/>
        <v>412</v>
      </c>
      <c r="G433" s="268">
        <v>124</v>
      </c>
      <c r="H433" s="268">
        <v>0</v>
      </c>
      <c r="I433" s="83">
        <f t="shared" si="43"/>
        <v>124</v>
      </c>
      <c r="J433" s="171">
        <f t="shared" si="44"/>
        <v>0.30099999999999999</v>
      </c>
      <c r="K433" s="177">
        <f t="shared" si="39"/>
        <v>0</v>
      </c>
      <c r="L433" s="177">
        <f t="shared" si="40"/>
        <v>0</v>
      </c>
      <c r="M433" s="177">
        <f t="shared" si="41"/>
        <v>0</v>
      </c>
    </row>
    <row r="434" spans="1:13">
      <c r="A434" s="268" t="s">
        <v>268</v>
      </c>
      <c r="B434" s="268" t="s">
        <v>1741</v>
      </c>
      <c r="C434" s="268" t="s">
        <v>1742</v>
      </c>
      <c r="D434" s="268">
        <v>335</v>
      </c>
      <c r="E434" s="268">
        <v>0</v>
      </c>
      <c r="F434" s="83">
        <f t="shared" si="42"/>
        <v>335</v>
      </c>
      <c r="G434" s="268">
        <v>73</v>
      </c>
      <c r="H434" s="268">
        <v>0</v>
      </c>
      <c r="I434" s="83">
        <f t="shared" si="43"/>
        <v>73</v>
      </c>
      <c r="J434" s="171">
        <f t="shared" si="44"/>
        <v>0.21790000000000001</v>
      </c>
      <c r="K434" s="177">
        <f t="shared" si="39"/>
        <v>0</v>
      </c>
      <c r="L434" s="177">
        <f t="shared" si="40"/>
        <v>0</v>
      </c>
      <c r="M434" s="177">
        <f t="shared" si="41"/>
        <v>0</v>
      </c>
    </row>
    <row r="435" spans="1:13" ht="12.75" customHeight="1">
      <c r="A435" s="268" t="s">
        <v>268</v>
      </c>
      <c r="B435" s="268" t="s">
        <v>1743</v>
      </c>
      <c r="C435" s="268" t="s">
        <v>3606</v>
      </c>
      <c r="D435" s="268">
        <v>423</v>
      </c>
      <c r="E435" s="268">
        <v>0</v>
      </c>
      <c r="F435" s="83">
        <f t="shared" si="42"/>
        <v>423</v>
      </c>
      <c r="G435" s="268">
        <v>81</v>
      </c>
      <c r="H435" s="268">
        <v>0</v>
      </c>
      <c r="I435" s="83">
        <f t="shared" si="43"/>
        <v>81</v>
      </c>
      <c r="J435" s="171">
        <f t="shared" si="44"/>
        <v>0.1915</v>
      </c>
      <c r="K435" s="177">
        <f t="shared" si="39"/>
        <v>0</v>
      </c>
      <c r="L435" s="177">
        <f t="shared" si="40"/>
        <v>0</v>
      </c>
      <c r="M435" s="177">
        <f t="shared" si="41"/>
        <v>0</v>
      </c>
    </row>
    <row r="436" spans="1:13" ht="12.75" customHeight="1">
      <c r="A436" s="268" t="s">
        <v>268</v>
      </c>
      <c r="B436" s="268" t="s">
        <v>1744</v>
      </c>
      <c r="C436" s="268" t="s">
        <v>1745</v>
      </c>
      <c r="D436" s="268">
        <v>367</v>
      </c>
      <c r="E436" s="268">
        <v>0</v>
      </c>
      <c r="F436" s="83">
        <f t="shared" si="42"/>
        <v>367</v>
      </c>
      <c r="G436" s="268">
        <v>56</v>
      </c>
      <c r="H436" s="268">
        <v>0</v>
      </c>
      <c r="I436" s="83">
        <f t="shared" si="43"/>
        <v>56</v>
      </c>
      <c r="J436" s="171">
        <f t="shared" si="44"/>
        <v>0.15260000000000001</v>
      </c>
      <c r="K436" s="177">
        <f t="shared" si="39"/>
        <v>0</v>
      </c>
      <c r="L436" s="177">
        <f t="shared" si="40"/>
        <v>0</v>
      </c>
      <c r="M436" s="177">
        <f t="shared" si="41"/>
        <v>0</v>
      </c>
    </row>
    <row r="437" spans="1:13" ht="12.75" customHeight="1">
      <c r="A437" s="268" t="s">
        <v>269</v>
      </c>
      <c r="B437" s="268" t="s">
        <v>1746</v>
      </c>
      <c r="C437" s="268" t="s">
        <v>1747</v>
      </c>
      <c r="D437" s="268">
        <v>480</v>
      </c>
      <c r="E437" s="268">
        <v>0</v>
      </c>
      <c r="F437" s="83">
        <f t="shared" si="42"/>
        <v>480</v>
      </c>
      <c r="G437" s="268">
        <v>102</v>
      </c>
      <c r="H437" s="268">
        <v>0</v>
      </c>
      <c r="I437" s="83">
        <f t="shared" si="43"/>
        <v>102</v>
      </c>
      <c r="J437" s="171">
        <f t="shared" si="44"/>
        <v>0.21249999999999999</v>
      </c>
      <c r="K437" s="177">
        <f t="shared" si="39"/>
        <v>0</v>
      </c>
      <c r="L437" s="177">
        <f t="shared" si="40"/>
        <v>0</v>
      </c>
      <c r="M437" s="177">
        <f t="shared" si="41"/>
        <v>0</v>
      </c>
    </row>
    <row r="438" spans="1:13" ht="12.75" customHeight="1">
      <c r="A438" s="268" t="s">
        <v>269</v>
      </c>
      <c r="B438" s="268" t="s">
        <v>1748</v>
      </c>
      <c r="C438" s="268" t="s">
        <v>1749</v>
      </c>
      <c r="D438" s="268">
        <v>365</v>
      </c>
      <c r="E438" s="268">
        <v>0</v>
      </c>
      <c r="F438" s="83">
        <f t="shared" si="42"/>
        <v>365</v>
      </c>
      <c r="G438" s="268">
        <v>48</v>
      </c>
      <c r="H438" s="268">
        <v>0</v>
      </c>
      <c r="I438" s="83">
        <f t="shared" si="43"/>
        <v>48</v>
      </c>
      <c r="J438" s="171">
        <f t="shared" si="44"/>
        <v>0.13150000000000001</v>
      </c>
      <c r="K438" s="177">
        <f t="shared" si="39"/>
        <v>0</v>
      </c>
      <c r="L438" s="177">
        <f t="shared" si="40"/>
        <v>0</v>
      </c>
      <c r="M438" s="177">
        <f t="shared" si="41"/>
        <v>0</v>
      </c>
    </row>
    <row r="439" spans="1:13" ht="12.75" customHeight="1">
      <c r="A439" s="268" t="s">
        <v>269</v>
      </c>
      <c r="B439" s="268" t="s">
        <v>1750</v>
      </c>
      <c r="C439" s="268" t="s">
        <v>1751</v>
      </c>
      <c r="D439" s="268">
        <v>461</v>
      </c>
      <c r="E439" s="268">
        <v>0</v>
      </c>
      <c r="F439" s="83">
        <f t="shared" si="42"/>
        <v>461</v>
      </c>
      <c r="G439" s="268">
        <v>116</v>
      </c>
      <c r="H439" s="268">
        <v>0</v>
      </c>
      <c r="I439" s="83">
        <f t="shared" si="43"/>
        <v>116</v>
      </c>
      <c r="J439" s="171">
        <f t="shared" si="44"/>
        <v>0.25159999999999999</v>
      </c>
      <c r="K439" s="177">
        <f t="shared" si="39"/>
        <v>0</v>
      </c>
      <c r="L439" s="177">
        <f t="shared" si="40"/>
        <v>0</v>
      </c>
      <c r="M439" s="177">
        <f t="shared" si="41"/>
        <v>0</v>
      </c>
    </row>
    <row r="440" spans="1:13" ht="12.75" customHeight="1">
      <c r="A440" s="268" t="s">
        <v>269</v>
      </c>
      <c r="B440" s="268" t="s">
        <v>1752</v>
      </c>
      <c r="C440" s="268" t="s">
        <v>1753</v>
      </c>
      <c r="D440" s="268">
        <v>472</v>
      </c>
      <c r="E440" s="268">
        <v>0</v>
      </c>
      <c r="F440" s="83">
        <f t="shared" si="42"/>
        <v>472</v>
      </c>
      <c r="G440" s="268">
        <v>83</v>
      </c>
      <c r="H440" s="268">
        <v>0</v>
      </c>
      <c r="I440" s="83">
        <f t="shared" si="43"/>
        <v>83</v>
      </c>
      <c r="J440" s="171">
        <f t="shared" si="44"/>
        <v>0.17580000000000001</v>
      </c>
      <c r="K440" s="177">
        <f t="shared" si="39"/>
        <v>0</v>
      </c>
      <c r="L440" s="177">
        <f t="shared" si="40"/>
        <v>0</v>
      </c>
      <c r="M440" s="177">
        <f t="shared" si="41"/>
        <v>0</v>
      </c>
    </row>
    <row r="441" spans="1:13" ht="12.75" customHeight="1">
      <c r="A441" s="268" t="s">
        <v>269</v>
      </c>
      <c r="B441" s="268" t="s">
        <v>1754</v>
      </c>
      <c r="C441" s="268" t="s">
        <v>1755</v>
      </c>
      <c r="D441" s="268">
        <v>519</v>
      </c>
      <c r="E441" s="268">
        <v>0</v>
      </c>
      <c r="F441" s="83">
        <f t="shared" si="42"/>
        <v>519</v>
      </c>
      <c r="G441" s="268">
        <v>76</v>
      </c>
      <c r="H441" s="268">
        <v>0</v>
      </c>
      <c r="I441" s="83">
        <f t="shared" si="43"/>
        <v>76</v>
      </c>
      <c r="J441" s="171">
        <f t="shared" si="44"/>
        <v>0.1464</v>
      </c>
      <c r="K441" s="177">
        <f t="shared" si="39"/>
        <v>0</v>
      </c>
      <c r="L441" s="177">
        <f t="shared" si="40"/>
        <v>0</v>
      </c>
      <c r="M441" s="177">
        <f t="shared" si="41"/>
        <v>0</v>
      </c>
    </row>
    <row r="442" spans="1:13" ht="12.75" customHeight="1">
      <c r="A442" s="268" t="s">
        <v>269</v>
      </c>
      <c r="B442" s="268" t="s">
        <v>1756</v>
      </c>
      <c r="C442" s="268" t="s">
        <v>1757</v>
      </c>
      <c r="D442" s="268">
        <v>843</v>
      </c>
      <c r="E442" s="268">
        <v>0</v>
      </c>
      <c r="F442" s="83">
        <f t="shared" si="42"/>
        <v>843</v>
      </c>
      <c r="G442" s="268">
        <v>156</v>
      </c>
      <c r="H442" s="268">
        <v>0</v>
      </c>
      <c r="I442" s="83">
        <f t="shared" si="43"/>
        <v>156</v>
      </c>
      <c r="J442" s="171">
        <f t="shared" si="44"/>
        <v>0.18509999999999999</v>
      </c>
      <c r="K442" s="177">
        <f t="shared" si="39"/>
        <v>0</v>
      </c>
      <c r="L442" s="177">
        <f t="shared" si="40"/>
        <v>0</v>
      </c>
      <c r="M442" s="177">
        <f t="shared" si="41"/>
        <v>0</v>
      </c>
    </row>
    <row r="443" spans="1:13" ht="12.75" customHeight="1">
      <c r="A443" s="268" t="s">
        <v>269</v>
      </c>
      <c r="B443" s="268" t="s">
        <v>1758</v>
      </c>
      <c r="C443" s="268" t="s">
        <v>1759</v>
      </c>
      <c r="D443" s="268">
        <v>469</v>
      </c>
      <c r="E443" s="268">
        <v>0</v>
      </c>
      <c r="F443" s="83">
        <f t="shared" si="42"/>
        <v>469</v>
      </c>
      <c r="G443" s="268">
        <v>85</v>
      </c>
      <c r="H443" s="268">
        <v>0</v>
      </c>
      <c r="I443" s="83">
        <f t="shared" si="43"/>
        <v>85</v>
      </c>
      <c r="J443" s="171">
        <f t="shared" si="44"/>
        <v>0.1812</v>
      </c>
      <c r="K443" s="177">
        <f t="shared" si="39"/>
        <v>0</v>
      </c>
      <c r="L443" s="177">
        <f t="shared" si="40"/>
        <v>0</v>
      </c>
      <c r="M443" s="177">
        <f t="shared" si="41"/>
        <v>0</v>
      </c>
    </row>
    <row r="444" spans="1:13" ht="12.75" customHeight="1">
      <c r="A444" s="268" t="s">
        <v>269</v>
      </c>
      <c r="B444" s="268" t="s">
        <v>1760</v>
      </c>
      <c r="C444" s="268" t="s">
        <v>1761</v>
      </c>
      <c r="D444" s="268">
        <v>488</v>
      </c>
      <c r="E444" s="268">
        <v>0</v>
      </c>
      <c r="F444" s="83">
        <f t="shared" si="42"/>
        <v>488</v>
      </c>
      <c r="G444" s="268">
        <v>67</v>
      </c>
      <c r="H444" s="268">
        <v>0</v>
      </c>
      <c r="I444" s="83">
        <f t="shared" si="43"/>
        <v>67</v>
      </c>
      <c r="J444" s="171">
        <f t="shared" si="44"/>
        <v>0.13730000000000001</v>
      </c>
      <c r="K444" s="177">
        <f t="shared" si="39"/>
        <v>0</v>
      </c>
      <c r="L444" s="177">
        <f t="shared" si="40"/>
        <v>0</v>
      </c>
      <c r="M444" s="177">
        <f t="shared" si="41"/>
        <v>0</v>
      </c>
    </row>
    <row r="445" spans="1:13" ht="12.75" customHeight="1">
      <c r="A445" s="268" t="s">
        <v>269</v>
      </c>
      <c r="B445" s="268" t="s">
        <v>1762</v>
      </c>
      <c r="C445" s="268" t="s">
        <v>1763</v>
      </c>
      <c r="D445" s="268">
        <v>484</v>
      </c>
      <c r="E445" s="268">
        <v>0</v>
      </c>
      <c r="F445" s="83">
        <f t="shared" si="42"/>
        <v>484</v>
      </c>
      <c r="G445" s="268">
        <v>77</v>
      </c>
      <c r="H445" s="268">
        <v>0</v>
      </c>
      <c r="I445" s="83">
        <f t="shared" si="43"/>
        <v>77</v>
      </c>
      <c r="J445" s="171">
        <f t="shared" si="44"/>
        <v>0.15909999999999999</v>
      </c>
      <c r="K445" s="177">
        <f t="shared" si="39"/>
        <v>0</v>
      </c>
      <c r="L445" s="177">
        <f t="shared" si="40"/>
        <v>0</v>
      </c>
      <c r="M445" s="177">
        <f t="shared" si="41"/>
        <v>0</v>
      </c>
    </row>
    <row r="446" spans="1:13" ht="12.75" customHeight="1">
      <c r="A446" s="268" t="s">
        <v>269</v>
      </c>
      <c r="B446" s="268" t="s">
        <v>1764</v>
      </c>
      <c r="C446" s="268" t="s">
        <v>1765</v>
      </c>
      <c r="D446" s="268">
        <v>471</v>
      </c>
      <c r="E446" s="268">
        <v>0</v>
      </c>
      <c r="F446" s="83">
        <f t="shared" si="42"/>
        <v>471</v>
      </c>
      <c r="G446" s="268">
        <v>45</v>
      </c>
      <c r="H446" s="268">
        <v>0</v>
      </c>
      <c r="I446" s="83">
        <f t="shared" si="43"/>
        <v>45</v>
      </c>
      <c r="J446" s="171">
        <f t="shared" si="44"/>
        <v>9.5500000000000002E-2</v>
      </c>
      <c r="K446" s="177">
        <f t="shared" si="39"/>
        <v>0</v>
      </c>
      <c r="L446" s="177">
        <f t="shared" si="40"/>
        <v>0</v>
      </c>
      <c r="M446" s="177">
        <f t="shared" si="41"/>
        <v>0</v>
      </c>
    </row>
    <row r="447" spans="1:13" ht="12.75" customHeight="1">
      <c r="A447" s="268" t="s">
        <v>269</v>
      </c>
      <c r="B447" s="268" t="s">
        <v>1766</v>
      </c>
      <c r="C447" s="268" t="s">
        <v>1767</v>
      </c>
      <c r="D447" s="268">
        <v>943</v>
      </c>
      <c r="E447" s="268">
        <v>0</v>
      </c>
      <c r="F447" s="83">
        <f t="shared" si="42"/>
        <v>943</v>
      </c>
      <c r="G447" s="268">
        <v>97</v>
      </c>
      <c r="H447" s="268">
        <v>0</v>
      </c>
      <c r="I447" s="83">
        <f t="shared" si="43"/>
        <v>97</v>
      </c>
      <c r="J447" s="171">
        <f t="shared" si="44"/>
        <v>0.10290000000000001</v>
      </c>
      <c r="K447" s="177">
        <f t="shared" si="39"/>
        <v>0</v>
      </c>
      <c r="L447" s="177">
        <f t="shared" si="40"/>
        <v>0</v>
      </c>
      <c r="M447" s="177">
        <f t="shared" si="41"/>
        <v>0</v>
      </c>
    </row>
    <row r="448" spans="1:13" ht="12.75" customHeight="1">
      <c r="A448" s="268" t="s">
        <v>270</v>
      </c>
      <c r="B448" s="268" t="s">
        <v>1768</v>
      </c>
      <c r="C448" s="268" t="s">
        <v>1769</v>
      </c>
      <c r="D448" s="268">
        <v>634</v>
      </c>
      <c r="E448" s="268">
        <v>0</v>
      </c>
      <c r="F448" s="83">
        <f t="shared" si="42"/>
        <v>634</v>
      </c>
      <c r="G448" s="268">
        <v>116</v>
      </c>
      <c r="H448" s="268">
        <v>0</v>
      </c>
      <c r="I448" s="83">
        <f t="shared" si="43"/>
        <v>116</v>
      </c>
      <c r="J448" s="171">
        <f t="shared" si="44"/>
        <v>0.183</v>
      </c>
      <c r="K448" s="177">
        <f t="shared" si="39"/>
        <v>0</v>
      </c>
      <c r="L448" s="177">
        <f t="shared" si="40"/>
        <v>0</v>
      </c>
      <c r="M448" s="177">
        <f t="shared" si="41"/>
        <v>0</v>
      </c>
    </row>
    <row r="449" spans="1:13" ht="12.75" customHeight="1">
      <c r="A449" s="268" t="s">
        <v>270</v>
      </c>
      <c r="B449" s="268" t="s">
        <v>1770</v>
      </c>
      <c r="C449" s="268" t="s">
        <v>1771</v>
      </c>
      <c r="D449" s="268">
        <v>859</v>
      </c>
      <c r="E449" s="268">
        <v>0</v>
      </c>
      <c r="F449" s="83">
        <f t="shared" si="42"/>
        <v>859</v>
      </c>
      <c r="G449" s="268">
        <v>167</v>
      </c>
      <c r="H449" s="268">
        <v>0</v>
      </c>
      <c r="I449" s="83">
        <f t="shared" si="43"/>
        <v>167</v>
      </c>
      <c r="J449" s="171">
        <f t="shared" si="44"/>
        <v>0.19439999999999999</v>
      </c>
      <c r="K449" s="177">
        <f t="shared" si="39"/>
        <v>0</v>
      </c>
      <c r="L449" s="177">
        <f t="shared" si="40"/>
        <v>0</v>
      </c>
      <c r="M449" s="177">
        <f t="shared" si="41"/>
        <v>0</v>
      </c>
    </row>
    <row r="450" spans="1:13" ht="12.75" customHeight="1">
      <c r="A450" s="268" t="s">
        <v>270</v>
      </c>
      <c r="B450" s="268" t="s">
        <v>1772</v>
      </c>
      <c r="C450" s="268" t="s">
        <v>1773</v>
      </c>
      <c r="D450" s="268">
        <v>654</v>
      </c>
      <c r="E450" s="268">
        <v>0</v>
      </c>
      <c r="F450" s="83">
        <f t="shared" si="42"/>
        <v>654</v>
      </c>
      <c r="G450" s="268">
        <v>100</v>
      </c>
      <c r="H450" s="268">
        <v>0</v>
      </c>
      <c r="I450" s="83">
        <f t="shared" si="43"/>
        <v>100</v>
      </c>
      <c r="J450" s="171">
        <f t="shared" si="44"/>
        <v>0.15290000000000001</v>
      </c>
      <c r="K450" s="177">
        <f t="shared" si="39"/>
        <v>0</v>
      </c>
      <c r="L450" s="177">
        <f t="shared" si="40"/>
        <v>0</v>
      </c>
      <c r="M450" s="177">
        <f t="shared" si="41"/>
        <v>0</v>
      </c>
    </row>
    <row r="451" spans="1:13" ht="12.75" customHeight="1">
      <c r="A451" s="268" t="s">
        <v>270</v>
      </c>
      <c r="B451" s="268" t="s">
        <v>1774</v>
      </c>
      <c r="C451" s="268" t="s">
        <v>1775</v>
      </c>
      <c r="D451" s="268">
        <v>557</v>
      </c>
      <c r="E451" s="268">
        <v>0</v>
      </c>
      <c r="F451" s="83">
        <f t="shared" si="42"/>
        <v>557</v>
      </c>
      <c r="G451" s="268">
        <v>79</v>
      </c>
      <c r="H451" s="268">
        <v>0</v>
      </c>
      <c r="I451" s="83">
        <f t="shared" si="43"/>
        <v>79</v>
      </c>
      <c r="J451" s="171">
        <f t="shared" si="44"/>
        <v>0.14180000000000001</v>
      </c>
      <c r="K451" s="177">
        <f t="shared" si="39"/>
        <v>0</v>
      </c>
      <c r="L451" s="177">
        <f t="shared" si="40"/>
        <v>0</v>
      </c>
      <c r="M451" s="177">
        <f t="shared" si="41"/>
        <v>0</v>
      </c>
    </row>
    <row r="452" spans="1:13" ht="12.75" customHeight="1">
      <c r="A452" s="268" t="s">
        <v>270</v>
      </c>
      <c r="B452" s="268" t="s">
        <v>1776</v>
      </c>
      <c r="C452" s="268" t="s">
        <v>1777</v>
      </c>
      <c r="D452" s="268">
        <v>837</v>
      </c>
      <c r="E452" s="268">
        <v>0</v>
      </c>
      <c r="F452" s="83">
        <f t="shared" si="42"/>
        <v>837</v>
      </c>
      <c r="G452" s="268">
        <v>116</v>
      </c>
      <c r="H452" s="268">
        <v>0</v>
      </c>
      <c r="I452" s="83">
        <f t="shared" si="43"/>
        <v>116</v>
      </c>
      <c r="J452" s="171">
        <f t="shared" si="44"/>
        <v>0.1386</v>
      </c>
      <c r="K452" s="177">
        <f t="shared" si="39"/>
        <v>0</v>
      </c>
      <c r="L452" s="177">
        <f t="shared" si="40"/>
        <v>0</v>
      </c>
      <c r="M452" s="177">
        <f t="shared" si="41"/>
        <v>0</v>
      </c>
    </row>
    <row r="453" spans="1:13" ht="12.75" customHeight="1">
      <c r="A453" s="268" t="s">
        <v>270</v>
      </c>
      <c r="B453" s="268" t="s">
        <v>1778</v>
      </c>
      <c r="C453" s="268" t="s">
        <v>1779</v>
      </c>
      <c r="D453" s="268">
        <v>1244</v>
      </c>
      <c r="E453" s="268">
        <v>0</v>
      </c>
      <c r="F453" s="83">
        <f t="shared" si="42"/>
        <v>1244</v>
      </c>
      <c r="G453" s="268">
        <v>164</v>
      </c>
      <c r="H453" s="268">
        <v>0</v>
      </c>
      <c r="I453" s="83">
        <f t="shared" si="43"/>
        <v>164</v>
      </c>
      <c r="J453" s="171">
        <f t="shared" si="44"/>
        <v>0.1318</v>
      </c>
      <c r="K453" s="177">
        <f t="shared" ref="K453:K516" si="45">IF(AND((J453-35%)&gt;0,J453&lt;50%),I453*(J453-35%)*0.7,0)</f>
        <v>0</v>
      </c>
      <c r="L453" s="177">
        <f t="shared" ref="L453:L516" si="46">IF(J453&gt;=50%,I453*10.5%,0)</f>
        <v>0</v>
      </c>
      <c r="M453" s="177">
        <f t="shared" ref="M453:M516" si="47">MAX(K453,L453)</f>
        <v>0</v>
      </c>
    </row>
    <row r="454" spans="1:13" ht="12.75" customHeight="1">
      <c r="A454" s="268" t="s">
        <v>270</v>
      </c>
      <c r="B454" s="268" t="s">
        <v>1780</v>
      </c>
      <c r="C454" s="268" t="s">
        <v>1781</v>
      </c>
      <c r="D454" s="268">
        <v>713</v>
      </c>
      <c r="E454" s="268">
        <v>0</v>
      </c>
      <c r="F454" s="83">
        <f t="shared" ref="F454:F517" si="48">SUM(D454+E454)</f>
        <v>713</v>
      </c>
      <c r="G454" s="268">
        <v>124</v>
      </c>
      <c r="H454" s="268">
        <v>0</v>
      </c>
      <c r="I454" s="83">
        <f t="shared" si="43"/>
        <v>124</v>
      </c>
      <c r="J454" s="171">
        <f t="shared" si="44"/>
        <v>0.1739</v>
      </c>
      <c r="K454" s="177">
        <f t="shared" si="45"/>
        <v>0</v>
      </c>
      <c r="L454" s="177">
        <f t="shared" si="46"/>
        <v>0</v>
      </c>
      <c r="M454" s="177">
        <f t="shared" si="47"/>
        <v>0</v>
      </c>
    </row>
    <row r="455" spans="1:13" ht="12.75" customHeight="1">
      <c r="A455" s="268" t="s">
        <v>270</v>
      </c>
      <c r="B455" s="268" t="s">
        <v>1782</v>
      </c>
      <c r="C455" s="268" t="s">
        <v>1783</v>
      </c>
      <c r="D455" s="268">
        <v>1030</v>
      </c>
      <c r="E455" s="268">
        <v>0</v>
      </c>
      <c r="F455" s="83">
        <f t="shared" si="48"/>
        <v>1030</v>
      </c>
      <c r="G455" s="268">
        <v>78</v>
      </c>
      <c r="H455" s="268">
        <v>0</v>
      </c>
      <c r="I455" s="83">
        <f t="shared" si="43"/>
        <v>78</v>
      </c>
      <c r="J455" s="171">
        <f t="shared" si="44"/>
        <v>7.5700000000000003E-2</v>
      </c>
      <c r="K455" s="177">
        <f t="shared" si="45"/>
        <v>0</v>
      </c>
      <c r="L455" s="177">
        <f t="shared" si="46"/>
        <v>0</v>
      </c>
      <c r="M455" s="177">
        <f t="shared" si="47"/>
        <v>0</v>
      </c>
    </row>
    <row r="456" spans="1:13" ht="12.75" customHeight="1">
      <c r="A456" s="268" t="s">
        <v>270</v>
      </c>
      <c r="B456" s="268" t="s">
        <v>1784</v>
      </c>
      <c r="C456" s="268" t="s">
        <v>1785</v>
      </c>
      <c r="D456" s="268">
        <v>698</v>
      </c>
      <c r="E456" s="268">
        <v>0</v>
      </c>
      <c r="F456" s="83">
        <f t="shared" si="48"/>
        <v>698</v>
      </c>
      <c r="G456" s="268">
        <v>117</v>
      </c>
      <c r="H456" s="268">
        <v>0</v>
      </c>
      <c r="I456" s="83">
        <f t="shared" si="43"/>
        <v>117</v>
      </c>
      <c r="J456" s="171">
        <f t="shared" si="44"/>
        <v>0.1676</v>
      </c>
      <c r="K456" s="177">
        <f t="shared" si="45"/>
        <v>0</v>
      </c>
      <c r="L456" s="177">
        <f t="shared" si="46"/>
        <v>0</v>
      </c>
      <c r="M456" s="177">
        <f t="shared" si="47"/>
        <v>0</v>
      </c>
    </row>
    <row r="457" spans="1:13" ht="12.75" customHeight="1">
      <c r="A457" s="268" t="s">
        <v>270</v>
      </c>
      <c r="B457" s="268" t="s">
        <v>1786</v>
      </c>
      <c r="C457" s="268" t="s">
        <v>1787</v>
      </c>
      <c r="D457" s="268">
        <v>0</v>
      </c>
      <c r="E457" s="268">
        <v>0</v>
      </c>
      <c r="F457" s="83">
        <f t="shared" si="48"/>
        <v>0</v>
      </c>
      <c r="G457" s="268">
        <v>0</v>
      </c>
      <c r="H457" s="268">
        <v>0</v>
      </c>
      <c r="I457" s="83">
        <f t="shared" si="43"/>
        <v>0</v>
      </c>
      <c r="J457" s="171">
        <f t="shared" si="44"/>
        <v>0</v>
      </c>
      <c r="K457" s="177">
        <f t="shared" si="45"/>
        <v>0</v>
      </c>
      <c r="L457" s="177">
        <f t="shared" si="46"/>
        <v>0</v>
      </c>
      <c r="M457" s="177">
        <f t="shared" si="47"/>
        <v>0</v>
      </c>
    </row>
    <row r="458" spans="1:13" ht="12.75" customHeight="1">
      <c r="A458" s="268" t="s">
        <v>271</v>
      </c>
      <c r="B458" s="268" t="s">
        <v>1788</v>
      </c>
      <c r="C458" s="268" t="s">
        <v>1789</v>
      </c>
      <c r="D458" s="268">
        <v>350</v>
      </c>
      <c r="E458" s="268">
        <v>0</v>
      </c>
      <c r="F458" s="83">
        <f t="shared" si="48"/>
        <v>350</v>
      </c>
      <c r="G458" s="268">
        <v>24</v>
      </c>
      <c r="H458" s="268">
        <v>0</v>
      </c>
      <c r="I458" s="83">
        <f t="shared" si="43"/>
        <v>24</v>
      </c>
      <c r="J458" s="171">
        <f t="shared" si="44"/>
        <v>6.8599999999999994E-2</v>
      </c>
      <c r="K458" s="177">
        <f t="shared" si="45"/>
        <v>0</v>
      </c>
      <c r="L458" s="177">
        <f t="shared" si="46"/>
        <v>0</v>
      </c>
      <c r="M458" s="177">
        <f t="shared" si="47"/>
        <v>0</v>
      </c>
    </row>
    <row r="459" spans="1:13" ht="12.75" customHeight="1">
      <c r="A459" s="268" t="s">
        <v>271</v>
      </c>
      <c r="B459" s="268" t="s">
        <v>1790</v>
      </c>
      <c r="C459" s="268" t="s">
        <v>1791</v>
      </c>
      <c r="D459" s="268">
        <v>389</v>
      </c>
      <c r="E459" s="268">
        <v>0</v>
      </c>
      <c r="F459" s="83">
        <f t="shared" si="48"/>
        <v>389</v>
      </c>
      <c r="G459" s="268">
        <v>23</v>
      </c>
      <c r="H459" s="268">
        <v>0</v>
      </c>
      <c r="I459" s="83">
        <f t="shared" si="43"/>
        <v>23</v>
      </c>
      <c r="J459" s="171">
        <f t="shared" si="44"/>
        <v>5.91E-2</v>
      </c>
      <c r="K459" s="177">
        <f t="shared" si="45"/>
        <v>0</v>
      </c>
      <c r="L459" s="177">
        <f t="shared" si="46"/>
        <v>0</v>
      </c>
      <c r="M459" s="177">
        <f t="shared" si="47"/>
        <v>0</v>
      </c>
    </row>
    <row r="460" spans="1:13" ht="12.75" customHeight="1">
      <c r="A460" s="268" t="s">
        <v>271</v>
      </c>
      <c r="B460" s="268" t="s">
        <v>1792</v>
      </c>
      <c r="C460" s="268" t="s">
        <v>1793</v>
      </c>
      <c r="D460" s="268">
        <v>211</v>
      </c>
      <c r="E460" s="268">
        <v>0</v>
      </c>
      <c r="F460" s="83">
        <f t="shared" si="48"/>
        <v>211</v>
      </c>
      <c r="G460" s="268">
        <v>31</v>
      </c>
      <c r="H460" s="268">
        <v>0</v>
      </c>
      <c r="I460" s="83">
        <f t="shared" si="43"/>
        <v>31</v>
      </c>
      <c r="J460" s="171">
        <f t="shared" si="44"/>
        <v>0.1469</v>
      </c>
      <c r="K460" s="177">
        <f t="shared" si="45"/>
        <v>0</v>
      </c>
      <c r="L460" s="177">
        <f t="shared" si="46"/>
        <v>0</v>
      </c>
      <c r="M460" s="177">
        <f t="shared" si="47"/>
        <v>0</v>
      </c>
    </row>
    <row r="461" spans="1:13" ht="12.75" customHeight="1">
      <c r="A461" s="268" t="s">
        <v>271</v>
      </c>
      <c r="B461" s="268" t="s">
        <v>1794</v>
      </c>
      <c r="C461" s="268" t="s">
        <v>1795</v>
      </c>
      <c r="D461" s="268">
        <v>346</v>
      </c>
      <c r="E461" s="268">
        <v>0</v>
      </c>
      <c r="F461" s="83">
        <f t="shared" si="48"/>
        <v>346</v>
      </c>
      <c r="G461" s="268">
        <v>38</v>
      </c>
      <c r="H461" s="268">
        <v>0</v>
      </c>
      <c r="I461" s="83">
        <f t="shared" si="43"/>
        <v>38</v>
      </c>
      <c r="J461" s="171">
        <f t="shared" si="44"/>
        <v>0.10979999999999999</v>
      </c>
      <c r="K461" s="177">
        <f t="shared" si="45"/>
        <v>0</v>
      </c>
      <c r="L461" s="177">
        <f t="shared" si="46"/>
        <v>0</v>
      </c>
      <c r="M461" s="177">
        <f t="shared" si="47"/>
        <v>0</v>
      </c>
    </row>
    <row r="462" spans="1:13" ht="12.75" customHeight="1">
      <c r="A462" s="268" t="s">
        <v>271</v>
      </c>
      <c r="B462" s="268" t="s">
        <v>1796</v>
      </c>
      <c r="C462" s="268" t="s">
        <v>1797</v>
      </c>
      <c r="D462" s="268">
        <v>156</v>
      </c>
      <c r="E462" s="268">
        <v>0</v>
      </c>
      <c r="F462" s="83">
        <f t="shared" si="48"/>
        <v>156</v>
      </c>
      <c r="G462" s="268">
        <v>18</v>
      </c>
      <c r="H462" s="268">
        <v>0</v>
      </c>
      <c r="I462" s="83">
        <f t="shared" si="43"/>
        <v>18</v>
      </c>
      <c r="J462" s="171">
        <f t="shared" si="44"/>
        <v>0.1154</v>
      </c>
      <c r="K462" s="177">
        <f t="shared" si="45"/>
        <v>0</v>
      </c>
      <c r="L462" s="177">
        <f t="shared" si="46"/>
        <v>0</v>
      </c>
      <c r="M462" s="177">
        <f t="shared" si="47"/>
        <v>0</v>
      </c>
    </row>
    <row r="463" spans="1:13" ht="12.75" customHeight="1">
      <c r="A463" s="268" t="s">
        <v>271</v>
      </c>
      <c r="B463" s="268" t="s">
        <v>1798</v>
      </c>
      <c r="C463" s="268" t="s">
        <v>1799</v>
      </c>
      <c r="D463" s="268">
        <v>345</v>
      </c>
      <c r="E463" s="268">
        <v>0</v>
      </c>
      <c r="F463" s="83">
        <f t="shared" si="48"/>
        <v>345</v>
      </c>
      <c r="G463" s="268">
        <v>28</v>
      </c>
      <c r="H463" s="268">
        <v>0</v>
      </c>
      <c r="I463" s="83">
        <f t="shared" si="43"/>
        <v>28</v>
      </c>
      <c r="J463" s="171">
        <f t="shared" si="44"/>
        <v>8.1199999999999994E-2</v>
      </c>
      <c r="K463" s="177">
        <f t="shared" si="45"/>
        <v>0</v>
      </c>
      <c r="L463" s="177">
        <f t="shared" si="46"/>
        <v>0</v>
      </c>
      <c r="M463" s="177">
        <f t="shared" si="47"/>
        <v>0</v>
      </c>
    </row>
    <row r="464" spans="1:13" ht="12.75" customHeight="1">
      <c r="A464" s="268" t="s">
        <v>272</v>
      </c>
      <c r="B464" s="268" t="s">
        <v>1800</v>
      </c>
      <c r="C464" s="268" t="s">
        <v>1801</v>
      </c>
      <c r="D464" s="268">
        <v>372</v>
      </c>
      <c r="E464" s="268">
        <v>0</v>
      </c>
      <c r="F464" s="83">
        <f t="shared" si="48"/>
        <v>372</v>
      </c>
      <c r="G464" s="268">
        <v>72</v>
      </c>
      <c r="H464" s="268">
        <v>0</v>
      </c>
      <c r="I464" s="83">
        <f t="shared" si="43"/>
        <v>72</v>
      </c>
      <c r="J464" s="171">
        <f t="shared" si="44"/>
        <v>0.19350000000000001</v>
      </c>
      <c r="K464" s="177">
        <f t="shared" si="45"/>
        <v>0</v>
      </c>
      <c r="L464" s="177">
        <f t="shared" si="46"/>
        <v>0</v>
      </c>
      <c r="M464" s="177">
        <f t="shared" si="47"/>
        <v>0</v>
      </c>
    </row>
    <row r="465" spans="1:13" ht="12.75" customHeight="1">
      <c r="A465" s="268" t="s">
        <v>272</v>
      </c>
      <c r="B465" s="268" t="s">
        <v>1802</v>
      </c>
      <c r="C465" s="268" t="s">
        <v>1803</v>
      </c>
      <c r="D465" s="268">
        <v>179</v>
      </c>
      <c r="E465" s="268">
        <v>0</v>
      </c>
      <c r="F465" s="83">
        <f t="shared" si="48"/>
        <v>179</v>
      </c>
      <c r="G465" s="268">
        <v>29</v>
      </c>
      <c r="H465" s="268">
        <v>0</v>
      </c>
      <c r="I465" s="83">
        <f t="shared" si="43"/>
        <v>29</v>
      </c>
      <c r="J465" s="171">
        <f t="shared" si="44"/>
        <v>0.16200000000000001</v>
      </c>
      <c r="K465" s="177">
        <f t="shared" si="45"/>
        <v>0</v>
      </c>
      <c r="L465" s="177">
        <f t="shared" si="46"/>
        <v>0</v>
      </c>
      <c r="M465" s="177">
        <f t="shared" si="47"/>
        <v>0</v>
      </c>
    </row>
    <row r="466" spans="1:13" ht="12.75" customHeight="1">
      <c r="A466" s="268" t="s">
        <v>272</v>
      </c>
      <c r="B466" s="268" t="s">
        <v>1804</v>
      </c>
      <c r="C466" s="268" t="s">
        <v>1805</v>
      </c>
      <c r="D466" s="268">
        <v>235</v>
      </c>
      <c r="E466" s="268">
        <v>0</v>
      </c>
      <c r="F466" s="83">
        <f t="shared" si="48"/>
        <v>235</v>
      </c>
      <c r="G466" s="268">
        <v>24</v>
      </c>
      <c r="H466" s="268">
        <v>0</v>
      </c>
      <c r="I466" s="83">
        <f t="shared" si="43"/>
        <v>24</v>
      </c>
      <c r="J466" s="171">
        <f t="shared" si="44"/>
        <v>0.1021</v>
      </c>
      <c r="K466" s="177">
        <f t="shared" si="45"/>
        <v>0</v>
      </c>
      <c r="L466" s="177">
        <f t="shared" si="46"/>
        <v>0</v>
      </c>
      <c r="M466" s="177">
        <f t="shared" si="47"/>
        <v>0</v>
      </c>
    </row>
    <row r="467" spans="1:13" ht="12.75" customHeight="1">
      <c r="A467" s="268" t="s">
        <v>273</v>
      </c>
      <c r="B467" s="268" t="s">
        <v>1806</v>
      </c>
      <c r="C467" s="268" t="s">
        <v>1807</v>
      </c>
      <c r="D467" s="268">
        <v>25</v>
      </c>
      <c r="E467" s="268">
        <v>0</v>
      </c>
      <c r="F467" s="83">
        <f t="shared" si="48"/>
        <v>25</v>
      </c>
      <c r="G467" s="268">
        <v>7</v>
      </c>
      <c r="H467" s="268">
        <v>0</v>
      </c>
      <c r="I467" s="83">
        <f t="shared" si="43"/>
        <v>7</v>
      </c>
      <c r="J467" s="171">
        <f t="shared" si="44"/>
        <v>0.28000000000000003</v>
      </c>
      <c r="K467" s="177">
        <f t="shared" si="45"/>
        <v>0</v>
      </c>
      <c r="L467" s="177">
        <f t="shared" si="46"/>
        <v>0</v>
      </c>
      <c r="M467" s="177">
        <f t="shared" si="47"/>
        <v>0</v>
      </c>
    </row>
    <row r="468" spans="1:13" ht="12.75" customHeight="1">
      <c r="A468" s="268" t="s">
        <v>273</v>
      </c>
      <c r="B468" s="268" t="s">
        <v>1808</v>
      </c>
      <c r="C468" s="268" t="s">
        <v>1809</v>
      </c>
      <c r="D468" s="268">
        <v>45</v>
      </c>
      <c r="E468" s="268">
        <v>0</v>
      </c>
      <c r="F468" s="83">
        <f t="shared" si="48"/>
        <v>45</v>
      </c>
      <c r="G468" s="268">
        <v>13</v>
      </c>
      <c r="H468" s="268">
        <v>0</v>
      </c>
      <c r="I468" s="83">
        <f t="shared" si="43"/>
        <v>13</v>
      </c>
      <c r="J468" s="171">
        <f t="shared" si="44"/>
        <v>0.28889999999999999</v>
      </c>
      <c r="K468" s="177">
        <f t="shared" si="45"/>
        <v>0</v>
      </c>
      <c r="L468" s="177">
        <f t="shared" si="46"/>
        <v>0</v>
      </c>
      <c r="M468" s="177">
        <f t="shared" si="47"/>
        <v>0</v>
      </c>
    </row>
    <row r="469" spans="1:13" ht="12.75" customHeight="1">
      <c r="A469" s="268" t="s">
        <v>273</v>
      </c>
      <c r="B469" s="268" t="s">
        <v>1810</v>
      </c>
      <c r="C469" s="268" t="s">
        <v>1811</v>
      </c>
      <c r="D469" s="268">
        <v>26</v>
      </c>
      <c r="E469" s="268">
        <v>0</v>
      </c>
      <c r="F469" s="83">
        <f t="shared" si="48"/>
        <v>26</v>
      </c>
      <c r="G469" s="268">
        <v>8</v>
      </c>
      <c r="H469" s="268">
        <v>0</v>
      </c>
      <c r="I469" s="83">
        <f t="shared" si="43"/>
        <v>8</v>
      </c>
      <c r="J469" s="171">
        <f t="shared" si="44"/>
        <v>0.30769999999999997</v>
      </c>
      <c r="K469" s="177">
        <f t="shared" si="45"/>
        <v>0</v>
      </c>
      <c r="L469" s="177">
        <f t="shared" si="46"/>
        <v>0</v>
      </c>
      <c r="M469" s="177">
        <f t="shared" si="47"/>
        <v>0</v>
      </c>
    </row>
    <row r="470" spans="1:13" ht="12.75" customHeight="1">
      <c r="A470" s="268" t="s">
        <v>274</v>
      </c>
      <c r="B470" s="268" t="s">
        <v>1812</v>
      </c>
      <c r="C470" s="268" t="s">
        <v>1813</v>
      </c>
      <c r="D470" s="268">
        <v>162</v>
      </c>
      <c r="E470" s="268">
        <v>0</v>
      </c>
      <c r="F470" s="83">
        <f t="shared" si="48"/>
        <v>162</v>
      </c>
      <c r="G470" s="268">
        <v>52</v>
      </c>
      <c r="H470" s="268">
        <v>0</v>
      </c>
      <c r="I470" s="83">
        <f t="shared" si="43"/>
        <v>52</v>
      </c>
      <c r="J470" s="171">
        <f t="shared" si="44"/>
        <v>0.32100000000000001</v>
      </c>
      <c r="K470" s="177">
        <f t="shared" si="45"/>
        <v>0</v>
      </c>
      <c r="L470" s="177">
        <f t="shared" si="46"/>
        <v>0</v>
      </c>
      <c r="M470" s="177">
        <f t="shared" si="47"/>
        <v>0</v>
      </c>
    </row>
    <row r="471" spans="1:13" ht="12.75" customHeight="1">
      <c r="A471" s="268" t="s">
        <v>274</v>
      </c>
      <c r="B471" s="268" t="s">
        <v>1814</v>
      </c>
      <c r="C471" s="268" t="s">
        <v>1815</v>
      </c>
      <c r="D471" s="268">
        <v>182</v>
      </c>
      <c r="E471" s="268">
        <v>0</v>
      </c>
      <c r="F471" s="83">
        <f t="shared" si="48"/>
        <v>182</v>
      </c>
      <c r="G471" s="268">
        <v>58</v>
      </c>
      <c r="H471" s="268">
        <v>0</v>
      </c>
      <c r="I471" s="83">
        <f t="shared" si="43"/>
        <v>58</v>
      </c>
      <c r="J471" s="171">
        <f t="shared" si="44"/>
        <v>0.31869999999999998</v>
      </c>
      <c r="K471" s="177">
        <f t="shared" si="45"/>
        <v>0</v>
      </c>
      <c r="L471" s="177">
        <f t="shared" si="46"/>
        <v>0</v>
      </c>
      <c r="M471" s="177">
        <f t="shared" si="47"/>
        <v>0</v>
      </c>
    </row>
    <row r="472" spans="1:13" ht="12.75" customHeight="1">
      <c r="A472" s="268" t="s">
        <v>275</v>
      </c>
      <c r="B472" s="268" t="s">
        <v>1816</v>
      </c>
      <c r="C472" s="268" t="s">
        <v>1817</v>
      </c>
      <c r="D472" s="268">
        <v>220</v>
      </c>
      <c r="E472" s="268">
        <v>0</v>
      </c>
      <c r="F472" s="83">
        <f t="shared" si="48"/>
        <v>220</v>
      </c>
      <c r="G472" s="268">
        <v>87</v>
      </c>
      <c r="H472" s="268">
        <v>0</v>
      </c>
      <c r="I472" s="83">
        <f t="shared" si="43"/>
        <v>87</v>
      </c>
      <c r="J472" s="171">
        <f t="shared" si="44"/>
        <v>0.39550000000000002</v>
      </c>
      <c r="K472" s="177">
        <f t="shared" si="45"/>
        <v>2.8</v>
      </c>
      <c r="L472" s="177">
        <f t="shared" si="46"/>
        <v>0</v>
      </c>
      <c r="M472" s="177">
        <f t="shared" si="47"/>
        <v>2.8</v>
      </c>
    </row>
    <row r="473" spans="1:13" ht="12.75" customHeight="1">
      <c r="A473" s="268" t="s">
        <v>275</v>
      </c>
      <c r="B473" s="268" t="s">
        <v>1818</v>
      </c>
      <c r="C473" s="268" t="s">
        <v>1819</v>
      </c>
      <c r="D473" s="268">
        <v>123</v>
      </c>
      <c r="E473" s="268">
        <v>0</v>
      </c>
      <c r="F473" s="83">
        <f t="shared" si="48"/>
        <v>123</v>
      </c>
      <c r="G473" s="268">
        <v>40</v>
      </c>
      <c r="H473" s="268">
        <v>0</v>
      </c>
      <c r="I473" s="83">
        <f t="shared" si="43"/>
        <v>40</v>
      </c>
      <c r="J473" s="171">
        <f t="shared" si="44"/>
        <v>0.32519999999999999</v>
      </c>
      <c r="K473" s="177">
        <f t="shared" si="45"/>
        <v>0</v>
      </c>
      <c r="L473" s="177">
        <f t="shared" si="46"/>
        <v>0</v>
      </c>
      <c r="M473" s="177">
        <f t="shared" si="47"/>
        <v>0</v>
      </c>
    </row>
    <row r="474" spans="1:13" ht="12.75" customHeight="1">
      <c r="A474" s="268" t="s">
        <v>276</v>
      </c>
      <c r="B474" s="268" t="s">
        <v>1820</v>
      </c>
      <c r="C474" s="268" t="s">
        <v>1821</v>
      </c>
      <c r="D474" s="268">
        <v>140</v>
      </c>
      <c r="E474" s="268">
        <v>0</v>
      </c>
      <c r="F474" s="83">
        <f t="shared" si="48"/>
        <v>140</v>
      </c>
      <c r="G474" s="268">
        <v>49</v>
      </c>
      <c r="H474" s="268">
        <v>0</v>
      </c>
      <c r="I474" s="83">
        <f t="shared" si="43"/>
        <v>49</v>
      </c>
      <c r="J474" s="171">
        <f t="shared" si="44"/>
        <v>0.35</v>
      </c>
      <c r="K474" s="177">
        <f t="shared" si="45"/>
        <v>0</v>
      </c>
      <c r="L474" s="177">
        <f t="shared" si="46"/>
        <v>0</v>
      </c>
      <c r="M474" s="177">
        <f t="shared" si="47"/>
        <v>0</v>
      </c>
    </row>
    <row r="475" spans="1:13" ht="12.75" customHeight="1">
      <c r="A475" s="268" t="s">
        <v>276</v>
      </c>
      <c r="B475" s="268" t="s">
        <v>1822</v>
      </c>
      <c r="C475" s="268" t="s">
        <v>1823</v>
      </c>
      <c r="D475" s="268">
        <v>133</v>
      </c>
      <c r="E475" s="268">
        <v>0</v>
      </c>
      <c r="F475" s="83">
        <f t="shared" si="48"/>
        <v>133</v>
      </c>
      <c r="G475" s="268">
        <v>42</v>
      </c>
      <c r="H475" s="268">
        <v>0</v>
      </c>
      <c r="I475" s="83">
        <f t="shared" si="43"/>
        <v>42</v>
      </c>
      <c r="J475" s="171">
        <f t="shared" si="44"/>
        <v>0.31580000000000003</v>
      </c>
      <c r="K475" s="177">
        <f t="shared" si="45"/>
        <v>0</v>
      </c>
      <c r="L475" s="177">
        <f t="shared" si="46"/>
        <v>0</v>
      </c>
      <c r="M475" s="177">
        <f t="shared" si="47"/>
        <v>0</v>
      </c>
    </row>
    <row r="476" spans="1:13" ht="12.75" customHeight="1">
      <c r="A476" s="268" t="s">
        <v>276</v>
      </c>
      <c r="B476" s="268" t="s">
        <v>1824</v>
      </c>
      <c r="C476" s="268" t="s">
        <v>1825</v>
      </c>
      <c r="D476" s="268">
        <v>40</v>
      </c>
      <c r="E476" s="268">
        <v>0</v>
      </c>
      <c r="F476" s="83">
        <f t="shared" si="48"/>
        <v>40</v>
      </c>
      <c r="G476" s="268">
        <v>2</v>
      </c>
      <c r="H476" s="268">
        <v>0</v>
      </c>
      <c r="I476" s="83">
        <f t="shared" si="43"/>
        <v>2</v>
      </c>
      <c r="J476" s="171">
        <f t="shared" si="44"/>
        <v>0.05</v>
      </c>
      <c r="K476" s="177">
        <f t="shared" si="45"/>
        <v>0</v>
      </c>
      <c r="L476" s="177">
        <f t="shared" si="46"/>
        <v>0</v>
      </c>
      <c r="M476" s="177">
        <f t="shared" si="47"/>
        <v>0</v>
      </c>
    </row>
    <row r="477" spans="1:13" ht="12.75" customHeight="1">
      <c r="A477" s="268" t="s">
        <v>277</v>
      </c>
      <c r="B477" s="268" t="s">
        <v>1826</v>
      </c>
      <c r="C477" s="268" t="s">
        <v>1827</v>
      </c>
      <c r="D477" s="268">
        <v>446</v>
      </c>
      <c r="E477" s="268">
        <v>0</v>
      </c>
      <c r="F477" s="83">
        <f t="shared" si="48"/>
        <v>446</v>
      </c>
      <c r="G477" s="268">
        <v>154</v>
      </c>
      <c r="H477" s="268">
        <v>0</v>
      </c>
      <c r="I477" s="83">
        <f t="shared" si="43"/>
        <v>154</v>
      </c>
      <c r="J477" s="171">
        <f t="shared" si="44"/>
        <v>0.3453</v>
      </c>
      <c r="K477" s="177">
        <f t="shared" si="45"/>
        <v>0</v>
      </c>
      <c r="L477" s="177">
        <f t="shared" si="46"/>
        <v>0</v>
      </c>
      <c r="M477" s="177">
        <f t="shared" si="47"/>
        <v>0</v>
      </c>
    </row>
    <row r="478" spans="1:13" ht="12.75" customHeight="1">
      <c r="A478" s="268" t="s">
        <v>277</v>
      </c>
      <c r="B478" s="268" t="s">
        <v>1828</v>
      </c>
      <c r="C478" s="268" t="s">
        <v>1829</v>
      </c>
      <c r="D478" s="268">
        <v>358</v>
      </c>
      <c r="E478" s="268">
        <v>0</v>
      </c>
      <c r="F478" s="83">
        <f t="shared" si="48"/>
        <v>358</v>
      </c>
      <c r="G478" s="268">
        <v>91</v>
      </c>
      <c r="H478" s="268">
        <v>0</v>
      </c>
      <c r="I478" s="83">
        <f t="shared" si="43"/>
        <v>91</v>
      </c>
      <c r="J478" s="171">
        <f t="shared" si="44"/>
        <v>0.25419999999999998</v>
      </c>
      <c r="K478" s="177">
        <f t="shared" si="45"/>
        <v>0</v>
      </c>
      <c r="L478" s="177">
        <f t="shared" si="46"/>
        <v>0</v>
      </c>
      <c r="M478" s="177">
        <f t="shared" si="47"/>
        <v>0</v>
      </c>
    </row>
    <row r="479" spans="1:13" ht="12.75" customHeight="1">
      <c r="A479" s="268" t="s">
        <v>278</v>
      </c>
      <c r="B479" s="268" t="s">
        <v>1830</v>
      </c>
      <c r="C479" s="268" t="s">
        <v>1831</v>
      </c>
      <c r="D479" s="268">
        <v>194</v>
      </c>
      <c r="E479" s="268">
        <v>0</v>
      </c>
      <c r="F479" s="83">
        <f t="shared" si="48"/>
        <v>194</v>
      </c>
      <c r="G479" s="268">
        <v>59</v>
      </c>
      <c r="H479" s="268">
        <v>0</v>
      </c>
      <c r="I479" s="83">
        <f t="shared" si="43"/>
        <v>59</v>
      </c>
      <c r="J479" s="171">
        <f t="shared" si="44"/>
        <v>0.30409999999999998</v>
      </c>
      <c r="K479" s="177">
        <f t="shared" si="45"/>
        <v>0</v>
      </c>
      <c r="L479" s="177">
        <f t="shared" si="46"/>
        <v>0</v>
      </c>
      <c r="M479" s="177">
        <f t="shared" si="47"/>
        <v>0</v>
      </c>
    </row>
    <row r="480" spans="1:13" ht="12.75" customHeight="1">
      <c r="A480" s="268" t="s">
        <v>278</v>
      </c>
      <c r="B480" s="268" t="s">
        <v>1832</v>
      </c>
      <c r="C480" s="268" t="s">
        <v>1833</v>
      </c>
      <c r="D480" s="268">
        <v>127</v>
      </c>
      <c r="E480" s="268">
        <v>0</v>
      </c>
      <c r="F480" s="83">
        <f t="shared" si="48"/>
        <v>127</v>
      </c>
      <c r="G480" s="268">
        <v>32</v>
      </c>
      <c r="H480" s="268">
        <v>0</v>
      </c>
      <c r="I480" s="83">
        <f t="shared" si="43"/>
        <v>32</v>
      </c>
      <c r="J480" s="171">
        <f t="shared" si="44"/>
        <v>0.252</v>
      </c>
      <c r="K480" s="177">
        <f t="shared" si="45"/>
        <v>0</v>
      </c>
      <c r="L480" s="177">
        <f t="shared" si="46"/>
        <v>0</v>
      </c>
      <c r="M480" s="177">
        <f t="shared" si="47"/>
        <v>0</v>
      </c>
    </row>
    <row r="481" spans="1:13" ht="12.75" customHeight="1">
      <c r="A481" s="268" t="s">
        <v>278</v>
      </c>
      <c r="B481" s="268" t="s">
        <v>1834</v>
      </c>
      <c r="C481" s="268" t="s">
        <v>1835</v>
      </c>
      <c r="D481" s="268">
        <v>129</v>
      </c>
      <c r="E481" s="268">
        <v>0</v>
      </c>
      <c r="F481" s="83">
        <f t="shared" si="48"/>
        <v>129</v>
      </c>
      <c r="G481" s="268">
        <v>49</v>
      </c>
      <c r="H481" s="268">
        <v>0</v>
      </c>
      <c r="I481" s="83">
        <f t="shared" si="43"/>
        <v>49</v>
      </c>
      <c r="J481" s="171">
        <f t="shared" si="44"/>
        <v>0.37980000000000003</v>
      </c>
      <c r="K481" s="177">
        <f t="shared" si="45"/>
        <v>1</v>
      </c>
      <c r="L481" s="177">
        <f t="shared" si="46"/>
        <v>0</v>
      </c>
      <c r="M481" s="177">
        <f t="shared" si="47"/>
        <v>1</v>
      </c>
    </row>
    <row r="482" spans="1:13" ht="12.75" customHeight="1">
      <c r="A482" s="268" t="s">
        <v>279</v>
      </c>
      <c r="B482" s="268" t="s">
        <v>1836</v>
      </c>
      <c r="C482" s="268" t="s">
        <v>1837</v>
      </c>
      <c r="D482" s="268">
        <v>47</v>
      </c>
      <c r="E482" s="268">
        <v>0</v>
      </c>
      <c r="F482" s="83">
        <f t="shared" si="48"/>
        <v>47</v>
      </c>
      <c r="G482" s="268">
        <v>10</v>
      </c>
      <c r="H482" s="268">
        <v>0</v>
      </c>
      <c r="I482" s="83">
        <f t="shared" si="43"/>
        <v>10</v>
      </c>
      <c r="J482" s="171">
        <f t="shared" si="44"/>
        <v>0.21279999999999999</v>
      </c>
      <c r="K482" s="177">
        <f t="shared" si="45"/>
        <v>0</v>
      </c>
      <c r="L482" s="177">
        <f t="shared" si="46"/>
        <v>0</v>
      </c>
      <c r="M482" s="177">
        <f t="shared" si="47"/>
        <v>0</v>
      </c>
    </row>
    <row r="483" spans="1:13" ht="12.75" customHeight="1">
      <c r="A483" s="268" t="s">
        <v>279</v>
      </c>
      <c r="B483" s="268" t="s">
        <v>1838</v>
      </c>
      <c r="C483" s="268" t="s">
        <v>1839</v>
      </c>
      <c r="D483" s="268">
        <v>24</v>
      </c>
      <c r="E483" s="268">
        <v>0</v>
      </c>
      <c r="F483" s="83">
        <f t="shared" si="48"/>
        <v>24</v>
      </c>
      <c r="G483" s="268">
        <v>10</v>
      </c>
      <c r="H483" s="268">
        <v>0</v>
      </c>
      <c r="I483" s="83">
        <f t="shared" ref="I483:I546" si="49">SUM(G483+H483)</f>
        <v>10</v>
      </c>
      <c r="J483" s="171">
        <f t="shared" ref="J483:J546" si="50">IF(ISERROR(I483/F483),0,I483/F483)</f>
        <v>0.41670000000000001</v>
      </c>
      <c r="K483" s="177">
        <f t="shared" si="45"/>
        <v>0.5</v>
      </c>
      <c r="L483" s="177">
        <f t="shared" si="46"/>
        <v>0</v>
      </c>
      <c r="M483" s="177">
        <f t="shared" si="47"/>
        <v>0.5</v>
      </c>
    </row>
    <row r="484" spans="1:13" ht="12.75" customHeight="1">
      <c r="A484" s="268" t="s">
        <v>280</v>
      </c>
      <c r="B484" s="268" t="s">
        <v>1840</v>
      </c>
      <c r="C484" s="268" t="s">
        <v>1841</v>
      </c>
      <c r="D484" s="268">
        <v>164</v>
      </c>
      <c r="E484" s="268">
        <v>0</v>
      </c>
      <c r="F484" s="83">
        <f t="shared" si="48"/>
        <v>164</v>
      </c>
      <c r="G484" s="268">
        <v>57</v>
      </c>
      <c r="H484" s="268">
        <v>0</v>
      </c>
      <c r="I484" s="83">
        <f t="shared" si="49"/>
        <v>57</v>
      </c>
      <c r="J484" s="171">
        <f t="shared" si="50"/>
        <v>0.34760000000000002</v>
      </c>
      <c r="K484" s="177">
        <f t="shared" si="45"/>
        <v>0</v>
      </c>
      <c r="L484" s="177">
        <f t="shared" si="46"/>
        <v>0</v>
      </c>
      <c r="M484" s="177">
        <f t="shared" si="47"/>
        <v>0</v>
      </c>
    </row>
    <row r="485" spans="1:13" ht="12.75" customHeight="1">
      <c r="A485" s="268" t="s">
        <v>280</v>
      </c>
      <c r="B485" s="268" t="s">
        <v>1842</v>
      </c>
      <c r="C485" s="268" t="s">
        <v>1843</v>
      </c>
      <c r="D485" s="268">
        <v>227</v>
      </c>
      <c r="E485" s="268">
        <v>0</v>
      </c>
      <c r="F485" s="83">
        <f t="shared" si="48"/>
        <v>227</v>
      </c>
      <c r="G485" s="268">
        <v>105</v>
      </c>
      <c r="H485" s="268">
        <v>0</v>
      </c>
      <c r="I485" s="83">
        <f t="shared" si="49"/>
        <v>105</v>
      </c>
      <c r="J485" s="171">
        <f t="shared" si="50"/>
        <v>0.46260000000000001</v>
      </c>
      <c r="K485" s="177">
        <f t="shared" si="45"/>
        <v>8.3000000000000007</v>
      </c>
      <c r="L485" s="177">
        <f t="shared" si="46"/>
        <v>0</v>
      </c>
      <c r="M485" s="177">
        <f t="shared" si="47"/>
        <v>8.3000000000000007</v>
      </c>
    </row>
    <row r="486" spans="1:13" ht="12.75" customHeight="1">
      <c r="A486" s="268" t="s">
        <v>281</v>
      </c>
      <c r="B486" s="268" t="s">
        <v>1844</v>
      </c>
      <c r="C486" s="268" t="s">
        <v>1845</v>
      </c>
      <c r="D486" s="268">
        <v>367</v>
      </c>
      <c r="E486" s="268">
        <v>0</v>
      </c>
      <c r="F486" s="83">
        <f t="shared" si="48"/>
        <v>367</v>
      </c>
      <c r="G486" s="268">
        <v>158</v>
      </c>
      <c r="H486" s="268">
        <v>0</v>
      </c>
      <c r="I486" s="83">
        <f t="shared" si="49"/>
        <v>158</v>
      </c>
      <c r="J486" s="171">
        <f t="shared" si="50"/>
        <v>0.43049999999999999</v>
      </c>
      <c r="K486" s="177">
        <f t="shared" si="45"/>
        <v>8.9</v>
      </c>
      <c r="L486" s="177">
        <f t="shared" si="46"/>
        <v>0</v>
      </c>
      <c r="M486" s="177">
        <f t="shared" si="47"/>
        <v>8.9</v>
      </c>
    </row>
    <row r="487" spans="1:13" ht="12.75" customHeight="1">
      <c r="A487" s="268" t="s">
        <v>282</v>
      </c>
      <c r="B487" s="268" t="s">
        <v>1846</v>
      </c>
      <c r="C487" s="268" t="s">
        <v>1847</v>
      </c>
      <c r="D487" s="268">
        <v>65</v>
      </c>
      <c r="E487" s="268">
        <v>0</v>
      </c>
      <c r="F487" s="83">
        <f t="shared" si="48"/>
        <v>65</v>
      </c>
      <c r="G487" s="268">
        <v>50</v>
      </c>
      <c r="H487" s="268">
        <v>0</v>
      </c>
      <c r="I487" s="83">
        <f t="shared" si="49"/>
        <v>50</v>
      </c>
      <c r="J487" s="171">
        <f t="shared" si="50"/>
        <v>0.76919999999999999</v>
      </c>
      <c r="K487" s="177">
        <f t="shared" si="45"/>
        <v>0</v>
      </c>
      <c r="L487" s="177">
        <f t="shared" si="46"/>
        <v>5.3</v>
      </c>
      <c r="M487" s="177">
        <f t="shared" si="47"/>
        <v>5.3</v>
      </c>
    </row>
    <row r="488" spans="1:13" ht="12.75" customHeight="1">
      <c r="A488" s="268" t="s">
        <v>282</v>
      </c>
      <c r="B488" s="268" t="s">
        <v>1848</v>
      </c>
      <c r="C488" s="268" t="s">
        <v>1849</v>
      </c>
      <c r="D488" s="268">
        <v>31</v>
      </c>
      <c r="E488" s="268">
        <v>0</v>
      </c>
      <c r="F488" s="83">
        <f t="shared" si="48"/>
        <v>31</v>
      </c>
      <c r="G488" s="268">
        <v>20</v>
      </c>
      <c r="H488" s="268">
        <v>0</v>
      </c>
      <c r="I488" s="83">
        <f t="shared" si="49"/>
        <v>20</v>
      </c>
      <c r="J488" s="171">
        <f t="shared" si="50"/>
        <v>0.6452</v>
      </c>
      <c r="K488" s="177">
        <f t="shared" si="45"/>
        <v>0</v>
      </c>
      <c r="L488" s="177">
        <f t="shared" si="46"/>
        <v>2.1</v>
      </c>
      <c r="M488" s="177">
        <f t="shared" si="47"/>
        <v>2.1</v>
      </c>
    </row>
    <row r="489" spans="1:13" ht="12.75" customHeight="1">
      <c r="A489" s="268" t="s">
        <v>283</v>
      </c>
      <c r="B489" s="268" t="s">
        <v>1850</v>
      </c>
      <c r="C489" s="268" t="s">
        <v>1851</v>
      </c>
      <c r="D489" s="268">
        <v>152</v>
      </c>
      <c r="E489" s="268">
        <v>0</v>
      </c>
      <c r="F489" s="83">
        <f t="shared" si="48"/>
        <v>152</v>
      </c>
      <c r="G489" s="268">
        <v>44</v>
      </c>
      <c r="H489" s="268">
        <v>0</v>
      </c>
      <c r="I489" s="83">
        <f t="shared" si="49"/>
        <v>44</v>
      </c>
      <c r="J489" s="171">
        <f t="shared" si="50"/>
        <v>0.28949999999999998</v>
      </c>
      <c r="K489" s="177">
        <f t="shared" si="45"/>
        <v>0</v>
      </c>
      <c r="L489" s="177">
        <f t="shared" si="46"/>
        <v>0</v>
      </c>
      <c r="M489" s="177">
        <f t="shared" si="47"/>
        <v>0</v>
      </c>
    </row>
    <row r="490" spans="1:13" ht="12.75" customHeight="1">
      <c r="A490" s="268" t="s">
        <v>283</v>
      </c>
      <c r="B490" s="268" t="s">
        <v>1852</v>
      </c>
      <c r="C490" s="268" t="s">
        <v>1853</v>
      </c>
      <c r="D490" s="268">
        <v>194</v>
      </c>
      <c r="E490" s="268">
        <v>0</v>
      </c>
      <c r="F490" s="83">
        <f t="shared" si="48"/>
        <v>194</v>
      </c>
      <c r="G490" s="268">
        <v>52</v>
      </c>
      <c r="H490" s="268">
        <v>0</v>
      </c>
      <c r="I490" s="83">
        <f t="shared" si="49"/>
        <v>52</v>
      </c>
      <c r="J490" s="171">
        <f t="shared" si="50"/>
        <v>0.26800000000000002</v>
      </c>
      <c r="K490" s="177">
        <f t="shared" si="45"/>
        <v>0</v>
      </c>
      <c r="L490" s="177">
        <f t="shared" si="46"/>
        <v>0</v>
      </c>
      <c r="M490" s="177">
        <f t="shared" si="47"/>
        <v>0</v>
      </c>
    </row>
    <row r="491" spans="1:13" ht="12.75" customHeight="1">
      <c r="A491" s="268" t="s">
        <v>284</v>
      </c>
      <c r="B491" s="268" t="s">
        <v>1854</v>
      </c>
      <c r="C491" s="268" t="s">
        <v>1855</v>
      </c>
      <c r="D491" s="268">
        <v>63</v>
      </c>
      <c r="E491" s="268">
        <v>0</v>
      </c>
      <c r="F491" s="83">
        <f t="shared" si="48"/>
        <v>63</v>
      </c>
      <c r="G491" s="268">
        <v>32</v>
      </c>
      <c r="H491" s="268">
        <v>0</v>
      </c>
      <c r="I491" s="83">
        <f t="shared" si="49"/>
        <v>32</v>
      </c>
      <c r="J491" s="171">
        <f t="shared" si="50"/>
        <v>0.50790000000000002</v>
      </c>
      <c r="K491" s="177">
        <f t="shared" si="45"/>
        <v>0</v>
      </c>
      <c r="L491" s="177">
        <f t="shared" si="46"/>
        <v>3.4</v>
      </c>
      <c r="M491" s="177">
        <f t="shared" si="47"/>
        <v>3.4</v>
      </c>
    </row>
    <row r="492" spans="1:13" ht="12.75" customHeight="1">
      <c r="A492" s="268" t="s">
        <v>284</v>
      </c>
      <c r="B492" s="268" t="s">
        <v>1856</v>
      </c>
      <c r="C492" s="268" t="s">
        <v>1857</v>
      </c>
      <c r="D492" s="268">
        <v>74</v>
      </c>
      <c r="E492" s="268">
        <v>0</v>
      </c>
      <c r="F492" s="83">
        <f t="shared" si="48"/>
        <v>74</v>
      </c>
      <c r="G492" s="268">
        <v>37</v>
      </c>
      <c r="H492" s="268">
        <v>0</v>
      </c>
      <c r="I492" s="83">
        <f t="shared" si="49"/>
        <v>37</v>
      </c>
      <c r="J492" s="171">
        <f t="shared" si="50"/>
        <v>0.5</v>
      </c>
      <c r="K492" s="177">
        <f t="shared" si="45"/>
        <v>0</v>
      </c>
      <c r="L492" s="177">
        <f t="shared" si="46"/>
        <v>3.9</v>
      </c>
      <c r="M492" s="177">
        <f t="shared" si="47"/>
        <v>3.9</v>
      </c>
    </row>
    <row r="493" spans="1:13" ht="12.75" customHeight="1">
      <c r="A493" s="268" t="s">
        <v>285</v>
      </c>
      <c r="B493" s="268" t="s">
        <v>1858</v>
      </c>
      <c r="C493" s="268" t="s">
        <v>1859</v>
      </c>
      <c r="D493" s="268">
        <v>208</v>
      </c>
      <c r="E493" s="268">
        <v>0</v>
      </c>
      <c r="F493" s="83">
        <f t="shared" si="48"/>
        <v>208</v>
      </c>
      <c r="G493" s="268">
        <v>112</v>
      </c>
      <c r="H493" s="268">
        <v>0</v>
      </c>
      <c r="I493" s="83">
        <f t="shared" si="49"/>
        <v>112</v>
      </c>
      <c r="J493" s="171">
        <f t="shared" si="50"/>
        <v>0.53849999999999998</v>
      </c>
      <c r="K493" s="177">
        <f t="shared" si="45"/>
        <v>0</v>
      </c>
      <c r="L493" s="177">
        <f t="shared" si="46"/>
        <v>11.8</v>
      </c>
      <c r="M493" s="177">
        <f t="shared" si="47"/>
        <v>11.8</v>
      </c>
    </row>
    <row r="494" spans="1:13" ht="12.75" customHeight="1">
      <c r="A494" s="268" t="s">
        <v>285</v>
      </c>
      <c r="B494" s="268" t="s">
        <v>1860</v>
      </c>
      <c r="C494" s="268" t="s">
        <v>1861</v>
      </c>
      <c r="D494" s="268">
        <v>163</v>
      </c>
      <c r="E494" s="268">
        <v>0</v>
      </c>
      <c r="F494" s="83">
        <f t="shared" si="48"/>
        <v>163</v>
      </c>
      <c r="G494" s="268">
        <v>71</v>
      </c>
      <c r="H494" s="268">
        <v>0</v>
      </c>
      <c r="I494" s="83">
        <f t="shared" si="49"/>
        <v>71</v>
      </c>
      <c r="J494" s="171">
        <f t="shared" si="50"/>
        <v>0.43559999999999999</v>
      </c>
      <c r="K494" s="177">
        <f t="shared" si="45"/>
        <v>4.3</v>
      </c>
      <c r="L494" s="177">
        <f t="shared" si="46"/>
        <v>0</v>
      </c>
      <c r="M494" s="177">
        <f t="shared" si="47"/>
        <v>4.3</v>
      </c>
    </row>
    <row r="495" spans="1:13" ht="12.75" customHeight="1">
      <c r="A495" s="268" t="s">
        <v>286</v>
      </c>
      <c r="B495" s="268" t="s">
        <v>1862</v>
      </c>
      <c r="C495" s="268" t="s">
        <v>1863</v>
      </c>
      <c r="D495" s="268">
        <v>178</v>
      </c>
      <c r="E495" s="268">
        <v>0</v>
      </c>
      <c r="F495" s="83">
        <f t="shared" si="48"/>
        <v>178</v>
      </c>
      <c r="G495" s="268">
        <v>72</v>
      </c>
      <c r="H495" s="268">
        <v>0</v>
      </c>
      <c r="I495" s="83">
        <f t="shared" si="49"/>
        <v>72</v>
      </c>
      <c r="J495" s="171">
        <f t="shared" si="50"/>
        <v>0.40450000000000003</v>
      </c>
      <c r="K495" s="177">
        <f t="shared" si="45"/>
        <v>2.7</v>
      </c>
      <c r="L495" s="177">
        <f t="shared" si="46"/>
        <v>0</v>
      </c>
      <c r="M495" s="177">
        <f t="shared" si="47"/>
        <v>2.7</v>
      </c>
    </row>
    <row r="496" spans="1:13" ht="12.75" customHeight="1">
      <c r="A496" s="268" t="s">
        <v>286</v>
      </c>
      <c r="B496" s="268" t="s">
        <v>1864</v>
      </c>
      <c r="C496" s="268" t="s">
        <v>1865</v>
      </c>
      <c r="D496" s="268">
        <v>159</v>
      </c>
      <c r="E496" s="268">
        <v>0</v>
      </c>
      <c r="F496" s="83">
        <f t="shared" si="48"/>
        <v>159</v>
      </c>
      <c r="G496" s="268">
        <v>64</v>
      </c>
      <c r="H496" s="268">
        <v>0</v>
      </c>
      <c r="I496" s="83">
        <f t="shared" si="49"/>
        <v>64</v>
      </c>
      <c r="J496" s="171">
        <f t="shared" si="50"/>
        <v>0.40250000000000002</v>
      </c>
      <c r="K496" s="177">
        <f t="shared" si="45"/>
        <v>2.4</v>
      </c>
      <c r="L496" s="177">
        <f t="shared" si="46"/>
        <v>0</v>
      </c>
      <c r="M496" s="177">
        <f t="shared" si="47"/>
        <v>2.4</v>
      </c>
    </row>
    <row r="497" spans="1:13" ht="12.75" customHeight="1">
      <c r="A497" s="268" t="s">
        <v>286</v>
      </c>
      <c r="B497" s="268" t="s">
        <v>1866</v>
      </c>
      <c r="C497" s="268" t="s">
        <v>1867</v>
      </c>
      <c r="D497" s="268">
        <v>113</v>
      </c>
      <c r="E497" s="268">
        <v>0</v>
      </c>
      <c r="F497" s="83">
        <f t="shared" si="48"/>
        <v>113</v>
      </c>
      <c r="G497" s="268">
        <v>47</v>
      </c>
      <c r="H497" s="268">
        <v>0</v>
      </c>
      <c r="I497" s="83">
        <f t="shared" si="49"/>
        <v>47</v>
      </c>
      <c r="J497" s="171">
        <f t="shared" si="50"/>
        <v>0.41589999999999999</v>
      </c>
      <c r="K497" s="177">
        <f t="shared" si="45"/>
        <v>2.2000000000000002</v>
      </c>
      <c r="L497" s="177">
        <f t="shared" si="46"/>
        <v>0</v>
      </c>
      <c r="M497" s="177">
        <f t="shared" si="47"/>
        <v>2.2000000000000002</v>
      </c>
    </row>
    <row r="498" spans="1:13" ht="12.75" customHeight="1">
      <c r="A498" s="268" t="s">
        <v>286</v>
      </c>
      <c r="B498" s="268" t="s">
        <v>1868</v>
      </c>
      <c r="C498" s="268" t="s">
        <v>1869</v>
      </c>
      <c r="D498" s="268">
        <v>180</v>
      </c>
      <c r="E498" s="268">
        <v>0</v>
      </c>
      <c r="F498" s="83">
        <f t="shared" si="48"/>
        <v>180</v>
      </c>
      <c r="G498" s="268">
        <v>64</v>
      </c>
      <c r="H498" s="268">
        <v>0</v>
      </c>
      <c r="I498" s="83">
        <f t="shared" si="49"/>
        <v>64</v>
      </c>
      <c r="J498" s="171">
        <f t="shared" si="50"/>
        <v>0.35560000000000003</v>
      </c>
      <c r="K498" s="177">
        <f t="shared" si="45"/>
        <v>0.3</v>
      </c>
      <c r="L498" s="177">
        <f t="shared" si="46"/>
        <v>0</v>
      </c>
      <c r="M498" s="177">
        <f t="shared" si="47"/>
        <v>0.3</v>
      </c>
    </row>
    <row r="499" spans="1:13" ht="12.75" customHeight="1">
      <c r="A499" s="268" t="s">
        <v>287</v>
      </c>
      <c r="B499" s="268" t="s">
        <v>1870</v>
      </c>
      <c r="C499" s="268" t="s">
        <v>1871</v>
      </c>
      <c r="D499" s="268">
        <v>274</v>
      </c>
      <c r="E499" s="268">
        <v>0</v>
      </c>
      <c r="F499" s="83">
        <f t="shared" si="48"/>
        <v>274</v>
      </c>
      <c r="G499" s="268">
        <v>119</v>
      </c>
      <c r="H499" s="268">
        <v>0</v>
      </c>
      <c r="I499" s="83">
        <f t="shared" si="49"/>
        <v>119</v>
      </c>
      <c r="J499" s="171">
        <f t="shared" si="50"/>
        <v>0.43430000000000002</v>
      </c>
      <c r="K499" s="177">
        <f t="shared" si="45"/>
        <v>7</v>
      </c>
      <c r="L499" s="177">
        <f t="shared" si="46"/>
        <v>0</v>
      </c>
      <c r="M499" s="177">
        <f t="shared" si="47"/>
        <v>7</v>
      </c>
    </row>
    <row r="500" spans="1:13" ht="12.75" customHeight="1">
      <c r="A500" s="268" t="s">
        <v>287</v>
      </c>
      <c r="B500" s="268" t="s">
        <v>1872</v>
      </c>
      <c r="C500" s="268" t="s">
        <v>1873</v>
      </c>
      <c r="D500" s="268">
        <v>237</v>
      </c>
      <c r="E500" s="268">
        <v>0</v>
      </c>
      <c r="F500" s="83">
        <f t="shared" si="48"/>
        <v>237</v>
      </c>
      <c r="G500" s="268">
        <v>113</v>
      </c>
      <c r="H500" s="268">
        <v>0</v>
      </c>
      <c r="I500" s="83">
        <f t="shared" si="49"/>
        <v>113</v>
      </c>
      <c r="J500" s="171">
        <f t="shared" si="50"/>
        <v>0.4768</v>
      </c>
      <c r="K500" s="177">
        <f t="shared" si="45"/>
        <v>10</v>
      </c>
      <c r="L500" s="177">
        <f t="shared" si="46"/>
        <v>0</v>
      </c>
      <c r="M500" s="177">
        <f t="shared" si="47"/>
        <v>10</v>
      </c>
    </row>
    <row r="501" spans="1:13" ht="12.75" customHeight="1">
      <c r="A501" s="268" t="s">
        <v>288</v>
      </c>
      <c r="B501" s="268" t="s">
        <v>1874</v>
      </c>
      <c r="C501" s="268" t="s">
        <v>1875</v>
      </c>
      <c r="D501" s="268">
        <v>383</v>
      </c>
      <c r="E501" s="268">
        <v>0</v>
      </c>
      <c r="F501" s="83">
        <f t="shared" si="48"/>
        <v>383</v>
      </c>
      <c r="G501" s="268">
        <v>91</v>
      </c>
      <c r="H501" s="268">
        <v>0</v>
      </c>
      <c r="I501" s="83">
        <f t="shared" si="49"/>
        <v>91</v>
      </c>
      <c r="J501" s="171">
        <f t="shared" si="50"/>
        <v>0.23760000000000001</v>
      </c>
      <c r="K501" s="177">
        <f t="shared" si="45"/>
        <v>0</v>
      </c>
      <c r="L501" s="177">
        <f t="shared" si="46"/>
        <v>0</v>
      </c>
      <c r="M501" s="177">
        <f t="shared" si="47"/>
        <v>0</v>
      </c>
    </row>
    <row r="502" spans="1:13" ht="12.75" customHeight="1">
      <c r="A502" s="268" t="s">
        <v>288</v>
      </c>
      <c r="B502" s="268" t="s">
        <v>1876</v>
      </c>
      <c r="C502" s="268" t="s">
        <v>1877</v>
      </c>
      <c r="D502" s="268">
        <v>185</v>
      </c>
      <c r="E502" s="268">
        <v>0</v>
      </c>
      <c r="F502" s="83">
        <f t="shared" si="48"/>
        <v>185</v>
      </c>
      <c r="G502" s="268">
        <v>42</v>
      </c>
      <c r="H502" s="268">
        <v>0</v>
      </c>
      <c r="I502" s="83">
        <f t="shared" si="49"/>
        <v>42</v>
      </c>
      <c r="J502" s="171">
        <f t="shared" si="50"/>
        <v>0.22700000000000001</v>
      </c>
      <c r="K502" s="177">
        <f t="shared" si="45"/>
        <v>0</v>
      </c>
      <c r="L502" s="177">
        <f t="shared" si="46"/>
        <v>0</v>
      </c>
      <c r="M502" s="177">
        <f t="shared" si="47"/>
        <v>0</v>
      </c>
    </row>
    <row r="503" spans="1:13" ht="12.75" customHeight="1">
      <c r="A503" s="268" t="s">
        <v>288</v>
      </c>
      <c r="B503" s="268" t="s">
        <v>1878</v>
      </c>
      <c r="C503" s="268" t="s">
        <v>1879</v>
      </c>
      <c r="D503" s="268">
        <v>225</v>
      </c>
      <c r="E503" s="268">
        <v>0</v>
      </c>
      <c r="F503" s="83">
        <f t="shared" si="48"/>
        <v>225</v>
      </c>
      <c r="G503" s="268">
        <v>39</v>
      </c>
      <c r="H503" s="268">
        <v>0</v>
      </c>
      <c r="I503" s="83">
        <f t="shared" si="49"/>
        <v>39</v>
      </c>
      <c r="J503" s="171">
        <f t="shared" si="50"/>
        <v>0.17330000000000001</v>
      </c>
      <c r="K503" s="177">
        <f t="shared" si="45"/>
        <v>0</v>
      </c>
      <c r="L503" s="177">
        <f t="shared" si="46"/>
        <v>0</v>
      </c>
      <c r="M503" s="177">
        <f t="shared" si="47"/>
        <v>0</v>
      </c>
    </row>
    <row r="504" spans="1:13" ht="12.75" customHeight="1">
      <c r="A504" s="268" t="s">
        <v>289</v>
      </c>
      <c r="B504" s="268" t="s">
        <v>1880</v>
      </c>
      <c r="C504" s="268" t="s">
        <v>1881</v>
      </c>
      <c r="D504" s="268">
        <v>294</v>
      </c>
      <c r="E504" s="268">
        <v>0</v>
      </c>
      <c r="F504" s="83">
        <f t="shared" si="48"/>
        <v>294</v>
      </c>
      <c r="G504" s="268">
        <v>129</v>
      </c>
      <c r="H504" s="268">
        <v>0</v>
      </c>
      <c r="I504" s="83">
        <f t="shared" si="49"/>
        <v>129</v>
      </c>
      <c r="J504" s="171">
        <f t="shared" si="50"/>
        <v>0.43880000000000002</v>
      </c>
      <c r="K504" s="177">
        <f t="shared" si="45"/>
        <v>8</v>
      </c>
      <c r="L504" s="177">
        <f t="shared" si="46"/>
        <v>0</v>
      </c>
      <c r="M504" s="177">
        <f t="shared" si="47"/>
        <v>8</v>
      </c>
    </row>
    <row r="505" spans="1:13" ht="12.75" customHeight="1">
      <c r="A505" s="268" t="s">
        <v>289</v>
      </c>
      <c r="B505" s="268" t="s">
        <v>1882</v>
      </c>
      <c r="C505" s="268" t="s">
        <v>1490</v>
      </c>
      <c r="D505" s="268">
        <v>417</v>
      </c>
      <c r="E505" s="268">
        <v>0</v>
      </c>
      <c r="F505" s="83">
        <f t="shared" si="48"/>
        <v>417</v>
      </c>
      <c r="G505" s="268">
        <v>220</v>
      </c>
      <c r="H505" s="268">
        <v>0</v>
      </c>
      <c r="I505" s="83">
        <f t="shared" si="49"/>
        <v>220</v>
      </c>
      <c r="J505" s="171">
        <f t="shared" si="50"/>
        <v>0.52759999999999996</v>
      </c>
      <c r="K505" s="177">
        <f t="shared" si="45"/>
        <v>0</v>
      </c>
      <c r="L505" s="177">
        <f t="shared" si="46"/>
        <v>23.1</v>
      </c>
      <c r="M505" s="177">
        <f t="shared" si="47"/>
        <v>23.1</v>
      </c>
    </row>
    <row r="506" spans="1:13" ht="12.75" customHeight="1">
      <c r="A506" s="268" t="s">
        <v>289</v>
      </c>
      <c r="B506" s="268" t="s">
        <v>1883</v>
      </c>
      <c r="C506" s="268" t="s">
        <v>1884</v>
      </c>
      <c r="D506" s="268">
        <v>569</v>
      </c>
      <c r="E506" s="268">
        <v>0</v>
      </c>
      <c r="F506" s="83">
        <f t="shared" si="48"/>
        <v>569</v>
      </c>
      <c r="G506" s="268">
        <v>232</v>
      </c>
      <c r="H506" s="268">
        <v>0</v>
      </c>
      <c r="I506" s="83">
        <f t="shared" si="49"/>
        <v>232</v>
      </c>
      <c r="J506" s="171">
        <f t="shared" si="50"/>
        <v>0.40770000000000001</v>
      </c>
      <c r="K506" s="177">
        <f t="shared" si="45"/>
        <v>9.4</v>
      </c>
      <c r="L506" s="177">
        <f t="shared" si="46"/>
        <v>0</v>
      </c>
      <c r="M506" s="177">
        <f t="shared" si="47"/>
        <v>9.4</v>
      </c>
    </row>
    <row r="507" spans="1:13" ht="12.75" customHeight="1">
      <c r="A507" s="268" t="s">
        <v>289</v>
      </c>
      <c r="B507" s="268" t="s">
        <v>1885</v>
      </c>
      <c r="C507" s="268" t="s">
        <v>1886</v>
      </c>
      <c r="D507" s="268">
        <v>692</v>
      </c>
      <c r="E507" s="268">
        <v>0</v>
      </c>
      <c r="F507" s="83">
        <f t="shared" si="48"/>
        <v>692</v>
      </c>
      <c r="G507" s="268">
        <v>206</v>
      </c>
      <c r="H507" s="268">
        <v>0</v>
      </c>
      <c r="I507" s="83">
        <f t="shared" si="49"/>
        <v>206</v>
      </c>
      <c r="J507" s="171">
        <f t="shared" si="50"/>
        <v>0.29770000000000002</v>
      </c>
      <c r="K507" s="177">
        <f t="shared" si="45"/>
        <v>0</v>
      </c>
      <c r="L507" s="177">
        <f t="shared" si="46"/>
        <v>0</v>
      </c>
      <c r="M507" s="177">
        <f t="shared" si="47"/>
        <v>0</v>
      </c>
    </row>
    <row r="508" spans="1:13" ht="12.75" customHeight="1">
      <c r="A508" s="268" t="s">
        <v>289</v>
      </c>
      <c r="B508" s="268" t="s">
        <v>1887</v>
      </c>
      <c r="C508" s="268" t="s">
        <v>1888</v>
      </c>
      <c r="D508" s="268">
        <v>427</v>
      </c>
      <c r="E508" s="268">
        <v>0</v>
      </c>
      <c r="F508" s="83">
        <f t="shared" si="48"/>
        <v>427</v>
      </c>
      <c r="G508" s="268">
        <v>176</v>
      </c>
      <c r="H508" s="268">
        <v>0</v>
      </c>
      <c r="I508" s="83">
        <f t="shared" si="49"/>
        <v>176</v>
      </c>
      <c r="J508" s="171">
        <f t="shared" si="50"/>
        <v>0.41220000000000001</v>
      </c>
      <c r="K508" s="177">
        <f t="shared" si="45"/>
        <v>7.7</v>
      </c>
      <c r="L508" s="177">
        <f t="shared" si="46"/>
        <v>0</v>
      </c>
      <c r="M508" s="177">
        <f t="shared" si="47"/>
        <v>7.7</v>
      </c>
    </row>
    <row r="509" spans="1:13" ht="12.75" customHeight="1">
      <c r="A509" s="268" t="s">
        <v>290</v>
      </c>
      <c r="B509" s="268" t="s">
        <v>1889</v>
      </c>
      <c r="C509" s="268" t="s">
        <v>1890</v>
      </c>
      <c r="D509" s="268">
        <v>38</v>
      </c>
      <c r="E509" s="268">
        <v>0</v>
      </c>
      <c r="F509" s="83">
        <f t="shared" si="48"/>
        <v>38</v>
      </c>
      <c r="G509" s="268">
        <v>14</v>
      </c>
      <c r="H509" s="268">
        <v>0</v>
      </c>
      <c r="I509" s="83">
        <f t="shared" si="49"/>
        <v>14</v>
      </c>
      <c r="J509" s="171">
        <f t="shared" si="50"/>
        <v>0.36840000000000001</v>
      </c>
      <c r="K509" s="177">
        <f t="shared" si="45"/>
        <v>0.2</v>
      </c>
      <c r="L509" s="177">
        <f t="shared" si="46"/>
        <v>0</v>
      </c>
      <c r="M509" s="177">
        <f t="shared" si="47"/>
        <v>0.2</v>
      </c>
    </row>
    <row r="510" spans="1:13" ht="12.75" customHeight="1">
      <c r="A510" s="268" t="s">
        <v>290</v>
      </c>
      <c r="B510" s="268" t="s">
        <v>1891</v>
      </c>
      <c r="C510" s="268" t="s">
        <v>1892</v>
      </c>
      <c r="D510" s="268">
        <v>20</v>
      </c>
      <c r="E510" s="268">
        <v>0</v>
      </c>
      <c r="F510" s="83">
        <f t="shared" si="48"/>
        <v>20</v>
      </c>
      <c r="G510" s="268">
        <v>9</v>
      </c>
      <c r="H510" s="268">
        <v>0</v>
      </c>
      <c r="I510" s="83">
        <f t="shared" si="49"/>
        <v>9</v>
      </c>
      <c r="J510" s="171">
        <f t="shared" si="50"/>
        <v>0.45</v>
      </c>
      <c r="K510" s="177">
        <f t="shared" si="45"/>
        <v>0.6</v>
      </c>
      <c r="L510" s="177">
        <f t="shared" si="46"/>
        <v>0</v>
      </c>
      <c r="M510" s="177">
        <f t="shared" si="47"/>
        <v>0.6</v>
      </c>
    </row>
    <row r="511" spans="1:13" ht="12.75" customHeight="1">
      <c r="A511" s="268" t="s">
        <v>291</v>
      </c>
      <c r="B511" s="268" t="s">
        <v>1893</v>
      </c>
      <c r="C511" s="268" t="s">
        <v>1894</v>
      </c>
      <c r="D511" s="268">
        <v>43</v>
      </c>
      <c r="E511" s="268">
        <v>0</v>
      </c>
      <c r="F511" s="83">
        <f t="shared" si="48"/>
        <v>43</v>
      </c>
      <c r="G511" s="268">
        <v>18</v>
      </c>
      <c r="H511" s="268">
        <v>0</v>
      </c>
      <c r="I511" s="83">
        <f t="shared" si="49"/>
        <v>18</v>
      </c>
      <c r="J511" s="171">
        <f t="shared" si="50"/>
        <v>0.41860000000000003</v>
      </c>
      <c r="K511" s="177">
        <f t="shared" si="45"/>
        <v>0.9</v>
      </c>
      <c r="L511" s="177">
        <f t="shared" si="46"/>
        <v>0</v>
      </c>
      <c r="M511" s="177">
        <f t="shared" si="47"/>
        <v>0.9</v>
      </c>
    </row>
    <row r="512" spans="1:13" ht="12.75" customHeight="1">
      <c r="A512" s="268" t="s">
        <v>291</v>
      </c>
      <c r="B512" s="268" t="s">
        <v>1895</v>
      </c>
      <c r="C512" s="268" t="s">
        <v>1896</v>
      </c>
      <c r="D512" s="268">
        <v>30</v>
      </c>
      <c r="E512" s="268">
        <v>0</v>
      </c>
      <c r="F512" s="83">
        <f t="shared" si="48"/>
        <v>30</v>
      </c>
      <c r="G512" s="268">
        <v>4</v>
      </c>
      <c r="H512" s="268">
        <v>0</v>
      </c>
      <c r="I512" s="83">
        <f t="shared" si="49"/>
        <v>4</v>
      </c>
      <c r="J512" s="171">
        <f t="shared" si="50"/>
        <v>0.1333</v>
      </c>
      <c r="K512" s="177">
        <f t="shared" si="45"/>
        <v>0</v>
      </c>
      <c r="L512" s="177">
        <f t="shared" si="46"/>
        <v>0</v>
      </c>
      <c r="M512" s="177">
        <f t="shared" si="47"/>
        <v>0</v>
      </c>
    </row>
    <row r="513" spans="1:13" ht="12.75" customHeight="1">
      <c r="A513" s="268" t="s">
        <v>292</v>
      </c>
      <c r="B513" s="268" t="s">
        <v>1897</v>
      </c>
      <c r="C513" s="268" t="s">
        <v>1898</v>
      </c>
      <c r="D513" s="268">
        <v>199</v>
      </c>
      <c r="E513" s="268">
        <v>0</v>
      </c>
      <c r="F513" s="83">
        <f t="shared" si="48"/>
        <v>199</v>
      </c>
      <c r="G513" s="268">
        <v>47</v>
      </c>
      <c r="H513" s="268">
        <v>0</v>
      </c>
      <c r="I513" s="83">
        <f t="shared" si="49"/>
        <v>47</v>
      </c>
      <c r="J513" s="171">
        <f t="shared" si="50"/>
        <v>0.23619999999999999</v>
      </c>
      <c r="K513" s="177">
        <f t="shared" si="45"/>
        <v>0</v>
      </c>
      <c r="L513" s="177">
        <f t="shared" si="46"/>
        <v>0</v>
      </c>
      <c r="M513" s="177">
        <f t="shared" si="47"/>
        <v>0</v>
      </c>
    </row>
    <row r="514" spans="1:13" ht="12.75" customHeight="1">
      <c r="A514" s="268" t="s">
        <v>292</v>
      </c>
      <c r="B514" s="268" t="s">
        <v>1899</v>
      </c>
      <c r="C514" s="268" t="s">
        <v>1900</v>
      </c>
      <c r="D514" s="268">
        <v>116</v>
      </c>
      <c r="E514" s="268">
        <v>0</v>
      </c>
      <c r="F514" s="83">
        <f t="shared" si="48"/>
        <v>116</v>
      </c>
      <c r="G514" s="268">
        <v>26</v>
      </c>
      <c r="H514" s="268">
        <v>0</v>
      </c>
      <c r="I514" s="83">
        <f t="shared" si="49"/>
        <v>26</v>
      </c>
      <c r="J514" s="171">
        <f t="shared" si="50"/>
        <v>0.22409999999999999</v>
      </c>
      <c r="K514" s="177">
        <f t="shared" si="45"/>
        <v>0</v>
      </c>
      <c r="L514" s="177">
        <f t="shared" si="46"/>
        <v>0</v>
      </c>
      <c r="M514" s="177">
        <f t="shared" si="47"/>
        <v>0</v>
      </c>
    </row>
    <row r="515" spans="1:13" ht="12.75" customHeight="1">
      <c r="A515" s="268" t="s">
        <v>293</v>
      </c>
      <c r="B515" s="268" t="s">
        <v>1901</v>
      </c>
      <c r="C515" s="268" t="s">
        <v>1902</v>
      </c>
      <c r="D515" s="268">
        <v>205</v>
      </c>
      <c r="E515" s="268">
        <v>0</v>
      </c>
      <c r="F515" s="83">
        <f t="shared" si="48"/>
        <v>205</v>
      </c>
      <c r="G515" s="268">
        <v>77</v>
      </c>
      <c r="H515" s="268">
        <v>0</v>
      </c>
      <c r="I515" s="83">
        <f t="shared" si="49"/>
        <v>77</v>
      </c>
      <c r="J515" s="171">
        <f t="shared" si="50"/>
        <v>0.37559999999999999</v>
      </c>
      <c r="K515" s="177">
        <f t="shared" si="45"/>
        <v>1.4</v>
      </c>
      <c r="L515" s="177">
        <f t="shared" si="46"/>
        <v>0</v>
      </c>
      <c r="M515" s="177">
        <f t="shared" si="47"/>
        <v>1.4</v>
      </c>
    </row>
    <row r="516" spans="1:13" ht="12.75" customHeight="1">
      <c r="A516" s="268" t="s">
        <v>293</v>
      </c>
      <c r="B516" s="268" t="s">
        <v>1903</v>
      </c>
      <c r="C516" s="268" t="s">
        <v>1904</v>
      </c>
      <c r="D516" s="268">
        <v>145</v>
      </c>
      <c r="E516" s="268">
        <v>0</v>
      </c>
      <c r="F516" s="83">
        <f t="shared" si="48"/>
        <v>145</v>
      </c>
      <c r="G516" s="268">
        <v>35</v>
      </c>
      <c r="H516" s="268">
        <v>0</v>
      </c>
      <c r="I516" s="83">
        <f t="shared" si="49"/>
        <v>35</v>
      </c>
      <c r="J516" s="171">
        <f t="shared" si="50"/>
        <v>0.2414</v>
      </c>
      <c r="K516" s="177">
        <f t="shared" si="45"/>
        <v>0</v>
      </c>
      <c r="L516" s="177">
        <f t="shared" si="46"/>
        <v>0</v>
      </c>
      <c r="M516" s="177">
        <f t="shared" si="47"/>
        <v>0</v>
      </c>
    </row>
    <row r="517" spans="1:13" ht="12.75" customHeight="1">
      <c r="A517" s="268" t="s">
        <v>294</v>
      </c>
      <c r="B517" s="268" t="s">
        <v>1905</v>
      </c>
      <c r="C517" s="268" t="s">
        <v>1906</v>
      </c>
      <c r="D517" s="268">
        <v>127</v>
      </c>
      <c r="E517" s="268">
        <v>0</v>
      </c>
      <c r="F517" s="83">
        <f t="shared" si="48"/>
        <v>127</v>
      </c>
      <c r="G517" s="268">
        <v>42</v>
      </c>
      <c r="H517" s="268">
        <v>0</v>
      </c>
      <c r="I517" s="83">
        <f t="shared" si="49"/>
        <v>42</v>
      </c>
      <c r="J517" s="171">
        <f t="shared" si="50"/>
        <v>0.33069999999999999</v>
      </c>
      <c r="K517" s="177">
        <f t="shared" ref="K517:K580" si="51">IF(AND((J517-35%)&gt;0,J517&lt;50%),I517*(J517-35%)*0.7,0)</f>
        <v>0</v>
      </c>
      <c r="L517" s="177">
        <f t="shared" ref="L517:L580" si="52">IF(J517&gt;=50%,I517*10.5%,0)</f>
        <v>0</v>
      </c>
      <c r="M517" s="177">
        <f t="shared" ref="M517:M580" si="53">MAX(K517,L517)</f>
        <v>0</v>
      </c>
    </row>
    <row r="518" spans="1:13" ht="12.75" customHeight="1">
      <c r="A518" s="268" t="s">
        <v>294</v>
      </c>
      <c r="B518" s="268" t="s">
        <v>1907</v>
      </c>
      <c r="C518" s="268" t="s">
        <v>1908</v>
      </c>
      <c r="D518" s="268">
        <v>137</v>
      </c>
      <c r="E518" s="268">
        <v>0</v>
      </c>
      <c r="F518" s="83">
        <f t="shared" ref="F518:F581" si="54">SUM(D518+E518)</f>
        <v>137</v>
      </c>
      <c r="G518" s="268">
        <v>40</v>
      </c>
      <c r="H518" s="268">
        <v>0</v>
      </c>
      <c r="I518" s="83">
        <f t="shared" si="49"/>
        <v>40</v>
      </c>
      <c r="J518" s="171">
        <f t="shared" si="50"/>
        <v>0.29199999999999998</v>
      </c>
      <c r="K518" s="177">
        <f t="shared" si="51"/>
        <v>0</v>
      </c>
      <c r="L518" s="177">
        <f t="shared" si="52"/>
        <v>0</v>
      </c>
      <c r="M518" s="177">
        <f t="shared" si="53"/>
        <v>0</v>
      </c>
    </row>
    <row r="519" spans="1:13" ht="12.75" customHeight="1">
      <c r="A519" s="268" t="s">
        <v>295</v>
      </c>
      <c r="B519" s="268" t="s">
        <v>1909</v>
      </c>
      <c r="C519" s="268" t="s">
        <v>1490</v>
      </c>
      <c r="D519" s="268">
        <v>197</v>
      </c>
      <c r="E519" s="268">
        <v>0</v>
      </c>
      <c r="F519" s="83">
        <f t="shared" si="54"/>
        <v>197</v>
      </c>
      <c r="G519" s="268">
        <v>72</v>
      </c>
      <c r="H519" s="268">
        <v>0</v>
      </c>
      <c r="I519" s="83">
        <f t="shared" si="49"/>
        <v>72</v>
      </c>
      <c r="J519" s="171">
        <f t="shared" si="50"/>
        <v>0.36549999999999999</v>
      </c>
      <c r="K519" s="177">
        <f t="shared" si="51"/>
        <v>0.8</v>
      </c>
      <c r="L519" s="177">
        <f t="shared" si="52"/>
        <v>0</v>
      </c>
      <c r="M519" s="177">
        <f t="shared" si="53"/>
        <v>0.8</v>
      </c>
    </row>
    <row r="520" spans="1:13" ht="12.75" customHeight="1">
      <c r="A520" s="268" t="s">
        <v>295</v>
      </c>
      <c r="B520" s="268" t="s">
        <v>1910</v>
      </c>
      <c r="C520" s="268" t="s">
        <v>1911</v>
      </c>
      <c r="D520" s="268">
        <v>145</v>
      </c>
      <c r="E520" s="268">
        <v>0</v>
      </c>
      <c r="F520" s="83">
        <f t="shared" si="54"/>
        <v>145</v>
      </c>
      <c r="G520" s="268">
        <v>53</v>
      </c>
      <c r="H520" s="268">
        <v>0</v>
      </c>
      <c r="I520" s="83">
        <f t="shared" si="49"/>
        <v>53</v>
      </c>
      <c r="J520" s="171">
        <f t="shared" si="50"/>
        <v>0.36549999999999999</v>
      </c>
      <c r="K520" s="177">
        <f t="shared" si="51"/>
        <v>0.6</v>
      </c>
      <c r="L520" s="177">
        <f t="shared" si="52"/>
        <v>0</v>
      </c>
      <c r="M520" s="177">
        <f t="shared" si="53"/>
        <v>0.6</v>
      </c>
    </row>
    <row r="521" spans="1:13" ht="12.75" customHeight="1">
      <c r="A521" s="268" t="s">
        <v>296</v>
      </c>
      <c r="B521" s="268" t="s">
        <v>1912</v>
      </c>
      <c r="C521" s="268" t="s">
        <v>1913</v>
      </c>
      <c r="D521" s="268">
        <v>124</v>
      </c>
      <c r="E521" s="268">
        <v>0</v>
      </c>
      <c r="F521" s="83">
        <f t="shared" si="54"/>
        <v>124</v>
      </c>
      <c r="G521" s="268">
        <v>57</v>
      </c>
      <c r="H521" s="268">
        <v>0</v>
      </c>
      <c r="I521" s="83">
        <f t="shared" si="49"/>
        <v>57</v>
      </c>
      <c r="J521" s="171">
        <f t="shared" si="50"/>
        <v>0.4597</v>
      </c>
      <c r="K521" s="177">
        <f t="shared" si="51"/>
        <v>4.4000000000000004</v>
      </c>
      <c r="L521" s="177">
        <f t="shared" si="52"/>
        <v>0</v>
      </c>
      <c r="M521" s="177">
        <f t="shared" si="53"/>
        <v>4.4000000000000004</v>
      </c>
    </row>
    <row r="522" spans="1:13" ht="12.75" customHeight="1">
      <c r="A522" s="268" t="s">
        <v>296</v>
      </c>
      <c r="B522" s="268" t="s">
        <v>1914</v>
      </c>
      <c r="C522" s="268" t="s">
        <v>1915</v>
      </c>
      <c r="D522" s="268">
        <v>117</v>
      </c>
      <c r="E522" s="268">
        <v>0</v>
      </c>
      <c r="F522" s="83">
        <f t="shared" si="54"/>
        <v>117</v>
      </c>
      <c r="G522" s="268">
        <v>34</v>
      </c>
      <c r="H522" s="268">
        <v>0</v>
      </c>
      <c r="I522" s="83">
        <f t="shared" si="49"/>
        <v>34</v>
      </c>
      <c r="J522" s="171">
        <f t="shared" si="50"/>
        <v>0.29060000000000002</v>
      </c>
      <c r="K522" s="177">
        <f t="shared" si="51"/>
        <v>0</v>
      </c>
      <c r="L522" s="177">
        <f t="shared" si="52"/>
        <v>0</v>
      </c>
      <c r="M522" s="177">
        <f t="shared" si="53"/>
        <v>0</v>
      </c>
    </row>
    <row r="523" spans="1:13" ht="12.75" customHeight="1">
      <c r="A523" s="268" t="s">
        <v>297</v>
      </c>
      <c r="B523" s="268" t="s">
        <v>1916</v>
      </c>
      <c r="C523" s="268" t="s">
        <v>1917</v>
      </c>
      <c r="D523" s="268">
        <v>90</v>
      </c>
      <c r="E523" s="268">
        <v>0</v>
      </c>
      <c r="F523" s="83">
        <f t="shared" si="54"/>
        <v>90</v>
      </c>
      <c r="G523" s="268">
        <v>22</v>
      </c>
      <c r="H523" s="268">
        <v>0</v>
      </c>
      <c r="I523" s="83">
        <f t="shared" si="49"/>
        <v>22</v>
      </c>
      <c r="J523" s="171">
        <f t="shared" si="50"/>
        <v>0.24440000000000001</v>
      </c>
      <c r="K523" s="177">
        <f t="shared" si="51"/>
        <v>0</v>
      </c>
      <c r="L523" s="177">
        <f t="shared" si="52"/>
        <v>0</v>
      </c>
      <c r="M523" s="177">
        <f t="shared" si="53"/>
        <v>0</v>
      </c>
    </row>
    <row r="524" spans="1:13" ht="12.75" customHeight="1">
      <c r="A524" s="268" t="s">
        <v>297</v>
      </c>
      <c r="B524" s="268" t="s">
        <v>1918</v>
      </c>
      <c r="C524" s="268" t="s">
        <v>1919</v>
      </c>
      <c r="D524" s="268">
        <v>169</v>
      </c>
      <c r="E524" s="268">
        <v>0</v>
      </c>
      <c r="F524" s="83">
        <f t="shared" si="54"/>
        <v>169</v>
      </c>
      <c r="G524" s="268">
        <v>48</v>
      </c>
      <c r="H524" s="268">
        <v>0</v>
      </c>
      <c r="I524" s="83">
        <f t="shared" si="49"/>
        <v>48</v>
      </c>
      <c r="J524" s="171">
        <f t="shared" si="50"/>
        <v>0.28399999999999997</v>
      </c>
      <c r="K524" s="177">
        <f t="shared" si="51"/>
        <v>0</v>
      </c>
      <c r="L524" s="177">
        <f t="shared" si="52"/>
        <v>0</v>
      </c>
      <c r="M524" s="177">
        <f t="shared" si="53"/>
        <v>0</v>
      </c>
    </row>
    <row r="525" spans="1:13" ht="12.75" customHeight="1">
      <c r="A525" s="268" t="s">
        <v>297</v>
      </c>
      <c r="B525" s="268" t="s">
        <v>1920</v>
      </c>
      <c r="C525" s="268" t="s">
        <v>1921</v>
      </c>
      <c r="D525" s="268">
        <v>58</v>
      </c>
      <c r="E525" s="268">
        <v>0</v>
      </c>
      <c r="F525" s="83">
        <f t="shared" si="54"/>
        <v>58</v>
      </c>
      <c r="G525" s="268">
        <v>17</v>
      </c>
      <c r="H525" s="268">
        <v>0</v>
      </c>
      <c r="I525" s="83">
        <f t="shared" si="49"/>
        <v>17</v>
      </c>
      <c r="J525" s="171">
        <f t="shared" si="50"/>
        <v>0.29310000000000003</v>
      </c>
      <c r="K525" s="177">
        <f t="shared" si="51"/>
        <v>0</v>
      </c>
      <c r="L525" s="177">
        <f t="shared" si="52"/>
        <v>0</v>
      </c>
      <c r="M525" s="177">
        <f t="shared" si="53"/>
        <v>0</v>
      </c>
    </row>
    <row r="526" spans="1:13" ht="12.75" customHeight="1">
      <c r="A526" s="268" t="s">
        <v>298</v>
      </c>
      <c r="B526" s="268" t="s">
        <v>1922</v>
      </c>
      <c r="C526" s="268" t="s">
        <v>1923</v>
      </c>
      <c r="D526" s="268">
        <v>145</v>
      </c>
      <c r="E526" s="268">
        <v>0</v>
      </c>
      <c r="F526" s="83">
        <f t="shared" si="54"/>
        <v>145</v>
      </c>
      <c r="G526" s="268">
        <v>47</v>
      </c>
      <c r="H526" s="268">
        <v>0</v>
      </c>
      <c r="I526" s="83">
        <f t="shared" si="49"/>
        <v>47</v>
      </c>
      <c r="J526" s="171">
        <f t="shared" si="50"/>
        <v>0.3241</v>
      </c>
      <c r="K526" s="177">
        <f t="shared" si="51"/>
        <v>0</v>
      </c>
      <c r="L526" s="177">
        <f t="shared" si="52"/>
        <v>0</v>
      </c>
      <c r="M526" s="177">
        <f t="shared" si="53"/>
        <v>0</v>
      </c>
    </row>
    <row r="527" spans="1:13" ht="12.75" customHeight="1">
      <c r="A527" s="268" t="s">
        <v>298</v>
      </c>
      <c r="B527" s="268" t="s">
        <v>1924</v>
      </c>
      <c r="C527" s="268" t="s">
        <v>1925</v>
      </c>
      <c r="D527" s="268">
        <v>147</v>
      </c>
      <c r="E527" s="268">
        <v>0</v>
      </c>
      <c r="F527" s="83">
        <f t="shared" si="54"/>
        <v>147</v>
      </c>
      <c r="G527" s="268">
        <v>41</v>
      </c>
      <c r="H527" s="268">
        <v>0</v>
      </c>
      <c r="I527" s="83">
        <f t="shared" si="49"/>
        <v>41</v>
      </c>
      <c r="J527" s="171">
        <f t="shared" si="50"/>
        <v>0.27889999999999998</v>
      </c>
      <c r="K527" s="177">
        <f t="shared" si="51"/>
        <v>0</v>
      </c>
      <c r="L527" s="177">
        <f t="shared" si="52"/>
        <v>0</v>
      </c>
      <c r="M527" s="177">
        <f t="shared" si="53"/>
        <v>0</v>
      </c>
    </row>
    <row r="528" spans="1:13" ht="12.75" customHeight="1">
      <c r="A528" s="268" t="s">
        <v>299</v>
      </c>
      <c r="B528" s="268" t="s">
        <v>1926</v>
      </c>
      <c r="C528" s="268" t="s">
        <v>1927</v>
      </c>
      <c r="D528" s="268">
        <v>402</v>
      </c>
      <c r="E528" s="268">
        <v>0</v>
      </c>
      <c r="F528" s="83">
        <f t="shared" si="54"/>
        <v>402</v>
      </c>
      <c r="G528" s="268">
        <v>107</v>
      </c>
      <c r="H528" s="268">
        <v>0</v>
      </c>
      <c r="I528" s="83">
        <f t="shared" si="49"/>
        <v>107</v>
      </c>
      <c r="J528" s="171">
        <f t="shared" si="50"/>
        <v>0.26619999999999999</v>
      </c>
      <c r="K528" s="177">
        <f t="shared" si="51"/>
        <v>0</v>
      </c>
      <c r="L528" s="177">
        <f t="shared" si="52"/>
        <v>0</v>
      </c>
      <c r="M528" s="177">
        <f t="shared" si="53"/>
        <v>0</v>
      </c>
    </row>
    <row r="529" spans="1:13" ht="12.75" customHeight="1">
      <c r="A529" s="268" t="s">
        <v>299</v>
      </c>
      <c r="B529" s="268" t="s">
        <v>1928</v>
      </c>
      <c r="C529" s="268" t="s">
        <v>1929</v>
      </c>
      <c r="D529" s="268">
        <v>433</v>
      </c>
      <c r="E529" s="268">
        <v>0</v>
      </c>
      <c r="F529" s="83">
        <f t="shared" si="54"/>
        <v>433</v>
      </c>
      <c r="G529" s="268">
        <v>190</v>
      </c>
      <c r="H529" s="268">
        <v>0</v>
      </c>
      <c r="I529" s="83">
        <f t="shared" si="49"/>
        <v>190</v>
      </c>
      <c r="J529" s="171">
        <f t="shared" si="50"/>
        <v>0.43880000000000002</v>
      </c>
      <c r="K529" s="177">
        <f t="shared" si="51"/>
        <v>11.8</v>
      </c>
      <c r="L529" s="177">
        <f t="shared" si="52"/>
        <v>0</v>
      </c>
      <c r="M529" s="177">
        <f t="shared" si="53"/>
        <v>11.8</v>
      </c>
    </row>
    <row r="530" spans="1:13" ht="12.75" customHeight="1">
      <c r="A530" s="268" t="s">
        <v>299</v>
      </c>
      <c r="B530" s="268" t="s">
        <v>1930</v>
      </c>
      <c r="C530" s="268" t="s">
        <v>1931</v>
      </c>
      <c r="D530" s="268">
        <v>460</v>
      </c>
      <c r="E530" s="268">
        <v>0</v>
      </c>
      <c r="F530" s="83">
        <f t="shared" si="54"/>
        <v>460</v>
      </c>
      <c r="G530" s="268">
        <v>125</v>
      </c>
      <c r="H530" s="268">
        <v>0</v>
      </c>
      <c r="I530" s="83">
        <f t="shared" si="49"/>
        <v>125</v>
      </c>
      <c r="J530" s="171">
        <f t="shared" si="50"/>
        <v>0.2717</v>
      </c>
      <c r="K530" s="177">
        <f t="shared" si="51"/>
        <v>0</v>
      </c>
      <c r="L530" s="177">
        <f t="shared" si="52"/>
        <v>0</v>
      </c>
      <c r="M530" s="177">
        <f t="shared" si="53"/>
        <v>0</v>
      </c>
    </row>
    <row r="531" spans="1:13" ht="12.75" customHeight="1">
      <c r="A531" s="268" t="s">
        <v>299</v>
      </c>
      <c r="B531" s="268" t="s">
        <v>1932</v>
      </c>
      <c r="C531" s="268" t="s">
        <v>1933</v>
      </c>
      <c r="D531" s="268">
        <v>340</v>
      </c>
      <c r="E531" s="268">
        <v>0</v>
      </c>
      <c r="F531" s="83">
        <f t="shared" si="54"/>
        <v>340</v>
      </c>
      <c r="G531" s="268">
        <v>242</v>
      </c>
      <c r="H531" s="268">
        <v>0</v>
      </c>
      <c r="I531" s="83">
        <f t="shared" si="49"/>
        <v>242</v>
      </c>
      <c r="J531" s="171">
        <f t="shared" si="50"/>
        <v>0.71179999999999999</v>
      </c>
      <c r="K531" s="177">
        <f t="shared" si="51"/>
        <v>0</v>
      </c>
      <c r="L531" s="177">
        <f t="shared" si="52"/>
        <v>25.4</v>
      </c>
      <c r="M531" s="177">
        <f t="shared" si="53"/>
        <v>25.4</v>
      </c>
    </row>
    <row r="532" spans="1:13" ht="12.75" customHeight="1">
      <c r="A532" s="268" t="s">
        <v>299</v>
      </c>
      <c r="B532" s="268" t="s">
        <v>1934</v>
      </c>
      <c r="C532" s="268" t="s">
        <v>1935</v>
      </c>
      <c r="D532" s="268">
        <v>421</v>
      </c>
      <c r="E532" s="268">
        <v>0</v>
      </c>
      <c r="F532" s="83">
        <f t="shared" si="54"/>
        <v>421</v>
      </c>
      <c r="G532" s="268">
        <v>264</v>
      </c>
      <c r="H532" s="268">
        <v>0</v>
      </c>
      <c r="I532" s="83">
        <f t="shared" si="49"/>
        <v>264</v>
      </c>
      <c r="J532" s="171">
        <f t="shared" si="50"/>
        <v>0.62709999999999999</v>
      </c>
      <c r="K532" s="177">
        <f t="shared" si="51"/>
        <v>0</v>
      </c>
      <c r="L532" s="177">
        <f t="shared" si="52"/>
        <v>27.7</v>
      </c>
      <c r="M532" s="177">
        <f t="shared" si="53"/>
        <v>27.7</v>
      </c>
    </row>
    <row r="533" spans="1:13" ht="12.75" customHeight="1">
      <c r="A533" s="268" t="s">
        <v>299</v>
      </c>
      <c r="B533" s="268" t="s">
        <v>1936</v>
      </c>
      <c r="C533" s="268" t="s">
        <v>1937</v>
      </c>
      <c r="D533" s="268">
        <v>446</v>
      </c>
      <c r="E533" s="268">
        <v>0</v>
      </c>
      <c r="F533" s="83">
        <f t="shared" si="54"/>
        <v>446</v>
      </c>
      <c r="G533" s="268">
        <v>138</v>
      </c>
      <c r="H533" s="268">
        <v>0</v>
      </c>
      <c r="I533" s="83">
        <f t="shared" si="49"/>
        <v>138</v>
      </c>
      <c r="J533" s="171">
        <f t="shared" si="50"/>
        <v>0.30940000000000001</v>
      </c>
      <c r="K533" s="177">
        <f t="shared" si="51"/>
        <v>0</v>
      </c>
      <c r="L533" s="177">
        <f t="shared" si="52"/>
        <v>0</v>
      </c>
      <c r="M533" s="177">
        <f t="shared" si="53"/>
        <v>0</v>
      </c>
    </row>
    <row r="534" spans="1:13" ht="12.75" customHeight="1">
      <c r="A534" s="268" t="s">
        <v>299</v>
      </c>
      <c r="B534" s="268" t="s">
        <v>1938</v>
      </c>
      <c r="C534" s="268" t="s">
        <v>1939</v>
      </c>
      <c r="D534" s="268">
        <v>412</v>
      </c>
      <c r="E534" s="268">
        <v>0</v>
      </c>
      <c r="F534" s="83">
        <f t="shared" si="54"/>
        <v>412</v>
      </c>
      <c r="G534" s="268">
        <v>226</v>
      </c>
      <c r="H534" s="268">
        <v>0</v>
      </c>
      <c r="I534" s="83">
        <f t="shared" si="49"/>
        <v>226</v>
      </c>
      <c r="J534" s="171">
        <f t="shared" si="50"/>
        <v>0.54849999999999999</v>
      </c>
      <c r="K534" s="177">
        <f t="shared" si="51"/>
        <v>0</v>
      </c>
      <c r="L534" s="177">
        <f t="shared" si="52"/>
        <v>23.7</v>
      </c>
      <c r="M534" s="177">
        <f t="shared" si="53"/>
        <v>23.7</v>
      </c>
    </row>
    <row r="535" spans="1:13" ht="12.75" customHeight="1">
      <c r="A535" s="268" t="s">
        <v>299</v>
      </c>
      <c r="B535" s="268" t="s">
        <v>1940</v>
      </c>
      <c r="C535" s="268" t="s">
        <v>2998</v>
      </c>
      <c r="D535" s="268">
        <v>464</v>
      </c>
      <c r="E535" s="268">
        <v>0</v>
      </c>
      <c r="F535" s="83">
        <f t="shared" si="54"/>
        <v>464</v>
      </c>
      <c r="G535" s="268">
        <v>319</v>
      </c>
      <c r="H535" s="268">
        <v>0</v>
      </c>
      <c r="I535" s="83">
        <f t="shared" si="49"/>
        <v>319</v>
      </c>
      <c r="J535" s="171">
        <f t="shared" si="50"/>
        <v>0.6875</v>
      </c>
      <c r="K535" s="177">
        <f t="shared" si="51"/>
        <v>0</v>
      </c>
      <c r="L535" s="177">
        <f t="shared" si="52"/>
        <v>33.5</v>
      </c>
      <c r="M535" s="177">
        <f t="shared" si="53"/>
        <v>33.5</v>
      </c>
    </row>
    <row r="536" spans="1:13" ht="12.75" customHeight="1">
      <c r="A536" s="268" t="s">
        <v>299</v>
      </c>
      <c r="B536" s="268" t="s">
        <v>1941</v>
      </c>
      <c r="C536" s="268" t="s">
        <v>1942</v>
      </c>
      <c r="D536" s="268">
        <v>781</v>
      </c>
      <c r="E536" s="268">
        <v>0</v>
      </c>
      <c r="F536" s="83">
        <f t="shared" si="54"/>
        <v>781</v>
      </c>
      <c r="G536" s="268">
        <v>408</v>
      </c>
      <c r="H536" s="268">
        <v>0</v>
      </c>
      <c r="I536" s="83">
        <f t="shared" si="49"/>
        <v>408</v>
      </c>
      <c r="J536" s="171">
        <f t="shared" si="50"/>
        <v>0.52239999999999998</v>
      </c>
      <c r="K536" s="177">
        <f t="shared" si="51"/>
        <v>0</v>
      </c>
      <c r="L536" s="177">
        <f t="shared" si="52"/>
        <v>42.8</v>
      </c>
      <c r="M536" s="177">
        <f t="shared" si="53"/>
        <v>42.8</v>
      </c>
    </row>
    <row r="537" spans="1:13" ht="12.75" customHeight="1">
      <c r="A537" s="268" t="s">
        <v>299</v>
      </c>
      <c r="B537" s="268" t="s">
        <v>1943</v>
      </c>
      <c r="C537" s="268" t="s">
        <v>1944</v>
      </c>
      <c r="D537" s="268">
        <v>842</v>
      </c>
      <c r="E537" s="268">
        <v>0</v>
      </c>
      <c r="F537" s="83">
        <f t="shared" si="54"/>
        <v>842</v>
      </c>
      <c r="G537" s="268">
        <v>338</v>
      </c>
      <c r="H537" s="268">
        <v>0</v>
      </c>
      <c r="I537" s="83">
        <f t="shared" si="49"/>
        <v>338</v>
      </c>
      <c r="J537" s="171">
        <f t="shared" si="50"/>
        <v>0.40139999999999998</v>
      </c>
      <c r="K537" s="177">
        <f t="shared" si="51"/>
        <v>12.2</v>
      </c>
      <c r="L537" s="177">
        <f t="shared" si="52"/>
        <v>0</v>
      </c>
      <c r="M537" s="177">
        <f t="shared" si="53"/>
        <v>12.2</v>
      </c>
    </row>
    <row r="538" spans="1:13" ht="12.75" customHeight="1">
      <c r="A538" s="268" t="s">
        <v>299</v>
      </c>
      <c r="B538" s="268" t="s">
        <v>1945</v>
      </c>
      <c r="C538" s="268" t="s">
        <v>1946</v>
      </c>
      <c r="D538" s="268">
        <v>1066</v>
      </c>
      <c r="E538" s="268">
        <v>0</v>
      </c>
      <c r="F538" s="83">
        <f t="shared" si="54"/>
        <v>1066</v>
      </c>
      <c r="G538" s="268">
        <v>467</v>
      </c>
      <c r="H538" s="268">
        <v>0</v>
      </c>
      <c r="I538" s="83">
        <f t="shared" si="49"/>
        <v>467</v>
      </c>
      <c r="J538" s="171">
        <f t="shared" si="50"/>
        <v>0.43809999999999999</v>
      </c>
      <c r="K538" s="177">
        <f t="shared" si="51"/>
        <v>28.8</v>
      </c>
      <c r="L538" s="177">
        <f t="shared" si="52"/>
        <v>0</v>
      </c>
      <c r="M538" s="177">
        <f t="shared" si="53"/>
        <v>28.8</v>
      </c>
    </row>
    <row r="539" spans="1:13" ht="12.75" customHeight="1">
      <c r="A539" s="268" t="s">
        <v>299</v>
      </c>
      <c r="B539" s="268" t="s">
        <v>1947</v>
      </c>
      <c r="C539" s="268" t="s">
        <v>1948</v>
      </c>
      <c r="D539" s="268">
        <v>1038</v>
      </c>
      <c r="E539" s="268">
        <v>0</v>
      </c>
      <c r="F539" s="83">
        <f t="shared" si="54"/>
        <v>1038</v>
      </c>
      <c r="G539" s="268">
        <v>398</v>
      </c>
      <c r="H539" s="268">
        <v>0</v>
      </c>
      <c r="I539" s="83">
        <f t="shared" si="49"/>
        <v>398</v>
      </c>
      <c r="J539" s="171">
        <f t="shared" si="50"/>
        <v>0.38340000000000002</v>
      </c>
      <c r="K539" s="177">
        <f t="shared" si="51"/>
        <v>9.3000000000000007</v>
      </c>
      <c r="L539" s="177">
        <f t="shared" si="52"/>
        <v>0</v>
      </c>
      <c r="M539" s="177">
        <f t="shared" si="53"/>
        <v>9.3000000000000007</v>
      </c>
    </row>
    <row r="540" spans="1:13" ht="12.75" customHeight="1">
      <c r="A540" s="268" t="s">
        <v>300</v>
      </c>
      <c r="B540" s="268" t="s">
        <v>1949</v>
      </c>
      <c r="C540" s="268" t="s">
        <v>1950</v>
      </c>
      <c r="D540" s="268">
        <v>331</v>
      </c>
      <c r="E540" s="268">
        <v>0</v>
      </c>
      <c r="F540" s="83">
        <f t="shared" si="54"/>
        <v>331</v>
      </c>
      <c r="G540" s="268">
        <v>46</v>
      </c>
      <c r="H540" s="268">
        <v>0</v>
      </c>
      <c r="I540" s="83">
        <f t="shared" si="49"/>
        <v>46</v>
      </c>
      <c r="J540" s="171">
        <f t="shared" si="50"/>
        <v>0.13900000000000001</v>
      </c>
      <c r="K540" s="177">
        <f t="shared" si="51"/>
        <v>0</v>
      </c>
      <c r="L540" s="177">
        <f t="shared" si="52"/>
        <v>0</v>
      </c>
      <c r="M540" s="177">
        <f t="shared" si="53"/>
        <v>0</v>
      </c>
    </row>
    <row r="541" spans="1:13" ht="12.75" customHeight="1">
      <c r="A541" s="268" t="s">
        <v>300</v>
      </c>
      <c r="B541" s="268" t="s">
        <v>1951</v>
      </c>
      <c r="C541" s="268" t="s">
        <v>1952</v>
      </c>
      <c r="D541" s="268">
        <v>356</v>
      </c>
      <c r="E541" s="268">
        <v>0</v>
      </c>
      <c r="F541" s="83">
        <f t="shared" si="54"/>
        <v>356</v>
      </c>
      <c r="G541" s="268">
        <v>90</v>
      </c>
      <c r="H541" s="268">
        <v>0</v>
      </c>
      <c r="I541" s="83">
        <f t="shared" si="49"/>
        <v>90</v>
      </c>
      <c r="J541" s="171">
        <f t="shared" si="50"/>
        <v>0.25280000000000002</v>
      </c>
      <c r="K541" s="177">
        <f t="shared" si="51"/>
        <v>0</v>
      </c>
      <c r="L541" s="177">
        <f t="shared" si="52"/>
        <v>0</v>
      </c>
      <c r="M541" s="177">
        <f t="shared" si="53"/>
        <v>0</v>
      </c>
    </row>
    <row r="542" spans="1:13" ht="12.75" customHeight="1">
      <c r="A542" s="268" t="s">
        <v>301</v>
      </c>
      <c r="B542" s="268" t="s">
        <v>1953</v>
      </c>
      <c r="C542" s="268" t="s">
        <v>1954</v>
      </c>
      <c r="D542" s="268">
        <v>208</v>
      </c>
      <c r="E542" s="268">
        <v>0</v>
      </c>
      <c r="F542" s="83">
        <f t="shared" si="54"/>
        <v>208</v>
      </c>
      <c r="G542" s="268">
        <v>49</v>
      </c>
      <c r="H542" s="268">
        <v>0</v>
      </c>
      <c r="I542" s="83">
        <f t="shared" si="49"/>
        <v>49</v>
      </c>
      <c r="J542" s="171">
        <f t="shared" si="50"/>
        <v>0.2356</v>
      </c>
      <c r="K542" s="177">
        <f t="shared" si="51"/>
        <v>0</v>
      </c>
      <c r="L542" s="177">
        <f t="shared" si="52"/>
        <v>0</v>
      </c>
      <c r="M542" s="177">
        <f t="shared" si="53"/>
        <v>0</v>
      </c>
    </row>
    <row r="543" spans="1:13" ht="12.75" customHeight="1">
      <c r="A543" s="268" t="s">
        <v>301</v>
      </c>
      <c r="B543" s="268" t="s">
        <v>1955</v>
      </c>
      <c r="C543" s="268" t="s">
        <v>1956</v>
      </c>
      <c r="D543" s="268">
        <v>270</v>
      </c>
      <c r="E543" s="268">
        <v>0</v>
      </c>
      <c r="F543" s="83">
        <f t="shared" si="54"/>
        <v>270</v>
      </c>
      <c r="G543" s="268">
        <v>75</v>
      </c>
      <c r="H543" s="268">
        <v>0</v>
      </c>
      <c r="I543" s="83">
        <f t="shared" si="49"/>
        <v>75</v>
      </c>
      <c r="J543" s="171">
        <f t="shared" si="50"/>
        <v>0.27779999999999999</v>
      </c>
      <c r="K543" s="177">
        <f t="shared" si="51"/>
        <v>0</v>
      </c>
      <c r="L543" s="177">
        <f t="shared" si="52"/>
        <v>0</v>
      </c>
      <c r="M543" s="177">
        <f t="shared" si="53"/>
        <v>0</v>
      </c>
    </row>
    <row r="544" spans="1:13" ht="12.75" customHeight="1">
      <c r="A544" s="268" t="s">
        <v>302</v>
      </c>
      <c r="B544" s="268" t="s">
        <v>1957</v>
      </c>
      <c r="C544" s="268" t="s">
        <v>1958</v>
      </c>
      <c r="D544" s="268">
        <v>280</v>
      </c>
      <c r="E544" s="268">
        <v>0</v>
      </c>
      <c r="F544" s="83">
        <f t="shared" si="54"/>
        <v>280</v>
      </c>
      <c r="G544" s="268">
        <v>143</v>
      </c>
      <c r="H544" s="268">
        <v>0</v>
      </c>
      <c r="I544" s="83">
        <f t="shared" si="49"/>
        <v>143</v>
      </c>
      <c r="J544" s="171">
        <f t="shared" si="50"/>
        <v>0.51070000000000004</v>
      </c>
      <c r="K544" s="177">
        <f t="shared" si="51"/>
        <v>0</v>
      </c>
      <c r="L544" s="177">
        <f t="shared" si="52"/>
        <v>15</v>
      </c>
      <c r="M544" s="177">
        <f t="shared" si="53"/>
        <v>15</v>
      </c>
    </row>
    <row r="545" spans="1:13" ht="12.75" customHeight="1">
      <c r="A545" s="268" t="s">
        <v>302</v>
      </c>
      <c r="B545" s="268" t="s">
        <v>1959</v>
      </c>
      <c r="C545" s="268" t="s">
        <v>1960</v>
      </c>
      <c r="D545" s="268">
        <v>270</v>
      </c>
      <c r="E545" s="268">
        <v>0</v>
      </c>
      <c r="F545" s="83">
        <f t="shared" si="54"/>
        <v>270</v>
      </c>
      <c r="G545" s="268">
        <v>200</v>
      </c>
      <c r="H545" s="268">
        <v>0</v>
      </c>
      <c r="I545" s="83">
        <f t="shared" si="49"/>
        <v>200</v>
      </c>
      <c r="J545" s="171">
        <f t="shared" si="50"/>
        <v>0.74070000000000003</v>
      </c>
      <c r="K545" s="177">
        <f t="shared" si="51"/>
        <v>0</v>
      </c>
      <c r="L545" s="177">
        <f t="shared" si="52"/>
        <v>21</v>
      </c>
      <c r="M545" s="177">
        <f t="shared" si="53"/>
        <v>21</v>
      </c>
    </row>
    <row r="546" spans="1:13" ht="12.75" customHeight="1">
      <c r="A546" s="268" t="s">
        <v>302</v>
      </c>
      <c r="B546" s="268" t="s">
        <v>1961</v>
      </c>
      <c r="C546" s="268" t="s">
        <v>1962</v>
      </c>
      <c r="D546" s="268">
        <v>308</v>
      </c>
      <c r="E546" s="268">
        <v>0</v>
      </c>
      <c r="F546" s="83">
        <f t="shared" si="54"/>
        <v>308</v>
      </c>
      <c r="G546" s="268">
        <v>177</v>
      </c>
      <c r="H546" s="268">
        <v>0</v>
      </c>
      <c r="I546" s="83">
        <f t="shared" si="49"/>
        <v>177</v>
      </c>
      <c r="J546" s="171">
        <f t="shared" si="50"/>
        <v>0.57469999999999999</v>
      </c>
      <c r="K546" s="177">
        <f t="shared" si="51"/>
        <v>0</v>
      </c>
      <c r="L546" s="177">
        <f t="shared" si="52"/>
        <v>18.600000000000001</v>
      </c>
      <c r="M546" s="177">
        <f t="shared" si="53"/>
        <v>18.600000000000001</v>
      </c>
    </row>
    <row r="547" spans="1:13" ht="12.75" customHeight="1">
      <c r="A547" s="268" t="s">
        <v>302</v>
      </c>
      <c r="B547" s="268" t="s">
        <v>1963</v>
      </c>
      <c r="C547" s="268" t="s">
        <v>1964</v>
      </c>
      <c r="D547" s="268">
        <v>267</v>
      </c>
      <c r="E547" s="268">
        <v>0</v>
      </c>
      <c r="F547" s="83">
        <f t="shared" si="54"/>
        <v>267</v>
      </c>
      <c r="G547" s="268">
        <v>211</v>
      </c>
      <c r="H547" s="268">
        <v>0</v>
      </c>
      <c r="I547" s="83">
        <f t="shared" ref="I547:I610" si="55">SUM(G547+H547)</f>
        <v>211</v>
      </c>
      <c r="J547" s="171">
        <f t="shared" ref="J547:J610" si="56">IF(ISERROR(I547/F547),0,I547/F547)</f>
        <v>0.7903</v>
      </c>
      <c r="K547" s="177">
        <f t="shared" si="51"/>
        <v>0</v>
      </c>
      <c r="L547" s="177">
        <f t="shared" si="52"/>
        <v>22.2</v>
      </c>
      <c r="M547" s="177">
        <f t="shared" si="53"/>
        <v>22.2</v>
      </c>
    </row>
    <row r="548" spans="1:13" ht="12.75" customHeight="1">
      <c r="A548" s="268" t="s">
        <v>302</v>
      </c>
      <c r="B548" s="268" t="s">
        <v>1965</v>
      </c>
      <c r="C548" s="268" t="s">
        <v>1966</v>
      </c>
      <c r="D548" s="268">
        <v>240</v>
      </c>
      <c r="E548" s="268">
        <v>0</v>
      </c>
      <c r="F548" s="83">
        <f t="shared" si="54"/>
        <v>240</v>
      </c>
      <c r="G548" s="268">
        <v>184</v>
      </c>
      <c r="H548" s="268">
        <v>0</v>
      </c>
      <c r="I548" s="83">
        <f t="shared" si="55"/>
        <v>184</v>
      </c>
      <c r="J548" s="171">
        <f t="shared" si="56"/>
        <v>0.76670000000000005</v>
      </c>
      <c r="K548" s="177">
        <f t="shared" si="51"/>
        <v>0</v>
      </c>
      <c r="L548" s="177">
        <f t="shared" si="52"/>
        <v>19.3</v>
      </c>
      <c r="M548" s="177">
        <f t="shared" si="53"/>
        <v>19.3</v>
      </c>
    </row>
    <row r="549" spans="1:13" ht="12.75" customHeight="1">
      <c r="A549" s="268" t="s">
        <v>302</v>
      </c>
      <c r="B549" s="268" t="s">
        <v>1967</v>
      </c>
      <c r="C549" s="268" t="s">
        <v>1968</v>
      </c>
      <c r="D549" s="268">
        <v>414</v>
      </c>
      <c r="E549" s="268">
        <v>0</v>
      </c>
      <c r="F549" s="83">
        <f t="shared" si="54"/>
        <v>414</v>
      </c>
      <c r="G549" s="268">
        <v>171</v>
      </c>
      <c r="H549" s="268">
        <v>0</v>
      </c>
      <c r="I549" s="83">
        <f t="shared" si="55"/>
        <v>171</v>
      </c>
      <c r="J549" s="171">
        <f t="shared" si="56"/>
        <v>0.41299999999999998</v>
      </c>
      <c r="K549" s="177">
        <f t="shared" si="51"/>
        <v>7.5</v>
      </c>
      <c r="L549" s="177">
        <f t="shared" si="52"/>
        <v>0</v>
      </c>
      <c r="M549" s="177">
        <f t="shared" si="53"/>
        <v>7.5</v>
      </c>
    </row>
    <row r="550" spans="1:13" ht="12.75" customHeight="1">
      <c r="A550" s="268" t="s">
        <v>302</v>
      </c>
      <c r="B550" s="268" t="s">
        <v>1969</v>
      </c>
      <c r="C550" s="268" t="s">
        <v>1970</v>
      </c>
      <c r="D550" s="268">
        <v>331</v>
      </c>
      <c r="E550" s="268">
        <v>0</v>
      </c>
      <c r="F550" s="83">
        <f t="shared" si="54"/>
        <v>331</v>
      </c>
      <c r="G550" s="268">
        <v>158</v>
      </c>
      <c r="H550" s="268">
        <v>0</v>
      </c>
      <c r="I550" s="83">
        <f t="shared" si="55"/>
        <v>158</v>
      </c>
      <c r="J550" s="171">
        <f t="shared" si="56"/>
        <v>0.4773</v>
      </c>
      <c r="K550" s="177">
        <f t="shared" si="51"/>
        <v>14.1</v>
      </c>
      <c r="L550" s="177">
        <f t="shared" si="52"/>
        <v>0</v>
      </c>
      <c r="M550" s="177">
        <f t="shared" si="53"/>
        <v>14.1</v>
      </c>
    </row>
    <row r="551" spans="1:13" ht="12.75" customHeight="1">
      <c r="A551" s="268" t="s">
        <v>302</v>
      </c>
      <c r="B551" s="268" t="s">
        <v>1971</v>
      </c>
      <c r="C551" s="268" t="s">
        <v>1972</v>
      </c>
      <c r="D551" s="268">
        <v>311</v>
      </c>
      <c r="E551" s="268">
        <v>0</v>
      </c>
      <c r="F551" s="83">
        <f t="shared" si="54"/>
        <v>311</v>
      </c>
      <c r="G551" s="268">
        <v>166</v>
      </c>
      <c r="H551" s="268">
        <v>0</v>
      </c>
      <c r="I551" s="83">
        <f t="shared" si="55"/>
        <v>166</v>
      </c>
      <c r="J551" s="171">
        <f t="shared" si="56"/>
        <v>0.53380000000000005</v>
      </c>
      <c r="K551" s="177">
        <f t="shared" si="51"/>
        <v>0</v>
      </c>
      <c r="L551" s="177">
        <f t="shared" si="52"/>
        <v>17.399999999999999</v>
      </c>
      <c r="M551" s="177">
        <f t="shared" si="53"/>
        <v>17.399999999999999</v>
      </c>
    </row>
    <row r="552" spans="1:13" ht="12.75" customHeight="1">
      <c r="A552" s="268" t="s">
        <v>302</v>
      </c>
      <c r="B552" s="268" t="s">
        <v>1973</v>
      </c>
      <c r="C552" s="268" t="s">
        <v>1974</v>
      </c>
      <c r="D552" s="268">
        <v>1443</v>
      </c>
      <c r="E552" s="268">
        <v>0</v>
      </c>
      <c r="F552" s="83">
        <f t="shared" si="54"/>
        <v>1443</v>
      </c>
      <c r="G552" s="268">
        <v>716</v>
      </c>
      <c r="H552" s="268">
        <v>0</v>
      </c>
      <c r="I552" s="83">
        <f t="shared" si="55"/>
        <v>716</v>
      </c>
      <c r="J552" s="171">
        <f t="shared" si="56"/>
        <v>0.49619999999999997</v>
      </c>
      <c r="K552" s="177">
        <f t="shared" si="51"/>
        <v>73.3</v>
      </c>
      <c r="L552" s="177">
        <f t="shared" si="52"/>
        <v>0</v>
      </c>
      <c r="M552" s="177">
        <f t="shared" si="53"/>
        <v>73.3</v>
      </c>
    </row>
    <row r="553" spans="1:13" ht="12.75" customHeight="1">
      <c r="A553" s="268" t="s">
        <v>302</v>
      </c>
      <c r="B553" s="268" t="s">
        <v>1975</v>
      </c>
      <c r="C553" s="268" t="s">
        <v>1976</v>
      </c>
      <c r="D553" s="268">
        <v>339</v>
      </c>
      <c r="E553" s="268">
        <v>0</v>
      </c>
      <c r="F553" s="83">
        <f t="shared" si="54"/>
        <v>339</v>
      </c>
      <c r="G553" s="268">
        <v>183</v>
      </c>
      <c r="H553" s="268">
        <v>0</v>
      </c>
      <c r="I553" s="83">
        <f t="shared" si="55"/>
        <v>183</v>
      </c>
      <c r="J553" s="171">
        <f t="shared" si="56"/>
        <v>0.53979999999999995</v>
      </c>
      <c r="K553" s="177">
        <f t="shared" si="51"/>
        <v>0</v>
      </c>
      <c r="L553" s="177">
        <f t="shared" si="52"/>
        <v>19.2</v>
      </c>
      <c r="M553" s="177">
        <f t="shared" si="53"/>
        <v>19.2</v>
      </c>
    </row>
    <row r="554" spans="1:13" ht="12.75" customHeight="1">
      <c r="A554" s="268" t="s">
        <v>303</v>
      </c>
      <c r="B554" s="268" t="s">
        <v>1977</v>
      </c>
      <c r="C554" s="268" t="s">
        <v>1978</v>
      </c>
      <c r="D554" s="268">
        <v>276</v>
      </c>
      <c r="E554" s="268">
        <v>0</v>
      </c>
      <c r="F554" s="83">
        <f t="shared" si="54"/>
        <v>276</v>
      </c>
      <c r="G554" s="268">
        <v>154</v>
      </c>
      <c r="H554" s="268">
        <v>0</v>
      </c>
      <c r="I554" s="83">
        <f t="shared" si="55"/>
        <v>154</v>
      </c>
      <c r="J554" s="171">
        <f t="shared" si="56"/>
        <v>0.55800000000000005</v>
      </c>
      <c r="K554" s="177">
        <f t="shared" si="51"/>
        <v>0</v>
      </c>
      <c r="L554" s="177">
        <f t="shared" si="52"/>
        <v>16.2</v>
      </c>
      <c r="M554" s="177">
        <f t="shared" si="53"/>
        <v>16.2</v>
      </c>
    </row>
    <row r="555" spans="1:13" ht="12.75" customHeight="1">
      <c r="A555" s="268" t="s">
        <v>303</v>
      </c>
      <c r="B555" s="268" t="s">
        <v>1979</v>
      </c>
      <c r="C555" s="268" t="s">
        <v>1980</v>
      </c>
      <c r="D555" s="268">
        <v>317</v>
      </c>
      <c r="E555" s="268">
        <v>0</v>
      </c>
      <c r="F555" s="83">
        <f t="shared" si="54"/>
        <v>317</v>
      </c>
      <c r="G555" s="268">
        <v>118</v>
      </c>
      <c r="H555" s="268">
        <v>0</v>
      </c>
      <c r="I555" s="83">
        <f t="shared" si="55"/>
        <v>118</v>
      </c>
      <c r="J555" s="171">
        <f t="shared" si="56"/>
        <v>0.37219999999999998</v>
      </c>
      <c r="K555" s="177">
        <f t="shared" si="51"/>
        <v>1.8</v>
      </c>
      <c r="L555" s="177">
        <f t="shared" si="52"/>
        <v>0</v>
      </c>
      <c r="M555" s="177">
        <f t="shared" si="53"/>
        <v>1.8</v>
      </c>
    </row>
    <row r="556" spans="1:13" ht="12.75" customHeight="1">
      <c r="A556" s="268" t="s">
        <v>303</v>
      </c>
      <c r="B556" s="268" t="s">
        <v>1981</v>
      </c>
      <c r="C556" s="268" t="s">
        <v>1982</v>
      </c>
      <c r="D556" s="268">
        <v>180</v>
      </c>
      <c r="E556" s="268">
        <v>0</v>
      </c>
      <c r="F556" s="83">
        <f t="shared" si="54"/>
        <v>180</v>
      </c>
      <c r="G556" s="268">
        <v>83</v>
      </c>
      <c r="H556" s="268">
        <v>0</v>
      </c>
      <c r="I556" s="83">
        <f t="shared" si="55"/>
        <v>83</v>
      </c>
      <c r="J556" s="171">
        <f t="shared" si="56"/>
        <v>0.46110000000000001</v>
      </c>
      <c r="K556" s="177">
        <f t="shared" si="51"/>
        <v>6.5</v>
      </c>
      <c r="L556" s="177">
        <f t="shared" si="52"/>
        <v>0</v>
      </c>
      <c r="M556" s="177">
        <f t="shared" si="53"/>
        <v>6.5</v>
      </c>
    </row>
    <row r="557" spans="1:13" ht="12.75" customHeight="1">
      <c r="A557" s="268" t="s">
        <v>303</v>
      </c>
      <c r="B557" s="268" t="s">
        <v>1983</v>
      </c>
      <c r="C557" s="268" t="s">
        <v>1984</v>
      </c>
      <c r="D557" s="268">
        <v>340</v>
      </c>
      <c r="E557" s="268">
        <v>0</v>
      </c>
      <c r="F557" s="83">
        <f t="shared" si="54"/>
        <v>340</v>
      </c>
      <c r="G557" s="268">
        <v>188</v>
      </c>
      <c r="H557" s="268">
        <v>0</v>
      </c>
      <c r="I557" s="83">
        <f t="shared" si="55"/>
        <v>188</v>
      </c>
      <c r="J557" s="171">
        <f t="shared" si="56"/>
        <v>0.55289999999999995</v>
      </c>
      <c r="K557" s="177">
        <f t="shared" si="51"/>
        <v>0</v>
      </c>
      <c r="L557" s="177">
        <f t="shared" si="52"/>
        <v>19.7</v>
      </c>
      <c r="M557" s="177">
        <f t="shared" si="53"/>
        <v>19.7</v>
      </c>
    </row>
    <row r="558" spans="1:13" ht="12.75" customHeight="1">
      <c r="A558" s="268" t="s">
        <v>303</v>
      </c>
      <c r="B558" s="268" t="s">
        <v>1985</v>
      </c>
      <c r="C558" s="268" t="s">
        <v>3607</v>
      </c>
      <c r="D558" s="268">
        <v>0</v>
      </c>
      <c r="E558" s="268">
        <v>0</v>
      </c>
      <c r="F558" s="83">
        <f t="shared" si="54"/>
        <v>0</v>
      </c>
      <c r="G558" s="268">
        <v>0</v>
      </c>
      <c r="H558" s="268">
        <v>0</v>
      </c>
      <c r="I558" s="83">
        <f t="shared" si="55"/>
        <v>0</v>
      </c>
      <c r="J558" s="171">
        <f t="shared" si="56"/>
        <v>0</v>
      </c>
      <c r="K558" s="177">
        <f t="shared" si="51"/>
        <v>0</v>
      </c>
      <c r="L558" s="177">
        <f t="shared" si="52"/>
        <v>0</v>
      </c>
      <c r="M558" s="177">
        <f t="shared" si="53"/>
        <v>0</v>
      </c>
    </row>
    <row r="559" spans="1:13" ht="12.75" customHeight="1">
      <c r="A559" s="268" t="s">
        <v>304</v>
      </c>
      <c r="B559" s="268" t="s">
        <v>1986</v>
      </c>
      <c r="C559" s="268" t="s">
        <v>1987</v>
      </c>
      <c r="D559" s="268">
        <v>298</v>
      </c>
      <c r="E559" s="268">
        <v>0</v>
      </c>
      <c r="F559" s="83">
        <f t="shared" si="54"/>
        <v>298</v>
      </c>
      <c r="G559" s="268">
        <v>150</v>
      </c>
      <c r="H559" s="268">
        <v>0</v>
      </c>
      <c r="I559" s="83">
        <f t="shared" si="55"/>
        <v>150</v>
      </c>
      <c r="J559" s="171">
        <f t="shared" si="56"/>
        <v>0.50339999999999996</v>
      </c>
      <c r="K559" s="177">
        <f t="shared" si="51"/>
        <v>0</v>
      </c>
      <c r="L559" s="177">
        <f t="shared" si="52"/>
        <v>15.8</v>
      </c>
      <c r="M559" s="177">
        <f t="shared" si="53"/>
        <v>15.8</v>
      </c>
    </row>
    <row r="560" spans="1:13" ht="12.75" customHeight="1">
      <c r="A560" s="268" t="s">
        <v>305</v>
      </c>
      <c r="B560" s="268" t="s">
        <v>1988</v>
      </c>
      <c r="C560" s="268" t="s">
        <v>1989</v>
      </c>
      <c r="D560" s="268">
        <v>108</v>
      </c>
      <c r="E560" s="268">
        <v>0</v>
      </c>
      <c r="F560" s="83">
        <f t="shared" si="54"/>
        <v>108</v>
      </c>
      <c r="G560" s="268">
        <v>27</v>
      </c>
      <c r="H560" s="268">
        <v>0</v>
      </c>
      <c r="I560" s="83">
        <f t="shared" si="55"/>
        <v>27</v>
      </c>
      <c r="J560" s="171">
        <f t="shared" si="56"/>
        <v>0.25</v>
      </c>
      <c r="K560" s="177">
        <f t="shared" si="51"/>
        <v>0</v>
      </c>
      <c r="L560" s="177">
        <f t="shared" si="52"/>
        <v>0</v>
      </c>
      <c r="M560" s="177">
        <f t="shared" si="53"/>
        <v>0</v>
      </c>
    </row>
    <row r="561" spans="1:13" ht="12.75" customHeight="1">
      <c r="A561" s="268" t="s">
        <v>305</v>
      </c>
      <c r="B561" s="268" t="s">
        <v>1990</v>
      </c>
      <c r="C561" s="268" t="s">
        <v>1991</v>
      </c>
      <c r="D561" s="268">
        <v>69</v>
      </c>
      <c r="E561" s="268">
        <v>0</v>
      </c>
      <c r="F561" s="83">
        <f t="shared" si="54"/>
        <v>69</v>
      </c>
      <c r="G561" s="268">
        <v>17</v>
      </c>
      <c r="H561" s="268">
        <v>0</v>
      </c>
      <c r="I561" s="83">
        <f t="shared" si="55"/>
        <v>17</v>
      </c>
      <c r="J561" s="171">
        <f t="shared" si="56"/>
        <v>0.24640000000000001</v>
      </c>
      <c r="K561" s="177">
        <f t="shared" si="51"/>
        <v>0</v>
      </c>
      <c r="L561" s="177">
        <f t="shared" si="52"/>
        <v>0</v>
      </c>
      <c r="M561" s="177">
        <f t="shared" si="53"/>
        <v>0</v>
      </c>
    </row>
    <row r="562" spans="1:13" ht="12.75" customHeight="1">
      <c r="A562" s="268" t="s">
        <v>305</v>
      </c>
      <c r="B562" s="268" t="s">
        <v>1992</v>
      </c>
      <c r="C562" s="268" t="s">
        <v>1993</v>
      </c>
      <c r="D562" s="268">
        <v>100</v>
      </c>
      <c r="E562" s="268">
        <v>0</v>
      </c>
      <c r="F562" s="83">
        <f t="shared" si="54"/>
        <v>100</v>
      </c>
      <c r="G562" s="268">
        <v>32</v>
      </c>
      <c r="H562" s="268">
        <v>0</v>
      </c>
      <c r="I562" s="83">
        <f t="shared" si="55"/>
        <v>32</v>
      </c>
      <c r="J562" s="171">
        <f t="shared" si="56"/>
        <v>0.32</v>
      </c>
      <c r="K562" s="177">
        <f t="shared" si="51"/>
        <v>0</v>
      </c>
      <c r="L562" s="177">
        <f t="shared" si="52"/>
        <v>0</v>
      </c>
      <c r="M562" s="177">
        <f t="shared" si="53"/>
        <v>0</v>
      </c>
    </row>
    <row r="563" spans="1:13" ht="12.75" customHeight="1">
      <c r="A563" s="268" t="s">
        <v>306</v>
      </c>
      <c r="B563" s="268" t="s">
        <v>1994</v>
      </c>
      <c r="C563" s="268" t="s">
        <v>1995</v>
      </c>
      <c r="D563" s="268">
        <v>354</v>
      </c>
      <c r="E563" s="268">
        <v>0</v>
      </c>
      <c r="F563" s="83">
        <f t="shared" si="54"/>
        <v>354</v>
      </c>
      <c r="G563" s="268">
        <v>118</v>
      </c>
      <c r="H563" s="268">
        <v>0</v>
      </c>
      <c r="I563" s="83">
        <f t="shared" si="55"/>
        <v>118</v>
      </c>
      <c r="J563" s="171">
        <f t="shared" si="56"/>
        <v>0.33329999999999999</v>
      </c>
      <c r="K563" s="177">
        <f t="shared" si="51"/>
        <v>0</v>
      </c>
      <c r="L563" s="177">
        <f t="shared" si="52"/>
        <v>0</v>
      </c>
      <c r="M563" s="177">
        <f t="shared" si="53"/>
        <v>0</v>
      </c>
    </row>
    <row r="564" spans="1:13" ht="12.75" customHeight="1">
      <c r="A564" s="268" t="s">
        <v>306</v>
      </c>
      <c r="B564" s="268" t="s">
        <v>1996</v>
      </c>
      <c r="C564" s="268" t="s">
        <v>1997</v>
      </c>
      <c r="D564" s="268">
        <v>109</v>
      </c>
      <c r="E564" s="268">
        <v>0</v>
      </c>
      <c r="F564" s="83">
        <f t="shared" si="54"/>
        <v>109</v>
      </c>
      <c r="G564" s="268">
        <v>37</v>
      </c>
      <c r="H564" s="268">
        <v>0</v>
      </c>
      <c r="I564" s="83">
        <f t="shared" si="55"/>
        <v>37</v>
      </c>
      <c r="J564" s="171">
        <f t="shared" si="56"/>
        <v>0.33939999999999998</v>
      </c>
      <c r="K564" s="177">
        <f t="shared" si="51"/>
        <v>0</v>
      </c>
      <c r="L564" s="177">
        <f t="shared" si="52"/>
        <v>0</v>
      </c>
      <c r="M564" s="177">
        <f t="shared" si="53"/>
        <v>0</v>
      </c>
    </row>
    <row r="565" spans="1:13" ht="12.75" customHeight="1">
      <c r="A565" s="268" t="s">
        <v>306</v>
      </c>
      <c r="B565" s="268" t="s">
        <v>1998</v>
      </c>
      <c r="C565" s="268" t="s">
        <v>1999</v>
      </c>
      <c r="D565" s="268">
        <v>230</v>
      </c>
      <c r="E565" s="268">
        <v>0</v>
      </c>
      <c r="F565" s="83">
        <f t="shared" si="54"/>
        <v>230</v>
      </c>
      <c r="G565" s="268">
        <v>56</v>
      </c>
      <c r="H565" s="268">
        <v>0</v>
      </c>
      <c r="I565" s="83">
        <f t="shared" si="55"/>
        <v>56</v>
      </c>
      <c r="J565" s="171">
        <f t="shared" si="56"/>
        <v>0.24349999999999999</v>
      </c>
      <c r="K565" s="177">
        <f t="shared" si="51"/>
        <v>0</v>
      </c>
      <c r="L565" s="177">
        <f t="shared" si="52"/>
        <v>0</v>
      </c>
      <c r="M565" s="177">
        <f t="shared" si="53"/>
        <v>0</v>
      </c>
    </row>
    <row r="566" spans="1:13" ht="12.75" customHeight="1">
      <c r="A566" s="268" t="s">
        <v>306</v>
      </c>
      <c r="B566" s="268" t="s">
        <v>2000</v>
      </c>
      <c r="C566" s="268" t="s">
        <v>2001</v>
      </c>
      <c r="D566" s="268">
        <v>76</v>
      </c>
      <c r="E566" s="268">
        <v>0</v>
      </c>
      <c r="F566" s="83">
        <f t="shared" si="54"/>
        <v>76</v>
      </c>
      <c r="G566" s="268">
        <v>30</v>
      </c>
      <c r="H566" s="268">
        <v>0</v>
      </c>
      <c r="I566" s="83">
        <f t="shared" si="55"/>
        <v>30</v>
      </c>
      <c r="J566" s="171">
        <f t="shared" si="56"/>
        <v>0.3947</v>
      </c>
      <c r="K566" s="177">
        <f t="shared" si="51"/>
        <v>0.9</v>
      </c>
      <c r="L566" s="177">
        <f t="shared" si="52"/>
        <v>0</v>
      </c>
      <c r="M566" s="177">
        <f t="shared" si="53"/>
        <v>0.9</v>
      </c>
    </row>
    <row r="567" spans="1:13" ht="12.75" customHeight="1">
      <c r="A567" s="268" t="s">
        <v>306</v>
      </c>
      <c r="B567" s="268" t="s">
        <v>2002</v>
      </c>
      <c r="C567" s="268" t="s">
        <v>2003</v>
      </c>
      <c r="D567" s="268">
        <v>0</v>
      </c>
      <c r="E567" s="268">
        <v>0</v>
      </c>
      <c r="F567" s="83">
        <f t="shared" si="54"/>
        <v>0</v>
      </c>
      <c r="G567" s="268">
        <v>0</v>
      </c>
      <c r="H567" s="268">
        <v>0</v>
      </c>
      <c r="I567" s="83">
        <f t="shared" si="55"/>
        <v>0</v>
      </c>
      <c r="J567" s="171">
        <f t="shared" si="56"/>
        <v>0</v>
      </c>
      <c r="K567" s="177">
        <f t="shared" si="51"/>
        <v>0</v>
      </c>
      <c r="L567" s="177">
        <f t="shared" si="52"/>
        <v>0</v>
      </c>
      <c r="M567" s="177">
        <f t="shared" si="53"/>
        <v>0</v>
      </c>
    </row>
    <row r="568" spans="1:13" ht="12.75" customHeight="1">
      <c r="A568" s="268" t="s">
        <v>307</v>
      </c>
      <c r="B568" s="268" t="s">
        <v>2004</v>
      </c>
      <c r="C568" s="268" t="s">
        <v>2005</v>
      </c>
      <c r="D568" s="268">
        <v>234</v>
      </c>
      <c r="E568" s="268">
        <v>0</v>
      </c>
      <c r="F568" s="83">
        <f t="shared" si="54"/>
        <v>234</v>
      </c>
      <c r="G568" s="268">
        <v>72</v>
      </c>
      <c r="H568" s="268">
        <v>0</v>
      </c>
      <c r="I568" s="83">
        <f t="shared" si="55"/>
        <v>72</v>
      </c>
      <c r="J568" s="171">
        <f t="shared" si="56"/>
        <v>0.30769999999999997</v>
      </c>
      <c r="K568" s="177">
        <f t="shared" si="51"/>
        <v>0</v>
      </c>
      <c r="L568" s="177">
        <f t="shared" si="52"/>
        <v>0</v>
      </c>
      <c r="M568" s="177">
        <f t="shared" si="53"/>
        <v>0</v>
      </c>
    </row>
    <row r="569" spans="1:13" ht="12.75" customHeight="1">
      <c r="A569" s="268" t="s">
        <v>307</v>
      </c>
      <c r="B569" s="268" t="s">
        <v>2006</v>
      </c>
      <c r="C569" s="268" t="s">
        <v>2007</v>
      </c>
      <c r="D569" s="268">
        <v>642</v>
      </c>
      <c r="E569" s="268">
        <v>0</v>
      </c>
      <c r="F569" s="83">
        <f t="shared" si="54"/>
        <v>642</v>
      </c>
      <c r="G569" s="268">
        <v>140</v>
      </c>
      <c r="H569" s="268">
        <v>0</v>
      </c>
      <c r="I569" s="83">
        <f t="shared" si="55"/>
        <v>140</v>
      </c>
      <c r="J569" s="171">
        <f t="shared" si="56"/>
        <v>0.21809999999999999</v>
      </c>
      <c r="K569" s="177">
        <f t="shared" si="51"/>
        <v>0</v>
      </c>
      <c r="L569" s="177">
        <f t="shared" si="52"/>
        <v>0</v>
      </c>
      <c r="M569" s="177">
        <f t="shared" si="53"/>
        <v>0</v>
      </c>
    </row>
    <row r="570" spans="1:13" ht="12.75" customHeight="1">
      <c r="A570" s="268" t="s">
        <v>307</v>
      </c>
      <c r="B570" s="268" t="s">
        <v>2008</v>
      </c>
      <c r="C570" s="268" t="s">
        <v>2009</v>
      </c>
      <c r="D570" s="268">
        <v>409</v>
      </c>
      <c r="E570" s="268">
        <v>0</v>
      </c>
      <c r="F570" s="83">
        <f t="shared" si="54"/>
        <v>409</v>
      </c>
      <c r="G570" s="268">
        <v>96</v>
      </c>
      <c r="H570" s="268">
        <v>0</v>
      </c>
      <c r="I570" s="83">
        <f t="shared" si="55"/>
        <v>96</v>
      </c>
      <c r="J570" s="171">
        <f t="shared" si="56"/>
        <v>0.23469999999999999</v>
      </c>
      <c r="K570" s="177">
        <f t="shared" si="51"/>
        <v>0</v>
      </c>
      <c r="L570" s="177">
        <f t="shared" si="52"/>
        <v>0</v>
      </c>
      <c r="M570" s="177">
        <f t="shared" si="53"/>
        <v>0</v>
      </c>
    </row>
    <row r="571" spans="1:13" ht="12.75" customHeight="1">
      <c r="A571" s="268" t="s">
        <v>307</v>
      </c>
      <c r="B571" s="268" t="s">
        <v>2010</v>
      </c>
      <c r="C571" s="268" t="s">
        <v>2011</v>
      </c>
      <c r="D571" s="268">
        <v>559</v>
      </c>
      <c r="E571" s="268">
        <v>0</v>
      </c>
      <c r="F571" s="83">
        <f t="shared" si="54"/>
        <v>559</v>
      </c>
      <c r="G571" s="268">
        <v>151</v>
      </c>
      <c r="H571" s="268">
        <v>0</v>
      </c>
      <c r="I571" s="83">
        <f t="shared" si="55"/>
        <v>151</v>
      </c>
      <c r="J571" s="171">
        <f t="shared" si="56"/>
        <v>0.27010000000000001</v>
      </c>
      <c r="K571" s="177">
        <f t="shared" si="51"/>
        <v>0</v>
      </c>
      <c r="L571" s="177">
        <f t="shared" si="52"/>
        <v>0</v>
      </c>
      <c r="M571" s="177">
        <f t="shared" si="53"/>
        <v>0</v>
      </c>
    </row>
    <row r="572" spans="1:13" ht="12.75" customHeight="1">
      <c r="A572" s="268" t="s">
        <v>307</v>
      </c>
      <c r="B572" s="268" t="s">
        <v>2012</v>
      </c>
      <c r="C572" s="268" t="s">
        <v>2013</v>
      </c>
      <c r="D572" s="268">
        <v>397</v>
      </c>
      <c r="E572" s="268">
        <v>0</v>
      </c>
      <c r="F572" s="83">
        <f t="shared" si="54"/>
        <v>397</v>
      </c>
      <c r="G572" s="268">
        <v>142</v>
      </c>
      <c r="H572" s="268">
        <v>0</v>
      </c>
      <c r="I572" s="83">
        <f t="shared" si="55"/>
        <v>142</v>
      </c>
      <c r="J572" s="171">
        <f t="shared" si="56"/>
        <v>0.35770000000000002</v>
      </c>
      <c r="K572" s="177">
        <f t="shared" si="51"/>
        <v>0.8</v>
      </c>
      <c r="L572" s="177">
        <f t="shared" si="52"/>
        <v>0</v>
      </c>
      <c r="M572" s="177">
        <f t="shared" si="53"/>
        <v>0.8</v>
      </c>
    </row>
    <row r="573" spans="1:13" ht="12.75" customHeight="1">
      <c r="A573" s="268" t="s">
        <v>308</v>
      </c>
      <c r="B573" s="268" t="s">
        <v>2014</v>
      </c>
      <c r="C573" s="268" t="s">
        <v>2015</v>
      </c>
      <c r="D573" s="268">
        <v>79</v>
      </c>
      <c r="E573" s="268">
        <v>0</v>
      </c>
      <c r="F573" s="83">
        <f t="shared" si="54"/>
        <v>79</v>
      </c>
      <c r="G573" s="268">
        <v>22</v>
      </c>
      <c r="H573" s="268">
        <v>0</v>
      </c>
      <c r="I573" s="83">
        <f t="shared" si="55"/>
        <v>22</v>
      </c>
      <c r="J573" s="171">
        <f t="shared" si="56"/>
        <v>0.27850000000000003</v>
      </c>
      <c r="K573" s="177">
        <f t="shared" si="51"/>
        <v>0</v>
      </c>
      <c r="L573" s="177">
        <f t="shared" si="52"/>
        <v>0</v>
      </c>
      <c r="M573" s="177">
        <f t="shared" si="53"/>
        <v>0</v>
      </c>
    </row>
    <row r="574" spans="1:13" ht="12.75" customHeight="1">
      <c r="A574" s="268" t="s">
        <v>308</v>
      </c>
      <c r="B574" s="268" t="s">
        <v>2016</v>
      </c>
      <c r="C574" s="268" t="s">
        <v>2017</v>
      </c>
      <c r="D574" s="268">
        <v>38</v>
      </c>
      <c r="E574" s="268">
        <v>0</v>
      </c>
      <c r="F574" s="83">
        <f t="shared" si="54"/>
        <v>38</v>
      </c>
      <c r="G574" s="268">
        <v>17</v>
      </c>
      <c r="H574" s="268">
        <v>0</v>
      </c>
      <c r="I574" s="83">
        <f t="shared" si="55"/>
        <v>17</v>
      </c>
      <c r="J574" s="171">
        <f t="shared" si="56"/>
        <v>0.44740000000000002</v>
      </c>
      <c r="K574" s="177">
        <f t="shared" si="51"/>
        <v>1.2</v>
      </c>
      <c r="L574" s="177">
        <f t="shared" si="52"/>
        <v>0</v>
      </c>
      <c r="M574" s="177">
        <f t="shared" si="53"/>
        <v>1.2</v>
      </c>
    </row>
    <row r="575" spans="1:13" ht="12.75" customHeight="1">
      <c r="A575" s="268" t="s">
        <v>309</v>
      </c>
      <c r="B575" s="268" t="s">
        <v>2018</v>
      </c>
      <c r="C575" s="268" t="s">
        <v>2019</v>
      </c>
      <c r="D575" s="268">
        <v>367</v>
      </c>
      <c r="E575" s="268">
        <v>0</v>
      </c>
      <c r="F575" s="83">
        <f t="shared" si="54"/>
        <v>367</v>
      </c>
      <c r="G575" s="268">
        <v>119</v>
      </c>
      <c r="H575" s="268">
        <v>0</v>
      </c>
      <c r="I575" s="83">
        <f t="shared" si="55"/>
        <v>119</v>
      </c>
      <c r="J575" s="171">
        <f t="shared" si="56"/>
        <v>0.32429999999999998</v>
      </c>
      <c r="K575" s="177">
        <f t="shared" si="51"/>
        <v>0</v>
      </c>
      <c r="L575" s="177">
        <f t="shared" si="52"/>
        <v>0</v>
      </c>
      <c r="M575" s="177">
        <f t="shared" si="53"/>
        <v>0</v>
      </c>
    </row>
    <row r="576" spans="1:13" ht="12.75" customHeight="1">
      <c r="A576" s="268" t="s">
        <v>309</v>
      </c>
      <c r="B576" s="268" t="s">
        <v>2020</v>
      </c>
      <c r="C576" s="268" t="s">
        <v>2021</v>
      </c>
      <c r="D576" s="268">
        <v>290</v>
      </c>
      <c r="E576" s="268">
        <v>0</v>
      </c>
      <c r="F576" s="83">
        <f t="shared" si="54"/>
        <v>290</v>
      </c>
      <c r="G576" s="268">
        <v>76</v>
      </c>
      <c r="H576" s="268">
        <v>0</v>
      </c>
      <c r="I576" s="83">
        <f t="shared" si="55"/>
        <v>76</v>
      </c>
      <c r="J576" s="171">
        <f t="shared" si="56"/>
        <v>0.2621</v>
      </c>
      <c r="K576" s="177">
        <f t="shared" si="51"/>
        <v>0</v>
      </c>
      <c r="L576" s="177">
        <f t="shared" si="52"/>
        <v>0</v>
      </c>
      <c r="M576" s="177">
        <f t="shared" si="53"/>
        <v>0</v>
      </c>
    </row>
    <row r="577" spans="1:13" ht="12.75" customHeight="1">
      <c r="A577" s="268" t="s">
        <v>309</v>
      </c>
      <c r="B577" s="268" t="s">
        <v>2022</v>
      </c>
      <c r="C577" s="268" t="s">
        <v>2023</v>
      </c>
      <c r="D577" s="268">
        <v>283</v>
      </c>
      <c r="E577" s="268">
        <v>0</v>
      </c>
      <c r="F577" s="83">
        <f t="shared" si="54"/>
        <v>283</v>
      </c>
      <c r="G577" s="268">
        <v>49</v>
      </c>
      <c r="H577" s="268">
        <v>0</v>
      </c>
      <c r="I577" s="83">
        <f t="shared" si="55"/>
        <v>49</v>
      </c>
      <c r="J577" s="171">
        <f t="shared" si="56"/>
        <v>0.1731</v>
      </c>
      <c r="K577" s="177">
        <f t="shared" si="51"/>
        <v>0</v>
      </c>
      <c r="L577" s="177">
        <f t="shared" si="52"/>
        <v>0</v>
      </c>
      <c r="M577" s="177">
        <f t="shared" si="53"/>
        <v>0</v>
      </c>
    </row>
    <row r="578" spans="1:13" ht="12.75" customHeight="1">
      <c r="A578" s="268" t="s">
        <v>310</v>
      </c>
      <c r="B578" s="268" t="s">
        <v>2024</v>
      </c>
      <c r="C578" s="268" t="s">
        <v>2025</v>
      </c>
      <c r="D578" s="268">
        <v>43</v>
      </c>
      <c r="E578" s="268">
        <v>0</v>
      </c>
      <c r="F578" s="83">
        <f t="shared" si="54"/>
        <v>43</v>
      </c>
      <c r="G578" s="268">
        <v>31</v>
      </c>
      <c r="H578" s="268">
        <v>0</v>
      </c>
      <c r="I578" s="83">
        <f t="shared" si="55"/>
        <v>31</v>
      </c>
      <c r="J578" s="171">
        <f t="shared" si="56"/>
        <v>0.72089999999999999</v>
      </c>
      <c r="K578" s="177">
        <f t="shared" si="51"/>
        <v>0</v>
      </c>
      <c r="L578" s="177">
        <f t="shared" si="52"/>
        <v>3.3</v>
      </c>
      <c r="M578" s="177">
        <f t="shared" si="53"/>
        <v>3.3</v>
      </c>
    </row>
    <row r="579" spans="1:13" ht="12.75" customHeight="1">
      <c r="A579" s="268" t="s">
        <v>310</v>
      </c>
      <c r="B579" s="268" t="s">
        <v>2026</v>
      </c>
      <c r="C579" s="268" t="s">
        <v>2027</v>
      </c>
      <c r="D579" s="268">
        <v>68</v>
      </c>
      <c r="E579" s="268">
        <v>0</v>
      </c>
      <c r="F579" s="83">
        <f t="shared" si="54"/>
        <v>68</v>
      </c>
      <c r="G579" s="268">
        <v>37</v>
      </c>
      <c r="H579" s="268">
        <v>0</v>
      </c>
      <c r="I579" s="83">
        <f t="shared" si="55"/>
        <v>37</v>
      </c>
      <c r="J579" s="171">
        <f t="shared" si="56"/>
        <v>0.54410000000000003</v>
      </c>
      <c r="K579" s="177">
        <f t="shared" si="51"/>
        <v>0</v>
      </c>
      <c r="L579" s="177">
        <f t="shared" si="52"/>
        <v>3.9</v>
      </c>
      <c r="M579" s="177">
        <f t="shared" si="53"/>
        <v>3.9</v>
      </c>
    </row>
    <row r="580" spans="1:13" ht="12.75" customHeight="1">
      <c r="A580" s="268" t="s">
        <v>310</v>
      </c>
      <c r="B580" s="268" t="s">
        <v>2028</v>
      </c>
      <c r="C580" s="268" t="s">
        <v>2029</v>
      </c>
      <c r="D580" s="268">
        <v>73</v>
      </c>
      <c r="E580" s="268">
        <v>0</v>
      </c>
      <c r="F580" s="83">
        <f t="shared" si="54"/>
        <v>73</v>
      </c>
      <c r="G580" s="268">
        <v>52</v>
      </c>
      <c r="H580" s="268">
        <v>0</v>
      </c>
      <c r="I580" s="83">
        <f t="shared" si="55"/>
        <v>52</v>
      </c>
      <c r="J580" s="171">
        <f t="shared" si="56"/>
        <v>0.71230000000000004</v>
      </c>
      <c r="K580" s="177">
        <f t="shared" si="51"/>
        <v>0</v>
      </c>
      <c r="L580" s="177">
        <f t="shared" si="52"/>
        <v>5.5</v>
      </c>
      <c r="M580" s="177">
        <f t="shared" si="53"/>
        <v>5.5</v>
      </c>
    </row>
    <row r="581" spans="1:13" ht="12.75" customHeight="1">
      <c r="A581" s="268" t="s">
        <v>311</v>
      </c>
      <c r="B581" s="268" t="s">
        <v>2030</v>
      </c>
      <c r="C581" s="268" t="s">
        <v>2031</v>
      </c>
      <c r="D581" s="268">
        <v>372</v>
      </c>
      <c r="E581" s="268">
        <v>0</v>
      </c>
      <c r="F581" s="83">
        <f t="shared" si="54"/>
        <v>372</v>
      </c>
      <c r="G581" s="268">
        <v>71</v>
      </c>
      <c r="H581" s="268">
        <v>0</v>
      </c>
      <c r="I581" s="83">
        <f t="shared" si="55"/>
        <v>71</v>
      </c>
      <c r="J581" s="171">
        <f t="shared" si="56"/>
        <v>0.19089999999999999</v>
      </c>
      <c r="K581" s="177">
        <f t="shared" ref="K581:K644" si="57">IF(AND((J581-35%)&gt;0,J581&lt;50%),I581*(J581-35%)*0.7,0)</f>
        <v>0</v>
      </c>
      <c r="L581" s="177">
        <f t="shared" ref="L581:L644" si="58">IF(J581&gt;=50%,I581*10.5%,0)</f>
        <v>0</v>
      </c>
      <c r="M581" s="177">
        <f t="shared" ref="M581:M644" si="59">MAX(K581,L581)</f>
        <v>0</v>
      </c>
    </row>
    <row r="582" spans="1:13" ht="12.75" customHeight="1">
      <c r="A582" s="268" t="s">
        <v>311</v>
      </c>
      <c r="B582" s="268" t="s">
        <v>2032</v>
      </c>
      <c r="C582" s="268" t="s">
        <v>1267</v>
      </c>
      <c r="D582" s="268">
        <v>392</v>
      </c>
      <c r="E582" s="268">
        <v>0</v>
      </c>
      <c r="F582" s="83">
        <f t="shared" ref="F582:F645" si="60">SUM(D582+E582)</f>
        <v>392</v>
      </c>
      <c r="G582" s="268">
        <v>73</v>
      </c>
      <c r="H582" s="268">
        <v>0</v>
      </c>
      <c r="I582" s="83">
        <f t="shared" si="55"/>
        <v>73</v>
      </c>
      <c r="J582" s="171">
        <f t="shared" si="56"/>
        <v>0.1862</v>
      </c>
      <c r="K582" s="177">
        <f t="shared" si="57"/>
        <v>0</v>
      </c>
      <c r="L582" s="177">
        <f t="shared" si="58"/>
        <v>0</v>
      </c>
      <c r="M582" s="177">
        <f t="shared" si="59"/>
        <v>0</v>
      </c>
    </row>
    <row r="583" spans="1:13" ht="12.75" customHeight="1">
      <c r="A583" s="268" t="s">
        <v>311</v>
      </c>
      <c r="B583" s="268" t="s">
        <v>2033</v>
      </c>
      <c r="C583" s="268" t="s">
        <v>2034</v>
      </c>
      <c r="D583" s="268">
        <v>426</v>
      </c>
      <c r="E583" s="268">
        <v>0</v>
      </c>
      <c r="F583" s="83">
        <f t="shared" si="60"/>
        <v>426</v>
      </c>
      <c r="G583" s="268">
        <v>93</v>
      </c>
      <c r="H583" s="268">
        <v>0</v>
      </c>
      <c r="I583" s="83">
        <f t="shared" si="55"/>
        <v>93</v>
      </c>
      <c r="J583" s="171">
        <f t="shared" si="56"/>
        <v>0.21829999999999999</v>
      </c>
      <c r="K583" s="177">
        <f t="shared" si="57"/>
        <v>0</v>
      </c>
      <c r="L583" s="177">
        <f t="shared" si="58"/>
        <v>0</v>
      </c>
      <c r="M583" s="177">
        <f t="shared" si="59"/>
        <v>0</v>
      </c>
    </row>
    <row r="584" spans="1:13" ht="12.75" customHeight="1">
      <c r="A584" s="268" t="s">
        <v>311</v>
      </c>
      <c r="B584" s="268" t="s">
        <v>2035</v>
      </c>
      <c r="C584" s="268" t="s">
        <v>1726</v>
      </c>
      <c r="D584" s="268">
        <v>343</v>
      </c>
      <c r="E584" s="268">
        <v>0</v>
      </c>
      <c r="F584" s="83">
        <f t="shared" si="60"/>
        <v>343</v>
      </c>
      <c r="G584" s="268">
        <v>80</v>
      </c>
      <c r="H584" s="268">
        <v>0</v>
      </c>
      <c r="I584" s="83">
        <f t="shared" si="55"/>
        <v>80</v>
      </c>
      <c r="J584" s="171">
        <f t="shared" si="56"/>
        <v>0.23319999999999999</v>
      </c>
      <c r="K584" s="177">
        <f t="shared" si="57"/>
        <v>0</v>
      </c>
      <c r="L584" s="177">
        <f t="shared" si="58"/>
        <v>0</v>
      </c>
      <c r="M584" s="177">
        <f t="shared" si="59"/>
        <v>0</v>
      </c>
    </row>
    <row r="585" spans="1:13" ht="12.75" customHeight="1">
      <c r="A585" s="268" t="s">
        <v>312</v>
      </c>
      <c r="B585" s="268" t="s">
        <v>2036</v>
      </c>
      <c r="C585" s="268" t="s">
        <v>2037</v>
      </c>
      <c r="D585" s="268">
        <v>268</v>
      </c>
      <c r="E585" s="268">
        <v>0</v>
      </c>
      <c r="F585" s="83">
        <f t="shared" si="60"/>
        <v>268</v>
      </c>
      <c r="G585" s="268">
        <v>81</v>
      </c>
      <c r="H585" s="268">
        <v>0</v>
      </c>
      <c r="I585" s="83">
        <f t="shared" si="55"/>
        <v>81</v>
      </c>
      <c r="J585" s="171">
        <f t="shared" si="56"/>
        <v>0.30220000000000002</v>
      </c>
      <c r="K585" s="177">
        <f t="shared" si="57"/>
        <v>0</v>
      </c>
      <c r="L585" s="177">
        <f t="shared" si="58"/>
        <v>0</v>
      </c>
      <c r="M585" s="177">
        <f t="shared" si="59"/>
        <v>0</v>
      </c>
    </row>
    <row r="586" spans="1:13" ht="12.75" customHeight="1">
      <c r="A586" s="268" t="s">
        <v>312</v>
      </c>
      <c r="B586" s="268" t="s">
        <v>2038</v>
      </c>
      <c r="C586" s="268" t="s">
        <v>2039</v>
      </c>
      <c r="D586" s="268">
        <v>258</v>
      </c>
      <c r="E586" s="268">
        <v>0</v>
      </c>
      <c r="F586" s="83">
        <f t="shared" si="60"/>
        <v>258</v>
      </c>
      <c r="G586" s="268">
        <v>61</v>
      </c>
      <c r="H586" s="268">
        <v>0</v>
      </c>
      <c r="I586" s="83">
        <f t="shared" si="55"/>
        <v>61</v>
      </c>
      <c r="J586" s="171">
        <f t="shared" si="56"/>
        <v>0.2364</v>
      </c>
      <c r="K586" s="177">
        <f t="shared" si="57"/>
        <v>0</v>
      </c>
      <c r="L586" s="177">
        <f t="shared" si="58"/>
        <v>0</v>
      </c>
      <c r="M586" s="177">
        <f t="shared" si="59"/>
        <v>0</v>
      </c>
    </row>
    <row r="587" spans="1:13" ht="12.75" customHeight="1">
      <c r="A587" s="268" t="s">
        <v>312</v>
      </c>
      <c r="B587" s="268" t="s">
        <v>2040</v>
      </c>
      <c r="C587" s="268" t="s">
        <v>2041</v>
      </c>
      <c r="D587" s="268">
        <v>308</v>
      </c>
      <c r="E587" s="268">
        <v>0</v>
      </c>
      <c r="F587" s="83">
        <f t="shared" si="60"/>
        <v>308</v>
      </c>
      <c r="G587" s="268">
        <v>101</v>
      </c>
      <c r="H587" s="268">
        <v>0</v>
      </c>
      <c r="I587" s="83">
        <f t="shared" si="55"/>
        <v>101</v>
      </c>
      <c r="J587" s="171">
        <f t="shared" si="56"/>
        <v>0.32790000000000002</v>
      </c>
      <c r="K587" s="177">
        <f t="shared" si="57"/>
        <v>0</v>
      </c>
      <c r="L587" s="177">
        <f t="shared" si="58"/>
        <v>0</v>
      </c>
      <c r="M587" s="177">
        <f t="shared" si="59"/>
        <v>0</v>
      </c>
    </row>
    <row r="588" spans="1:13" ht="12.75" customHeight="1">
      <c r="A588" s="268" t="s">
        <v>312</v>
      </c>
      <c r="B588" s="268" t="s">
        <v>2042</v>
      </c>
      <c r="C588" s="268" t="s">
        <v>2043</v>
      </c>
      <c r="D588" s="268">
        <v>283</v>
      </c>
      <c r="E588" s="269">
        <v>0</v>
      </c>
      <c r="F588" s="83">
        <f t="shared" si="60"/>
        <v>283</v>
      </c>
      <c r="G588" s="268">
        <v>68</v>
      </c>
      <c r="H588" s="268">
        <v>0</v>
      </c>
      <c r="I588" s="83">
        <f t="shared" si="55"/>
        <v>68</v>
      </c>
      <c r="J588" s="171">
        <f t="shared" si="56"/>
        <v>0.24030000000000001</v>
      </c>
      <c r="K588" s="177">
        <f t="shared" si="57"/>
        <v>0</v>
      </c>
      <c r="L588" s="177">
        <f t="shared" si="58"/>
        <v>0</v>
      </c>
      <c r="M588" s="177">
        <f t="shared" si="59"/>
        <v>0</v>
      </c>
    </row>
    <row r="589" spans="1:13" ht="12.75" customHeight="1">
      <c r="A589" s="268" t="s">
        <v>313</v>
      </c>
      <c r="B589" s="268" t="s">
        <v>2044</v>
      </c>
      <c r="C589" s="268" t="s">
        <v>2045</v>
      </c>
      <c r="D589" s="268">
        <v>240</v>
      </c>
      <c r="E589" s="268">
        <v>0</v>
      </c>
      <c r="F589" s="83">
        <f t="shared" si="60"/>
        <v>240</v>
      </c>
      <c r="G589" s="268">
        <v>75</v>
      </c>
      <c r="H589" s="268">
        <v>0</v>
      </c>
      <c r="I589" s="83">
        <f t="shared" si="55"/>
        <v>75</v>
      </c>
      <c r="J589" s="171">
        <f t="shared" si="56"/>
        <v>0.3125</v>
      </c>
      <c r="K589" s="177">
        <f t="shared" si="57"/>
        <v>0</v>
      </c>
      <c r="L589" s="177">
        <f t="shared" si="58"/>
        <v>0</v>
      </c>
      <c r="M589" s="177">
        <f t="shared" si="59"/>
        <v>0</v>
      </c>
    </row>
    <row r="590" spans="1:13" ht="12.75" customHeight="1">
      <c r="A590" s="268" t="s">
        <v>313</v>
      </c>
      <c r="B590" s="268" t="s">
        <v>2046</v>
      </c>
      <c r="C590" s="268" t="s">
        <v>2047</v>
      </c>
      <c r="D590" s="268">
        <v>77</v>
      </c>
      <c r="E590" s="268">
        <v>0</v>
      </c>
      <c r="F590" s="83">
        <f t="shared" si="60"/>
        <v>77</v>
      </c>
      <c r="G590" s="268">
        <v>22</v>
      </c>
      <c r="H590" s="268">
        <v>0</v>
      </c>
      <c r="I590" s="83">
        <f t="shared" si="55"/>
        <v>22</v>
      </c>
      <c r="J590" s="171">
        <f t="shared" si="56"/>
        <v>0.28570000000000001</v>
      </c>
      <c r="K590" s="177">
        <f t="shared" si="57"/>
        <v>0</v>
      </c>
      <c r="L590" s="177">
        <f t="shared" si="58"/>
        <v>0</v>
      </c>
      <c r="M590" s="177">
        <f t="shared" si="59"/>
        <v>0</v>
      </c>
    </row>
    <row r="591" spans="1:13" ht="12.75" customHeight="1">
      <c r="A591" s="268" t="s">
        <v>314</v>
      </c>
      <c r="B591" s="268" t="s">
        <v>2048</v>
      </c>
      <c r="C591" s="268" t="s">
        <v>2049</v>
      </c>
      <c r="D591" s="268">
        <v>501</v>
      </c>
      <c r="E591" s="268">
        <v>0</v>
      </c>
      <c r="F591" s="83">
        <f t="shared" si="60"/>
        <v>501</v>
      </c>
      <c r="G591" s="268">
        <v>84</v>
      </c>
      <c r="H591" s="268">
        <v>0</v>
      </c>
      <c r="I591" s="83">
        <f t="shared" si="55"/>
        <v>84</v>
      </c>
      <c r="J591" s="171">
        <f t="shared" si="56"/>
        <v>0.16769999999999999</v>
      </c>
      <c r="K591" s="177">
        <f t="shared" si="57"/>
        <v>0</v>
      </c>
      <c r="L591" s="177">
        <f t="shared" si="58"/>
        <v>0</v>
      </c>
      <c r="M591" s="177">
        <f t="shared" si="59"/>
        <v>0</v>
      </c>
    </row>
    <row r="592" spans="1:13" ht="12.75" customHeight="1">
      <c r="A592" s="268" t="s">
        <v>314</v>
      </c>
      <c r="B592" s="268" t="s">
        <v>2050</v>
      </c>
      <c r="C592" s="268" t="s">
        <v>2051</v>
      </c>
      <c r="D592" s="268">
        <v>159</v>
      </c>
      <c r="E592" s="268">
        <v>0</v>
      </c>
      <c r="F592" s="83">
        <f t="shared" si="60"/>
        <v>159</v>
      </c>
      <c r="G592" s="268">
        <v>35</v>
      </c>
      <c r="H592" s="268">
        <v>0</v>
      </c>
      <c r="I592" s="83">
        <f t="shared" si="55"/>
        <v>35</v>
      </c>
      <c r="J592" s="171">
        <f t="shared" si="56"/>
        <v>0.22009999999999999</v>
      </c>
      <c r="K592" s="177">
        <f t="shared" si="57"/>
        <v>0</v>
      </c>
      <c r="L592" s="177">
        <f t="shared" si="58"/>
        <v>0</v>
      </c>
      <c r="M592" s="177">
        <f t="shared" si="59"/>
        <v>0</v>
      </c>
    </row>
    <row r="593" spans="1:13" ht="12.75" customHeight="1">
      <c r="A593" s="268" t="s">
        <v>314</v>
      </c>
      <c r="B593" s="268" t="s">
        <v>2052</v>
      </c>
      <c r="C593" s="268" t="s">
        <v>2053</v>
      </c>
      <c r="D593" s="268">
        <v>427</v>
      </c>
      <c r="E593" s="268">
        <v>0</v>
      </c>
      <c r="F593" s="83">
        <f t="shared" si="60"/>
        <v>427</v>
      </c>
      <c r="G593" s="268">
        <v>67</v>
      </c>
      <c r="H593" s="268">
        <v>0</v>
      </c>
      <c r="I593" s="83">
        <f t="shared" si="55"/>
        <v>67</v>
      </c>
      <c r="J593" s="171">
        <f t="shared" si="56"/>
        <v>0.15690000000000001</v>
      </c>
      <c r="K593" s="177">
        <f t="shared" si="57"/>
        <v>0</v>
      </c>
      <c r="L593" s="177">
        <f t="shared" si="58"/>
        <v>0</v>
      </c>
      <c r="M593" s="177">
        <f t="shared" si="59"/>
        <v>0</v>
      </c>
    </row>
    <row r="594" spans="1:13" ht="12.75" customHeight="1">
      <c r="A594" s="268" t="s">
        <v>315</v>
      </c>
      <c r="B594" s="268" t="s">
        <v>2054</v>
      </c>
      <c r="C594" s="268" t="s">
        <v>2055</v>
      </c>
      <c r="D594" s="268">
        <v>241</v>
      </c>
      <c r="E594" s="268">
        <v>0</v>
      </c>
      <c r="F594" s="83">
        <f t="shared" si="60"/>
        <v>241</v>
      </c>
      <c r="G594" s="268">
        <v>82</v>
      </c>
      <c r="H594" s="268">
        <v>0</v>
      </c>
      <c r="I594" s="83">
        <f t="shared" si="55"/>
        <v>82</v>
      </c>
      <c r="J594" s="171">
        <f t="shared" si="56"/>
        <v>0.3402</v>
      </c>
      <c r="K594" s="177">
        <f t="shared" si="57"/>
        <v>0</v>
      </c>
      <c r="L594" s="177">
        <f t="shared" si="58"/>
        <v>0</v>
      </c>
      <c r="M594" s="177">
        <f t="shared" si="59"/>
        <v>0</v>
      </c>
    </row>
    <row r="595" spans="1:13" ht="12.75" customHeight="1">
      <c r="A595" s="268" t="s">
        <v>315</v>
      </c>
      <c r="B595" s="268" t="s">
        <v>2056</v>
      </c>
      <c r="C595" s="268" t="s">
        <v>2057</v>
      </c>
      <c r="D595" s="268">
        <v>183</v>
      </c>
      <c r="E595" s="268">
        <v>0</v>
      </c>
      <c r="F595" s="83">
        <f t="shared" si="60"/>
        <v>183</v>
      </c>
      <c r="G595" s="268">
        <v>50</v>
      </c>
      <c r="H595" s="268">
        <v>0</v>
      </c>
      <c r="I595" s="83">
        <f t="shared" si="55"/>
        <v>50</v>
      </c>
      <c r="J595" s="171">
        <f t="shared" si="56"/>
        <v>0.2732</v>
      </c>
      <c r="K595" s="177">
        <f t="shared" si="57"/>
        <v>0</v>
      </c>
      <c r="L595" s="177">
        <f t="shared" si="58"/>
        <v>0</v>
      </c>
      <c r="M595" s="177">
        <f t="shared" si="59"/>
        <v>0</v>
      </c>
    </row>
    <row r="596" spans="1:13" ht="12.75" customHeight="1">
      <c r="A596" s="268" t="s">
        <v>315</v>
      </c>
      <c r="B596" s="268" t="s">
        <v>2058</v>
      </c>
      <c r="C596" s="268" t="s">
        <v>2059</v>
      </c>
      <c r="D596" s="268">
        <v>180</v>
      </c>
      <c r="E596" s="268">
        <v>0</v>
      </c>
      <c r="F596" s="83">
        <f t="shared" si="60"/>
        <v>180</v>
      </c>
      <c r="G596" s="268">
        <v>36</v>
      </c>
      <c r="H596" s="268">
        <v>0</v>
      </c>
      <c r="I596" s="83">
        <f t="shared" si="55"/>
        <v>36</v>
      </c>
      <c r="J596" s="171">
        <f t="shared" si="56"/>
        <v>0.2</v>
      </c>
      <c r="K596" s="177">
        <f t="shared" si="57"/>
        <v>0</v>
      </c>
      <c r="L596" s="177">
        <f t="shared" si="58"/>
        <v>0</v>
      </c>
      <c r="M596" s="177">
        <f t="shared" si="59"/>
        <v>0</v>
      </c>
    </row>
    <row r="597" spans="1:13" ht="12.75" customHeight="1">
      <c r="A597" s="268" t="s">
        <v>316</v>
      </c>
      <c r="B597" s="268" t="s">
        <v>2060</v>
      </c>
      <c r="C597" s="268" t="s">
        <v>2061</v>
      </c>
      <c r="D597" s="268">
        <v>71</v>
      </c>
      <c r="E597" s="268">
        <v>0</v>
      </c>
      <c r="F597" s="83">
        <f t="shared" si="60"/>
        <v>71</v>
      </c>
      <c r="G597" s="268">
        <v>18</v>
      </c>
      <c r="H597" s="268">
        <v>0</v>
      </c>
      <c r="I597" s="83">
        <f t="shared" si="55"/>
        <v>18</v>
      </c>
      <c r="J597" s="171">
        <f t="shared" si="56"/>
        <v>0.2535</v>
      </c>
      <c r="K597" s="177">
        <f t="shared" si="57"/>
        <v>0</v>
      </c>
      <c r="L597" s="177">
        <f t="shared" si="58"/>
        <v>0</v>
      </c>
      <c r="M597" s="177">
        <f t="shared" si="59"/>
        <v>0</v>
      </c>
    </row>
    <row r="598" spans="1:13" ht="12.75" customHeight="1">
      <c r="A598" s="268" t="s">
        <v>316</v>
      </c>
      <c r="B598" s="268" t="s">
        <v>2062</v>
      </c>
      <c r="C598" s="268" t="s">
        <v>2063</v>
      </c>
      <c r="D598" s="268">
        <v>70</v>
      </c>
      <c r="E598" s="268">
        <v>0</v>
      </c>
      <c r="F598" s="83">
        <f t="shared" si="60"/>
        <v>70</v>
      </c>
      <c r="G598" s="268">
        <v>17</v>
      </c>
      <c r="H598" s="268">
        <v>0</v>
      </c>
      <c r="I598" s="83">
        <f t="shared" si="55"/>
        <v>17</v>
      </c>
      <c r="J598" s="171">
        <f t="shared" si="56"/>
        <v>0.2429</v>
      </c>
      <c r="K598" s="177">
        <f t="shared" si="57"/>
        <v>0</v>
      </c>
      <c r="L598" s="177">
        <f t="shared" si="58"/>
        <v>0</v>
      </c>
      <c r="M598" s="177">
        <f t="shared" si="59"/>
        <v>0</v>
      </c>
    </row>
    <row r="599" spans="1:13" ht="12.75" customHeight="1">
      <c r="A599" s="268" t="s">
        <v>317</v>
      </c>
      <c r="B599" s="268" t="s">
        <v>2064</v>
      </c>
      <c r="C599" s="268" t="s">
        <v>2065</v>
      </c>
      <c r="D599" s="268">
        <v>260</v>
      </c>
      <c r="E599" s="268">
        <v>0</v>
      </c>
      <c r="F599" s="83">
        <f t="shared" si="60"/>
        <v>260</v>
      </c>
      <c r="G599" s="268">
        <v>62</v>
      </c>
      <c r="H599" s="268">
        <v>0</v>
      </c>
      <c r="I599" s="83">
        <f t="shared" si="55"/>
        <v>62</v>
      </c>
      <c r="J599" s="171">
        <f t="shared" si="56"/>
        <v>0.23849999999999999</v>
      </c>
      <c r="K599" s="177">
        <f t="shared" si="57"/>
        <v>0</v>
      </c>
      <c r="L599" s="177">
        <f t="shared" si="58"/>
        <v>0</v>
      </c>
      <c r="M599" s="177">
        <f t="shared" si="59"/>
        <v>0</v>
      </c>
    </row>
    <row r="600" spans="1:13" ht="12.75" customHeight="1">
      <c r="A600" s="268" t="s">
        <v>317</v>
      </c>
      <c r="B600" s="268" t="s">
        <v>2066</v>
      </c>
      <c r="C600" s="268" t="s">
        <v>2067</v>
      </c>
      <c r="D600" s="268">
        <v>270</v>
      </c>
      <c r="E600" s="268">
        <v>0</v>
      </c>
      <c r="F600" s="83">
        <f t="shared" si="60"/>
        <v>270</v>
      </c>
      <c r="G600" s="268">
        <v>62</v>
      </c>
      <c r="H600" s="268">
        <v>0</v>
      </c>
      <c r="I600" s="83">
        <f t="shared" si="55"/>
        <v>62</v>
      </c>
      <c r="J600" s="171">
        <f t="shared" si="56"/>
        <v>0.2296</v>
      </c>
      <c r="K600" s="177">
        <f t="shared" si="57"/>
        <v>0</v>
      </c>
      <c r="L600" s="177">
        <f t="shared" si="58"/>
        <v>0</v>
      </c>
      <c r="M600" s="177">
        <f t="shared" si="59"/>
        <v>0</v>
      </c>
    </row>
    <row r="601" spans="1:13" ht="12.75" customHeight="1">
      <c r="A601" s="268" t="s">
        <v>317</v>
      </c>
      <c r="B601" s="268" t="s">
        <v>2068</v>
      </c>
      <c r="C601" s="268" t="s">
        <v>2069</v>
      </c>
      <c r="D601" s="268">
        <v>110</v>
      </c>
      <c r="E601" s="268">
        <v>0</v>
      </c>
      <c r="F601" s="83">
        <f t="shared" si="60"/>
        <v>110</v>
      </c>
      <c r="G601" s="268">
        <v>26</v>
      </c>
      <c r="H601" s="268">
        <v>0</v>
      </c>
      <c r="I601" s="83">
        <f t="shared" si="55"/>
        <v>26</v>
      </c>
      <c r="J601" s="171">
        <f t="shared" si="56"/>
        <v>0.2364</v>
      </c>
      <c r="K601" s="177">
        <f t="shared" si="57"/>
        <v>0</v>
      </c>
      <c r="L601" s="177">
        <f t="shared" si="58"/>
        <v>0</v>
      </c>
      <c r="M601" s="177">
        <f t="shared" si="59"/>
        <v>0</v>
      </c>
    </row>
    <row r="602" spans="1:13" ht="12.75" customHeight="1">
      <c r="A602" s="268" t="s">
        <v>318</v>
      </c>
      <c r="B602" s="268" t="s">
        <v>2070</v>
      </c>
      <c r="C602" s="268" t="s">
        <v>2071</v>
      </c>
      <c r="D602" s="268">
        <v>100</v>
      </c>
      <c r="E602" s="268">
        <v>0</v>
      </c>
      <c r="F602" s="83">
        <f t="shared" si="60"/>
        <v>100</v>
      </c>
      <c r="G602" s="268">
        <v>25</v>
      </c>
      <c r="H602" s="268">
        <v>0</v>
      </c>
      <c r="I602" s="83">
        <f t="shared" si="55"/>
        <v>25</v>
      </c>
      <c r="J602" s="171">
        <f t="shared" si="56"/>
        <v>0.25</v>
      </c>
      <c r="K602" s="177">
        <f t="shared" si="57"/>
        <v>0</v>
      </c>
      <c r="L602" s="177">
        <f t="shared" si="58"/>
        <v>0</v>
      </c>
      <c r="M602" s="177">
        <f t="shared" si="59"/>
        <v>0</v>
      </c>
    </row>
    <row r="603" spans="1:13" ht="12.75" customHeight="1">
      <c r="A603" s="268" t="s">
        <v>318</v>
      </c>
      <c r="B603" s="268" t="s">
        <v>2072</v>
      </c>
      <c r="C603" s="268" t="s">
        <v>2073</v>
      </c>
      <c r="D603" s="268">
        <v>149</v>
      </c>
      <c r="E603" s="268">
        <v>0</v>
      </c>
      <c r="F603" s="83">
        <f t="shared" si="60"/>
        <v>149</v>
      </c>
      <c r="G603" s="268">
        <v>23</v>
      </c>
      <c r="H603" s="268">
        <v>0</v>
      </c>
      <c r="I603" s="83">
        <f t="shared" si="55"/>
        <v>23</v>
      </c>
      <c r="J603" s="171">
        <f t="shared" si="56"/>
        <v>0.15440000000000001</v>
      </c>
      <c r="K603" s="177">
        <f t="shared" si="57"/>
        <v>0</v>
      </c>
      <c r="L603" s="177">
        <f t="shared" si="58"/>
        <v>0</v>
      </c>
      <c r="M603" s="177">
        <f t="shared" si="59"/>
        <v>0</v>
      </c>
    </row>
    <row r="604" spans="1:13" ht="12.75" customHeight="1">
      <c r="A604" s="268" t="s">
        <v>318</v>
      </c>
      <c r="B604" s="268" t="s">
        <v>2074</v>
      </c>
      <c r="C604" s="268" t="s">
        <v>2075</v>
      </c>
      <c r="D604" s="268">
        <v>75</v>
      </c>
      <c r="E604" s="268">
        <v>0</v>
      </c>
      <c r="F604" s="83">
        <f t="shared" si="60"/>
        <v>75</v>
      </c>
      <c r="G604" s="268">
        <v>9</v>
      </c>
      <c r="H604" s="268">
        <v>0</v>
      </c>
      <c r="I604" s="83">
        <f t="shared" si="55"/>
        <v>9</v>
      </c>
      <c r="J604" s="171">
        <f t="shared" si="56"/>
        <v>0.12</v>
      </c>
      <c r="K604" s="177">
        <f t="shared" si="57"/>
        <v>0</v>
      </c>
      <c r="L604" s="177">
        <f t="shared" si="58"/>
        <v>0</v>
      </c>
      <c r="M604" s="177">
        <f t="shared" si="59"/>
        <v>0</v>
      </c>
    </row>
    <row r="605" spans="1:13" ht="12.75" customHeight="1">
      <c r="A605" s="268" t="s">
        <v>318</v>
      </c>
      <c r="B605" s="268" t="s">
        <v>2076</v>
      </c>
      <c r="C605" s="268" t="s">
        <v>2077</v>
      </c>
      <c r="D605" s="268">
        <v>68</v>
      </c>
      <c r="E605" s="268">
        <v>0</v>
      </c>
      <c r="F605" s="83">
        <f t="shared" si="60"/>
        <v>68</v>
      </c>
      <c r="G605" s="268">
        <v>12</v>
      </c>
      <c r="H605" s="268">
        <v>0</v>
      </c>
      <c r="I605" s="83">
        <f t="shared" si="55"/>
        <v>12</v>
      </c>
      <c r="J605" s="171">
        <f t="shared" si="56"/>
        <v>0.17649999999999999</v>
      </c>
      <c r="K605" s="177">
        <f t="shared" si="57"/>
        <v>0</v>
      </c>
      <c r="L605" s="177">
        <f t="shared" si="58"/>
        <v>0</v>
      </c>
      <c r="M605" s="177">
        <f t="shared" si="59"/>
        <v>0</v>
      </c>
    </row>
    <row r="606" spans="1:13" ht="12.75" customHeight="1">
      <c r="A606" s="268" t="s">
        <v>318</v>
      </c>
      <c r="B606" s="268" t="s">
        <v>2078</v>
      </c>
      <c r="C606" s="268" t="s">
        <v>2079</v>
      </c>
      <c r="D606" s="268">
        <v>61</v>
      </c>
      <c r="E606" s="268">
        <v>0</v>
      </c>
      <c r="F606" s="83">
        <f t="shared" si="60"/>
        <v>61</v>
      </c>
      <c r="G606" s="268">
        <v>8</v>
      </c>
      <c r="H606" s="268">
        <v>0</v>
      </c>
      <c r="I606" s="83">
        <f t="shared" si="55"/>
        <v>8</v>
      </c>
      <c r="J606" s="171">
        <f t="shared" si="56"/>
        <v>0.13109999999999999</v>
      </c>
      <c r="K606" s="177">
        <f t="shared" si="57"/>
        <v>0</v>
      </c>
      <c r="L606" s="177">
        <f t="shared" si="58"/>
        <v>0</v>
      </c>
      <c r="M606" s="177">
        <f t="shared" si="59"/>
        <v>0</v>
      </c>
    </row>
    <row r="607" spans="1:13" ht="12.75" customHeight="1">
      <c r="A607" s="268" t="s">
        <v>319</v>
      </c>
      <c r="B607" s="268" t="s">
        <v>2080</v>
      </c>
      <c r="C607" s="268" t="s">
        <v>2081</v>
      </c>
      <c r="D607" s="268">
        <v>228</v>
      </c>
      <c r="E607" s="268">
        <v>0</v>
      </c>
      <c r="F607" s="83">
        <f t="shared" si="60"/>
        <v>228</v>
      </c>
      <c r="G607" s="268">
        <v>45</v>
      </c>
      <c r="H607" s="268">
        <v>0</v>
      </c>
      <c r="I607" s="83">
        <f t="shared" si="55"/>
        <v>45</v>
      </c>
      <c r="J607" s="171">
        <f t="shared" si="56"/>
        <v>0.19739999999999999</v>
      </c>
      <c r="K607" s="177">
        <f t="shared" si="57"/>
        <v>0</v>
      </c>
      <c r="L607" s="177">
        <f t="shared" si="58"/>
        <v>0</v>
      </c>
      <c r="M607" s="177">
        <f t="shared" si="59"/>
        <v>0</v>
      </c>
    </row>
    <row r="608" spans="1:13" ht="12.75" customHeight="1">
      <c r="A608" s="268" t="s">
        <v>319</v>
      </c>
      <c r="B608" s="268" t="s">
        <v>2082</v>
      </c>
      <c r="C608" s="268" t="s">
        <v>2083</v>
      </c>
      <c r="D608" s="268">
        <v>211</v>
      </c>
      <c r="E608" s="268">
        <v>0</v>
      </c>
      <c r="F608" s="83">
        <f t="shared" si="60"/>
        <v>211</v>
      </c>
      <c r="G608" s="268">
        <v>65</v>
      </c>
      <c r="H608" s="268">
        <v>0</v>
      </c>
      <c r="I608" s="83">
        <f t="shared" si="55"/>
        <v>65</v>
      </c>
      <c r="J608" s="171">
        <f t="shared" si="56"/>
        <v>0.30809999999999998</v>
      </c>
      <c r="K608" s="177">
        <f t="shared" si="57"/>
        <v>0</v>
      </c>
      <c r="L608" s="177">
        <f t="shared" si="58"/>
        <v>0</v>
      </c>
      <c r="M608" s="177">
        <f t="shared" si="59"/>
        <v>0</v>
      </c>
    </row>
    <row r="609" spans="1:13" ht="12.75" customHeight="1">
      <c r="A609" s="268" t="s">
        <v>320</v>
      </c>
      <c r="B609" s="268" t="s">
        <v>2084</v>
      </c>
      <c r="C609" s="268" t="s">
        <v>2085</v>
      </c>
      <c r="D609" s="268">
        <v>372</v>
      </c>
      <c r="E609" s="268">
        <v>0</v>
      </c>
      <c r="F609" s="83">
        <f t="shared" si="60"/>
        <v>372</v>
      </c>
      <c r="G609" s="268">
        <v>181</v>
      </c>
      <c r="H609" s="268">
        <v>0</v>
      </c>
      <c r="I609" s="83">
        <f t="shared" si="55"/>
        <v>181</v>
      </c>
      <c r="J609" s="171">
        <f t="shared" si="56"/>
        <v>0.48659999999999998</v>
      </c>
      <c r="K609" s="177">
        <f t="shared" si="57"/>
        <v>17.3</v>
      </c>
      <c r="L609" s="177">
        <f t="shared" si="58"/>
        <v>0</v>
      </c>
      <c r="M609" s="177">
        <f t="shared" si="59"/>
        <v>17.3</v>
      </c>
    </row>
    <row r="610" spans="1:13" ht="12.75" customHeight="1">
      <c r="A610" s="268" t="s">
        <v>320</v>
      </c>
      <c r="B610" s="268" t="s">
        <v>2086</v>
      </c>
      <c r="C610" s="268" t="s">
        <v>2087</v>
      </c>
      <c r="D610" s="268">
        <v>80</v>
      </c>
      <c r="E610" s="268">
        <v>0</v>
      </c>
      <c r="F610" s="83">
        <f t="shared" si="60"/>
        <v>80</v>
      </c>
      <c r="G610" s="268">
        <v>26</v>
      </c>
      <c r="H610" s="268">
        <v>0</v>
      </c>
      <c r="I610" s="83">
        <f t="shared" si="55"/>
        <v>26</v>
      </c>
      <c r="J610" s="171">
        <f t="shared" si="56"/>
        <v>0.32500000000000001</v>
      </c>
      <c r="K610" s="177">
        <f t="shared" si="57"/>
        <v>0</v>
      </c>
      <c r="L610" s="177">
        <f t="shared" si="58"/>
        <v>0</v>
      </c>
      <c r="M610" s="177">
        <f t="shared" si="59"/>
        <v>0</v>
      </c>
    </row>
    <row r="611" spans="1:13" ht="12.75" customHeight="1">
      <c r="A611" s="268" t="s">
        <v>320</v>
      </c>
      <c r="B611" s="268" t="s">
        <v>2088</v>
      </c>
      <c r="C611" s="268" t="s">
        <v>2089</v>
      </c>
      <c r="D611" s="268">
        <v>40</v>
      </c>
      <c r="E611" s="268">
        <v>0</v>
      </c>
      <c r="F611" s="83">
        <f t="shared" si="60"/>
        <v>40</v>
      </c>
      <c r="G611" s="268">
        <v>9</v>
      </c>
      <c r="H611" s="268">
        <v>0</v>
      </c>
      <c r="I611" s="83">
        <f t="shared" ref="I611:I674" si="61">SUM(G611+H611)</f>
        <v>9</v>
      </c>
      <c r="J611" s="171">
        <f t="shared" ref="J611:J674" si="62">IF(ISERROR(I611/F611),0,I611/F611)</f>
        <v>0.22500000000000001</v>
      </c>
      <c r="K611" s="177">
        <f t="shared" si="57"/>
        <v>0</v>
      </c>
      <c r="L611" s="177">
        <f t="shared" si="58"/>
        <v>0</v>
      </c>
      <c r="M611" s="177">
        <f t="shared" si="59"/>
        <v>0</v>
      </c>
    </row>
    <row r="612" spans="1:13" ht="12.75" customHeight="1">
      <c r="A612" s="268" t="s">
        <v>320</v>
      </c>
      <c r="B612" s="268" t="s">
        <v>2090</v>
      </c>
      <c r="C612" s="268" t="s">
        <v>2091</v>
      </c>
      <c r="D612" s="268">
        <v>137</v>
      </c>
      <c r="E612" s="268">
        <v>0</v>
      </c>
      <c r="F612" s="83">
        <f t="shared" si="60"/>
        <v>137</v>
      </c>
      <c r="G612" s="268">
        <v>43</v>
      </c>
      <c r="H612" s="268">
        <v>0</v>
      </c>
      <c r="I612" s="83">
        <f t="shared" si="61"/>
        <v>43</v>
      </c>
      <c r="J612" s="171">
        <f t="shared" si="62"/>
        <v>0.31390000000000001</v>
      </c>
      <c r="K612" s="177">
        <f t="shared" si="57"/>
        <v>0</v>
      </c>
      <c r="L612" s="177">
        <f t="shared" si="58"/>
        <v>0</v>
      </c>
      <c r="M612" s="177">
        <f t="shared" si="59"/>
        <v>0</v>
      </c>
    </row>
    <row r="613" spans="1:13" ht="12.75" customHeight="1">
      <c r="A613" s="268" t="s">
        <v>320</v>
      </c>
      <c r="B613" s="268" t="s">
        <v>2092</v>
      </c>
      <c r="C613" s="268" t="s">
        <v>2093</v>
      </c>
      <c r="D613" s="268">
        <v>0</v>
      </c>
      <c r="E613" s="268">
        <v>0</v>
      </c>
      <c r="F613" s="83">
        <f t="shared" si="60"/>
        <v>0</v>
      </c>
      <c r="G613" s="268">
        <v>0</v>
      </c>
      <c r="H613" s="268">
        <v>0</v>
      </c>
      <c r="I613" s="83">
        <f t="shared" si="61"/>
        <v>0</v>
      </c>
      <c r="J613" s="171">
        <f t="shared" si="62"/>
        <v>0</v>
      </c>
      <c r="K613" s="177">
        <f t="shared" si="57"/>
        <v>0</v>
      </c>
      <c r="L613" s="177">
        <f t="shared" si="58"/>
        <v>0</v>
      </c>
      <c r="M613" s="177">
        <f t="shared" si="59"/>
        <v>0</v>
      </c>
    </row>
    <row r="614" spans="1:13" ht="12.75" customHeight="1">
      <c r="A614" s="268" t="s">
        <v>320</v>
      </c>
      <c r="B614" s="268" t="s">
        <v>2094</v>
      </c>
      <c r="C614" s="268" t="s">
        <v>2095</v>
      </c>
      <c r="D614" s="268">
        <v>225</v>
      </c>
      <c r="E614" s="268">
        <v>0</v>
      </c>
      <c r="F614" s="83">
        <f t="shared" si="60"/>
        <v>225</v>
      </c>
      <c r="G614" s="268">
        <v>56</v>
      </c>
      <c r="H614" s="268">
        <v>0</v>
      </c>
      <c r="I614" s="83">
        <f t="shared" si="61"/>
        <v>56</v>
      </c>
      <c r="J614" s="171">
        <f t="shared" si="62"/>
        <v>0.24890000000000001</v>
      </c>
      <c r="K614" s="177">
        <f t="shared" si="57"/>
        <v>0</v>
      </c>
      <c r="L614" s="177">
        <f t="shared" si="58"/>
        <v>0</v>
      </c>
      <c r="M614" s="177">
        <f t="shared" si="59"/>
        <v>0</v>
      </c>
    </row>
    <row r="615" spans="1:13" ht="12.75" customHeight="1">
      <c r="A615" s="268" t="s">
        <v>320</v>
      </c>
      <c r="B615" s="268" t="s">
        <v>2096</v>
      </c>
      <c r="C615" s="268" t="s">
        <v>2097</v>
      </c>
      <c r="D615" s="268">
        <v>76</v>
      </c>
      <c r="E615" s="268">
        <v>0</v>
      </c>
      <c r="F615" s="83">
        <f t="shared" si="60"/>
        <v>76</v>
      </c>
      <c r="G615" s="268">
        <v>13</v>
      </c>
      <c r="H615" s="268">
        <v>0</v>
      </c>
      <c r="I615" s="83">
        <f t="shared" si="61"/>
        <v>13</v>
      </c>
      <c r="J615" s="171">
        <f t="shared" si="62"/>
        <v>0.1711</v>
      </c>
      <c r="K615" s="177">
        <f t="shared" si="57"/>
        <v>0</v>
      </c>
      <c r="L615" s="177">
        <f t="shared" si="58"/>
        <v>0</v>
      </c>
      <c r="M615" s="177">
        <f t="shared" si="59"/>
        <v>0</v>
      </c>
    </row>
    <row r="616" spans="1:13" ht="12.75" customHeight="1">
      <c r="A616" s="268" t="s">
        <v>321</v>
      </c>
      <c r="B616" s="268" t="s">
        <v>2098</v>
      </c>
      <c r="C616" s="268" t="s">
        <v>2099</v>
      </c>
      <c r="D616" s="268">
        <v>111</v>
      </c>
      <c r="E616" s="268">
        <v>0</v>
      </c>
      <c r="F616" s="83">
        <f t="shared" si="60"/>
        <v>111</v>
      </c>
      <c r="G616" s="268">
        <v>21</v>
      </c>
      <c r="H616" s="268">
        <v>0</v>
      </c>
      <c r="I616" s="83">
        <f t="shared" si="61"/>
        <v>21</v>
      </c>
      <c r="J616" s="171">
        <f t="shared" si="62"/>
        <v>0.18920000000000001</v>
      </c>
      <c r="K616" s="177">
        <f t="shared" si="57"/>
        <v>0</v>
      </c>
      <c r="L616" s="177">
        <f t="shared" si="58"/>
        <v>0</v>
      </c>
      <c r="M616" s="177">
        <f t="shared" si="59"/>
        <v>0</v>
      </c>
    </row>
    <row r="617" spans="1:13" ht="12.75" customHeight="1">
      <c r="A617" s="268" t="s">
        <v>321</v>
      </c>
      <c r="B617" s="268" t="s">
        <v>2100</v>
      </c>
      <c r="C617" s="268" t="s">
        <v>2101</v>
      </c>
      <c r="D617" s="268">
        <v>67</v>
      </c>
      <c r="E617" s="268">
        <v>0</v>
      </c>
      <c r="F617" s="83">
        <f t="shared" si="60"/>
        <v>67</v>
      </c>
      <c r="G617" s="268">
        <v>27</v>
      </c>
      <c r="H617" s="268">
        <v>0</v>
      </c>
      <c r="I617" s="83">
        <f t="shared" si="61"/>
        <v>27</v>
      </c>
      <c r="J617" s="171">
        <f t="shared" si="62"/>
        <v>0.40300000000000002</v>
      </c>
      <c r="K617" s="177">
        <f t="shared" si="57"/>
        <v>1</v>
      </c>
      <c r="L617" s="177">
        <f t="shared" si="58"/>
        <v>0</v>
      </c>
      <c r="M617" s="177">
        <f t="shared" si="59"/>
        <v>1</v>
      </c>
    </row>
    <row r="618" spans="1:13" ht="12.75" customHeight="1">
      <c r="A618" s="268" t="s">
        <v>322</v>
      </c>
      <c r="B618" s="268" t="s">
        <v>2102</v>
      </c>
      <c r="C618" s="268" t="s">
        <v>2103</v>
      </c>
      <c r="D618" s="268">
        <v>531</v>
      </c>
      <c r="E618" s="268">
        <v>0</v>
      </c>
      <c r="F618" s="83">
        <f t="shared" si="60"/>
        <v>531</v>
      </c>
      <c r="G618" s="268">
        <v>226</v>
      </c>
      <c r="H618" s="268">
        <v>0</v>
      </c>
      <c r="I618" s="83">
        <f t="shared" si="61"/>
        <v>226</v>
      </c>
      <c r="J618" s="171">
        <f t="shared" si="62"/>
        <v>0.42559999999999998</v>
      </c>
      <c r="K618" s="177">
        <f t="shared" si="57"/>
        <v>12</v>
      </c>
      <c r="L618" s="177">
        <f t="shared" si="58"/>
        <v>0</v>
      </c>
      <c r="M618" s="177">
        <f t="shared" si="59"/>
        <v>12</v>
      </c>
    </row>
    <row r="619" spans="1:13" ht="12.75" customHeight="1">
      <c r="A619" s="268" t="s">
        <v>322</v>
      </c>
      <c r="B619" s="268" t="s">
        <v>2104</v>
      </c>
      <c r="C619" s="268" t="s">
        <v>2105</v>
      </c>
      <c r="D619" s="268">
        <v>150</v>
      </c>
      <c r="E619" s="268">
        <v>0</v>
      </c>
      <c r="F619" s="83">
        <f t="shared" si="60"/>
        <v>150</v>
      </c>
      <c r="G619" s="268">
        <v>60</v>
      </c>
      <c r="H619" s="268">
        <v>0</v>
      </c>
      <c r="I619" s="83">
        <f t="shared" si="61"/>
        <v>60</v>
      </c>
      <c r="J619" s="171">
        <f t="shared" si="62"/>
        <v>0.4</v>
      </c>
      <c r="K619" s="177">
        <f t="shared" si="57"/>
        <v>2.1</v>
      </c>
      <c r="L619" s="177">
        <f t="shared" si="58"/>
        <v>0</v>
      </c>
      <c r="M619" s="177">
        <f t="shared" si="59"/>
        <v>2.1</v>
      </c>
    </row>
    <row r="620" spans="1:13" ht="12.75" customHeight="1">
      <c r="A620" s="268" t="s">
        <v>322</v>
      </c>
      <c r="B620" s="268" t="s">
        <v>2106</v>
      </c>
      <c r="C620" s="268" t="s">
        <v>2107</v>
      </c>
      <c r="D620" s="268">
        <v>467</v>
      </c>
      <c r="E620" s="268">
        <v>0</v>
      </c>
      <c r="F620" s="83">
        <f t="shared" si="60"/>
        <v>467</v>
      </c>
      <c r="G620" s="268">
        <v>129</v>
      </c>
      <c r="H620" s="268">
        <v>0</v>
      </c>
      <c r="I620" s="83">
        <f t="shared" si="61"/>
        <v>129</v>
      </c>
      <c r="J620" s="171">
        <f t="shared" si="62"/>
        <v>0.2762</v>
      </c>
      <c r="K620" s="177">
        <f t="shared" si="57"/>
        <v>0</v>
      </c>
      <c r="L620" s="177">
        <f t="shared" si="58"/>
        <v>0</v>
      </c>
      <c r="M620" s="177">
        <f t="shared" si="59"/>
        <v>0</v>
      </c>
    </row>
    <row r="621" spans="1:13" ht="12.75" customHeight="1">
      <c r="A621" s="268" t="s">
        <v>323</v>
      </c>
      <c r="B621" s="268" t="s">
        <v>2108</v>
      </c>
      <c r="C621" s="268" t="s">
        <v>2109</v>
      </c>
      <c r="D621" s="268">
        <v>52</v>
      </c>
      <c r="E621" s="268">
        <v>0</v>
      </c>
      <c r="F621" s="83">
        <f t="shared" si="60"/>
        <v>52</v>
      </c>
      <c r="G621" s="268">
        <v>29</v>
      </c>
      <c r="H621" s="268">
        <v>0</v>
      </c>
      <c r="I621" s="83">
        <f t="shared" si="61"/>
        <v>29</v>
      </c>
      <c r="J621" s="171">
        <f t="shared" si="62"/>
        <v>0.55769999999999997</v>
      </c>
      <c r="K621" s="177">
        <f t="shared" si="57"/>
        <v>0</v>
      </c>
      <c r="L621" s="177">
        <f t="shared" si="58"/>
        <v>3</v>
      </c>
      <c r="M621" s="177">
        <f t="shared" si="59"/>
        <v>3</v>
      </c>
    </row>
    <row r="622" spans="1:13" ht="12.75" customHeight="1">
      <c r="A622" s="268" t="s">
        <v>323</v>
      </c>
      <c r="B622" s="268" t="s">
        <v>2110</v>
      </c>
      <c r="C622" s="268" t="s">
        <v>2111</v>
      </c>
      <c r="D622" s="268">
        <v>31</v>
      </c>
      <c r="E622" s="268">
        <v>0</v>
      </c>
      <c r="F622" s="83">
        <f t="shared" si="60"/>
        <v>31</v>
      </c>
      <c r="G622" s="268">
        <v>14</v>
      </c>
      <c r="H622" s="268">
        <v>0</v>
      </c>
      <c r="I622" s="83">
        <f t="shared" si="61"/>
        <v>14</v>
      </c>
      <c r="J622" s="171">
        <f t="shared" si="62"/>
        <v>0.4516</v>
      </c>
      <c r="K622" s="177">
        <f t="shared" si="57"/>
        <v>1</v>
      </c>
      <c r="L622" s="177">
        <f t="shared" si="58"/>
        <v>0</v>
      </c>
      <c r="M622" s="177">
        <f t="shared" si="59"/>
        <v>1</v>
      </c>
    </row>
    <row r="623" spans="1:13" ht="12.75" customHeight="1">
      <c r="A623" s="268" t="s">
        <v>323</v>
      </c>
      <c r="B623" s="268" t="s">
        <v>2112</v>
      </c>
      <c r="C623" s="268" t="s">
        <v>2113</v>
      </c>
      <c r="D623" s="268">
        <v>36</v>
      </c>
      <c r="E623" s="268">
        <v>0</v>
      </c>
      <c r="F623" s="83">
        <f t="shared" si="60"/>
        <v>36</v>
      </c>
      <c r="G623" s="268">
        <v>18</v>
      </c>
      <c r="H623" s="268">
        <v>0</v>
      </c>
      <c r="I623" s="83">
        <f t="shared" si="61"/>
        <v>18</v>
      </c>
      <c r="J623" s="171">
        <f t="shared" si="62"/>
        <v>0.5</v>
      </c>
      <c r="K623" s="177">
        <f t="shared" si="57"/>
        <v>0</v>
      </c>
      <c r="L623" s="177">
        <f t="shared" si="58"/>
        <v>1.9</v>
      </c>
      <c r="M623" s="177">
        <f t="shared" si="59"/>
        <v>1.9</v>
      </c>
    </row>
    <row r="624" spans="1:13" ht="12.75" customHeight="1">
      <c r="A624" s="268" t="s">
        <v>323</v>
      </c>
      <c r="B624" s="268" t="s">
        <v>2114</v>
      </c>
      <c r="C624" s="268" t="s">
        <v>2115</v>
      </c>
      <c r="D624" s="268">
        <v>37</v>
      </c>
      <c r="E624" s="268">
        <v>0</v>
      </c>
      <c r="F624" s="83">
        <f t="shared" si="60"/>
        <v>37</v>
      </c>
      <c r="G624" s="268">
        <v>20</v>
      </c>
      <c r="H624" s="268">
        <v>0</v>
      </c>
      <c r="I624" s="83">
        <f t="shared" si="61"/>
        <v>20</v>
      </c>
      <c r="J624" s="171">
        <f t="shared" si="62"/>
        <v>0.54049999999999998</v>
      </c>
      <c r="K624" s="177">
        <f t="shared" si="57"/>
        <v>0</v>
      </c>
      <c r="L624" s="177">
        <f t="shared" si="58"/>
        <v>2.1</v>
      </c>
      <c r="M624" s="177">
        <f t="shared" si="59"/>
        <v>2.1</v>
      </c>
    </row>
    <row r="625" spans="1:13" ht="12.75" customHeight="1">
      <c r="A625" s="268" t="s">
        <v>324</v>
      </c>
      <c r="B625" s="268" t="s">
        <v>2116</v>
      </c>
      <c r="C625" s="268" t="s">
        <v>2117</v>
      </c>
      <c r="D625" s="268">
        <v>230</v>
      </c>
      <c r="E625" s="268">
        <v>0</v>
      </c>
      <c r="F625" s="83">
        <f t="shared" si="60"/>
        <v>230</v>
      </c>
      <c r="G625" s="268">
        <v>78</v>
      </c>
      <c r="H625" s="268">
        <v>0</v>
      </c>
      <c r="I625" s="83">
        <f t="shared" si="61"/>
        <v>78</v>
      </c>
      <c r="J625" s="171">
        <f t="shared" si="62"/>
        <v>0.33910000000000001</v>
      </c>
      <c r="K625" s="177">
        <f t="shared" si="57"/>
        <v>0</v>
      </c>
      <c r="L625" s="177">
        <f t="shared" si="58"/>
        <v>0</v>
      </c>
      <c r="M625" s="177">
        <f t="shared" si="59"/>
        <v>0</v>
      </c>
    </row>
    <row r="626" spans="1:13" ht="12.75" customHeight="1">
      <c r="A626" s="268" t="s">
        <v>324</v>
      </c>
      <c r="B626" s="268" t="s">
        <v>2118</v>
      </c>
      <c r="C626" s="268" t="s">
        <v>2119</v>
      </c>
      <c r="D626" s="268">
        <v>163</v>
      </c>
      <c r="E626" s="268">
        <v>0</v>
      </c>
      <c r="F626" s="83">
        <f t="shared" si="60"/>
        <v>163</v>
      </c>
      <c r="G626" s="268">
        <v>37</v>
      </c>
      <c r="H626" s="268">
        <v>0</v>
      </c>
      <c r="I626" s="83">
        <f t="shared" si="61"/>
        <v>37</v>
      </c>
      <c r="J626" s="171">
        <f t="shared" si="62"/>
        <v>0.22700000000000001</v>
      </c>
      <c r="K626" s="177">
        <f t="shared" si="57"/>
        <v>0</v>
      </c>
      <c r="L626" s="177">
        <f t="shared" si="58"/>
        <v>0</v>
      </c>
      <c r="M626" s="177">
        <f t="shared" si="59"/>
        <v>0</v>
      </c>
    </row>
    <row r="627" spans="1:13" ht="12.75" customHeight="1">
      <c r="A627" s="268" t="s">
        <v>325</v>
      </c>
      <c r="B627" s="268" t="s">
        <v>2120</v>
      </c>
      <c r="C627" s="268" t="s">
        <v>2121</v>
      </c>
      <c r="D627" s="268">
        <v>518</v>
      </c>
      <c r="E627" s="268">
        <v>0</v>
      </c>
      <c r="F627" s="83">
        <f t="shared" si="60"/>
        <v>518</v>
      </c>
      <c r="G627" s="268">
        <v>182</v>
      </c>
      <c r="H627" s="268">
        <v>0</v>
      </c>
      <c r="I627" s="83">
        <f t="shared" si="61"/>
        <v>182</v>
      </c>
      <c r="J627" s="171">
        <f t="shared" si="62"/>
        <v>0.35139999999999999</v>
      </c>
      <c r="K627" s="177">
        <f t="shared" si="57"/>
        <v>0.2</v>
      </c>
      <c r="L627" s="177">
        <f t="shared" si="58"/>
        <v>0</v>
      </c>
      <c r="M627" s="177">
        <f t="shared" si="59"/>
        <v>0.2</v>
      </c>
    </row>
    <row r="628" spans="1:13" ht="12.75" customHeight="1">
      <c r="A628" s="268" t="s">
        <v>325</v>
      </c>
      <c r="B628" s="268" t="s">
        <v>2122</v>
      </c>
      <c r="C628" s="268" t="s">
        <v>2123</v>
      </c>
      <c r="D628" s="268">
        <v>258</v>
      </c>
      <c r="E628" s="268">
        <v>0</v>
      </c>
      <c r="F628" s="83">
        <f t="shared" si="60"/>
        <v>258</v>
      </c>
      <c r="G628" s="268">
        <v>67</v>
      </c>
      <c r="H628" s="268">
        <v>0</v>
      </c>
      <c r="I628" s="83">
        <f t="shared" si="61"/>
        <v>67</v>
      </c>
      <c r="J628" s="171">
        <f t="shared" si="62"/>
        <v>0.25969999999999999</v>
      </c>
      <c r="K628" s="177">
        <f t="shared" si="57"/>
        <v>0</v>
      </c>
      <c r="L628" s="177">
        <f t="shared" si="58"/>
        <v>0</v>
      </c>
      <c r="M628" s="177">
        <f t="shared" si="59"/>
        <v>0</v>
      </c>
    </row>
    <row r="629" spans="1:13" ht="12.75" customHeight="1">
      <c r="A629" s="268" t="s">
        <v>325</v>
      </c>
      <c r="B629" s="268" t="s">
        <v>2124</v>
      </c>
      <c r="C629" s="268" t="s">
        <v>2125</v>
      </c>
      <c r="D629" s="268">
        <v>317</v>
      </c>
      <c r="E629" s="268">
        <v>0</v>
      </c>
      <c r="F629" s="83">
        <f t="shared" si="60"/>
        <v>317</v>
      </c>
      <c r="G629" s="268">
        <v>100</v>
      </c>
      <c r="H629" s="268">
        <v>0</v>
      </c>
      <c r="I629" s="83">
        <f t="shared" si="61"/>
        <v>100</v>
      </c>
      <c r="J629" s="171">
        <f t="shared" si="62"/>
        <v>0.3155</v>
      </c>
      <c r="K629" s="177">
        <f t="shared" si="57"/>
        <v>0</v>
      </c>
      <c r="L629" s="177">
        <f t="shared" si="58"/>
        <v>0</v>
      </c>
      <c r="M629" s="177">
        <f t="shared" si="59"/>
        <v>0</v>
      </c>
    </row>
    <row r="630" spans="1:13" ht="12.75" customHeight="1">
      <c r="A630" s="268" t="s">
        <v>326</v>
      </c>
      <c r="B630" s="268" t="s">
        <v>2126</v>
      </c>
      <c r="C630" s="268" t="s">
        <v>2127</v>
      </c>
      <c r="D630" s="268">
        <v>327</v>
      </c>
      <c r="E630" s="268">
        <v>0</v>
      </c>
      <c r="F630" s="83">
        <f t="shared" si="60"/>
        <v>327</v>
      </c>
      <c r="G630" s="268">
        <v>148</v>
      </c>
      <c r="H630" s="268">
        <v>0</v>
      </c>
      <c r="I630" s="83">
        <f t="shared" si="61"/>
        <v>148</v>
      </c>
      <c r="J630" s="171">
        <f t="shared" si="62"/>
        <v>0.4526</v>
      </c>
      <c r="K630" s="177">
        <f t="shared" si="57"/>
        <v>10.6</v>
      </c>
      <c r="L630" s="177">
        <f t="shared" si="58"/>
        <v>0</v>
      </c>
      <c r="M630" s="177">
        <f t="shared" si="59"/>
        <v>10.6</v>
      </c>
    </row>
    <row r="631" spans="1:13" ht="12.75" customHeight="1">
      <c r="A631" s="268" t="s">
        <v>326</v>
      </c>
      <c r="B631" s="268" t="s">
        <v>2128</v>
      </c>
      <c r="C631" s="268" t="s">
        <v>2129</v>
      </c>
      <c r="D631" s="268">
        <v>255</v>
      </c>
      <c r="E631" s="268">
        <v>0</v>
      </c>
      <c r="F631" s="83">
        <f t="shared" si="60"/>
        <v>255</v>
      </c>
      <c r="G631" s="268">
        <v>99</v>
      </c>
      <c r="H631" s="268">
        <v>0</v>
      </c>
      <c r="I631" s="83">
        <f t="shared" si="61"/>
        <v>99</v>
      </c>
      <c r="J631" s="171">
        <f t="shared" si="62"/>
        <v>0.38819999999999999</v>
      </c>
      <c r="K631" s="177">
        <f t="shared" si="57"/>
        <v>2.6</v>
      </c>
      <c r="L631" s="177">
        <f t="shared" si="58"/>
        <v>0</v>
      </c>
      <c r="M631" s="177">
        <f t="shared" si="59"/>
        <v>2.6</v>
      </c>
    </row>
    <row r="632" spans="1:13" ht="12.75" customHeight="1">
      <c r="A632" s="268" t="s">
        <v>326</v>
      </c>
      <c r="B632" s="268" t="s">
        <v>2130</v>
      </c>
      <c r="C632" s="268" t="s">
        <v>2131</v>
      </c>
      <c r="D632" s="268">
        <v>252</v>
      </c>
      <c r="E632" s="268">
        <v>0</v>
      </c>
      <c r="F632" s="83">
        <f t="shared" si="60"/>
        <v>252</v>
      </c>
      <c r="G632" s="268">
        <v>85</v>
      </c>
      <c r="H632" s="268">
        <v>0</v>
      </c>
      <c r="I632" s="83">
        <f t="shared" si="61"/>
        <v>85</v>
      </c>
      <c r="J632" s="171">
        <f t="shared" si="62"/>
        <v>0.33729999999999999</v>
      </c>
      <c r="K632" s="177">
        <f t="shared" si="57"/>
        <v>0</v>
      </c>
      <c r="L632" s="177">
        <f t="shared" si="58"/>
        <v>0</v>
      </c>
      <c r="M632" s="177">
        <f t="shared" si="59"/>
        <v>0</v>
      </c>
    </row>
    <row r="633" spans="1:13" ht="12.75" customHeight="1">
      <c r="A633" s="268" t="s">
        <v>327</v>
      </c>
      <c r="B633" s="268" t="s">
        <v>2132</v>
      </c>
      <c r="C633" s="268" t="s">
        <v>2133</v>
      </c>
      <c r="D633" s="268">
        <v>279</v>
      </c>
      <c r="E633" s="268">
        <v>0</v>
      </c>
      <c r="F633" s="83">
        <f t="shared" si="60"/>
        <v>279</v>
      </c>
      <c r="G633" s="268">
        <v>77</v>
      </c>
      <c r="H633" s="268">
        <v>0</v>
      </c>
      <c r="I633" s="83">
        <f t="shared" si="61"/>
        <v>77</v>
      </c>
      <c r="J633" s="171">
        <f t="shared" si="62"/>
        <v>0.27600000000000002</v>
      </c>
      <c r="K633" s="177">
        <f t="shared" si="57"/>
        <v>0</v>
      </c>
      <c r="L633" s="177">
        <f t="shared" si="58"/>
        <v>0</v>
      </c>
      <c r="M633" s="177">
        <f t="shared" si="59"/>
        <v>0</v>
      </c>
    </row>
    <row r="634" spans="1:13" ht="12.75" customHeight="1">
      <c r="A634" s="268" t="s">
        <v>327</v>
      </c>
      <c r="B634" s="268" t="s">
        <v>2134</v>
      </c>
      <c r="C634" s="268" t="s">
        <v>2135</v>
      </c>
      <c r="D634" s="268">
        <v>96</v>
      </c>
      <c r="E634" s="268">
        <v>0</v>
      </c>
      <c r="F634" s="83">
        <f t="shared" si="60"/>
        <v>96</v>
      </c>
      <c r="G634" s="268">
        <v>18</v>
      </c>
      <c r="H634" s="268">
        <v>0</v>
      </c>
      <c r="I634" s="83">
        <f t="shared" si="61"/>
        <v>18</v>
      </c>
      <c r="J634" s="171">
        <f t="shared" si="62"/>
        <v>0.1875</v>
      </c>
      <c r="K634" s="177">
        <f t="shared" si="57"/>
        <v>0</v>
      </c>
      <c r="L634" s="177">
        <f t="shared" si="58"/>
        <v>0</v>
      </c>
      <c r="M634" s="177">
        <f t="shared" si="59"/>
        <v>0</v>
      </c>
    </row>
    <row r="635" spans="1:13" ht="12.75" customHeight="1">
      <c r="A635" s="268" t="s">
        <v>328</v>
      </c>
      <c r="B635" s="268" t="s">
        <v>2136</v>
      </c>
      <c r="C635" s="268" t="s">
        <v>2137</v>
      </c>
      <c r="D635" s="268">
        <v>137</v>
      </c>
      <c r="E635" s="268">
        <v>0</v>
      </c>
      <c r="F635" s="83">
        <f t="shared" si="60"/>
        <v>137</v>
      </c>
      <c r="G635" s="268">
        <v>41</v>
      </c>
      <c r="H635" s="268">
        <v>0</v>
      </c>
      <c r="I635" s="83">
        <f t="shared" si="61"/>
        <v>41</v>
      </c>
      <c r="J635" s="171">
        <f t="shared" si="62"/>
        <v>0.29930000000000001</v>
      </c>
      <c r="K635" s="177">
        <f t="shared" si="57"/>
        <v>0</v>
      </c>
      <c r="L635" s="177">
        <f t="shared" si="58"/>
        <v>0</v>
      </c>
      <c r="M635" s="177">
        <f t="shared" si="59"/>
        <v>0</v>
      </c>
    </row>
    <row r="636" spans="1:13" ht="12.75" customHeight="1">
      <c r="A636" s="268" t="s">
        <v>328</v>
      </c>
      <c r="B636" s="268" t="s">
        <v>2138</v>
      </c>
      <c r="C636" s="268" t="s">
        <v>2139</v>
      </c>
      <c r="D636" s="268">
        <v>329</v>
      </c>
      <c r="E636" s="268">
        <v>0</v>
      </c>
      <c r="F636" s="83">
        <f t="shared" si="60"/>
        <v>329</v>
      </c>
      <c r="G636" s="268">
        <v>78</v>
      </c>
      <c r="H636" s="268">
        <v>0</v>
      </c>
      <c r="I636" s="83">
        <f t="shared" si="61"/>
        <v>78</v>
      </c>
      <c r="J636" s="171">
        <f t="shared" si="62"/>
        <v>0.23710000000000001</v>
      </c>
      <c r="K636" s="177">
        <f t="shared" si="57"/>
        <v>0</v>
      </c>
      <c r="L636" s="177">
        <f t="shared" si="58"/>
        <v>0</v>
      </c>
      <c r="M636" s="177">
        <f t="shared" si="59"/>
        <v>0</v>
      </c>
    </row>
    <row r="637" spans="1:13" ht="12.75" customHeight="1">
      <c r="A637" s="268" t="s">
        <v>329</v>
      </c>
      <c r="B637" s="268" t="s">
        <v>2140</v>
      </c>
      <c r="C637" s="268" t="s">
        <v>2141</v>
      </c>
      <c r="D637" s="268">
        <v>279</v>
      </c>
      <c r="E637" s="268">
        <v>0</v>
      </c>
      <c r="F637" s="83">
        <f t="shared" si="60"/>
        <v>279</v>
      </c>
      <c r="G637" s="268">
        <v>49</v>
      </c>
      <c r="H637" s="268">
        <v>0</v>
      </c>
      <c r="I637" s="83">
        <f t="shared" si="61"/>
        <v>49</v>
      </c>
      <c r="J637" s="171">
        <f t="shared" si="62"/>
        <v>0.17560000000000001</v>
      </c>
      <c r="K637" s="177">
        <f t="shared" si="57"/>
        <v>0</v>
      </c>
      <c r="L637" s="177">
        <f t="shared" si="58"/>
        <v>0</v>
      </c>
      <c r="M637" s="177">
        <f t="shared" si="59"/>
        <v>0</v>
      </c>
    </row>
    <row r="638" spans="1:13" ht="12.75" customHeight="1">
      <c r="A638" s="268" t="s">
        <v>329</v>
      </c>
      <c r="B638" s="268" t="s">
        <v>2142</v>
      </c>
      <c r="C638" s="268" t="s">
        <v>2143</v>
      </c>
      <c r="D638" s="268">
        <v>273</v>
      </c>
      <c r="E638" s="268">
        <v>0</v>
      </c>
      <c r="F638" s="83">
        <f t="shared" si="60"/>
        <v>273</v>
      </c>
      <c r="G638" s="268">
        <v>74</v>
      </c>
      <c r="H638" s="268">
        <v>0</v>
      </c>
      <c r="I638" s="83">
        <f t="shared" si="61"/>
        <v>74</v>
      </c>
      <c r="J638" s="171">
        <f t="shared" si="62"/>
        <v>0.27110000000000001</v>
      </c>
      <c r="K638" s="177">
        <f t="shared" si="57"/>
        <v>0</v>
      </c>
      <c r="L638" s="177">
        <f t="shared" si="58"/>
        <v>0</v>
      </c>
      <c r="M638" s="177">
        <f t="shared" si="59"/>
        <v>0</v>
      </c>
    </row>
    <row r="639" spans="1:13" ht="12.75" customHeight="1">
      <c r="A639" s="268" t="s">
        <v>329</v>
      </c>
      <c r="B639" s="268" t="s">
        <v>2144</v>
      </c>
      <c r="C639" s="268" t="s">
        <v>2145</v>
      </c>
      <c r="D639" s="268">
        <v>295</v>
      </c>
      <c r="E639" s="268">
        <v>0</v>
      </c>
      <c r="F639" s="83">
        <f t="shared" si="60"/>
        <v>295</v>
      </c>
      <c r="G639" s="268">
        <v>69</v>
      </c>
      <c r="H639" s="268">
        <v>0</v>
      </c>
      <c r="I639" s="83">
        <f t="shared" si="61"/>
        <v>69</v>
      </c>
      <c r="J639" s="171">
        <f t="shared" si="62"/>
        <v>0.2339</v>
      </c>
      <c r="K639" s="177">
        <f t="shared" si="57"/>
        <v>0</v>
      </c>
      <c r="L639" s="177">
        <f t="shared" si="58"/>
        <v>0</v>
      </c>
      <c r="M639" s="177">
        <f t="shared" si="59"/>
        <v>0</v>
      </c>
    </row>
    <row r="640" spans="1:13" ht="12.75" customHeight="1">
      <c r="A640" s="268" t="s">
        <v>330</v>
      </c>
      <c r="B640" s="268" t="s">
        <v>2146</v>
      </c>
      <c r="C640" s="268" t="s">
        <v>2147</v>
      </c>
      <c r="D640" s="268">
        <v>343</v>
      </c>
      <c r="E640" s="268">
        <v>0</v>
      </c>
      <c r="F640" s="83">
        <f t="shared" si="60"/>
        <v>343</v>
      </c>
      <c r="G640" s="268">
        <v>133</v>
      </c>
      <c r="H640" s="268">
        <v>0</v>
      </c>
      <c r="I640" s="83">
        <f t="shared" si="61"/>
        <v>133</v>
      </c>
      <c r="J640" s="171">
        <f t="shared" si="62"/>
        <v>0.38779999999999998</v>
      </c>
      <c r="K640" s="177">
        <f t="shared" si="57"/>
        <v>3.5</v>
      </c>
      <c r="L640" s="177">
        <f t="shared" si="58"/>
        <v>0</v>
      </c>
      <c r="M640" s="177">
        <f t="shared" si="59"/>
        <v>3.5</v>
      </c>
    </row>
    <row r="641" spans="1:13" ht="12.75" customHeight="1">
      <c r="A641" s="268" t="s">
        <v>330</v>
      </c>
      <c r="B641" s="268" t="s">
        <v>2148</v>
      </c>
      <c r="C641" s="268" t="s">
        <v>2149</v>
      </c>
      <c r="D641" s="268">
        <v>260</v>
      </c>
      <c r="E641" s="268">
        <v>0</v>
      </c>
      <c r="F641" s="83">
        <f t="shared" si="60"/>
        <v>260</v>
      </c>
      <c r="G641" s="268">
        <v>118</v>
      </c>
      <c r="H641" s="268">
        <v>0</v>
      </c>
      <c r="I641" s="83">
        <f t="shared" si="61"/>
        <v>118</v>
      </c>
      <c r="J641" s="171">
        <f t="shared" si="62"/>
        <v>0.45379999999999998</v>
      </c>
      <c r="K641" s="177">
        <f t="shared" si="57"/>
        <v>8.6</v>
      </c>
      <c r="L641" s="177">
        <f t="shared" si="58"/>
        <v>0</v>
      </c>
      <c r="M641" s="177">
        <f t="shared" si="59"/>
        <v>8.6</v>
      </c>
    </row>
    <row r="642" spans="1:13" ht="12.75" customHeight="1">
      <c r="A642" s="268" t="s">
        <v>331</v>
      </c>
      <c r="B642" s="268" t="s">
        <v>2150</v>
      </c>
      <c r="C642" s="268" t="s">
        <v>2151</v>
      </c>
      <c r="D642" s="268">
        <v>222</v>
      </c>
      <c r="E642" s="268">
        <v>0</v>
      </c>
      <c r="F642" s="83">
        <f t="shared" si="60"/>
        <v>222</v>
      </c>
      <c r="G642" s="268">
        <v>74</v>
      </c>
      <c r="H642" s="268">
        <v>0</v>
      </c>
      <c r="I642" s="83">
        <f t="shared" si="61"/>
        <v>74</v>
      </c>
      <c r="J642" s="171">
        <f t="shared" si="62"/>
        <v>0.33329999999999999</v>
      </c>
      <c r="K642" s="177">
        <f t="shared" si="57"/>
        <v>0</v>
      </c>
      <c r="L642" s="177">
        <f t="shared" si="58"/>
        <v>0</v>
      </c>
      <c r="M642" s="177">
        <f t="shared" si="59"/>
        <v>0</v>
      </c>
    </row>
    <row r="643" spans="1:13" ht="12.75" customHeight="1">
      <c r="A643" s="268" t="s">
        <v>331</v>
      </c>
      <c r="B643" s="268" t="s">
        <v>2152</v>
      </c>
      <c r="C643" s="268" t="s">
        <v>2153</v>
      </c>
      <c r="D643" s="268">
        <v>108</v>
      </c>
      <c r="E643" s="268">
        <v>0</v>
      </c>
      <c r="F643" s="83">
        <f t="shared" si="60"/>
        <v>108</v>
      </c>
      <c r="G643" s="268">
        <v>29</v>
      </c>
      <c r="H643" s="268">
        <v>0</v>
      </c>
      <c r="I643" s="83">
        <f t="shared" si="61"/>
        <v>29</v>
      </c>
      <c r="J643" s="171">
        <f t="shared" si="62"/>
        <v>0.26850000000000002</v>
      </c>
      <c r="K643" s="177">
        <f t="shared" si="57"/>
        <v>0</v>
      </c>
      <c r="L643" s="177">
        <f t="shared" si="58"/>
        <v>0</v>
      </c>
      <c r="M643" s="177">
        <f t="shared" si="59"/>
        <v>0</v>
      </c>
    </row>
    <row r="644" spans="1:13" ht="12.75" customHeight="1">
      <c r="A644" s="268" t="s">
        <v>331</v>
      </c>
      <c r="B644" s="268" t="s">
        <v>2154</v>
      </c>
      <c r="C644" s="268" t="s">
        <v>2155</v>
      </c>
      <c r="D644" s="268">
        <v>170</v>
      </c>
      <c r="E644" s="268">
        <v>0</v>
      </c>
      <c r="F644" s="83">
        <f t="shared" si="60"/>
        <v>170</v>
      </c>
      <c r="G644" s="268">
        <v>42</v>
      </c>
      <c r="H644" s="268">
        <v>0</v>
      </c>
      <c r="I644" s="83">
        <f t="shared" si="61"/>
        <v>42</v>
      </c>
      <c r="J644" s="171">
        <f t="shared" si="62"/>
        <v>0.24709999999999999</v>
      </c>
      <c r="K644" s="177">
        <f t="shared" si="57"/>
        <v>0</v>
      </c>
      <c r="L644" s="177">
        <f t="shared" si="58"/>
        <v>0</v>
      </c>
      <c r="M644" s="177">
        <f t="shared" si="59"/>
        <v>0</v>
      </c>
    </row>
    <row r="645" spans="1:13" ht="12.75" customHeight="1">
      <c r="A645" s="268" t="s">
        <v>332</v>
      </c>
      <c r="B645" s="268" t="s">
        <v>2156</v>
      </c>
      <c r="C645" s="268" t="s">
        <v>2157</v>
      </c>
      <c r="D645" s="268">
        <v>268</v>
      </c>
      <c r="E645" s="268">
        <v>0</v>
      </c>
      <c r="F645" s="83">
        <f t="shared" si="60"/>
        <v>268</v>
      </c>
      <c r="G645" s="268">
        <v>81</v>
      </c>
      <c r="H645" s="268">
        <v>0</v>
      </c>
      <c r="I645" s="83">
        <f t="shared" si="61"/>
        <v>81</v>
      </c>
      <c r="J645" s="171">
        <f t="shared" si="62"/>
        <v>0.30220000000000002</v>
      </c>
      <c r="K645" s="177">
        <f t="shared" ref="K645:K708" si="63">IF(AND((J645-35%)&gt;0,J645&lt;50%),I645*(J645-35%)*0.7,0)</f>
        <v>0</v>
      </c>
      <c r="L645" s="177">
        <f t="shared" ref="L645:L708" si="64">IF(J645&gt;=50%,I645*10.5%,0)</f>
        <v>0</v>
      </c>
      <c r="M645" s="177">
        <f t="shared" ref="M645:M708" si="65">MAX(K645,L645)</f>
        <v>0</v>
      </c>
    </row>
    <row r="646" spans="1:13" ht="12.75" customHeight="1">
      <c r="A646" s="268" t="s">
        <v>332</v>
      </c>
      <c r="B646" s="268" t="s">
        <v>2158</v>
      </c>
      <c r="C646" s="268" t="s">
        <v>2159</v>
      </c>
      <c r="D646" s="268">
        <v>238</v>
      </c>
      <c r="E646" s="268">
        <v>0</v>
      </c>
      <c r="F646" s="83">
        <f t="shared" ref="F646:F709" si="66">SUM(D646+E646)</f>
        <v>238</v>
      </c>
      <c r="G646" s="268">
        <v>69</v>
      </c>
      <c r="H646" s="268">
        <v>0</v>
      </c>
      <c r="I646" s="83">
        <f t="shared" si="61"/>
        <v>69</v>
      </c>
      <c r="J646" s="171">
        <f t="shared" si="62"/>
        <v>0.28989999999999999</v>
      </c>
      <c r="K646" s="177">
        <f t="shared" si="63"/>
        <v>0</v>
      </c>
      <c r="L646" s="177">
        <f t="shared" si="64"/>
        <v>0</v>
      </c>
      <c r="M646" s="177">
        <f t="shared" si="65"/>
        <v>0</v>
      </c>
    </row>
    <row r="647" spans="1:13" ht="12.75" customHeight="1">
      <c r="A647" s="268" t="s">
        <v>332</v>
      </c>
      <c r="B647" s="268" t="s">
        <v>2160</v>
      </c>
      <c r="C647" s="268" t="s">
        <v>2161</v>
      </c>
      <c r="D647" s="268">
        <v>264</v>
      </c>
      <c r="E647" s="268">
        <v>0</v>
      </c>
      <c r="F647" s="83">
        <f t="shared" si="66"/>
        <v>264</v>
      </c>
      <c r="G647" s="268">
        <v>53</v>
      </c>
      <c r="H647" s="268">
        <v>0</v>
      </c>
      <c r="I647" s="83">
        <f t="shared" si="61"/>
        <v>53</v>
      </c>
      <c r="J647" s="171">
        <f t="shared" si="62"/>
        <v>0.20080000000000001</v>
      </c>
      <c r="K647" s="177">
        <f t="shared" si="63"/>
        <v>0</v>
      </c>
      <c r="L647" s="177">
        <f t="shared" si="64"/>
        <v>0</v>
      </c>
      <c r="M647" s="177">
        <f t="shared" si="65"/>
        <v>0</v>
      </c>
    </row>
    <row r="648" spans="1:13" ht="12.75" customHeight="1">
      <c r="A648" s="268" t="s">
        <v>333</v>
      </c>
      <c r="B648" s="268" t="s">
        <v>2162</v>
      </c>
      <c r="C648" s="268" t="s">
        <v>2163</v>
      </c>
      <c r="D648" s="268">
        <v>181</v>
      </c>
      <c r="E648" s="268">
        <v>0</v>
      </c>
      <c r="F648" s="83">
        <f t="shared" si="66"/>
        <v>181</v>
      </c>
      <c r="G648" s="268">
        <v>75</v>
      </c>
      <c r="H648" s="268">
        <v>0</v>
      </c>
      <c r="I648" s="83">
        <f t="shared" si="61"/>
        <v>75</v>
      </c>
      <c r="J648" s="171">
        <f t="shared" si="62"/>
        <v>0.41439999999999999</v>
      </c>
      <c r="K648" s="177">
        <f t="shared" si="63"/>
        <v>3.4</v>
      </c>
      <c r="L648" s="177">
        <f t="shared" si="64"/>
        <v>0</v>
      </c>
      <c r="M648" s="177">
        <f t="shared" si="65"/>
        <v>3.4</v>
      </c>
    </row>
    <row r="649" spans="1:13" ht="12.75" customHeight="1">
      <c r="A649" s="268" t="s">
        <v>333</v>
      </c>
      <c r="B649" s="268" t="s">
        <v>2164</v>
      </c>
      <c r="C649" s="268" t="s">
        <v>2165</v>
      </c>
      <c r="D649" s="268">
        <v>191</v>
      </c>
      <c r="E649" s="268">
        <v>0</v>
      </c>
      <c r="F649" s="83">
        <f t="shared" si="66"/>
        <v>191</v>
      </c>
      <c r="G649" s="268">
        <v>63</v>
      </c>
      <c r="H649" s="268">
        <v>0</v>
      </c>
      <c r="I649" s="83">
        <f t="shared" si="61"/>
        <v>63</v>
      </c>
      <c r="J649" s="171">
        <f t="shared" si="62"/>
        <v>0.32979999999999998</v>
      </c>
      <c r="K649" s="177">
        <f t="shared" si="63"/>
        <v>0</v>
      </c>
      <c r="L649" s="177">
        <f t="shared" si="64"/>
        <v>0</v>
      </c>
      <c r="M649" s="177">
        <f t="shared" si="65"/>
        <v>0</v>
      </c>
    </row>
    <row r="650" spans="1:13" ht="12.75" customHeight="1">
      <c r="A650" s="268" t="s">
        <v>334</v>
      </c>
      <c r="B650" s="268" t="s">
        <v>2166</v>
      </c>
      <c r="C650" s="268" t="s">
        <v>2167</v>
      </c>
      <c r="D650" s="268">
        <v>586</v>
      </c>
      <c r="E650" s="268">
        <v>0</v>
      </c>
      <c r="F650" s="83">
        <f t="shared" si="66"/>
        <v>586</v>
      </c>
      <c r="G650" s="268">
        <v>329</v>
      </c>
      <c r="H650" s="268">
        <v>0</v>
      </c>
      <c r="I650" s="83">
        <f t="shared" si="61"/>
        <v>329</v>
      </c>
      <c r="J650" s="171">
        <f t="shared" si="62"/>
        <v>0.56140000000000001</v>
      </c>
      <c r="K650" s="177">
        <f t="shared" si="63"/>
        <v>0</v>
      </c>
      <c r="L650" s="177">
        <f t="shared" si="64"/>
        <v>34.5</v>
      </c>
      <c r="M650" s="177">
        <f t="shared" si="65"/>
        <v>34.5</v>
      </c>
    </row>
    <row r="651" spans="1:13" ht="12.75" customHeight="1">
      <c r="A651" s="268" t="s">
        <v>334</v>
      </c>
      <c r="B651" s="268" t="s">
        <v>2168</v>
      </c>
      <c r="C651" s="268" t="s">
        <v>2169</v>
      </c>
      <c r="D651" s="268">
        <v>317</v>
      </c>
      <c r="E651" s="268">
        <v>0</v>
      </c>
      <c r="F651" s="83">
        <f t="shared" si="66"/>
        <v>317</v>
      </c>
      <c r="G651" s="268">
        <v>46</v>
      </c>
      <c r="H651" s="268">
        <v>0</v>
      </c>
      <c r="I651" s="83">
        <f t="shared" si="61"/>
        <v>46</v>
      </c>
      <c r="J651" s="171">
        <f t="shared" si="62"/>
        <v>0.14510000000000001</v>
      </c>
      <c r="K651" s="177">
        <f t="shared" si="63"/>
        <v>0</v>
      </c>
      <c r="L651" s="177">
        <f t="shared" si="64"/>
        <v>0</v>
      </c>
      <c r="M651" s="177">
        <f t="shared" si="65"/>
        <v>0</v>
      </c>
    </row>
    <row r="652" spans="1:13" ht="12.75" customHeight="1">
      <c r="A652" s="268" t="s">
        <v>334</v>
      </c>
      <c r="B652" s="268" t="s">
        <v>2170</v>
      </c>
      <c r="C652" s="268" t="s">
        <v>2171</v>
      </c>
      <c r="D652" s="268">
        <v>337</v>
      </c>
      <c r="E652" s="268">
        <v>0</v>
      </c>
      <c r="F652" s="83">
        <f t="shared" si="66"/>
        <v>337</v>
      </c>
      <c r="G652" s="268">
        <v>52</v>
      </c>
      <c r="H652" s="268">
        <v>0</v>
      </c>
      <c r="I652" s="83">
        <f t="shared" si="61"/>
        <v>52</v>
      </c>
      <c r="J652" s="171">
        <f t="shared" si="62"/>
        <v>0.15429999999999999</v>
      </c>
      <c r="K652" s="177">
        <f t="shared" si="63"/>
        <v>0</v>
      </c>
      <c r="L652" s="177">
        <f t="shared" si="64"/>
        <v>0</v>
      </c>
      <c r="M652" s="177">
        <f t="shared" si="65"/>
        <v>0</v>
      </c>
    </row>
    <row r="653" spans="1:13" ht="12.75" customHeight="1">
      <c r="A653" s="268" t="s">
        <v>334</v>
      </c>
      <c r="B653" s="268" t="s">
        <v>2172</v>
      </c>
      <c r="C653" s="268" t="s">
        <v>2173</v>
      </c>
      <c r="D653" s="268">
        <v>406</v>
      </c>
      <c r="E653" s="268">
        <v>0</v>
      </c>
      <c r="F653" s="83">
        <f t="shared" si="66"/>
        <v>406</v>
      </c>
      <c r="G653" s="268">
        <v>103</v>
      </c>
      <c r="H653" s="268">
        <v>0</v>
      </c>
      <c r="I653" s="83">
        <f t="shared" si="61"/>
        <v>103</v>
      </c>
      <c r="J653" s="171">
        <f t="shared" si="62"/>
        <v>0.25369999999999998</v>
      </c>
      <c r="K653" s="177">
        <f t="shared" si="63"/>
        <v>0</v>
      </c>
      <c r="L653" s="177">
        <f t="shared" si="64"/>
        <v>0</v>
      </c>
      <c r="M653" s="177">
        <f t="shared" si="65"/>
        <v>0</v>
      </c>
    </row>
    <row r="654" spans="1:13" ht="12.75" customHeight="1">
      <c r="A654" s="268" t="s">
        <v>334</v>
      </c>
      <c r="B654" s="268" t="s">
        <v>2174</v>
      </c>
      <c r="C654" s="268" t="s">
        <v>2175</v>
      </c>
      <c r="D654" s="268">
        <v>465</v>
      </c>
      <c r="E654" s="268">
        <v>0</v>
      </c>
      <c r="F654" s="83">
        <f t="shared" si="66"/>
        <v>465</v>
      </c>
      <c r="G654" s="268">
        <v>75</v>
      </c>
      <c r="H654" s="268">
        <v>0</v>
      </c>
      <c r="I654" s="83">
        <f t="shared" si="61"/>
        <v>75</v>
      </c>
      <c r="J654" s="171">
        <f t="shared" si="62"/>
        <v>0.1613</v>
      </c>
      <c r="K654" s="177">
        <f t="shared" si="63"/>
        <v>0</v>
      </c>
      <c r="L654" s="177">
        <f t="shared" si="64"/>
        <v>0</v>
      </c>
      <c r="M654" s="177">
        <f t="shared" si="65"/>
        <v>0</v>
      </c>
    </row>
    <row r="655" spans="1:13" ht="12.75" customHeight="1">
      <c r="A655" s="268" t="s">
        <v>334</v>
      </c>
      <c r="B655" s="268" t="s">
        <v>2176</v>
      </c>
      <c r="C655" s="268" t="s">
        <v>2177</v>
      </c>
      <c r="D655" s="268">
        <v>592</v>
      </c>
      <c r="E655" s="268">
        <v>0</v>
      </c>
      <c r="F655" s="83">
        <f t="shared" si="66"/>
        <v>592</v>
      </c>
      <c r="G655" s="268">
        <v>144</v>
      </c>
      <c r="H655" s="268">
        <v>0</v>
      </c>
      <c r="I655" s="83">
        <f t="shared" si="61"/>
        <v>144</v>
      </c>
      <c r="J655" s="171">
        <f t="shared" si="62"/>
        <v>0.2432</v>
      </c>
      <c r="K655" s="177">
        <f t="shared" si="63"/>
        <v>0</v>
      </c>
      <c r="L655" s="177">
        <f t="shared" si="64"/>
        <v>0</v>
      </c>
      <c r="M655" s="177">
        <f t="shared" si="65"/>
        <v>0</v>
      </c>
    </row>
    <row r="656" spans="1:13" ht="12.75" customHeight="1">
      <c r="A656" s="268" t="s">
        <v>334</v>
      </c>
      <c r="B656" s="268" t="s">
        <v>2178</v>
      </c>
      <c r="C656" s="268" t="s">
        <v>2179</v>
      </c>
      <c r="D656" s="268">
        <v>1222</v>
      </c>
      <c r="E656" s="268">
        <v>0</v>
      </c>
      <c r="F656" s="83">
        <f t="shared" si="66"/>
        <v>1222</v>
      </c>
      <c r="G656" s="268">
        <v>280</v>
      </c>
      <c r="H656" s="268">
        <v>0</v>
      </c>
      <c r="I656" s="83">
        <f t="shared" si="61"/>
        <v>280</v>
      </c>
      <c r="J656" s="171">
        <f t="shared" si="62"/>
        <v>0.2291</v>
      </c>
      <c r="K656" s="177">
        <f t="shared" si="63"/>
        <v>0</v>
      </c>
      <c r="L656" s="177">
        <f t="shared" si="64"/>
        <v>0</v>
      </c>
      <c r="M656" s="177">
        <f t="shared" si="65"/>
        <v>0</v>
      </c>
    </row>
    <row r="657" spans="1:13" ht="12.75" customHeight="1">
      <c r="A657" s="268" t="s">
        <v>335</v>
      </c>
      <c r="B657" s="268" t="s">
        <v>2180</v>
      </c>
      <c r="C657" s="268" t="s">
        <v>2181</v>
      </c>
      <c r="D657" s="268">
        <v>342</v>
      </c>
      <c r="E657" s="268">
        <v>0</v>
      </c>
      <c r="F657" s="83">
        <f t="shared" si="66"/>
        <v>342</v>
      </c>
      <c r="G657" s="268">
        <v>172</v>
      </c>
      <c r="H657" s="268">
        <v>0</v>
      </c>
      <c r="I657" s="83">
        <f t="shared" si="61"/>
        <v>172</v>
      </c>
      <c r="J657" s="171">
        <f t="shared" si="62"/>
        <v>0.50290000000000001</v>
      </c>
      <c r="K657" s="177">
        <f t="shared" si="63"/>
        <v>0</v>
      </c>
      <c r="L657" s="177">
        <f t="shared" si="64"/>
        <v>18.100000000000001</v>
      </c>
      <c r="M657" s="177">
        <f t="shared" si="65"/>
        <v>18.100000000000001</v>
      </c>
    </row>
    <row r="658" spans="1:13" ht="12.75" customHeight="1">
      <c r="A658" s="268" t="s">
        <v>335</v>
      </c>
      <c r="B658" s="268" t="s">
        <v>2182</v>
      </c>
      <c r="C658" s="268" t="s">
        <v>2183</v>
      </c>
      <c r="D658" s="268">
        <v>247</v>
      </c>
      <c r="E658" s="268">
        <v>0</v>
      </c>
      <c r="F658" s="83">
        <f t="shared" si="66"/>
        <v>247</v>
      </c>
      <c r="G658" s="268">
        <v>96</v>
      </c>
      <c r="H658" s="268">
        <v>0</v>
      </c>
      <c r="I658" s="83">
        <f t="shared" si="61"/>
        <v>96</v>
      </c>
      <c r="J658" s="171">
        <f t="shared" si="62"/>
        <v>0.38869999999999999</v>
      </c>
      <c r="K658" s="177">
        <f t="shared" si="63"/>
        <v>2.6</v>
      </c>
      <c r="L658" s="177">
        <f t="shared" si="64"/>
        <v>0</v>
      </c>
      <c r="M658" s="177">
        <f t="shared" si="65"/>
        <v>2.6</v>
      </c>
    </row>
    <row r="659" spans="1:13" ht="12.75" customHeight="1">
      <c r="A659" s="268" t="s">
        <v>336</v>
      </c>
      <c r="B659" s="268" t="s">
        <v>2184</v>
      </c>
      <c r="C659" s="268" t="s">
        <v>2185</v>
      </c>
      <c r="D659" s="268">
        <v>172</v>
      </c>
      <c r="E659" s="268">
        <v>0</v>
      </c>
      <c r="F659" s="83">
        <f t="shared" si="66"/>
        <v>172</v>
      </c>
      <c r="G659" s="268">
        <v>71</v>
      </c>
      <c r="H659" s="268">
        <v>0</v>
      </c>
      <c r="I659" s="83">
        <f t="shared" si="61"/>
        <v>71</v>
      </c>
      <c r="J659" s="171">
        <f t="shared" si="62"/>
        <v>0.4128</v>
      </c>
      <c r="K659" s="177">
        <f t="shared" si="63"/>
        <v>3.1</v>
      </c>
      <c r="L659" s="177">
        <f t="shared" si="64"/>
        <v>0</v>
      </c>
      <c r="M659" s="177">
        <f t="shared" si="65"/>
        <v>3.1</v>
      </c>
    </row>
    <row r="660" spans="1:13" ht="12.75" customHeight="1">
      <c r="A660" s="268" t="s">
        <v>336</v>
      </c>
      <c r="B660" s="268" t="s">
        <v>2186</v>
      </c>
      <c r="C660" s="268" t="s">
        <v>3608</v>
      </c>
      <c r="D660" s="268">
        <v>157</v>
      </c>
      <c r="E660" s="268">
        <v>0</v>
      </c>
      <c r="F660" s="83">
        <f t="shared" si="66"/>
        <v>157</v>
      </c>
      <c r="G660" s="268">
        <v>70</v>
      </c>
      <c r="H660" s="268">
        <v>0</v>
      </c>
      <c r="I660" s="83">
        <f t="shared" si="61"/>
        <v>70</v>
      </c>
      <c r="J660" s="171">
        <f t="shared" si="62"/>
        <v>0.44590000000000002</v>
      </c>
      <c r="K660" s="177">
        <f t="shared" si="63"/>
        <v>4.7</v>
      </c>
      <c r="L660" s="177">
        <f t="shared" si="64"/>
        <v>0</v>
      </c>
      <c r="M660" s="177">
        <f t="shared" si="65"/>
        <v>4.7</v>
      </c>
    </row>
    <row r="661" spans="1:13" ht="12.75" customHeight="1">
      <c r="A661" s="268" t="s">
        <v>337</v>
      </c>
      <c r="B661" s="268" t="s">
        <v>2187</v>
      </c>
      <c r="C661" s="268" t="s">
        <v>2188</v>
      </c>
      <c r="D661" s="268">
        <v>326</v>
      </c>
      <c r="E661" s="268">
        <v>0</v>
      </c>
      <c r="F661" s="83">
        <f t="shared" si="66"/>
        <v>326</v>
      </c>
      <c r="G661" s="268">
        <v>77</v>
      </c>
      <c r="H661" s="268">
        <v>0</v>
      </c>
      <c r="I661" s="83">
        <f t="shared" si="61"/>
        <v>77</v>
      </c>
      <c r="J661" s="171">
        <f t="shared" si="62"/>
        <v>0.23619999999999999</v>
      </c>
      <c r="K661" s="177">
        <f t="shared" si="63"/>
        <v>0</v>
      </c>
      <c r="L661" s="177">
        <f t="shared" si="64"/>
        <v>0</v>
      </c>
      <c r="M661" s="177">
        <f t="shared" si="65"/>
        <v>0</v>
      </c>
    </row>
    <row r="662" spans="1:13" ht="12.75" customHeight="1">
      <c r="A662" s="268" t="s">
        <v>337</v>
      </c>
      <c r="B662" s="268" t="s">
        <v>2189</v>
      </c>
      <c r="C662" s="268" t="s">
        <v>2190</v>
      </c>
      <c r="D662" s="268">
        <v>447</v>
      </c>
      <c r="E662" s="268">
        <v>0</v>
      </c>
      <c r="F662" s="83">
        <f t="shared" si="66"/>
        <v>447</v>
      </c>
      <c r="G662" s="268">
        <v>84</v>
      </c>
      <c r="H662" s="268">
        <v>0</v>
      </c>
      <c r="I662" s="83">
        <f t="shared" si="61"/>
        <v>84</v>
      </c>
      <c r="J662" s="171">
        <f t="shared" si="62"/>
        <v>0.18790000000000001</v>
      </c>
      <c r="K662" s="177">
        <f t="shared" si="63"/>
        <v>0</v>
      </c>
      <c r="L662" s="177">
        <f t="shared" si="64"/>
        <v>0</v>
      </c>
      <c r="M662" s="177">
        <f t="shared" si="65"/>
        <v>0</v>
      </c>
    </row>
    <row r="663" spans="1:13" ht="12.75" customHeight="1">
      <c r="A663" s="268" t="s">
        <v>337</v>
      </c>
      <c r="B663" s="268" t="s">
        <v>2191</v>
      </c>
      <c r="C663" s="268" t="s">
        <v>2192</v>
      </c>
      <c r="D663" s="268">
        <v>311</v>
      </c>
      <c r="E663" s="268">
        <v>0</v>
      </c>
      <c r="F663" s="83">
        <f t="shared" si="66"/>
        <v>311</v>
      </c>
      <c r="G663" s="268">
        <v>65</v>
      </c>
      <c r="H663" s="268">
        <v>0</v>
      </c>
      <c r="I663" s="83">
        <f t="shared" si="61"/>
        <v>65</v>
      </c>
      <c r="J663" s="171">
        <f t="shared" si="62"/>
        <v>0.20899999999999999</v>
      </c>
      <c r="K663" s="177">
        <f t="shared" si="63"/>
        <v>0</v>
      </c>
      <c r="L663" s="177">
        <f t="shared" si="64"/>
        <v>0</v>
      </c>
      <c r="M663" s="177">
        <f t="shared" si="65"/>
        <v>0</v>
      </c>
    </row>
    <row r="664" spans="1:13" ht="12.75" customHeight="1">
      <c r="A664" s="268" t="s">
        <v>337</v>
      </c>
      <c r="B664" s="268" t="s">
        <v>2193</v>
      </c>
      <c r="C664" s="268" t="s">
        <v>2194</v>
      </c>
      <c r="D664" s="268">
        <v>301</v>
      </c>
      <c r="E664" s="268">
        <v>0</v>
      </c>
      <c r="F664" s="83">
        <f t="shared" si="66"/>
        <v>301</v>
      </c>
      <c r="G664" s="268">
        <v>57</v>
      </c>
      <c r="H664" s="268">
        <v>0</v>
      </c>
      <c r="I664" s="83">
        <f t="shared" si="61"/>
        <v>57</v>
      </c>
      <c r="J664" s="171">
        <f t="shared" si="62"/>
        <v>0.18940000000000001</v>
      </c>
      <c r="K664" s="177">
        <f t="shared" si="63"/>
        <v>0</v>
      </c>
      <c r="L664" s="177">
        <f t="shared" si="64"/>
        <v>0</v>
      </c>
      <c r="M664" s="177">
        <f t="shared" si="65"/>
        <v>0</v>
      </c>
    </row>
    <row r="665" spans="1:13" ht="12.75" customHeight="1">
      <c r="A665" s="268" t="s">
        <v>338</v>
      </c>
      <c r="B665" s="268" t="s">
        <v>2195</v>
      </c>
      <c r="C665" s="268" t="s">
        <v>2196</v>
      </c>
      <c r="D665" s="268">
        <v>109</v>
      </c>
      <c r="E665" s="268">
        <v>0</v>
      </c>
      <c r="F665" s="83">
        <f t="shared" si="66"/>
        <v>109</v>
      </c>
      <c r="G665" s="268">
        <v>61</v>
      </c>
      <c r="H665" s="268">
        <v>0</v>
      </c>
      <c r="I665" s="83">
        <f t="shared" si="61"/>
        <v>61</v>
      </c>
      <c r="J665" s="171">
        <f t="shared" si="62"/>
        <v>0.55959999999999999</v>
      </c>
      <c r="K665" s="177">
        <f t="shared" si="63"/>
        <v>0</v>
      </c>
      <c r="L665" s="177">
        <f t="shared" si="64"/>
        <v>6.4</v>
      </c>
      <c r="M665" s="177">
        <f t="shared" si="65"/>
        <v>6.4</v>
      </c>
    </row>
    <row r="666" spans="1:13" ht="12.75" customHeight="1">
      <c r="A666" s="268" t="s">
        <v>338</v>
      </c>
      <c r="B666" s="268" t="s">
        <v>2197</v>
      </c>
      <c r="C666" s="268" t="s">
        <v>2198</v>
      </c>
      <c r="D666" s="268">
        <v>105</v>
      </c>
      <c r="E666" s="268">
        <v>0</v>
      </c>
      <c r="F666" s="83">
        <f t="shared" si="66"/>
        <v>105</v>
      </c>
      <c r="G666" s="268">
        <v>47</v>
      </c>
      <c r="H666" s="268">
        <v>0</v>
      </c>
      <c r="I666" s="83">
        <f t="shared" si="61"/>
        <v>47</v>
      </c>
      <c r="J666" s="171">
        <f t="shared" si="62"/>
        <v>0.4476</v>
      </c>
      <c r="K666" s="177">
        <f t="shared" si="63"/>
        <v>3.2</v>
      </c>
      <c r="L666" s="177">
        <f t="shared" si="64"/>
        <v>0</v>
      </c>
      <c r="M666" s="177">
        <f t="shared" si="65"/>
        <v>3.2</v>
      </c>
    </row>
    <row r="667" spans="1:13" ht="12.75" customHeight="1">
      <c r="A667" s="268" t="s">
        <v>339</v>
      </c>
      <c r="B667" s="268" t="s">
        <v>2199</v>
      </c>
      <c r="C667" s="268" t="s">
        <v>2200</v>
      </c>
      <c r="D667" s="268">
        <v>192</v>
      </c>
      <c r="E667" s="268">
        <v>0</v>
      </c>
      <c r="F667" s="83">
        <f t="shared" si="66"/>
        <v>192</v>
      </c>
      <c r="G667" s="268">
        <v>78</v>
      </c>
      <c r="H667" s="268">
        <v>0</v>
      </c>
      <c r="I667" s="83">
        <f t="shared" si="61"/>
        <v>78</v>
      </c>
      <c r="J667" s="171">
        <f t="shared" si="62"/>
        <v>0.40629999999999999</v>
      </c>
      <c r="K667" s="177">
        <f t="shared" si="63"/>
        <v>3.1</v>
      </c>
      <c r="L667" s="177">
        <f t="shared" si="64"/>
        <v>0</v>
      </c>
      <c r="M667" s="177">
        <f t="shared" si="65"/>
        <v>3.1</v>
      </c>
    </row>
    <row r="668" spans="1:13" ht="12.75" customHeight="1">
      <c r="A668" s="268" t="s">
        <v>339</v>
      </c>
      <c r="B668" s="268" t="s">
        <v>2201</v>
      </c>
      <c r="C668" s="268" t="s">
        <v>2202</v>
      </c>
      <c r="D668" s="268">
        <v>147</v>
      </c>
      <c r="E668" s="268">
        <v>0</v>
      </c>
      <c r="F668" s="83">
        <f t="shared" si="66"/>
        <v>147</v>
      </c>
      <c r="G668" s="268">
        <v>57</v>
      </c>
      <c r="H668" s="268">
        <v>0</v>
      </c>
      <c r="I668" s="83">
        <f t="shared" si="61"/>
        <v>57</v>
      </c>
      <c r="J668" s="171">
        <f t="shared" si="62"/>
        <v>0.38779999999999998</v>
      </c>
      <c r="K668" s="177">
        <f t="shared" si="63"/>
        <v>1.5</v>
      </c>
      <c r="L668" s="177">
        <f t="shared" si="64"/>
        <v>0</v>
      </c>
      <c r="M668" s="177">
        <f t="shared" si="65"/>
        <v>1.5</v>
      </c>
    </row>
    <row r="669" spans="1:13" ht="12.75" customHeight="1">
      <c r="A669" s="268" t="s">
        <v>340</v>
      </c>
      <c r="B669" s="268" t="s">
        <v>2203</v>
      </c>
      <c r="C669" s="268" t="s">
        <v>2204</v>
      </c>
      <c r="D669" s="268">
        <v>115</v>
      </c>
      <c r="E669" s="268">
        <v>0</v>
      </c>
      <c r="F669" s="83">
        <f t="shared" si="66"/>
        <v>115</v>
      </c>
      <c r="G669" s="268">
        <v>73</v>
      </c>
      <c r="H669" s="268">
        <v>0</v>
      </c>
      <c r="I669" s="83">
        <f t="shared" si="61"/>
        <v>73</v>
      </c>
      <c r="J669" s="171">
        <f t="shared" si="62"/>
        <v>0.63480000000000003</v>
      </c>
      <c r="K669" s="177">
        <f t="shared" si="63"/>
        <v>0</v>
      </c>
      <c r="L669" s="177">
        <f t="shared" si="64"/>
        <v>7.7</v>
      </c>
      <c r="M669" s="177">
        <f t="shared" si="65"/>
        <v>7.7</v>
      </c>
    </row>
    <row r="670" spans="1:13" ht="12.75" customHeight="1">
      <c r="A670" s="268" t="s">
        <v>340</v>
      </c>
      <c r="B670" s="268" t="s">
        <v>2205</v>
      </c>
      <c r="C670" s="268" t="s">
        <v>2206</v>
      </c>
      <c r="D670" s="268">
        <v>106</v>
      </c>
      <c r="E670" s="268">
        <v>0</v>
      </c>
      <c r="F670" s="83">
        <f t="shared" si="66"/>
        <v>106</v>
      </c>
      <c r="G670" s="268">
        <v>35</v>
      </c>
      <c r="H670" s="268">
        <v>0</v>
      </c>
      <c r="I670" s="83">
        <f t="shared" si="61"/>
        <v>35</v>
      </c>
      <c r="J670" s="171">
        <f t="shared" si="62"/>
        <v>0.33019999999999999</v>
      </c>
      <c r="K670" s="177">
        <f t="shared" si="63"/>
        <v>0</v>
      </c>
      <c r="L670" s="177">
        <f t="shared" si="64"/>
        <v>0</v>
      </c>
      <c r="M670" s="177">
        <f t="shared" si="65"/>
        <v>0</v>
      </c>
    </row>
    <row r="671" spans="1:13" ht="12.75" customHeight="1">
      <c r="A671" s="268" t="s">
        <v>341</v>
      </c>
      <c r="B671" s="268" t="s">
        <v>2207</v>
      </c>
      <c r="C671" s="268" t="s">
        <v>2208</v>
      </c>
      <c r="D671" s="268">
        <v>395</v>
      </c>
      <c r="E671" s="268">
        <v>0</v>
      </c>
      <c r="F671" s="83">
        <f t="shared" si="66"/>
        <v>395</v>
      </c>
      <c r="G671" s="268">
        <v>160</v>
      </c>
      <c r="H671" s="268">
        <v>0</v>
      </c>
      <c r="I671" s="83">
        <f t="shared" si="61"/>
        <v>160</v>
      </c>
      <c r="J671" s="171">
        <f t="shared" si="62"/>
        <v>0.40510000000000002</v>
      </c>
      <c r="K671" s="177">
        <f t="shared" si="63"/>
        <v>6.2</v>
      </c>
      <c r="L671" s="177">
        <f t="shared" si="64"/>
        <v>0</v>
      </c>
      <c r="M671" s="177">
        <f t="shared" si="65"/>
        <v>6.2</v>
      </c>
    </row>
    <row r="672" spans="1:13" ht="12.75" customHeight="1">
      <c r="A672" s="268" t="s">
        <v>341</v>
      </c>
      <c r="B672" s="268" t="s">
        <v>2209</v>
      </c>
      <c r="C672" s="268" t="s">
        <v>2210</v>
      </c>
      <c r="D672" s="268">
        <v>285</v>
      </c>
      <c r="E672" s="268">
        <v>0</v>
      </c>
      <c r="F672" s="83">
        <f t="shared" si="66"/>
        <v>285</v>
      </c>
      <c r="G672" s="268">
        <v>100</v>
      </c>
      <c r="H672" s="268">
        <v>0</v>
      </c>
      <c r="I672" s="83">
        <f t="shared" si="61"/>
        <v>100</v>
      </c>
      <c r="J672" s="171">
        <f t="shared" si="62"/>
        <v>0.35089999999999999</v>
      </c>
      <c r="K672" s="177">
        <f t="shared" si="63"/>
        <v>0.1</v>
      </c>
      <c r="L672" s="177">
        <f t="shared" si="64"/>
        <v>0</v>
      </c>
      <c r="M672" s="177">
        <f t="shared" si="65"/>
        <v>0.1</v>
      </c>
    </row>
    <row r="673" spans="1:13" ht="12.75" customHeight="1">
      <c r="A673" s="268" t="s">
        <v>341</v>
      </c>
      <c r="B673" s="268" t="s">
        <v>2211</v>
      </c>
      <c r="C673" s="268" t="s">
        <v>2212</v>
      </c>
      <c r="D673" s="268">
        <v>212</v>
      </c>
      <c r="E673" s="268">
        <v>0</v>
      </c>
      <c r="F673" s="83">
        <f t="shared" si="66"/>
        <v>212</v>
      </c>
      <c r="G673" s="268">
        <v>92</v>
      </c>
      <c r="H673" s="268">
        <v>0</v>
      </c>
      <c r="I673" s="83">
        <f t="shared" si="61"/>
        <v>92</v>
      </c>
      <c r="J673" s="171">
        <f t="shared" si="62"/>
        <v>0.434</v>
      </c>
      <c r="K673" s="177">
        <f t="shared" si="63"/>
        <v>5.4</v>
      </c>
      <c r="L673" s="177">
        <f t="shared" si="64"/>
        <v>0</v>
      </c>
      <c r="M673" s="177">
        <f t="shared" si="65"/>
        <v>5.4</v>
      </c>
    </row>
    <row r="674" spans="1:13" ht="12.75" customHeight="1">
      <c r="A674" s="268" t="s">
        <v>342</v>
      </c>
      <c r="B674" s="268" t="s">
        <v>2213</v>
      </c>
      <c r="C674" s="268" t="s">
        <v>1026</v>
      </c>
      <c r="D674" s="268">
        <v>282</v>
      </c>
      <c r="E674" s="268">
        <v>0</v>
      </c>
      <c r="F674" s="83">
        <f t="shared" si="66"/>
        <v>282</v>
      </c>
      <c r="G674" s="268">
        <v>87</v>
      </c>
      <c r="H674" s="268">
        <v>0</v>
      </c>
      <c r="I674" s="83">
        <f t="shared" si="61"/>
        <v>87</v>
      </c>
      <c r="J674" s="171">
        <f t="shared" si="62"/>
        <v>0.3085</v>
      </c>
      <c r="K674" s="177">
        <f t="shared" si="63"/>
        <v>0</v>
      </c>
      <c r="L674" s="177">
        <f t="shared" si="64"/>
        <v>0</v>
      </c>
      <c r="M674" s="177">
        <f t="shared" si="65"/>
        <v>0</v>
      </c>
    </row>
    <row r="675" spans="1:13" ht="12.75" customHeight="1">
      <c r="A675" s="268" t="s">
        <v>342</v>
      </c>
      <c r="B675" s="268" t="s">
        <v>2214</v>
      </c>
      <c r="C675" s="268" t="s">
        <v>2215</v>
      </c>
      <c r="D675" s="268">
        <v>185</v>
      </c>
      <c r="E675" s="268">
        <v>0</v>
      </c>
      <c r="F675" s="83">
        <f t="shared" si="66"/>
        <v>185</v>
      </c>
      <c r="G675" s="268">
        <v>115</v>
      </c>
      <c r="H675" s="268">
        <v>0</v>
      </c>
      <c r="I675" s="83">
        <f t="shared" ref="I675:I738" si="67">SUM(G675+H675)</f>
        <v>115</v>
      </c>
      <c r="J675" s="171">
        <f t="shared" ref="J675:J738" si="68">IF(ISERROR(I675/F675),0,I675/F675)</f>
        <v>0.62160000000000004</v>
      </c>
      <c r="K675" s="177">
        <f t="shared" si="63"/>
        <v>0</v>
      </c>
      <c r="L675" s="177">
        <f t="shared" si="64"/>
        <v>12.1</v>
      </c>
      <c r="M675" s="177">
        <f t="shared" si="65"/>
        <v>12.1</v>
      </c>
    </row>
    <row r="676" spans="1:13" ht="12.75" customHeight="1">
      <c r="A676" s="268" t="s">
        <v>342</v>
      </c>
      <c r="B676" s="268" t="s">
        <v>2216</v>
      </c>
      <c r="C676" s="268" t="s">
        <v>1490</v>
      </c>
      <c r="D676" s="268">
        <v>167</v>
      </c>
      <c r="E676" s="268">
        <v>0</v>
      </c>
      <c r="F676" s="83">
        <f t="shared" si="66"/>
        <v>167</v>
      </c>
      <c r="G676" s="268">
        <v>107</v>
      </c>
      <c r="H676" s="268">
        <v>0</v>
      </c>
      <c r="I676" s="83">
        <f t="shared" si="67"/>
        <v>107</v>
      </c>
      <c r="J676" s="171">
        <f t="shared" si="68"/>
        <v>0.64070000000000005</v>
      </c>
      <c r="K676" s="177">
        <f t="shared" si="63"/>
        <v>0</v>
      </c>
      <c r="L676" s="177">
        <f t="shared" si="64"/>
        <v>11.2</v>
      </c>
      <c r="M676" s="177">
        <f t="shared" si="65"/>
        <v>11.2</v>
      </c>
    </row>
    <row r="677" spans="1:13" ht="12.75" customHeight="1">
      <c r="A677" s="268" t="s">
        <v>342</v>
      </c>
      <c r="B677" s="268" t="s">
        <v>2217</v>
      </c>
      <c r="C677" s="268" t="s">
        <v>1283</v>
      </c>
      <c r="D677" s="268">
        <v>105</v>
      </c>
      <c r="E677" s="268">
        <v>0</v>
      </c>
      <c r="F677" s="83">
        <f t="shared" si="66"/>
        <v>105</v>
      </c>
      <c r="G677" s="268">
        <v>57</v>
      </c>
      <c r="H677" s="268">
        <v>0</v>
      </c>
      <c r="I677" s="83">
        <f t="shared" si="67"/>
        <v>57</v>
      </c>
      <c r="J677" s="171">
        <f t="shared" si="68"/>
        <v>0.54290000000000005</v>
      </c>
      <c r="K677" s="177">
        <f t="shared" si="63"/>
        <v>0</v>
      </c>
      <c r="L677" s="177">
        <f t="shared" si="64"/>
        <v>6</v>
      </c>
      <c r="M677" s="177">
        <f t="shared" si="65"/>
        <v>6</v>
      </c>
    </row>
    <row r="678" spans="1:13" ht="12.75" customHeight="1">
      <c r="A678" s="268" t="s">
        <v>342</v>
      </c>
      <c r="B678" s="268" t="s">
        <v>2218</v>
      </c>
      <c r="C678" s="268" t="s">
        <v>2219</v>
      </c>
      <c r="D678" s="268">
        <v>355</v>
      </c>
      <c r="E678" s="268">
        <v>0</v>
      </c>
      <c r="F678" s="83">
        <f t="shared" si="66"/>
        <v>355</v>
      </c>
      <c r="G678" s="268">
        <v>155</v>
      </c>
      <c r="H678" s="268">
        <v>0</v>
      </c>
      <c r="I678" s="83">
        <f t="shared" si="67"/>
        <v>155</v>
      </c>
      <c r="J678" s="171">
        <f t="shared" si="68"/>
        <v>0.43659999999999999</v>
      </c>
      <c r="K678" s="177">
        <f t="shared" si="63"/>
        <v>9.4</v>
      </c>
      <c r="L678" s="177">
        <f t="shared" si="64"/>
        <v>0</v>
      </c>
      <c r="M678" s="177">
        <f t="shared" si="65"/>
        <v>9.4</v>
      </c>
    </row>
    <row r="679" spans="1:13" ht="12.75" customHeight="1">
      <c r="A679" s="268" t="s">
        <v>342</v>
      </c>
      <c r="B679" s="268" t="s">
        <v>2220</v>
      </c>
      <c r="C679" s="268" t="s">
        <v>2221</v>
      </c>
      <c r="D679" s="268">
        <v>486</v>
      </c>
      <c r="E679" s="268">
        <v>0</v>
      </c>
      <c r="F679" s="83">
        <f t="shared" si="66"/>
        <v>486</v>
      </c>
      <c r="G679" s="268">
        <v>181</v>
      </c>
      <c r="H679" s="268">
        <v>0</v>
      </c>
      <c r="I679" s="83">
        <f t="shared" si="67"/>
        <v>181</v>
      </c>
      <c r="J679" s="171">
        <f t="shared" si="68"/>
        <v>0.37240000000000001</v>
      </c>
      <c r="K679" s="177">
        <f t="shared" si="63"/>
        <v>2.8</v>
      </c>
      <c r="L679" s="177">
        <f t="shared" si="64"/>
        <v>0</v>
      </c>
      <c r="M679" s="177">
        <f t="shared" si="65"/>
        <v>2.8</v>
      </c>
    </row>
    <row r="680" spans="1:13" ht="12.75" customHeight="1">
      <c r="A680" s="268" t="s">
        <v>343</v>
      </c>
      <c r="B680" s="268" t="s">
        <v>2222</v>
      </c>
      <c r="C680" s="268" t="s">
        <v>2223</v>
      </c>
      <c r="D680" s="268">
        <v>294</v>
      </c>
      <c r="E680" s="268">
        <v>0</v>
      </c>
      <c r="F680" s="83">
        <f t="shared" si="66"/>
        <v>294</v>
      </c>
      <c r="G680" s="268">
        <v>79</v>
      </c>
      <c r="H680" s="268">
        <v>0</v>
      </c>
      <c r="I680" s="83">
        <f t="shared" si="67"/>
        <v>79</v>
      </c>
      <c r="J680" s="171">
        <f t="shared" si="68"/>
        <v>0.26869999999999999</v>
      </c>
      <c r="K680" s="177">
        <f t="shared" si="63"/>
        <v>0</v>
      </c>
      <c r="L680" s="177">
        <f t="shared" si="64"/>
        <v>0</v>
      </c>
      <c r="M680" s="177">
        <f t="shared" si="65"/>
        <v>0</v>
      </c>
    </row>
    <row r="681" spans="1:13" ht="12.75" customHeight="1">
      <c r="A681" s="268" t="s">
        <v>343</v>
      </c>
      <c r="B681" s="268" t="s">
        <v>2224</v>
      </c>
      <c r="C681" s="268" t="s">
        <v>2225</v>
      </c>
      <c r="D681" s="268">
        <v>73</v>
      </c>
      <c r="E681" s="268">
        <v>0</v>
      </c>
      <c r="F681" s="83">
        <f t="shared" si="66"/>
        <v>73</v>
      </c>
      <c r="G681" s="268">
        <v>20</v>
      </c>
      <c r="H681" s="268">
        <v>0</v>
      </c>
      <c r="I681" s="83">
        <f t="shared" si="67"/>
        <v>20</v>
      </c>
      <c r="J681" s="171">
        <f t="shared" si="68"/>
        <v>0.27400000000000002</v>
      </c>
      <c r="K681" s="177">
        <f t="shared" si="63"/>
        <v>0</v>
      </c>
      <c r="L681" s="177">
        <f t="shared" si="64"/>
        <v>0</v>
      </c>
      <c r="M681" s="177">
        <f t="shared" si="65"/>
        <v>0</v>
      </c>
    </row>
    <row r="682" spans="1:13" ht="12.75" customHeight="1">
      <c r="A682" s="268" t="s">
        <v>343</v>
      </c>
      <c r="B682" s="268" t="s">
        <v>2226</v>
      </c>
      <c r="C682" s="268" t="s">
        <v>2227</v>
      </c>
      <c r="D682" s="268">
        <v>138</v>
      </c>
      <c r="E682" s="268">
        <v>0</v>
      </c>
      <c r="F682" s="83">
        <f t="shared" si="66"/>
        <v>138</v>
      </c>
      <c r="G682" s="268">
        <v>47</v>
      </c>
      <c r="H682" s="268">
        <v>0</v>
      </c>
      <c r="I682" s="83">
        <f t="shared" si="67"/>
        <v>47</v>
      </c>
      <c r="J682" s="171">
        <f t="shared" si="68"/>
        <v>0.34060000000000001</v>
      </c>
      <c r="K682" s="177">
        <f t="shared" si="63"/>
        <v>0</v>
      </c>
      <c r="L682" s="177">
        <f t="shared" si="64"/>
        <v>0</v>
      </c>
      <c r="M682" s="177">
        <f t="shared" si="65"/>
        <v>0</v>
      </c>
    </row>
    <row r="683" spans="1:13" ht="12.75" customHeight="1">
      <c r="A683" s="268" t="s">
        <v>344</v>
      </c>
      <c r="B683" s="268" t="s">
        <v>2228</v>
      </c>
      <c r="C683" s="268" t="s">
        <v>2229</v>
      </c>
      <c r="D683" s="268">
        <v>231</v>
      </c>
      <c r="E683" s="268">
        <v>0</v>
      </c>
      <c r="F683" s="83">
        <f t="shared" si="66"/>
        <v>231</v>
      </c>
      <c r="G683" s="268">
        <v>43</v>
      </c>
      <c r="H683" s="268">
        <v>0</v>
      </c>
      <c r="I683" s="83">
        <f t="shared" si="67"/>
        <v>43</v>
      </c>
      <c r="J683" s="171">
        <f t="shared" si="68"/>
        <v>0.18609999999999999</v>
      </c>
      <c r="K683" s="177">
        <f t="shared" si="63"/>
        <v>0</v>
      </c>
      <c r="L683" s="177">
        <f t="shared" si="64"/>
        <v>0</v>
      </c>
      <c r="M683" s="177">
        <f t="shared" si="65"/>
        <v>0</v>
      </c>
    </row>
    <row r="684" spans="1:13" ht="12.75" customHeight="1">
      <c r="A684" s="268" t="s">
        <v>344</v>
      </c>
      <c r="B684" s="268" t="s">
        <v>2230</v>
      </c>
      <c r="C684" s="268" t="s">
        <v>2231</v>
      </c>
      <c r="D684" s="268">
        <v>112</v>
      </c>
      <c r="E684" s="268">
        <v>0</v>
      </c>
      <c r="F684" s="83">
        <f t="shared" si="66"/>
        <v>112</v>
      </c>
      <c r="G684" s="268">
        <v>17</v>
      </c>
      <c r="H684" s="268">
        <v>0</v>
      </c>
      <c r="I684" s="83">
        <f t="shared" si="67"/>
        <v>17</v>
      </c>
      <c r="J684" s="171">
        <f t="shared" si="68"/>
        <v>0.15179999999999999</v>
      </c>
      <c r="K684" s="177">
        <f t="shared" si="63"/>
        <v>0</v>
      </c>
      <c r="L684" s="177">
        <f t="shared" si="64"/>
        <v>0</v>
      </c>
      <c r="M684" s="177">
        <f t="shared" si="65"/>
        <v>0</v>
      </c>
    </row>
    <row r="685" spans="1:13" ht="12.75" customHeight="1">
      <c r="A685" s="268" t="s">
        <v>344</v>
      </c>
      <c r="B685" s="268" t="s">
        <v>2232</v>
      </c>
      <c r="C685" s="268" t="s">
        <v>2233</v>
      </c>
      <c r="D685" s="268">
        <v>170</v>
      </c>
      <c r="E685" s="268">
        <v>0</v>
      </c>
      <c r="F685" s="83">
        <f t="shared" si="66"/>
        <v>170</v>
      </c>
      <c r="G685" s="268">
        <v>28</v>
      </c>
      <c r="H685" s="268">
        <v>0</v>
      </c>
      <c r="I685" s="83">
        <f t="shared" si="67"/>
        <v>28</v>
      </c>
      <c r="J685" s="171">
        <f t="shared" si="68"/>
        <v>0.16470000000000001</v>
      </c>
      <c r="K685" s="177">
        <f t="shared" si="63"/>
        <v>0</v>
      </c>
      <c r="L685" s="177">
        <f t="shared" si="64"/>
        <v>0</v>
      </c>
      <c r="M685" s="177">
        <f t="shared" si="65"/>
        <v>0</v>
      </c>
    </row>
    <row r="686" spans="1:13" ht="12.75" customHeight="1">
      <c r="A686" s="268" t="s">
        <v>345</v>
      </c>
      <c r="B686" s="268" t="s">
        <v>2234</v>
      </c>
      <c r="C686" s="268" t="s">
        <v>2235</v>
      </c>
      <c r="D686" s="268">
        <v>248</v>
      </c>
      <c r="E686" s="268">
        <v>0</v>
      </c>
      <c r="F686" s="83">
        <f t="shared" si="66"/>
        <v>248</v>
      </c>
      <c r="G686" s="268">
        <v>97</v>
      </c>
      <c r="H686" s="268">
        <v>0</v>
      </c>
      <c r="I686" s="83">
        <f t="shared" si="67"/>
        <v>97</v>
      </c>
      <c r="J686" s="171">
        <f t="shared" si="68"/>
        <v>0.3911</v>
      </c>
      <c r="K686" s="177">
        <f t="shared" si="63"/>
        <v>2.8</v>
      </c>
      <c r="L686" s="177">
        <f t="shared" si="64"/>
        <v>0</v>
      </c>
      <c r="M686" s="177">
        <f t="shared" si="65"/>
        <v>2.8</v>
      </c>
    </row>
    <row r="687" spans="1:13" ht="12.75" customHeight="1">
      <c r="A687" s="268" t="s">
        <v>345</v>
      </c>
      <c r="B687" s="268" t="s">
        <v>2236</v>
      </c>
      <c r="C687" s="268" t="s">
        <v>2237</v>
      </c>
      <c r="D687" s="268">
        <v>174</v>
      </c>
      <c r="E687" s="268">
        <v>0</v>
      </c>
      <c r="F687" s="83">
        <f t="shared" si="66"/>
        <v>174</v>
      </c>
      <c r="G687" s="268">
        <v>63</v>
      </c>
      <c r="H687" s="268">
        <v>0</v>
      </c>
      <c r="I687" s="83">
        <f t="shared" si="67"/>
        <v>63</v>
      </c>
      <c r="J687" s="171">
        <f t="shared" si="68"/>
        <v>0.36209999999999998</v>
      </c>
      <c r="K687" s="177">
        <f t="shared" si="63"/>
        <v>0.5</v>
      </c>
      <c r="L687" s="177">
        <f t="shared" si="64"/>
        <v>0</v>
      </c>
      <c r="M687" s="177">
        <f t="shared" si="65"/>
        <v>0.5</v>
      </c>
    </row>
    <row r="688" spans="1:13" ht="12.75" customHeight="1">
      <c r="A688" s="268" t="s">
        <v>345</v>
      </c>
      <c r="B688" s="268" t="s">
        <v>2238</v>
      </c>
      <c r="C688" s="268" t="s">
        <v>2239</v>
      </c>
      <c r="D688" s="268">
        <v>182</v>
      </c>
      <c r="E688" s="268">
        <v>0</v>
      </c>
      <c r="F688" s="83">
        <f t="shared" si="66"/>
        <v>182</v>
      </c>
      <c r="G688" s="268">
        <v>39</v>
      </c>
      <c r="H688" s="268">
        <v>0</v>
      </c>
      <c r="I688" s="83">
        <f t="shared" si="67"/>
        <v>39</v>
      </c>
      <c r="J688" s="171">
        <f t="shared" si="68"/>
        <v>0.21429999999999999</v>
      </c>
      <c r="K688" s="177">
        <f t="shared" si="63"/>
        <v>0</v>
      </c>
      <c r="L688" s="177">
        <f t="shared" si="64"/>
        <v>0</v>
      </c>
      <c r="M688" s="177">
        <f t="shared" si="65"/>
        <v>0</v>
      </c>
    </row>
    <row r="689" spans="1:13" ht="12.75" customHeight="1">
      <c r="A689" s="268" t="s">
        <v>346</v>
      </c>
      <c r="B689" s="268" t="s">
        <v>2240</v>
      </c>
      <c r="C689" s="268" t="s">
        <v>2241</v>
      </c>
      <c r="D689" s="268">
        <v>186</v>
      </c>
      <c r="E689" s="268">
        <v>0</v>
      </c>
      <c r="F689" s="83">
        <f t="shared" si="66"/>
        <v>186</v>
      </c>
      <c r="G689" s="268">
        <v>80</v>
      </c>
      <c r="H689" s="268">
        <v>0</v>
      </c>
      <c r="I689" s="83">
        <f t="shared" si="67"/>
        <v>80</v>
      </c>
      <c r="J689" s="171">
        <f t="shared" si="68"/>
        <v>0.43009999999999998</v>
      </c>
      <c r="K689" s="177">
        <f t="shared" si="63"/>
        <v>4.5</v>
      </c>
      <c r="L689" s="177">
        <f t="shared" si="64"/>
        <v>0</v>
      </c>
      <c r="M689" s="177">
        <f t="shared" si="65"/>
        <v>4.5</v>
      </c>
    </row>
    <row r="690" spans="1:13" ht="12.75" customHeight="1">
      <c r="A690" s="268" t="s">
        <v>346</v>
      </c>
      <c r="B690" s="268" t="s">
        <v>2242</v>
      </c>
      <c r="C690" s="268" t="s">
        <v>2243</v>
      </c>
      <c r="D690" s="268">
        <v>205</v>
      </c>
      <c r="E690" s="268">
        <v>0</v>
      </c>
      <c r="F690" s="83">
        <f t="shared" si="66"/>
        <v>205</v>
      </c>
      <c r="G690" s="268">
        <v>41</v>
      </c>
      <c r="H690" s="268">
        <v>0</v>
      </c>
      <c r="I690" s="83">
        <f t="shared" si="67"/>
        <v>41</v>
      </c>
      <c r="J690" s="171">
        <f t="shared" si="68"/>
        <v>0.2</v>
      </c>
      <c r="K690" s="177">
        <f t="shared" si="63"/>
        <v>0</v>
      </c>
      <c r="L690" s="177">
        <f t="shared" si="64"/>
        <v>0</v>
      </c>
      <c r="M690" s="177">
        <f t="shared" si="65"/>
        <v>0</v>
      </c>
    </row>
    <row r="691" spans="1:13" ht="12.75" customHeight="1">
      <c r="A691" s="268" t="s">
        <v>347</v>
      </c>
      <c r="B691" s="268" t="s">
        <v>2244</v>
      </c>
      <c r="C691" s="268" t="s">
        <v>2245</v>
      </c>
      <c r="D691" s="268">
        <v>91</v>
      </c>
      <c r="E691" s="268">
        <v>0</v>
      </c>
      <c r="F691" s="83">
        <f t="shared" si="66"/>
        <v>91</v>
      </c>
      <c r="G691" s="268">
        <v>40</v>
      </c>
      <c r="H691" s="268">
        <v>0</v>
      </c>
      <c r="I691" s="83">
        <f t="shared" si="67"/>
        <v>40</v>
      </c>
      <c r="J691" s="171">
        <f t="shared" si="68"/>
        <v>0.43959999999999999</v>
      </c>
      <c r="K691" s="177">
        <f t="shared" si="63"/>
        <v>2.5</v>
      </c>
      <c r="L691" s="177">
        <f t="shared" si="64"/>
        <v>0</v>
      </c>
      <c r="M691" s="177">
        <f t="shared" si="65"/>
        <v>2.5</v>
      </c>
    </row>
    <row r="692" spans="1:13" ht="12.75" customHeight="1">
      <c r="A692" s="268" t="s">
        <v>347</v>
      </c>
      <c r="B692" s="268" t="s">
        <v>2246</v>
      </c>
      <c r="C692" s="268" t="s">
        <v>2247</v>
      </c>
      <c r="D692" s="268">
        <v>86</v>
      </c>
      <c r="E692" s="268">
        <v>0</v>
      </c>
      <c r="F692" s="83">
        <f t="shared" si="66"/>
        <v>86</v>
      </c>
      <c r="G692" s="268">
        <v>29</v>
      </c>
      <c r="H692" s="268">
        <v>0</v>
      </c>
      <c r="I692" s="83">
        <f t="shared" si="67"/>
        <v>29</v>
      </c>
      <c r="J692" s="171">
        <f t="shared" si="68"/>
        <v>0.3372</v>
      </c>
      <c r="K692" s="177">
        <f t="shared" si="63"/>
        <v>0</v>
      </c>
      <c r="L692" s="177">
        <f t="shared" si="64"/>
        <v>0</v>
      </c>
      <c r="M692" s="177">
        <f t="shared" si="65"/>
        <v>0</v>
      </c>
    </row>
    <row r="693" spans="1:13" ht="12.75" customHeight="1">
      <c r="A693" s="268" t="s">
        <v>348</v>
      </c>
      <c r="B693" s="268" t="s">
        <v>2248</v>
      </c>
      <c r="C693" s="268" t="s">
        <v>1526</v>
      </c>
      <c r="D693" s="268">
        <v>134</v>
      </c>
      <c r="E693" s="268">
        <v>0</v>
      </c>
      <c r="F693" s="83">
        <f t="shared" si="66"/>
        <v>134</v>
      </c>
      <c r="G693" s="268">
        <v>75</v>
      </c>
      <c r="H693" s="268">
        <v>0</v>
      </c>
      <c r="I693" s="83">
        <f t="shared" si="67"/>
        <v>75</v>
      </c>
      <c r="J693" s="171">
        <f t="shared" si="68"/>
        <v>0.55969999999999998</v>
      </c>
      <c r="K693" s="177">
        <f t="shared" si="63"/>
        <v>0</v>
      </c>
      <c r="L693" s="177">
        <f t="shared" si="64"/>
        <v>7.9</v>
      </c>
      <c r="M693" s="177">
        <f t="shared" si="65"/>
        <v>7.9</v>
      </c>
    </row>
    <row r="694" spans="1:13" ht="12.75" customHeight="1">
      <c r="A694" s="268" t="s">
        <v>348</v>
      </c>
      <c r="B694" s="268" t="s">
        <v>2249</v>
      </c>
      <c r="C694" s="268" t="s">
        <v>2250</v>
      </c>
      <c r="D694" s="268">
        <v>134</v>
      </c>
      <c r="E694" s="268">
        <v>0</v>
      </c>
      <c r="F694" s="83">
        <f t="shared" si="66"/>
        <v>134</v>
      </c>
      <c r="G694" s="268">
        <v>51</v>
      </c>
      <c r="H694" s="268">
        <v>0</v>
      </c>
      <c r="I694" s="83">
        <f t="shared" si="67"/>
        <v>51</v>
      </c>
      <c r="J694" s="171">
        <f t="shared" si="68"/>
        <v>0.38059999999999999</v>
      </c>
      <c r="K694" s="177">
        <f t="shared" si="63"/>
        <v>1.1000000000000001</v>
      </c>
      <c r="L694" s="177">
        <f t="shared" si="64"/>
        <v>0</v>
      </c>
      <c r="M694" s="177">
        <f t="shared" si="65"/>
        <v>1.1000000000000001</v>
      </c>
    </row>
    <row r="695" spans="1:13" ht="12.75" customHeight="1">
      <c r="A695" s="268" t="s">
        <v>349</v>
      </c>
      <c r="B695" s="268" t="s">
        <v>2251</v>
      </c>
      <c r="C695" s="268" t="s">
        <v>2252</v>
      </c>
      <c r="D695" s="268">
        <v>254</v>
      </c>
      <c r="E695" s="268">
        <v>0</v>
      </c>
      <c r="F695" s="83">
        <f t="shared" si="66"/>
        <v>254</v>
      </c>
      <c r="G695" s="268">
        <v>108</v>
      </c>
      <c r="H695" s="268">
        <v>0</v>
      </c>
      <c r="I695" s="83">
        <f t="shared" si="67"/>
        <v>108</v>
      </c>
      <c r="J695" s="171">
        <f t="shared" si="68"/>
        <v>0.42520000000000002</v>
      </c>
      <c r="K695" s="177">
        <f t="shared" si="63"/>
        <v>5.7</v>
      </c>
      <c r="L695" s="177">
        <f t="shared" si="64"/>
        <v>0</v>
      </c>
      <c r="M695" s="177">
        <f t="shared" si="65"/>
        <v>5.7</v>
      </c>
    </row>
    <row r="696" spans="1:13" ht="12.75" customHeight="1">
      <c r="A696" s="268" t="s">
        <v>349</v>
      </c>
      <c r="B696" s="268" t="s">
        <v>2253</v>
      </c>
      <c r="C696" s="268" t="s">
        <v>2254</v>
      </c>
      <c r="D696" s="268">
        <v>318</v>
      </c>
      <c r="E696" s="268">
        <v>0</v>
      </c>
      <c r="F696" s="83">
        <f t="shared" si="66"/>
        <v>318</v>
      </c>
      <c r="G696" s="268">
        <v>139</v>
      </c>
      <c r="H696" s="268">
        <v>0</v>
      </c>
      <c r="I696" s="83">
        <f t="shared" si="67"/>
        <v>139</v>
      </c>
      <c r="J696" s="171">
        <f t="shared" si="68"/>
        <v>0.43709999999999999</v>
      </c>
      <c r="K696" s="177">
        <f t="shared" si="63"/>
        <v>8.5</v>
      </c>
      <c r="L696" s="177">
        <f t="shared" si="64"/>
        <v>0</v>
      </c>
      <c r="M696" s="177">
        <f t="shared" si="65"/>
        <v>8.5</v>
      </c>
    </row>
    <row r="697" spans="1:13" ht="12.75" customHeight="1">
      <c r="A697" s="268" t="s">
        <v>349</v>
      </c>
      <c r="B697" s="268" t="s">
        <v>2255</v>
      </c>
      <c r="C697" s="268" t="s">
        <v>2256</v>
      </c>
      <c r="D697" s="268">
        <v>254</v>
      </c>
      <c r="E697" s="268">
        <v>0</v>
      </c>
      <c r="F697" s="83">
        <f t="shared" si="66"/>
        <v>254</v>
      </c>
      <c r="G697" s="268">
        <v>141</v>
      </c>
      <c r="H697" s="268">
        <v>0</v>
      </c>
      <c r="I697" s="83">
        <f t="shared" si="67"/>
        <v>141</v>
      </c>
      <c r="J697" s="171">
        <f t="shared" si="68"/>
        <v>0.55510000000000004</v>
      </c>
      <c r="K697" s="177">
        <f t="shared" si="63"/>
        <v>0</v>
      </c>
      <c r="L697" s="177">
        <f t="shared" si="64"/>
        <v>14.8</v>
      </c>
      <c r="M697" s="177">
        <f t="shared" si="65"/>
        <v>14.8</v>
      </c>
    </row>
    <row r="698" spans="1:13" ht="12.75" customHeight="1">
      <c r="A698" s="268" t="s">
        <v>350</v>
      </c>
      <c r="B698" s="268" t="s">
        <v>2257</v>
      </c>
      <c r="C698" s="268" t="s">
        <v>2258</v>
      </c>
      <c r="D698" s="268">
        <v>199</v>
      </c>
      <c r="E698" s="268">
        <v>0</v>
      </c>
      <c r="F698" s="83">
        <f t="shared" si="66"/>
        <v>199</v>
      </c>
      <c r="G698" s="268">
        <v>92</v>
      </c>
      <c r="H698" s="268">
        <v>0</v>
      </c>
      <c r="I698" s="83">
        <f t="shared" si="67"/>
        <v>92</v>
      </c>
      <c r="J698" s="171">
        <f t="shared" si="68"/>
        <v>0.46229999999999999</v>
      </c>
      <c r="K698" s="177">
        <f t="shared" si="63"/>
        <v>7.2</v>
      </c>
      <c r="L698" s="177">
        <f t="shared" si="64"/>
        <v>0</v>
      </c>
      <c r="M698" s="177">
        <f t="shared" si="65"/>
        <v>7.2</v>
      </c>
    </row>
    <row r="699" spans="1:13" ht="12.75" customHeight="1">
      <c r="A699" s="268" t="s">
        <v>350</v>
      </c>
      <c r="B699" s="268" t="s">
        <v>2259</v>
      </c>
      <c r="C699" s="268" t="s">
        <v>2260</v>
      </c>
      <c r="D699" s="268">
        <v>170</v>
      </c>
      <c r="E699" s="268">
        <v>0</v>
      </c>
      <c r="F699" s="83">
        <f t="shared" si="66"/>
        <v>170</v>
      </c>
      <c r="G699" s="268">
        <v>48</v>
      </c>
      <c r="H699" s="268">
        <v>0</v>
      </c>
      <c r="I699" s="83">
        <f t="shared" si="67"/>
        <v>48</v>
      </c>
      <c r="J699" s="171">
        <f t="shared" si="68"/>
        <v>0.28239999999999998</v>
      </c>
      <c r="K699" s="177">
        <f t="shared" si="63"/>
        <v>0</v>
      </c>
      <c r="L699" s="177">
        <f t="shared" si="64"/>
        <v>0</v>
      </c>
      <c r="M699" s="177">
        <f t="shared" si="65"/>
        <v>0</v>
      </c>
    </row>
    <row r="700" spans="1:13" ht="12.75" customHeight="1">
      <c r="A700" s="268" t="s">
        <v>350</v>
      </c>
      <c r="B700" s="268" t="s">
        <v>2261</v>
      </c>
      <c r="C700" s="268" t="s">
        <v>2262</v>
      </c>
      <c r="D700" s="268">
        <v>197</v>
      </c>
      <c r="E700" s="268">
        <v>0</v>
      </c>
      <c r="F700" s="83">
        <f t="shared" si="66"/>
        <v>197</v>
      </c>
      <c r="G700" s="268">
        <v>73</v>
      </c>
      <c r="H700" s="268">
        <v>0</v>
      </c>
      <c r="I700" s="83">
        <f t="shared" si="67"/>
        <v>73</v>
      </c>
      <c r="J700" s="171">
        <f t="shared" si="68"/>
        <v>0.37059999999999998</v>
      </c>
      <c r="K700" s="177">
        <f t="shared" si="63"/>
        <v>1.1000000000000001</v>
      </c>
      <c r="L700" s="177">
        <f t="shared" si="64"/>
        <v>0</v>
      </c>
      <c r="M700" s="177">
        <f t="shared" si="65"/>
        <v>1.1000000000000001</v>
      </c>
    </row>
    <row r="701" spans="1:13" ht="12.75" customHeight="1">
      <c r="A701" s="268" t="s">
        <v>350</v>
      </c>
      <c r="B701" s="268" t="s">
        <v>2263</v>
      </c>
      <c r="C701" s="268" t="s">
        <v>2264</v>
      </c>
      <c r="D701" s="268">
        <v>304</v>
      </c>
      <c r="E701" s="268">
        <v>0</v>
      </c>
      <c r="F701" s="83">
        <f t="shared" si="66"/>
        <v>304</v>
      </c>
      <c r="G701" s="268">
        <v>100</v>
      </c>
      <c r="H701" s="268">
        <v>0</v>
      </c>
      <c r="I701" s="83">
        <f t="shared" si="67"/>
        <v>100</v>
      </c>
      <c r="J701" s="171">
        <f t="shared" si="68"/>
        <v>0.32890000000000003</v>
      </c>
      <c r="K701" s="177">
        <f t="shared" si="63"/>
        <v>0</v>
      </c>
      <c r="L701" s="177">
        <f t="shared" si="64"/>
        <v>0</v>
      </c>
      <c r="M701" s="177">
        <f t="shared" si="65"/>
        <v>0</v>
      </c>
    </row>
    <row r="702" spans="1:13" ht="12.75" customHeight="1">
      <c r="A702" s="268" t="s">
        <v>351</v>
      </c>
      <c r="B702" s="268" t="s">
        <v>2265</v>
      </c>
      <c r="C702" s="268" t="s">
        <v>2266</v>
      </c>
      <c r="D702" s="268">
        <v>218</v>
      </c>
      <c r="E702" s="268">
        <v>0</v>
      </c>
      <c r="F702" s="83">
        <f t="shared" si="66"/>
        <v>218</v>
      </c>
      <c r="G702" s="268">
        <v>94</v>
      </c>
      <c r="H702" s="268">
        <v>0</v>
      </c>
      <c r="I702" s="83">
        <f t="shared" si="67"/>
        <v>94</v>
      </c>
      <c r="J702" s="171">
        <f t="shared" si="68"/>
        <v>0.43120000000000003</v>
      </c>
      <c r="K702" s="177">
        <f t="shared" si="63"/>
        <v>5.3</v>
      </c>
      <c r="L702" s="177">
        <f t="shared" si="64"/>
        <v>0</v>
      </c>
      <c r="M702" s="177">
        <f t="shared" si="65"/>
        <v>5.3</v>
      </c>
    </row>
    <row r="703" spans="1:13" ht="12.75" customHeight="1">
      <c r="A703" s="268" t="s">
        <v>351</v>
      </c>
      <c r="B703" s="268" t="s">
        <v>2267</v>
      </c>
      <c r="C703" s="268" t="s">
        <v>2268</v>
      </c>
      <c r="D703" s="268">
        <v>241</v>
      </c>
      <c r="E703" s="268">
        <v>0</v>
      </c>
      <c r="F703" s="83">
        <f t="shared" si="66"/>
        <v>241</v>
      </c>
      <c r="G703" s="268">
        <v>82</v>
      </c>
      <c r="H703" s="268">
        <v>0</v>
      </c>
      <c r="I703" s="83">
        <f t="shared" si="67"/>
        <v>82</v>
      </c>
      <c r="J703" s="171">
        <f t="shared" si="68"/>
        <v>0.3402</v>
      </c>
      <c r="K703" s="177">
        <f t="shared" si="63"/>
        <v>0</v>
      </c>
      <c r="L703" s="177">
        <f t="shared" si="64"/>
        <v>0</v>
      </c>
      <c r="M703" s="177">
        <f t="shared" si="65"/>
        <v>0</v>
      </c>
    </row>
    <row r="704" spans="1:13" ht="12.75" customHeight="1">
      <c r="A704" s="268" t="s">
        <v>351</v>
      </c>
      <c r="B704" s="268" t="s">
        <v>2269</v>
      </c>
      <c r="C704" s="268" t="s">
        <v>2270</v>
      </c>
      <c r="D704" s="268">
        <v>246</v>
      </c>
      <c r="E704" s="268">
        <v>0</v>
      </c>
      <c r="F704" s="83">
        <f t="shared" si="66"/>
        <v>246</v>
      </c>
      <c r="G704" s="268">
        <v>82</v>
      </c>
      <c r="H704" s="268">
        <v>0</v>
      </c>
      <c r="I704" s="83">
        <f t="shared" si="67"/>
        <v>82</v>
      </c>
      <c r="J704" s="171">
        <f t="shared" si="68"/>
        <v>0.33329999999999999</v>
      </c>
      <c r="K704" s="177">
        <f t="shared" si="63"/>
        <v>0</v>
      </c>
      <c r="L704" s="177">
        <f t="shared" si="64"/>
        <v>0</v>
      </c>
      <c r="M704" s="177">
        <f t="shared" si="65"/>
        <v>0</v>
      </c>
    </row>
    <row r="705" spans="1:13" ht="12.75" customHeight="1">
      <c r="A705" s="268" t="s">
        <v>351</v>
      </c>
      <c r="B705" s="268" t="s">
        <v>2271</v>
      </c>
      <c r="C705" s="268" t="s">
        <v>2272</v>
      </c>
      <c r="D705" s="268">
        <v>247</v>
      </c>
      <c r="E705" s="268">
        <v>0</v>
      </c>
      <c r="F705" s="83">
        <f t="shared" si="66"/>
        <v>247</v>
      </c>
      <c r="G705" s="268">
        <v>86</v>
      </c>
      <c r="H705" s="268">
        <v>0</v>
      </c>
      <c r="I705" s="83">
        <f t="shared" si="67"/>
        <v>86</v>
      </c>
      <c r="J705" s="171">
        <f t="shared" si="68"/>
        <v>0.34820000000000001</v>
      </c>
      <c r="K705" s="177">
        <f t="shared" si="63"/>
        <v>0</v>
      </c>
      <c r="L705" s="177">
        <f t="shared" si="64"/>
        <v>0</v>
      </c>
      <c r="M705" s="177">
        <f t="shared" si="65"/>
        <v>0</v>
      </c>
    </row>
    <row r="706" spans="1:13" ht="12.75" customHeight="1">
      <c r="A706" s="268" t="s">
        <v>352</v>
      </c>
      <c r="B706" s="268" t="s">
        <v>2273</v>
      </c>
      <c r="C706" s="268" t="s">
        <v>2274</v>
      </c>
      <c r="D706" s="268">
        <v>402</v>
      </c>
      <c r="E706" s="268">
        <v>0</v>
      </c>
      <c r="F706" s="83">
        <f t="shared" si="66"/>
        <v>402</v>
      </c>
      <c r="G706" s="268">
        <v>152</v>
      </c>
      <c r="H706" s="268">
        <v>0</v>
      </c>
      <c r="I706" s="83">
        <f t="shared" si="67"/>
        <v>152</v>
      </c>
      <c r="J706" s="171">
        <f t="shared" si="68"/>
        <v>0.37809999999999999</v>
      </c>
      <c r="K706" s="177">
        <f t="shared" si="63"/>
        <v>3</v>
      </c>
      <c r="L706" s="177">
        <f t="shared" si="64"/>
        <v>0</v>
      </c>
      <c r="M706" s="177">
        <f t="shared" si="65"/>
        <v>3</v>
      </c>
    </row>
    <row r="707" spans="1:13" ht="12.75" customHeight="1">
      <c r="A707" s="268" t="s">
        <v>352</v>
      </c>
      <c r="B707" s="268" t="s">
        <v>2275</v>
      </c>
      <c r="C707" s="268" t="s">
        <v>2276</v>
      </c>
      <c r="D707" s="268">
        <v>393</v>
      </c>
      <c r="E707" s="268">
        <v>0</v>
      </c>
      <c r="F707" s="83">
        <f t="shared" si="66"/>
        <v>393</v>
      </c>
      <c r="G707" s="268">
        <v>92</v>
      </c>
      <c r="H707" s="268">
        <v>0</v>
      </c>
      <c r="I707" s="83">
        <f t="shared" si="67"/>
        <v>92</v>
      </c>
      <c r="J707" s="171">
        <f t="shared" si="68"/>
        <v>0.2341</v>
      </c>
      <c r="K707" s="177">
        <f t="shared" si="63"/>
        <v>0</v>
      </c>
      <c r="L707" s="177">
        <f t="shared" si="64"/>
        <v>0</v>
      </c>
      <c r="M707" s="177">
        <f t="shared" si="65"/>
        <v>0</v>
      </c>
    </row>
    <row r="708" spans="1:13" ht="12.75" customHeight="1">
      <c r="A708" s="268" t="s">
        <v>353</v>
      </c>
      <c r="B708" s="268" t="s">
        <v>2277</v>
      </c>
      <c r="C708" s="268" t="s">
        <v>2278</v>
      </c>
      <c r="D708" s="268">
        <v>436</v>
      </c>
      <c r="E708" s="268">
        <v>0</v>
      </c>
      <c r="F708" s="83">
        <f t="shared" si="66"/>
        <v>436</v>
      </c>
      <c r="G708" s="268">
        <v>186</v>
      </c>
      <c r="H708" s="268">
        <v>0</v>
      </c>
      <c r="I708" s="83">
        <f t="shared" si="67"/>
        <v>186</v>
      </c>
      <c r="J708" s="171">
        <f t="shared" si="68"/>
        <v>0.42659999999999998</v>
      </c>
      <c r="K708" s="177">
        <f t="shared" si="63"/>
        <v>10</v>
      </c>
      <c r="L708" s="177">
        <f t="shared" si="64"/>
        <v>0</v>
      </c>
      <c r="M708" s="177">
        <f t="shared" si="65"/>
        <v>10</v>
      </c>
    </row>
    <row r="709" spans="1:13" ht="12.75" customHeight="1">
      <c r="A709" s="268" t="s">
        <v>353</v>
      </c>
      <c r="B709" s="268" t="s">
        <v>2279</v>
      </c>
      <c r="C709" s="268" t="s">
        <v>2280</v>
      </c>
      <c r="D709" s="268">
        <v>42</v>
      </c>
      <c r="E709" s="268">
        <v>0</v>
      </c>
      <c r="F709" s="83">
        <f t="shared" si="66"/>
        <v>42</v>
      </c>
      <c r="G709" s="268">
        <v>18</v>
      </c>
      <c r="H709" s="268">
        <v>0</v>
      </c>
      <c r="I709" s="83">
        <f t="shared" si="67"/>
        <v>18</v>
      </c>
      <c r="J709" s="171">
        <f t="shared" si="68"/>
        <v>0.42859999999999998</v>
      </c>
      <c r="K709" s="177">
        <f t="shared" ref="K709:K772" si="69">IF(AND((J709-35%)&gt;0,J709&lt;50%),I709*(J709-35%)*0.7,0)</f>
        <v>1</v>
      </c>
      <c r="L709" s="177">
        <f t="shared" ref="L709:L772" si="70">IF(J709&gt;=50%,I709*10.5%,0)</f>
        <v>0</v>
      </c>
      <c r="M709" s="177">
        <f t="shared" ref="M709:M772" si="71">MAX(K709,L709)</f>
        <v>1</v>
      </c>
    </row>
    <row r="710" spans="1:13" ht="12.75" customHeight="1">
      <c r="A710" s="268" t="s">
        <v>353</v>
      </c>
      <c r="B710" s="268" t="s">
        <v>2281</v>
      </c>
      <c r="C710" s="268" t="s">
        <v>2282</v>
      </c>
      <c r="D710" s="268">
        <v>47</v>
      </c>
      <c r="E710" s="268">
        <v>0</v>
      </c>
      <c r="F710" s="83">
        <f t="shared" ref="F710:F773" si="72">SUM(D710+E710)</f>
        <v>47</v>
      </c>
      <c r="G710" s="268">
        <v>20</v>
      </c>
      <c r="H710" s="268">
        <v>0</v>
      </c>
      <c r="I710" s="83">
        <f t="shared" si="67"/>
        <v>20</v>
      </c>
      <c r="J710" s="171">
        <f t="shared" si="68"/>
        <v>0.42549999999999999</v>
      </c>
      <c r="K710" s="177">
        <f t="shared" si="69"/>
        <v>1.1000000000000001</v>
      </c>
      <c r="L710" s="177">
        <f t="shared" si="70"/>
        <v>0</v>
      </c>
      <c r="M710" s="177">
        <f t="shared" si="71"/>
        <v>1.1000000000000001</v>
      </c>
    </row>
    <row r="711" spans="1:13" ht="12.75" customHeight="1">
      <c r="A711" s="268" t="s">
        <v>353</v>
      </c>
      <c r="B711" s="268" t="s">
        <v>2283</v>
      </c>
      <c r="C711" s="268" t="s">
        <v>2284</v>
      </c>
      <c r="D711" s="268">
        <v>478</v>
      </c>
      <c r="E711" s="268">
        <v>0</v>
      </c>
      <c r="F711" s="83">
        <f t="shared" si="72"/>
        <v>478</v>
      </c>
      <c r="G711" s="268">
        <v>143</v>
      </c>
      <c r="H711" s="268">
        <v>0</v>
      </c>
      <c r="I711" s="83">
        <f t="shared" si="67"/>
        <v>143</v>
      </c>
      <c r="J711" s="171">
        <f t="shared" si="68"/>
        <v>0.29920000000000002</v>
      </c>
      <c r="K711" s="177">
        <f t="shared" si="69"/>
        <v>0</v>
      </c>
      <c r="L711" s="177">
        <f t="shared" si="70"/>
        <v>0</v>
      </c>
      <c r="M711" s="177">
        <f t="shared" si="71"/>
        <v>0</v>
      </c>
    </row>
    <row r="712" spans="1:13" ht="12.75" customHeight="1">
      <c r="A712" s="268" t="s">
        <v>354</v>
      </c>
      <c r="B712" s="268" t="s">
        <v>2285</v>
      </c>
      <c r="C712" s="268" t="s">
        <v>2286</v>
      </c>
      <c r="D712" s="268">
        <v>331</v>
      </c>
      <c r="E712" s="268">
        <v>0</v>
      </c>
      <c r="F712" s="83">
        <f t="shared" si="72"/>
        <v>331</v>
      </c>
      <c r="G712" s="268">
        <v>161</v>
      </c>
      <c r="H712" s="268">
        <v>0</v>
      </c>
      <c r="I712" s="83">
        <f t="shared" si="67"/>
        <v>161</v>
      </c>
      <c r="J712" s="171">
        <f t="shared" si="68"/>
        <v>0.4864</v>
      </c>
      <c r="K712" s="177">
        <f t="shared" si="69"/>
        <v>15.4</v>
      </c>
      <c r="L712" s="177">
        <f t="shared" si="70"/>
        <v>0</v>
      </c>
      <c r="M712" s="177">
        <f t="shared" si="71"/>
        <v>15.4</v>
      </c>
    </row>
    <row r="713" spans="1:13" ht="12.75" customHeight="1">
      <c r="A713" s="268" t="s">
        <v>354</v>
      </c>
      <c r="B713" s="268" t="s">
        <v>2287</v>
      </c>
      <c r="C713" s="268" t="s">
        <v>2288</v>
      </c>
      <c r="D713" s="268">
        <v>120</v>
      </c>
      <c r="E713" s="268">
        <v>0</v>
      </c>
      <c r="F713" s="83">
        <f t="shared" si="72"/>
        <v>120</v>
      </c>
      <c r="G713" s="268">
        <v>49</v>
      </c>
      <c r="H713" s="268">
        <v>0</v>
      </c>
      <c r="I713" s="83">
        <f t="shared" si="67"/>
        <v>49</v>
      </c>
      <c r="J713" s="171">
        <f t="shared" si="68"/>
        <v>0.4083</v>
      </c>
      <c r="K713" s="177">
        <f t="shared" si="69"/>
        <v>2</v>
      </c>
      <c r="L713" s="177">
        <f t="shared" si="70"/>
        <v>0</v>
      </c>
      <c r="M713" s="177">
        <f t="shared" si="71"/>
        <v>2</v>
      </c>
    </row>
    <row r="714" spans="1:13" ht="12.75" customHeight="1">
      <c r="A714" s="268" t="s">
        <v>355</v>
      </c>
      <c r="B714" s="268" t="s">
        <v>2289</v>
      </c>
      <c r="C714" s="268" t="s">
        <v>2290</v>
      </c>
      <c r="D714" s="268">
        <v>414</v>
      </c>
      <c r="E714" s="268">
        <v>0</v>
      </c>
      <c r="F714" s="83">
        <f t="shared" si="72"/>
        <v>414</v>
      </c>
      <c r="G714" s="268">
        <v>231</v>
      </c>
      <c r="H714" s="268">
        <v>0</v>
      </c>
      <c r="I714" s="83">
        <f t="shared" si="67"/>
        <v>231</v>
      </c>
      <c r="J714" s="171">
        <f t="shared" si="68"/>
        <v>0.55800000000000005</v>
      </c>
      <c r="K714" s="177">
        <f t="shared" si="69"/>
        <v>0</v>
      </c>
      <c r="L714" s="177">
        <f t="shared" si="70"/>
        <v>24.3</v>
      </c>
      <c r="M714" s="177">
        <f t="shared" si="71"/>
        <v>24.3</v>
      </c>
    </row>
    <row r="715" spans="1:13" ht="12.75" customHeight="1">
      <c r="A715" s="268" t="s">
        <v>355</v>
      </c>
      <c r="B715" s="268" t="s">
        <v>2291</v>
      </c>
      <c r="C715" s="268" t="s">
        <v>2292</v>
      </c>
      <c r="D715" s="268">
        <v>156</v>
      </c>
      <c r="E715" s="268">
        <v>0</v>
      </c>
      <c r="F715" s="83">
        <f t="shared" si="72"/>
        <v>156</v>
      </c>
      <c r="G715" s="268">
        <v>91</v>
      </c>
      <c r="H715" s="268">
        <v>0</v>
      </c>
      <c r="I715" s="83">
        <f t="shared" si="67"/>
        <v>91</v>
      </c>
      <c r="J715" s="171">
        <f t="shared" si="68"/>
        <v>0.58330000000000004</v>
      </c>
      <c r="K715" s="177">
        <f t="shared" si="69"/>
        <v>0</v>
      </c>
      <c r="L715" s="177">
        <f t="shared" si="70"/>
        <v>9.6</v>
      </c>
      <c r="M715" s="177">
        <f t="shared" si="71"/>
        <v>9.6</v>
      </c>
    </row>
    <row r="716" spans="1:13" ht="12.75" customHeight="1">
      <c r="A716" s="268" t="s">
        <v>355</v>
      </c>
      <c r="B716" s="268" t="s">
        <v>2293</v>
      </c>
      <c r="C716" s="268" t="s">
        <v>2294</v>
      </c>
      <c r="D716" s="268">
        <v>228</v>
      </c>
      <c r="E716" s="268">
        <v>0</v>
      </c>
      <c r="F716" s="83">
        <f t="shared" si="72"/>
        <v>228</v>
      </c>
      <c r="G716" s="268">
        <v>120</v>
      </c>
      <c r="H716" s="268">
        <v>0</v>
      </c>
      <c r="I716" s="83">
        <f t="shared" si="67"/>
        <v>120</v>
      </c>
      <c r="J716" s="171">
        <f t="shared" si="68"/>
        <v>0.52629999999999999</v>
      </c>
      <c r="K716" s="177">
        <f t="shared" si="69"/>
        <v>0</v>
      </c>
      <c r="L716" s="177">
        <f t="shared" si="70"/>
        <v>12.6</v>
      </c>
      <c r="M716" s="177">
        <f t="shared" si="71"/>
        <v>12.6</v>
      </c>
    </row>
    <row r="717" spans="1:13" ht="12.75" customHeight="1">
      <c r="A717" s="268" t="s">
        <v>355</v>
      </c>
      <c r="B717" s="268" t="s">
        <v>2295</v>
      </c>
      <c r="C717" s="268" t="s">
        <v>2296</v>
      </c>
      <c r="D717" s="268">
        <v>350</v>
      </c>
      <c r="E717" s="268">
        <v>0</v>
      </c>
      <c r="F717" s="83">
        <f t="shared" si="72"/>
        <v>350</v>
      </c>
      <c r="G717" s="268">
        <v>168</v>
      </c>
      <c r="H717" s="268">
        <v>0</v>
      </c>
      <c r="I717" s="83">
        <f t="shared" si="67"/>
        <v>168</v>
      </c>
      <c r="J717" s="171">
        <f t="shared" si="68"/>
        <v>0.48</v>
      </c>
      <c r="K717" s="177">
        <f t="shared" si="69"/>
        <v>15.3</v>
      </c>
      <c r="L717" s="177">
        <f t="shared" si="70"/>
        <v>0</v>
      </c>
      <c r="M717" s="177">
        <f t="shared" si="71"/>
        <v>15.3</v>
      </c>
    </row>
    <row r="718" spans="1:13" ht="12.75" customHeight="1">
      <c r="A718" s="268" t="s">
        <v>356</v>
      </c>
      <c r="B718" s="268" t="s">
        <v>2297</v>
      </c>
      <c r="C718" s="268" t="s">
        <v>2298</v>
      </c>
      <c r="D718" s="268">
        <v>400</v>
      </c>
      <c r="E718" s="268">
        <v>0</v>
      </c>
      <c r="F718" s="83">
        <f t="shared" si="72"/>
        <v>400</v>
      </c>
      <c r="G718" s="268">
        <v>99</v>
      </c>
      <c r="H718" s="268">
        <v>0</v>
      </c>
      <c r="I718" s="83">
        <f t="shared" si="67"/>
        <v>99</v>
      </c>
      <c r="J718" s="171">
        <f t="shared" si="68"/>
        <v>0.2475</v>
      </c>
      <c r="K718" s="177">
        <f t="shared" si="69"/>
        <v>0</v>
      </c>
      <c r="L718" s="177">
        <f t="shared" si="70"/>
        <v>0</v>
      </c>
      <c r="M718" s="177">
        <f t="shared" si="71"/>
        <v>0</v>
      </c>
    </row>
    <row r="719" spans="1:13" ht="12.75" customHeight="1">
      <c r="A719" s="268" t="s">
        <v>356</v>
      </c>
      <c r="B719" s="268" t="s">
        <v>2299</v>
      </c>
      <c r="C719" s="268" t="s">
        <v>2300</v>
      </c>
      <c r="D719" s="268">
        <v>416</v>
      </c>
      <c r="E719" s="268">
        <v>0</v>
      </c>
      <c r="F719" s="83">
        <f t="shared" si="72"/>
        <v>416</v>
      </c>
      <c r="G719" s="268">
        <v>125</v>
      </c>
      <c r="H719" s="268">
        <v>0</v>
      </c>
      <c r="I719" s="83">
        <f t="shared" si="67"/>
        <v>125</v>
      </c>
      <c r="J719" s="171">
        <f t="shared" si="68"/>
        <v>0.30049999999999999</v>
      </c>
      <c r="K719" s="177">
        <f t="shared" si="69"/>
        <v>0</v>
      </c>
      <c r="L719" s="177">
        <f t="shared" si="70"/>
        <v>0</v>
      </c>
      <c r="M719" s="177">
        <f t="shared" si="71"/>
        <v>0</v>
      </c>
    </row>
    <row r="720" spans="1:13" ht="12.75" customHeight="1">
      <c r="A720" s="268" t="s">
        <v>356</v>
      </c>
      <c r="B720" s="268" t="s">
        <v>2301</v>
      </c>
      <c r="C720" s="268" t="s">
        <v>2302</v>
      </c>
      <c r="D720" s="268">
        <v>627</v>
      </c>
      <c r="E720" s="268">
        <v>0</v>
      </c>
      <c r="F720" s="83">
        <f t="shared" si="72"/>
        <v>627</v>
      </c>
      <c r="G720" s="268">
        <v>157</v>
      </c>
      <c r="H720" s="268">
        <v>0</v>
      </c>
      <c r="I720" s="83">
        <f t="shared" si="67"/>
        <v>157</v>
      </c>
      <c r="J720" s="171">
        <f t="shared" si="68"/>
        <v>0.25040000000000001</v>
      </c>
      <c r="K720" s="177">
        <f t="shared" si="69"/>
        <v>0</v>
      </c>
      <c r="L720" s="177">
        <f t="shared" si="70"/>
        <v>0</v>
      </c>
      <c r="M720" s="177">
        <f t="shared" si="71"/>
        <v>0</v>
      </c>
    </row>
    <row r="721" spans="1:13" ht="12.75" customHeight="1">
      <c r="A721" s="268" t="s">
        <v>356</v>
      </c>
      <c r="B721" s="268" t="s">
        <v>2303</v>
      </c>
      <c r="C721" s="268" t="s">
        <v>2304</v>
      </c>
      <c r="D721" s="268">
        <v>450</v>
      </c>
      <c r="E721" s="268">
        <v>0</v>
      </c>
      <c r="F721" s="83">
        <f t="shared" si="72"/>
        <v>450</v>
      </c>
      <c r="G721" s="268">
        <v>135</v>
      </c>
      <c r="H721" s="268">
        <v>0</v>
      </c>
      <c r="I721" s="83">
        <f t="shared" si="67"/>
        <v>135</v>
      </c>
      <c r="J721" s="171">
        <f t="shared" si="68"/>
        <v>0.3</v>
      </c>
      <c r="K721" s="177">
        <f t="shared" si="69"/>
        <v>0</v>
      </c>
      <c r="L721" s="177">
        <f t="shared" si="70"/>
        <v>0</v>
      </c>
      <c r="M721" s="177">
        <f t="shared" si="71"/>
        <v>0</v>
      </c>
    </row>
    <row r="722" spans="1:13" ht="12.75" customHeight="1">
      <c r="A722" s="268" t="s">
        <v>357</v>
      </c>
      <c r="B722" s="268" t="s">
        <v>2305</v>
      </c>
      <c r="C722" s="268" t="s">
        <v>2306</v>
      </c>
      <c r="D722" s="268">
        <v>101</v>
      </c>
      <c r="E722" s="268">
        <v>0</v>
      </c>
      <c r="F722" s="83">
        <f t="shared" si="72"/>
        <v>101</v>
      </c>
      <c r="G722" s="268">
        <v>45</v>
      </c>
      <c r="H722" s="268">
        <v>0</v>
      </c>
      <c r="I722" s="83">
        <f t="shared" si="67"/>
        <v>45</v>
      </c>
      <c r="J722" s="171">
        <f t="shared" si="68"/>
        <v>0.44550000000000001</v>
      </c>
      <c r="K722" s="177">
        <f t="shared" si="69"/>
        <v>3</v>
      </c>
      <c r="L722" s="177">
        <f t="shared" si="70"/>
        <v>0</v>
      </c>
      <c r="M722" s="177">
        <f t="shared" si="71"/>
        <v>3</v>
      </c>
    </row>
    <row r="723" spans="1:13" ht="12.75" customHeight="1">
      <c r="A723" s="268" t="s">
        <v>357</v>
      </c>
      <c r="B723" s="268" t="s">
        <v>2307</v>
      </c>
      <c r="C723" s="268" t="s">
        <v>2308</v>
      </c>
      <c r="D723" s="268">
        <v>127</v>
      </c>
      <c r="E723" s="268">
        <v>0</v>
      </c>
      <c r="F723" s="83">
        <f t="shared" si="72"/>
        <v>127</v>
      </c>
      <c r="G723" s="268">
        <v>47</v>
      </c>
      <c r="H723" s="268">
        <v>0</v>
      </c>
      <c r="I723" s="83">
        <f t="shared" si="67"/>
        <v>47</v>
      </c>
      <c r="J723" s="171">
        <f t="shared" si="68"/>
        <v>0.37009999999999998</v>
      </c>
      <c r="K723" s="177">
        <f t="shared" si="69"/>
        <v>0.7</v>
      </c>
      <c r="L723" s="177">
        <f t="shared" si="70"/>
        <v>0</v>
      </c>
      <c r="M723" s="177">
        <f t="shared" si="71"/>
        <v>0.7</v>
      </c>
    </row>
    <row r="724" spans="1:13" ht="12.75" customHeight="1">
      <c r="A724" s="268" t="s">
        <v>358</v>
      </c>
      <c r="B724" s="268" t="s">
        <v>2309</v>
      </c>
      <c r="C724" s="268" t="s">
        <v>2310</v>
      </c>
      <c r="D724" s="268">
        <v>85</v>
      </c>
      <c r="E724" s="268">
        <v>0</v>
      </c>
      <c r="F724" s="83">
        <f t="shared" si="72"/>
        <v>85</v>
      </c>
      <c r="G724" s="268">
        <v>19</v>
      </c>
      <c r="H724" s="268">
        <v>0</v>
      </c>
      <c r="I724" s="83">
        <f t="shared" si="67"/>
        <v>19</v>
      </c>
      <c r="J724" s="171">
        <f t="shared" si="68"/>
        <v>0.2235</v>
      </c>
      <c r="K724" s="177">
        <f t="shared" si="69"/>
        <v>0</v>
      </c>
      <c r="L724" s="177">
        <f t="shared" si="70"/>
        <v>0</v>
      </c>
      <c r="M724" s="177">
        <f t="shared" si="71"/>
        <v>0</v>
      </c>
    </row>
    <row r="725" spans="1:13" ht="12.75" customHeight="1">
      <c r="A725" s="268" t="s">
        <v>358</v>
      </c>
      <c r="B725" s="268" t="s">
        <v>2311</v>
      </c>
      <c r="C725" s="268" t="s">
        <v>2312</v>
      </c>
      <c r="D725" s="268">
        <v>60</v>
      </c>
      <c r="E725" s="268">
        <v>0</v>
      </c>
      <c r="F725" s="83">
        <f t="shared" si="72"/>
        <v>60</v>
      </c>
      <c r="G725" s="268">
        <v>11</v>
      </c>
      <c r="H725" s="268">
        <v>0</v>
      </c>
      <c r="I725" s="83">
        <f t="shared" si="67"/>
        <v>11</v>
      </c>
      <c r="J725" s="171">
        <f t="shared" si="68"/>
        <v>0.18329999999999999</v>
      </c>
      <c r="K725" s="177">
        <f t="shared" si="69"/>
        <v>0</v>
      </c>
      <c r="L725" s="177">
        <f t="shared" si="70"/>
        <v>0</v>
      </c>
      <c r="M725" s="177">
        <f t="shared" si="71"/>
        <v>0</v>
      </c>
    </row>
    <row r="726" spans="1:13" ht="12.75" customHeight="1">
      <c r="A726" s="268" t="s">
        <v>359</v>
      </c>
      <c r="B726" s="268" t="s">
        <v>2313</v>
      </c>
      <c r="C726" s="268" t="s">
        <v>2314</v>
      </c>
      <c r="D726" s="268">
        <v>408</v>
      </c>
      <c r="E726" s="268">
        <v>0</v>
      </c>
      <c r="F726" s="83">
        <f t="shared" si="72"/>
        <v>408</v>
      </c>
      <c r="G726" s="268">
        <v>46</v>
      </c>
      <c r="H726" s="268">
        <v>0</v>
      </c>
      <c r="I726" s="83">
        <f t="shared" si="67"/>
        <v>46</v>
      </c>
      <c r="J726" s="171">
        <f t="shared" si="68"/>
        <v>0.11269999999999999</v>
      </c>
      <c r="K726" s="177">
        <f t="shared" si="69"/>
        <v>0</v>
      </c>
      <c r="L726" s="177">
        <f t="shared" si="70"/>
        <v>0</v>
      </c>
      <c r="M726" s="177">
        <f t="shared" si="71"/>
        <v>0</v>
      </c>
    </row>
    <row r="727" spans="1:13" ht="12.75" customHeight="1">
      <c r="A727" s="268" t="s">
        <v>359</v>
      </c>
      <c r="B727" s="268" t="s">
        <v>2315</v>
      </c>
      <c r="C727" s="268" t="s">
        <v>2316</v>
      </c>
      <c r="D727" s="268">
        <v>311</v>
      </c>
      <c r="E727" s="268">
        <v>0</v>
      </c>
      <c r="F727" s="83">
        <f t="shared" si="72"/>
        <v>311</v>
      </c>
      <c r="G727" s="268">
        <v>36</v>
      </c>
      <c r="H727" s="268">
        <v>0</v>
      </c>
      <c r="I727" s="83">
        <f t="shared" si="67"/>
        <v>36</v>
      </c>
      <c r="J727" s="171">
        <f t="shared" si="68"/>
        <v>0.1158</v>
      </c>
      <c r="K727" s="177">
        <f t="shared" si="69"/>
        <v>0</v>
      </c>
      <c r="L727" s="177">
        <f t="shared" si="70"/>
        <v>0</v>
      </c>
      <c r="M727" s="177">
        <f t="shared" si="71"/>
        <v>0</v>
      </c>
    </row>
    <row r="728" spans="1:13" ht="12.75" customHeight="1">
      <c r="A728" s="268" t="s">
        <v>360</v>
      </c>
      <c r="B728" s="268" t="s">
        <v>2317</v>
      </c>
      <c r="C728" s="268" t="s">
        <v>2318</v>
      </c>
      <c r="D728" s="268">
        <v>1011</v>
      </c>
      <c r="E728" s="268">
        <v>0</v>
      </c>
      <c r="F728" s="83">
        <f t="shared" si="72"/>
        <v>1011</v>
      </c>
      <c r="G728" s="268">
        <v>378</v>
      </c>
      <c r="H728" s="268">
        <v>0</v>
      </c>
      <c r="I728" s="83">
        <f t="shared" si="67"/>
        <v>378</v>
      </c>
      <c r="J728" s="171">
        <f t="shared" si="68"/>
        <v>0.37390000000000001</v>
      </c>
      <c r="K728" s="177">
        <f t="shared" si="69"/>
        <v>6.3</v>
      </c>
      <c r="L728" s="177">
        <f t="shared" si="70"/>
        <v>0</v>
      </c>
      <c r="M728" s="177">
        <f t="shared" si="71"/>
        <v>6.3</v>
      </c>
    </row>
    <row r="729" spans="1:13" ht="12.75" customHeight="1">
      <c r="A729" s="268" t="s">
        <v>360</v>
      </c>
      <c r="B729" s="268" t="s">
        <v>2319</v>
      </c>
      <c r="C729" s="268" t="s">
        <v>2320</v>
      </c>
      <c r="D729" s="268">
        <v>507</v>
      </c>
      <c r="E729" s="268">
        <v>0</v>
      </c>
      <c r="F729" s="83">
        <f t="shared" si="72"/>
        <v>507</v>
      </c>
      <c r="G729" s="268">
        <v>218</v>
      </c>
      <c r="H729" s="268">
        <v>0</v>
      </c>
      <c r="I729" s="83">
        <f t="shared" si="67"/>
        <v>218</v>
      </c>
      <c r="J729" s="171">
        <f t="shared" si="68"/>
        <v>0.43</v>
      </c>
      <c r="K729" s="177">
        <f t="shared" si="69"/>
        <v>12.2</v>
      </c>
      <c r="L729" s="177">
        <f t="shared" si="70"/>
        <v>0</v>
      </c>
      <c r="M729" s="177">
        <f t="shared" si="71"/>
        <v>12.2</v>
      </c>
    </row>
    <row r="730" spans="1:13" ht="12.75" customHeight="1">
      <c r="A730" s="268" t="s">
        <v>360</v>
      </c>
      <c r="B730" s="268" t="s">
        <v>2321</v>
      </c>
      <c r="C730" s="268" t="s">
        <v>2322</v>
      </c>
      <c r="D730" s="268">
        <v>257</v>
      </c>
      <c r="E730" s="268">
        <v>0</v>
      </c>
      <c r="F730" s="83">
        <f t="shared" si="72"/>
        <v>257</v>
      </c>
      <c r="G730" s="268">
        <v>116</v>
      </c>
      <c r="H730" s="268">
        <v>0</v>
      </c>
      <c r="I730" s="83">
        <f t="shared" si="67"/>
        <v>116</v>
      </c>
      <c r="J730" s="171">
        <f t="shared" si="68"/>
        <v>0.45140000000000002</v>
      </c>
      <c r="K730" s="177">
        <f t="shared" si="69"/>
        <v>8.1999999999999993</v>
      </c>
      <c r="L730" s="177">
        <f t="shared" si="70"/>
        <v>0</v>
      </c>
      <c r="M730" s="177">
        <f t="shared" si="71"/>
        <v>8.1999999999999993</v>
      </c>
    </row>
    <row r="731" spans="1:13" ht="12.75" customHeight="1">
      <c r="A731" s="268" t="s">
        <v>360</v>
      </c>
      <c r="B731" s="268" t="s">
        <v>2323</v>
      </c>
      <c r="C731" s="268" t="s">
        <v>2324</v>
      </c>
      <c r="D731" s="268">
        <v>551</v>
      </c>
      <c r="E731" s="268">
        <v>0</v>
      </c>
      <c r="F731" s="83">
        <f t="shared" si="72"/>
        <v>551</v>
      </c>
      <c r="G731" s="268">
        <v>236</v>
      </c>
      <c r="H731" s="268">
        <v>0</v>
      </c>
      <c r="I731" s="83">
        <f t="shared" si="67"/>
        <v>236</v>
      </c>
      <c r="J731" s="171">
        <f t="shared" si="68"/>
        <v>0.42830000000000001</v>
      </c>
      <c r="K731" s="177">
        <f t="shared" si="69"/>
        <v>12.9</v>
      </c>
      <c r="L731" s="177">
        <f t="shared" si="70"/>
        <v>0</v>
      </c>
      <c r="M731" s="177">
        <f t="shared" si="71"/>
        <v>12.9</v>
      </c>
    </row>
    <row r="732" spans="1:13" ht="12.75" customHeight="1">
      <c r="A732" s="268" t="s">
        <v>360</v>
      </c>
      <c r="B732" s="268" t="s">
        <v>2325</v>
      </c>
      <c r="C732" s="268" t="s">
        <v>2326</v>
      </c>
      <c r="D732" s="268">
        <v>317</v>
      </c>
      <c r="E732" s="268">
        <v>0</v>
      </c>
      <c r="F732" s="83">
        <f t="shared" si="72"/>
        <v>317</v>
      </c>
      <c r="G732" s="268">
        <v>152</v>
      </c>
      <c r="H732" s="268">
        <v>0</v>
      </c>
      <c r="I732" s="83">
        <f t="shared" si="67"/>
        <v>152</v>
      </c>
      <c r="J732" s="171">
        <f t="shared" si="68"/>
        <v>0.47949999999999998</v>
      </c>
      <c r="K732" s="177">
        <f t="shared" si="69"/>
        <v>13.8</v>
      </c>
      <c r="L732" s="177">
        <f t="shared" si="70"/>
        <v>0</v>
      </c>
      <c r="M732" s="177">
        <f t="shared" si="71"/>
        <v>13.8</v>
      </c>
    </row>
    <row r="733" spans="1:13" ht="12.75" customHeight="1">
      <c r="A733" s="268" t="s">
        <v>360</v>
      </c>
      <c r="B733" s="268" t="s">
        <v>2327</v>
      </c>
      <c r="C733" s="268" t="s">
        <v>2328</v>
      </c>
      <c r="D733" s="268">
        <v>369</v>
      </c>
      <c r="E733" s="268">
        <v>0</v>
      </c>
      <c r="F733" s="83">
        <f t="shared" si="72"/>
        <v>369</v>
      </c>
      <c r="G733" s="268">
        <v>147</v>
      </c>
      <c r="H733" s="268">
        <v>0</v>
      </c>
      <c r="I733" s="83">
        <f t="shared" si="67"/>
        <v>147</v>
      </c>
      <c r="J733" s="171">
        <f t="shared" si="68"/>
        <v>0.39839999999999998</v>
      </c>
      <c r="K733" s="177">
        <f t="shared" si="69"/>
        <v>5</v>
      </c>
      <c r="L733" s="177">
        <f t="shared" si="70"/>
        <v>0</v>
      </c>
      <c r="M733" s="177">
        <f t="shared" si="71"/>
        <v>5</v>
      </c>
    </row>
    <row r="734" spans="1:13" ht="12.75" customHeight="1">
      <c r="A734" s="268" t="s">
        <v>360</v>
      </c>
      <c r="B734" s="268" t="s">
        <v>2329</v>
      </c>
      <c r="C734" s="268" t="s">
        <v>2330</v>
      </c>
      <c r="D734" s="268">
        <v>286</v>
      </c>
      <c r="E734" s="268">
        <v>0</v>
      </c>
      <c r="F734" s="83">
        <f t="shared" si="72"/>
        <v>286</v>
      </c>
      <c r="G734" s="268">
        <v>158</v>
      </c>
      <c r="H734" s="268">
        <v>0</v>
      </c>
      <c r="I734" s="83">
        <f t="shared" si="67"/>
        <v>158</v>
      </c>
      <c r="J734" s="171">
        <f t="shared" si="68"/>
        <v>0.5524</v>
      </c>
      <c r="K734" s="177">
        <f t="shared" si="69"/>
        <v>0</v>
      </c>
      <c r="L734" s="177">
        <f t="shared" si="70"/>
        <v>16.600000000000001</v>
      </c>
      <c r="M734" s="177">
        <f t="shared" si="71"/>
        <v>16.600000000000001</v>
      </c>
    </row>
    <row r="735" spans="1:13" ht="12.75" customHeight="1">
      <c r="A735" s="268" t="s">
        <v>360</v>
      </c>
      <c r="B735" s="268" t="s">
        <v>2331</v>
      </c>
      <c r="C735" s="268" t="s">
        <v>2332</v>
      </c>
      <c r="D735" s="268">
        <v>205</v>
      </c>
      <c r="E735" s="268">
        <v>0</v>
      </c>
      <c r="F735" s="83">
        <f t="shared" si="72"/>
        <v>205</v>
      </c>
      <c r="G735" s="268">
        <v>53</v>
      </c>
      <c r="H735" s="268">
        <v>0</v>
      </c>
      <c r="I735" s="83">
        <f t="shared" si="67"/>
        <v>53</v>
      </c>
      <c r="J735" s="171">
        <f t="shared" si="68"/>
        <v>0.25850000000000001</v>
      </c>
      <c r="K735" s="177">
        <f t="shared" si="69"/>
        <v>0</v>
      </c>
      <c r="L735" s="177">
        <f t="shared" si="70"/>
        <v>0</v>
      </c>
      <c r="M735" s="177">
        <f t="shared" si="71"/>
        <v>0</v>
      </c>
    </row>
    <row r="736" spans="1:13" ht="12.75" customHeight="1">
      <c r="A736" s="268" t="s">
        <v>361</v>
      </c>
      <c r="B736" s="268" t="s">
        <v>2333</v>
      </c>
      <c r="C736" s="268" t="s">
        <v>2334</v>
      </c>
      <c r="D736" s="268">
        <v>229</v>
      </c>
      <c r="E736" s="268">
        <v>0</v>
      </c>
      <c r="F736" s="83">
        <f t="shared" si="72"/>
        <v>229</v>
      </c>
      <c r="G736" s="268">
        <v>125</v>
      </c>
      <c r="H736" s="268">
        <v>0</v>
      </c>
      <c r="I736" s="83">
        <f t="shared" si="67"/>
        <v>125</v>
      </c>
      <c r="J736" s="171">
        <f t="shared" si="68"/>
        <v>0.54590000000000005</v>
      </c>
      <c r="K736" s="177">
        <f t="shared" si="69"/>
        <v>0</v>
      </c>
      <c r="L736" s="177">
        <f t="shared" si="70"/>
        <v>13.1</v>
      </c>
      <c r="M736" s="177">
        <f t="shared" si="71"/>
        <v>13.1</v>
      </c>
    </row>
    <row r="737" spans="1:13" ht="12.75" customHeight="1">
      <c r="A737" s="268" t="s">
        <v>361</v>
      </c>
      <c r="B737" s="268" t="s">
        <v>2335</v>
      </c>
      <c r="C737" s="268" t="s">
        <v>2336</v>
      </c>
      <c r="D737" s="268">
        <v>117</v>
      </c>
      <c r="E737" s="268">
        <v>0</v>
      </c>
      <c r="F737" s="83">
        <f t="shared" si="72"/>
        <v>117</v>
      </c>
      <c r="G737" s="268">
        <v>44</v>
      </c>
      <c r="H737" s="268">
        <v>0</v>
      </c>
      <c r="I737" s="83">
        <f t="shared" si="67"/>
        <v>44</v>
      </c>
      <c r="J737" s="171">
        <f t="shared" si="68"/>
        <v>0.37609999999999999</v>
      </c>
      <c r="K737" s="177">
        <f t="shared" si="69"/>
        <v>0.8</v>
      </c>
      <c r="L737" s="177">
        <f t="shared" si="70"/>
        <v>0</v>
      </c>
      <c r="M737" s="177">
        <f t="shared" si="71"/>
        <v>0.8</v>
      </c>
    </row>
    <row r="738" spans="1:13" ht="12.75" customHeight="1">
      <c r="A738" s="268" t="s">
        <v>361</v>
      </c>
      <c r="B738" s="268" t="s">
        <v>2337</v>
      </c>
      <c r="C738" s="268" t="s">
        <v>2338</v>
      </c>
      <c r="D738" s="268">
        <v>68</v>
      </c>
      <c r="E738" s="268">
        <v>0</v>
      </c>
      <c r="F738" s="83">
        <f t="shared" si="72"/>
        <v>68</v>
      </c>
      <c r="G738" s="268">
        <v>34</v>
      </c>
      <c r="H738" s="268">
        <v>0</v>
      </c>
      <c r="I738" s="83">
        <f t="shared" si="67"/>
        <v>34</v>
      </c>
      <c r="J738" s="171">
        <f t="shared" si="68"/>
        <v>0.5</v>
      </c>
      <c r="K738" s="177">
        <f t="shared" si="69"/>
        <v>0</v>
      </c>
      <c r="L738" s="177">
        <f t="shared" si="70"/>
        <v>3.6</v>
      </c>
      <c r="M738" s="177">
        <f t="shared" si="71"/>
        <v>3.6</v>
      </c>
    </row>
    <row r="739" spans="1:13" ht="12.75" customHeight="1">
      <c r="A739" s="268" t="s">
        <v>362</v>
      </c>
      <c r="B739" s="268" t="s">
        <v>2339</v>
      </c>
      <c r="C739" s="268" t="s">
        <v>2340</v>
      </c>
      <c r="D739" s="268">
        <v>229</v>
      </c>
      <c r="E739" s="268">
        <v>0</v>
      </c>
      <c r="F739" s="83">
        <f t="shared" si="72"/>
        <v>229</v>
      </c>
      <c r="G739" s="268">
        <v>43</v>
      </c>
      <c r="H739" s="268">
        <v>0</v>
      </c>
      <c r="I739" s="83">
        <f t="shared" ref="I739:I802" si="73">SUM(G739+H739)</f>
        <v>43</v>
      </c>
      <c r="J739" s="171">
        <f t="shared" ref="J739:J802" si="74">IF(ISERROR(I739/F739),0,I739/F739)</f>
        <v>0.18779999999999999</v>
      </c>
      <c r="K739" s="177">
        <f t="shared" si="69"/>
        <v>0</v>
      </c>
      <c r="L739" s="177">
        <f t="shared" si="70"/>
        <v>0</v>
      </c>
      <c r="M739" s="177">
        <f t="shared" si="71"/>
        <v>0</v>
      </c>
    </row>
    <row r="740" spans="1:13" ht="12.75" customHeight="1">
      <c r="A740" s="268" t="s">
        <v>362</v>
      </c>
      <c r="B740" s="268" t="s">
        <v>2341</v>
      </c>
      <c r="C740" s="268" t="s">
        <v>2342</v>
      </c>
      <c r="D740" s="268">
        <v>568</v>
      </c>
      <c r="E740" s="268">
        <v>0</v>
      </c>
      <c r="F740" s="83">
        <f t="shared" si="72"/>
        <v>568</v>
      </c>
      <c r="G740" s="268">
        <v>95</v>
      </c>
      <c r="H740" s="268">
        <v>0</v>
      </c>
      <c r="I740" s="83">
        <f t="shared" si="73"/>
        <v>95</v>
      </c>
      <c r="J740" s="171">
        <f t="shared" si="74"/>
        <v>0.1673</v>
      </c>
      <c r="K740" s="177">
        <f t="shared" si="69"/>
        <v>0</v>
      </c>
      <c r="L740" s="177">
        <f t="shared" si="70"/>
        <v>0</v>
      </c>
      <c r="M740" s="177">
        <f t="shared" si="71"/>
        <v>0</v>
      </c>
    </row>
    <row r="741" spans="1:13" ht="12.75" customHeight="1">
      <c r="A741" s="268" t="s">
        <v>362</v>
      </c>
      <c r="B741" s="268" t="s">
        <v>2343</v>
      </c>
      <c r="C741" s="268" t="s">
        <v>2344</v>
      </c>
      <c r="D741" s="268">
        <v>261</v>
      </c>
      <c r="E741" s="268">
        <v>0</v>
      </c>
      <c r="F741" s="83">
        <f t="shared" si="72"/>
        <v>261</v>
      </c>
      <c r="G741" s="268">
        <v>95</v>
      </c>
      <c r="H741" s="268">
        <v>0</v>
      </c>
      <c r="I741" s="83">
        <f t="shared" si="73"/>
        <v>95</v>
      </c>
      <c r="J741" s="171">
        <f t="shared" si="74"/>
        <v>0.36399999999999999</v>
      </c>
      <c r="K741" s="177">
        <f t="shared" si="69"/>
        <v>0.9</v>
      </c>
      <c r="L741" s="177">
        <f t="shared" si="70"/>
        <v>0</v>
      </c>
      <c r="M741" s="177">
        <f t="shared" si="71"/>
        <v>0.9</v>
      </c>
    </row>
    <row r="742" spans="1:13" ht="12.75" customHeight="1">
      <c r="A742" s="268" t="s">
        <v>362</v>
      </c>
      <c r="B742" s="268" t="s">
        <v>2345</v>
      </c>
      <c r="C742" s="268" t="s">
        <v>2346</v>
      </c>
      <c r="D742" s="268">
        <v>279</v>
      </c>
      <c r="E742" s="268">
        <v>0</v>
      </c>
      <c r="F742" s="83">
        <f t="shared" si="72"/>
        <v>279</v>
      </c>
      <c r="G742" s="268">
        <v>98</v>
      </c>
      <c r="H742" s="268">
        <v>0</v>
      </c>
      <c r="I742" s="83">
        <f t="shared" si="73"/>
        <v>98</v>
      </c>
      <c r="J742" s="171">
        <f t="shared" si="74"/>
        <v>0.3513</v>
      </c>
      <c r="K742" s="177">
        <f t="shared" si="69"/>
        <v>0.1</v>
      </c>
      <c r="L742" s="177">
        <f t="shared" si="70"/>
        <v>0</v>
      </c>
      <c r="M742" s="177">
        <f t="shared" si="71"/>
        <v>0.1</v>
      </c>
    </row>
    <row r="743" spans="1:13" ht="12.75" customHeight="1">
      <c r="A743" s="268" t="s">
        <v>362</v>
      </c>
      <c r="B743" s="268" t="s">
        <v>2347</v>
      </c>
      <c r="C743" s="268" t="s">
        <v>2348</v>
      </c>
      <c r="D743" s="268">
        <v>301</v>
      </c>
      <c r="E743" s="268">
        <v>0</v>
      </c>
      <c r="F743" s="83">
        <f t="shared" si="72"/>
        <v>301</v>
      </c>
      <c r="G743" s="268">
        <v>70</v>
      </c>
      <c r="H743" s="268">
        <v>0</v>
      </c>
      <c r="I743" s="83">
        <f t="shared" si="73"/>
        <v>70</v>
      </c>
      <c r="J743" s="171">
        <f t="shared" si="74"/>
        <v>0.2326</v>
      </c>
      <c r="K743" s="177">
        <f t="shared" si="69"/>
        <v>0</v>
      </c>
      <c r="L743" s="177">
        <f t="shared" si="70"/>
        <v>0</v>
      </c>
      <c r="M743" s="177">
        <f t="shared" si="71"/>
        <v>0</v>
      </c>
    </row>
    <row r="744" spans="1:13" ht="12.75" customHeight="1">
      <c r="A744" s="268" t="s">
        <v>362</v>
      </c>
      <c r="B744" s="268" t="s">
        <v>2349</v>
      </c>
      <c r="C744" s="268" t="s">
        <v>2350</v>
      </c>
      <c r="D744" s="268">
        <v>282</v>
      </c>
      <c r="E744" s="268">
        <v>0</v>
      </c>
      <c r="F744" s="83">
        <f t="shared" si="72"/>
        <v>282</v>
      </c>
      <c r="G744" s="268">
        <v>36</v>
      </c>
      <c r="H744" s="268">
        <v>0</v>
      </c>
      <c r="I744" s="83">
        <f t="shared" si="73"/>
        <v>36</v>
      </c>
      <c r="J744" s="171">
        <f t="shared" si="74"/>
        <v>0.12770000000000001</v>
      </c>
      <c r="K744" s="177">
        <f t="shared" si="69"/>
        <v>0</v>
      </c>
      <c r="L744" s="177">
        <f t="shared" si="70"/>
        <v>0</v>
      </c>
      <c r="M744" s="177">
        <f t="shared" si="71"/>
        <v>0</v>
      </c>
    </row>
    <row r="745" spans="1:13" ht="12.75" customHeight="1">
      <c r="A745" s="268" t="s">
        <v>363</v>
      </c>
      <c r="B745" s="268" t="s">
        <v>2351</v>
      </c>
      <c r="C745" s="268" t="s">
        <v>2352</v>
      </c>
      <c r="D745" s="268">
        <v>271</v>
      </c>
      <c r="E745" s="268">
        <v>0</v>
      </c>
      <c r="F745" s="83">
        <f t="shared" si="72"/>
        <v>271</v>
      </c>
      <c r="G745" s="268">
        <v>85</v>
      </c>
      <c r="H745" s="268">
        <v>0</v>
      </c>
      <c r="I745" s="83">
        <f t="shared" si="73"/>
        <v>85</v>
      </c>
      <c r="J745" s="171">
        <f t="shared" si="74"/>
        <v>0.31369999999999998</v>
      </c>
      <c r="K745" s="177">
        <f t="shared" si="69"/>
        <v>0</v>
      </c>
      <c r="L745" s="177">
        <f t="shared" si="70"/>
        <v>0</v>
      </c>
      <c r="M745" s="177">
        <f t="shared" si="71"/>
        <v>0</v>
      </c>
    </row>
    <row r="746" spans="1:13" ht="12.75" customHeight="1">
      <c r="A746" s="268" t="s">
        <v>363</v>
      </c>
      <c r="B746" s="268" t="s">
        <v>2353</v>
      </c>
      <c r="C746" s="268" t="s">
        <v>2354</v>
      </c>
      <c r="D746" s="268">
        <v>224</v>
      </c>
      <c r="E746" s="268">
        <v>0</v>
      </c>
      <c r="F746" s="83">
        <f t="shared" si="72"/>
        <v>224</v>
      </c>
      <c r="G746" s="268">
        <v>51</v>
      </c>
      <c r="H746" s="268">
        <v>0</v>
      </c>
      <c r="I746" s="83">
        <f t="shared" si="73"/>
        <v>51</v>
      </c>
      <c r="J746" s="171">
        <f t="shared" si="74"/>
        <v>0.22770000000000001</v>
      </c>
      <c r="K746" s="177">
        <f t="shared" si="69"/>
        <v>0</v>
      </c>
      <c r="L746" s="177">
        <f t="shared" si="70"/>
        <v>0</v>
      </c>
      <c r="M746" s="177">
        <f t="shared" si="71"/>
        <v>0</v>
      </c>
    </row>
    <row r="747" spans="1:13" ht="12.75" customHeight="1">
      <c r="A747" s="268" t="s">
        <v>364</v>
      </c>
      <c r="B747" s="268" t="s">
        <v>2355</v>
      </c>
      <c r="C747" s="268" t="s">
        <v>2356</v>
      </c>
      <c r="D747" s="268">
        <v>238</v>
      </c>
      <c r="E747" s="268">
        <v>0</v>
      </c>
      <c r="F747" s="83">
        <f t="shared" si="72"/>
        <v>238</v>
      </c>
      <c r="G747" s="268">
        <v>69</v>
      </c>
      <c r="H747" s="268">
        <v>0</v>
      </c>
      <c r="I747" s="83">
        <f t="shared" si="73"/>
        <v>69</v>
      </c>
      <c r="J747" s="171">
        <f t="shared" si="74"/>
        <v>0.28989999999999999</v>
      </c>
      <c r="K747" s="177">
        <f t="shared" si="69"/>
        <v>0</v>
      </c>
      <c r="L747" s="177">
        <f t="shared" si="70"/>
        <v>0</v>
      </c>
      <c r="M747" s="177">
        <f t="shared" si="71"/>
        <v>0</v>
      </c>
    </row>
    <row r="748" spans="1:13" ht="12.75" customHeight="1">
      <c r="A748" s="268" t="s">
        <v>364</v>
      </c>
      <c r="B748" s="268" t="s">
        <v>2357</v>
      </c>
      <c r="C748" s="268" t="s">
        <v>2358</v>
      </c>
      <c r="D748" s="268">
        <v>253</v>
      </c>
      <c r="E748" s="268">
        <v>0</v>
      </c>
      <c r="F748" s="83">
        <f t="shared" si="72"/>
        <v>253</v>
      </c>
      <c r="G748" s="268">
        <v>89</v>
      </c>
      <c r="H748" s="268">
        <v>0</v>
      </c>
      <c r="I748" s="83">
        <f t="shared" si="73"/>
        <v>89</v>
      </c>
      <c r="J748" s="171">
        <f t="shared" si="74"/>
        <v>0.3518</v>
      </c>
      <c r="K748" s="177">
        <f t="shared" si="69"/>
        <v>0.1</v>
      </c>
      <c r="L748" s="177">
        <f t="shared" si="70"/>
        <v>0</v>
      </c>
      <c r="M748" s="177">
        <f t="shared" si="71"/>
        <v>0.1</v>
      </c>
    </row>
    <row r="749" spans="1:13" ht="12.75" customHeight="1">
      <c r="A749" s="268" t="s">
        <v>365</v>
      </c>
      <c r="B749" s="268" t="s">
        <v>2359</v>
      </c>
      <c r="C749" s="268" t="s">
        <v>2360</v>
      </c>
      <c r="D749" s="268">
        <v>445</v>
      </c>
      <c r="E749" s="268">
        <v>0</v>
      </c>
      <c r="F749" s="83">
        <f t="shared" si="72"/>
        <v>445</v>
      </c>
      <c r="G749" s="268">
        <v>93</v>
      </c>
      <c r="H749" s="268">
        <v>0</v>
      </c>
      <c r="I749" s="83">
        <f t="shared" si="73"/>
        <v>93</v>
      </c>
      <c r="J749" s="171">
        <f t="shared" si="74"/>
        <v>0.20899999999999999</v>
      </c>
      <c r="K749" s="177">
        <f t="shared" si="69"/>
        <v>0</v>
      </c>
      <c r="L749" s="177">
        <f t="shared" si="70"/>
        <v>0</v>
      </c>
      <c r="M749" s="177">
        <f t="shared" si="71"/>
        <v>0</v>
      </c>
    </row>
    <row r="750" spans="1:13" ht="12.75" customHeight="1">
      <c r="A750" s="268" t="s">
        <v>365</v>
      </c>
      <c r="B750" s="268" t="s">
        <v>2361</v>
      </c>
      <c r="C750" s="268" t="s">
        <v>2362</v>
      </c>
      <c r="D750" s="268">
        <v>224</v>
      </c>
      <c r="E750" s="268">
        <v>0</v>
      </c>
      <c r="F750" s="83">
        <f t="shared" si="72"/>
        <v>224</v>
      </c>
      <c r="G750" s="268">
        <v>49</v>
      </c>
      <c r="H750" s="268">
        <v>0</v>
      </c>
      <c r="I750" s="83">
        <f t="shared" si="73"/>
        <v>49</v>
      </c>
      <c r="J750" s="171">
        <f t="shared" si="74"/>
        <v>0.21879999999999999</v>
      </c>
      <c r="K750" s="177">
        <f t="shared" si="69"/>
        <v>0</v>
      </c>
      <c r="L750" s="177">
        <f t="shared" si="70"/>
        <v>0</v>
      </c>
      <c r="M750" s="177">
        <f t="shared" si="71"/>
        <v>0</v>
      </c>
    </row>
    <row r="751" spans="1:13" ht="12.75" customHeight="1">
      <c r="A751" s="268" t="s">
        <v>366</v>
      </c>
      <c r="B751" s="268" t="s">
        <v>2363</v>
      </c>
      <c r="C751" s="268" t="s">
        <v>1881</v>
      </c>
      <c r="D751" s="268">
        <v>173</v>
      </c>
      <c r="E751" s="268">
        <v>0</v>
      </c>
      <c r="F751" s="83">
        <f t="shared" si="72"/>
        <v>173</v>
      </c>
      <c r="G751" s="268">
        <v>55</v>
      </c>
      <c r="H751" s="268">
        <v>0</v>
      </c>
      <c r="I751" s="83">
        <f t="shared" si="73"/>
        <v>55</v>
      </c>
      <c r="J751" s="171">
        <f t="shared" si="74"/>
        <v>0.31790000000000002</v>
      </c>
      <c r="K751" s="177">
        <f t="shared" si="69"/>
        <v>0</v>
      </c>
      <c r="L751" s="177">
        <f t="shared" si="70"/>
        <v>0</v>
      </c>
      <c r="M751" s="177">
        <f t="shared" si="71"/>
        <v>0</v>
      </c>
    </row>
    <row r="752" spans="1:13" ht="12.75" customHeight="1">
      <c r="A752" s="268" t="s">
        <v>366</v>
      </c>
      <c r="B752" s="268" t="s">
        <v>2364</v>
      </c>
      <c r="C752" s="268" t="s">
        <v>1490</v>
      </c>
      <c r="D752" s="268">
        <v>362</v>
      </c>
      <c r="E752" s="268">
        <v>0</v>
      </c>
      <c r="F752" s="83">
        <f t="shared" si="72"/>
        <v>362</v>
      </c>
      <c r="G752" s="268">
        <v>122</v>
      </c>
      <c r="H752" s="268">
        <v>0</v>
      </c>
      <c r="I752" s="83">
        <f t="shared" si="73"/>
        <v>122</v>
      </c>
      <c r="J752" s="171">
        <f t="shared" si="74"/>
        <v>0.33700000000000002</v>
      </c>
      <c r="K752" s="177">
        <f t="shared" si="69"/>
        <v>0</v>
      </c>
      <c r="L752" s="177">
        <f t="shared" si="70"/>
        <v>0</v>
      </c>
      <c r="M752" s="177">
        <f t="shared" si="71"/>
        <v>0</v>
      </c>
    </row>
    <row r="753" spans="1:13" ht="12.75" customHeight="1">
      <c r="A753" s="268" t="s">
        <v>366</v>
      </c>
      <c r="B753" s="268" t="s">
        <v>2365</v>
      </c>
      <c r="C753" s="268" t="s">
        <v>2366</v>
      </c>
      <c r="D753" s="268">
        <v>276</v>
      </c>
      <c r="E753" s="268">
        <v>0</v>
      </c>
      <c r="F753" s="83">
        <f t="shared" si="72"/>
        <v>276</v>
      </c>
      <c r="G753" s="268">
        <v>87</v>
      </c>
      <c r="H753" s="268">
        <v>0</v>
      </c>
      <c r="I753" s="83">
        <f t="shared" si="73"/>
        <v>87</v>
      </c>
      <c r="J753" s="171">
        <f t="shared" si="74"/>
        <v>0.31519999999999998</v>
      </c>
      <c r="K753" s="177">
        <f t="shared" si="69"/>
        <v>0</v>
      </c>
      <c r="L753" s="177">
        <f t="shared" si="70"/>
        <v>0</v>
      </c>
      <c r="M753" s="177">
        <f t="shared" si="71"/>
        <v>0</v>
      </c>
    </row>
    <row r="754" spans="1:13" ht="12.75" customHeight="1">
      <c r="A754" s="268" t="s">
        <v>366</v>
      </c>
      <c r="B754" s="268" t="s">
        <v>2367</v>
      </c>
      <c r="C754" s="268" t="s">
        <v>2368</v>
      </c>
      <c r="D754" s="268">
        <v>305</v>
      </c>
      <c r="E754" s="268">
        <v>0</v>
      </c>
      <c r="F754" s="83">
        <f t="shared" si="72"/>
        <v>305</v>
      </c>
      <c r="G754" s="268">
        <v>72</v>
      </c>
      <c r="H754" s="268">
        <v>0</v>
      </c>
      <c r="I754" s="83">
        <f t="shared" si="73"/>
        <v>72</v>
      </c>
      <c r="J754" s="171">
        <f t="shared" si="74"/>
        <v>0.2361</v>
      </c>
      <c r="K754" s="177">
        <f t="shared" si="69"/>
        <v>0</v>
      </c>
      <c r="L754" s="177">
        <f t="shared" si="70"/>
        <v>0</v>
      </c>
      <c r="M754" s="177">
        <f t="shared" si="71"/>
        <v>0</v>
      </c>
    </row>
    <row r="755" spans="1:13" ht="12.75" customHeight="1">
      <c r="A755" s="268" t="s">
        <v>366</v>
      </c>
      <c r="B755" s="268" t="s">
        <v>2369</v>
      </c>
      <c r="C755" s="268" t="s">
        <v>2370</v>
      </c>
      <c r="D755" s="268">
        <v>122</v>
      </c>
      <c r="E755" s="268">
        <v>0</v>
      </c>
      <c r="F755" s="83">
        <f t="shared" si="72"/>
        <v>122</v>
      </c>
      <c r="G755" s="268">
        <v>41</v>
      </c>
      <c r="H755" s="268">
        <v>0</v>
      </c>
      <c r="I755" s="83">
        <f t="shared" si="73"/>
        <v>41</v>
      </c>
      <c r="J755" s="171">
        <f t="shared" si="74"/>
        <v>0.33610000000000001</v>
      </c>
      <c r="K755" s="177">
        <f t="shared" si="69"/>
        <v>0</v>
      </c>
      <c r="L755" s="177">
        <f t="shared" si="70"/>
        <v>0</v>
      </c>
      <c r="M755" s="177">
        <f t="shared" si="71"/>
        <v>0</v>
      </c>
    </row>
    <row r="756" spans="1:13" ht="12.75" customHeight="1">
      <c r="A756" s="268" t="s">
        <v>366</v>
      </c>
      <c r="B756" s="268" t="s">
        <v>2371</v>
      </c>
      <c r="C756" s="268" t="s">
        <v>2372</v>
      </c>
      <c r="D756" s="268">
        <v>76</v>
      </c>
      <c r="E756" s="268">
        <v>0</v>
      </c>
      <c r="F756" s="83">
        <f t="shared" si="72"/>
        <v>76</v>
      </c>
      <c r="G756" s="268">
        <v>18</v>
      </c>
      <c r="H756" s="268">
        <v>0</v>
      </c>
      <c r="I756" s="83">
        <f t="shared" si="73"/>
        <v>18</v>
      </c>
      <c r="J756" s="171">
        <f t="shared" si="74"/>
        <v>0.23680000000000001</v>
      </c>
      <c r="K756" s="177">
        <f t="shared" si="69"/>
        <v>0</v>
      </c>
      <c r="L756" s="177">
        <f t="shared" si="70"/>
        <v>0</v>
      </c>
      <c r="M756" s="177">
        <f t="shared" si="71"/>
        <v>0</v>
      </c>
    </row>
    <row r="757" spans="1:13" ht="12.75" customHeight="1">
      <c r="A757" s="268" t="s">
        <v>367</v>
      </c>
      <c r="B757" s="268" t="s">
        <v>2373</v>
      </c>
      <c r="C757" s="268" t="s">
        <v>2374</v>
      </c>
      <c r="D757" s="268">
        <v>186</v>
      </c>
      <c r="E757" s="268">
        <v>0</v>
      </c>
      <c r="F757" s="83">
        <f t="shared" si="72"/>
        <v>186</v>
      </c>
      <c r="G757" s="268">
        <v>31</v>
      </c>
      <c r="H757" s="268">
        <v>0</v>
      </c>
      <c r="I757" s="83">
        <f t="shared" si="73"/>
        <v>31</v>
      </c>
      <c r="J757" s="171">
        <f t="shared" si="74"/>
        <v>0.16669999999999999</v>
      </c>
      <c r="K757" s="177">
        <f t="shared" si="69"/>
        <v>0</v>
      </c>
      <c r="L757" s="177">
        <f t="shared" si="70"/>
        <v>0</v>
      </c>
      <c r="M757" s="177">
        <f t="shared" si="71"/>
        <v>0</v>
      </c>
    </row>
    <row r="758" spans="1:13" ht="12.75" customHeight="1">
      <c r="A758" s="268" t="s">
        <v>367</v>
      </c>
      <c r="B758" s="268" t="s">
        <v>2375</v>
      </c>
      <c r="C758" s="268" t="s">
        <v>2376</v>
      </c>
      <c r="D758" s="268">
        <v>118</v>
      </c>
      <c r="E758" s="268">
        <v>0</v>
      </c>
      <c r="F758" s="83">
        <f t="shared" si="72"/>
        <v>118</v>
      </c>
      <c r="G758" s="268">
        <v>13</v>
      </c>
      <c r="H758" s="268">
        <v>0</v>
      </c>
      <c r="I758" s="83">
        <f t="shared" si="73"/>
        <v>13</v>
      </c>
      <c r="J758" s="171">
        <f t="shared" si="74"/>
        <v>0.11020000000000001</v>
      </c>
      <c r="K758" s="177">
        <f t="shared" si="69"/>
        <v>0</v>
      </c>
      <c r="L758" s="177">
        <f t="shared" si="70"/>
        <v>0</v>
      </c>
      <c r="M758" s="177">
        <f t="shared" si="71"/>
        <v>0</v>
      </c>
    </row>
    <row r="759" spans="1:13" ht="12.75" customHeight="1">
      <c r="A759" s="268" t="s">
        <v>367</v>
      </c>
      <c r="B759" s="268" t="s">
        <v>2377</v>
      </c>
      <c r="C759" s="268" t="s">
        <v>2378</v>
      </c>
      <c r="D759" s="268">
        <v>151</v>
      </c>
      <c r="E759" s="268">
        <v>0</v>
      </c>
      <c r="F759" s="83">
        <f t="shared" si="72"/>
        <v>151</v>
      </c>
      <c r="G759" s="268">
        <v>42</v>
      </c>
      <c r="H759" s="268">
        <v>0</v>
      </c>
      <c r="I759" s="83">
        <f t="shared" si="73"/>
        <v>42</v>
      </c>
      <c r="J759" s="171">
        <f t="shared" si="74"/>
        <v>0.27810000000000001</v>
      </c>
      <c r="K759" s="177">
        <f t="shared" si="69"/>
        <v>0</v>
      </c>
      <c r="L759" s="177">
        <f t="shared" si="70"/>
        <v>0</v>
      </c>
      <c r="M759" s="177">
        <f t="shared" si="71"/>
        <v>0</v>
      </c>
    </row>
    <row r="760" spans="1:13" ht="12.75" customHeight="1">
      <c r="A760" s="268" t="s">
        <v>367</v>
      </c>
      <c r="B760" s="268" t="s">
        <v>2379</v>
      </c>
      <c r="C760" s="268" t="s">
        <v>2380</v>
      </c>
      <c r="D760" s="268">
        <v>104</v>
      </c>
      <c r="E760" s="268">
        <v>0</v>
      </c>
      <c r="F760" s="83">
        <f t="shared" si="72"/>
        <v>104</v>
      </c>
      <c r="G760" s="268">
        <v>18</v>
      </c>
      <c r="H760" s="268">
        <v>0</v>
      </c>
      <c r="I760" s="83">
        <f t="shared" si="73"/>
        <v>18</v>
      </c>
      <c r="J760" s="171">
        <f t="shared" si="74"/>
        <v>0.1731</v>
      </c>
      <c r="K760" s="177">
        <f t="shared" si="69"/>
        <v>0</v>
      </c>
      <c r="L760" s="177">
        <f t="shared" si="70"/>
        <v>0</v>
      </c>
      <c r="M760" s="177">
        <f t="shared" si="71"/>
        <v>0</v>
      </c>
    </row>
    <row r="761" spans="1:13" ht="12.75" customHeight="1">
      <c r="A761" s="268" t="s">
        <v>368</v>
      </c>
      <c r="B761" s="268" t="s">
        <v>2381</v>
      </c>
      <c r="C761" s="268" t="s">
        <v>2382</v>
      </c>
      <c r="D761" s="268">
        <v>152</v>
      </c>
      <c r="E761" s="268">
        <v>0</v>
      </c>
      <c r="F761" s="83">
        <f t="shared" si="72"/>
        <v>152</v>
      </c>
      <c r="G761" s="268">
        <v>37</v>
      </c>
      <c r="H761" s="268">
        <v>0</v>
      </c>
      <c r="I761" s="83">
        <f t="shared" si="73"/>
        <v>37</v>
      </c>
      <c r="J761" s="171">
        <f t="shared" si="74"/>
        <v>0.24340000000000001</v>
      </c>
      <c r="K761" s="177">
        <f t="shared" si="69"/>
        <v>0</v>
      </c>
      <c r="L761" s="177">
        <f t="shared" si="70"/>
        <v>0</v>
      </c>
      <c r="M761" s="177">
        <f t="shared" si="71"/>
        <v>0</v>
      </c>
    </row>
    <row r="762" spans="1:13" ht="12.75" customHeight="1">
      <c r="A762" s="268" t="s">
        <v>368</v>
      </c>
      <c r="B762" s="268" t="s">
        <v>2383</v>
      </c>
      <c r="C762" s="268" t="s">
        <v>2384</v>
      </c>
      <c r="D762" s="268">
        <v>176</v>
      </c>
      <c r="E762" s="268">
        <v>0</v>
      </c>
      <c r="F762" s="83">
        <f t="shared" si="72"/>
        <v>176</v>
      </c>
      <c r="G762" s="268">
        <v>30</v>
      </c>
      <c r="H762" s="268">
        <v>0</v>
      </c>
      <c r="I762" s="83">
        <f t="shared" si="73"/>
        <v>30</v>
      </c>
      <c r="J762" s="171">
        <f t="shared" si="74"/>
        <v>0.17050000000000001</v>
      </c>
      <c r="K762" s="177">
        <f t="shared" si="69"/>
        <v>0</v>
      </c>
      <c r="L762" s="177">
        <f t="shared" si="70"/>
        <v>0</v>
      </c>
      <c r="M762" s="177">
        <f t="shared" si="71"/>
        <v>0</v>
      </c>
    </row>
    <row r="763" spans="1:13" ht="12.75" customHeight="1">
      <c r="A763" s="268" t="s">
        <v>369</v>
      </c>
      <c r="B763" s="268" t="s">
        <v>2385</v>
      </c>
      <c r="C763" s="268" t="s">
        <v>2386</v>
      </c>
      <c r="D763" s="268">
        <v>436</v>
      </c>
      <c r="E763" s="268">
        <v>0</v>
      </c>
      <c r="F763" s="83">
        <f t="shared" si="72"/>
        <v>436</v>
      </c>
      <c r="G763" s="268">
        <v>163</v>
      </c>
      <c r="H763" s="268">
        <v>0</v>
      </c>
      <c r="I763" s="83">
        <f t="shared" si="73"/>
        <v>163</v>
      </c>
      <c r="J763" s="171">
        <f t="shared" si="74"/>
        <v>0.37390000000000001</v>
      </c>
      <c r="K763" s="177">
        <f t="shared" si="69"/>
        <v>2.7</v>
      </c>
      <c r="L763" s="177">
        <f t="shared" si="70"/>
        <v>0</v>
      </c>
      <c r="M763" s="177">
        <f t="shared" si="71"/>
        <v>2.7</v>
      </c>
    </row>
    <row r="764" spans="1:13" ht="12.75" customHeight="1">
      <c r="A764" s="268" t="s">
        <v>369</v>
      </c>
      <c r="B764" s="268" t="s">
        <v>2387</v>
      </c>
      <c r="C764" s="268" t="s">
        <v>2388</v>
      </c>
      <c r="D764" s="268">
        <v>335</v>
      </c>
      <c r="E764" s="268">
        <v>0</v>
      </c>
      <c r="F764" s="83">
        <f t="shared" si="72"/>
        <v>335</v>
      </c>
      <c r="G764" s="268">
        <v>138</v>
      </c>
      <c r="H764" s="268">
        <v>0</v>
      </c>
      <c r="I764" s="83">
        <f t="shared" si="73"/>
        <v>138</v>
      </c>
      <c r="J764" s="171">
        <f t="shared" si="74"/>
        <v>0.41189999999999999</v>
      </c>
      <c r="K764" s="177">
        <f t="shared" si="69"/>
        <v>6</v>
      </c>
      <c r="L764" s="177">
        <f t="shared" si="70"/>
        <v>0</v>
      </c>
      <c r="M764" s="177">
        <f t="shared" si="71"/>
        <v>6</v>
      </c>
    </row>
    <row r="765" spans="1:13" ht="12.75" customHeight="1">
      <c r="A765" s="268" t="s">
        <v>369</v>
      </c>
      <c r="B765" s="268" t="s">
        <v>2389</v>
      </c>
      <c r="C765" s="268" t="s">
        <v>2390</v>
      </c>
      <c r="D765" s="268">
        <v>337</v>
      </c>
      <c r="E765" s="268">
        <v>0</v>
      </c>
      <c r="F765" s="83">
        <f t="shared" si="72"/>
        <v>337</v>
      </c>
      <c r="G765" s="268">
        <v>118</v>
      </c>
      <c r="H765" s="268">
        <v>0</v>
      </c>
      <c r="I765" s="83">
        <f t="shared" si="73"/>
        <v>118</v>
      </c>
      <c r="J765" s="171">
        <f t="shared" si="74"/>
        <v>0.35010000000000002</v>
      </c>
      <c r="K765" s="177">
        <f t="shared" si="69"/>
        <v>0</v>
      </c>
      <c r="L765" s="177">
        <f t="shared" si="70"/>
        <v>0</v>
      </c>
      <c r="M765" s="177">
        <f t="shared" si="71"/>
        <v>0</v>
      </c>
    </row>
    <row r="766" spans="1:13" ht="12.75" customHeight="1">
      <c r="A766" s="268" t="s">
        <v>370</v>
      </c>
      <c r="B766" s="268" t="s">
        <v>2391</v>
      </c>
      <c r="C766" s="268" t="s">
        <v>2392</v>
      </c>
      <c r="D766" s="268">
        <v>577</v>
      </c>
      <c r="E766" s="268">
        <v>0</v>
      </c>
      <c r="F766" s="83">
        <f t="shared" si="72"/>
        <v>577</v>
      </c>
      <c r="G766" s="268">
        <v>77</v>
      </c>
      <c r="H766" s="268">
        <v>0</v>
      </c>
      <c r="I766" s="83">
        <f t="shared" si="73"/>
        <v>77</v>
      </c>
      <c r="J766" s="171">
        <f t="shared" si="74"/>
        <v>0.13339999999999999</v>
      </c>
      <c r="K766" s="177">
        <f t="shared" si="69"/>
        <v>0</v>
      </c>
      <c r="L766" s="177">
        <f t="shared" si="70"/>
        <v>0</v>
      </c>
      <c r="M766" s="177">
        <f t="shared" si="71"/>
        <v>0</v>
      </c>
    </row>
    <row r="767" spans="1:13" ht="12.75" customHeight="1">
      <c r="A767" s="268" t="s">
        <v>370</v>
      </c>
      <c r="B767" s="268" t="s">
        <v>2393</v>
      </c>
      <c r="C767" s="268" t="s">
        <v>2394</v>
      </c>
      <c r="D767" s="268">
        <v>530</v>
      </c>
      <c r="E767" s="268">
        <v>0</v>
      </c>
      <c r="F767" s="83">
        <f t="shared" si="72"/>
        <v>530</v>
      </c>
      <c r="G767" s="268">
        <v>197</v>
      </c>
      <c r="H767" s="268">
        <v>0</v>
      </c>
      <c r="I767" s="83">
        <f t="shared" si="73"/>
        <v>197</v>
      </c>
      <c r="J767" s="171">
        <f t="shared" si="74"/>
        <v>0.37169999999999997</v>
      </c>
      <c r="K767" s="177">
        <f t="shared" si="69"/>
        <v>3</v>
      </c>
      <c r="L767" s="177">
        <f t="shared" si="70"/>
        <v>0</v>
      </c>
      <c r="M767" s="177">
        <f t="shared" si="71"/>
        <v>3</v>
      </c>
    </row>
    <row r="768" spans="1:13" ht="12.75" customHeight="1">
      <c r="A768" s="268" t="s">
        <v>370</v>
      </c>
      <c r="B768" s="268" t="s">
        <v>2395</v>
      </c>
      <c r="C768" s="268" t="s">
        <v>2396</v>
      </c>
      <c r="D768" s="268">
        <v>309</v>
      </c>
      <c r="E768" s="268">
        <v>0</v>
      </c>
      <c r="F768" s="83">
        <f t="shared" si="72"/>
        <v>309</v>
      </c>
      <c r="G768" s="268">
        <v>142</v>
      </c>
      <c r="H768" s="268">
        <v>0</v>
      </c>
      <c r="I768" s="83">
        <f t="shared" si="73"/>
        <v>142</v>
      </c>
      <c r="J768" s="171">
        <f t="shared" si="74"/>
        <v>0.45950000000000002</v>
      </c>
      <c r="K768" s="177">
        <f t="shared" si="69"/>
        <v>10.9</v>
      </c>
      <c r="L768" s="177">
        <f t="shared" si="70"/>
        <v>0</v>
      </c>
      <c r="M768" s="177">
        <f t="shared" si="71"/>
        <v>10.9</v>
      </c>
    </row>
    <row r="769" spans="1:13" ht="12.75" customHeight="1">
      <c r="A769" s="268" t="s">
        <v>370</v>
      </c>
      <c r="B769" s="268" t="s">
        <v>2397</v>
      </c>
      <c r="C769" s="268" t="s">
        <v>2398</v>
      </c>
      <c r="D769" s="268">
        <v>515</v>
      </c>
      <c r="E769" s="268">
        <v>0</v>
      </c>
      <c r="F769" s="83">
        <f t="shared" si="72"/>
        <v>515</v>
      </c>
      <c r="G769" s="268">
        <v>225</v>
      </c>
      <c r="H769" s="268">
        <v>0</v>
      </c>
      <c r="I769" s="83">
        <f t="shared" si="73"/>
        <v>225</v>
      </c>
      <c r="J769" s="171">
        <f t="shared" si="74"/>
        <v>0.43690000000000001</v>
      </c>
      <c r="K769" s="177">
        <f t="shared" si="69"/>
        <v>13.7</v>
      </c>
      <c r="L769" s="177">
        <f t="shared" si="70"/>
        <v>0</v>
      </c>
      <c r="M769" s="177">
        <f t="shared" si="71"/>
        <v>13.7</v>
      </c>
    </row>
    <row r="770" spans="1:13" ht="12.75" customHeight="1">
      <c r="A770" s="268" t="s">
        <v>370</v>
      </c>
      <c r="B770" s="268" t="s">
        <v>2399</v>
      </c>
      <c r="C770" s="268" t="s">
        <v>2400</v>
      </c>
      <c r="D770" s="268">
        <v>458</v>
      </c>
      <c r="E770" s="268">
        <v>0</v>
      </c>
      <c r="F770" s="83">
        <f t="shared" si="72"/>
        <v>458</v>
      </c>
      <c r="G770" s="268">
        <v>98</v>
      </c>
      <c r="H770" s="268">
        <v>0</v>
      </c>
      <c r="I770" s="83">
        <f t="shared" si="73"/>
        <v>98</v>
      </c>
      <c r="J770" s="171">
        <f t="shared" si="74"/>
        <v>0.214</v>
      </c>
      <c r="K770" s="177">
        <f t="shared" si="69"/>
        <v>0</v>
      </c>
      <c r="L770" s="177">
        <f t="shared" si="70"/>
        <v>0</v>
      </c>
      <c r="M770" s="177">
        <f t="shared" si="71"/>
        <v>0</v>
      </c>
    </row>
    <row r="771" spans="1:13" ht="12.75" customHeight="1">
      <c r="A771" s="268" t="s">
        <v>370</v>
      </c>
      <c r="B771" s="268" t="s">
        <v>2401</v>
      </c>
      <c r="C771" s="268" t="s">
        <v>1303</v>
      </c>
      <c r="D771" s="268">
        <v>548</v>
      </c>
      <c r="E771" s="268">
        <v>0</v>
      </c>
      <c r="F771" s="83">
        <f t="shared" si="72"/>
        <v>548</v>
      </c>
      <c r="G771" s="268">
        <v>265</v>
      </c>
      <c r="H771" s="268">
        <v>0</v>
      </c>
      <c r="I771" s="83">
        <f t="shared" si="73"/>
        <v>265</v>
      </c>
      <c r="J771" s="171">
        <f t="shared" si="74"/>
        <v>0.48359999999999997</v>
      </c>
      <c r="K771" s="177">
        <f t="shared" si="69"/>
        <v>24.8</v>
      </c>
      <c r="L771" s="177">
        <f t="shared" si="70"/>
        <v>0</v>
      </c>
      <c r="M771" s="177">
        <f t="shared" si="71"/>
        <v>24.8</v>
      </c>
    </row>
    <row r="772" spans="1:13" ht="12.75" customHeight="1">
      <c r="A772" s="268" t="s">
        <v>370</v>
      </c>
      <c r="B772" s="268" t="s">
        <v>2402</v>
      </c>
      <c r="C772" s="268" t="s">
        <v>2403</v>
      </c>
      <c r="D772" s="268">
        <v>350</v>
      </c>
      <c r="E772" s="268">
        <v>0</v>
      </c>
      <c r="F772" s="83">
        <f t="shared" si="72"/>
        <v>350</v>
      </c>
      <c r="G772" s="268">
        <v>115</v>
      </c>
      <c r="H772" s="268">
        <v>0</v>
      </c>
      <c r="I772" s="83">
        <f t="shared" si="73"/>
        <v>115</v>
      </c>
      <c r="J772" s="171">
        <f t="shared" si="74"/>
        <v>0.3286</v>
      </c>
      <c r="K772" s="177">
        <f t="shared" si="69"/>
        <v>0</v>
      </c>
      <c r="L772" s="177">
        <f t="shared" si="70"/>
        <v>0</v>
      </c>
      <c r="M772" s="177">
        <f t="shared" si="71"/>
        <v>0</v>
      </c>
    </row>
    <row r="773" spans="1:13" ht="12.75" customHeight="1">
      <c r="A773" s="268" t="s">
        <v>370</v>
      </c>
      <c r="B773" s="268" t="s">
        <v>2404</v>
      </c>
      <c r="C773" s="268" t="s">
        <v>2405</v>
      </c>
      <c r="D773" s="268">
        <v>400</v>
      </c>
      <c r="E773" s="268">
        <v>0</v>
      </c>
      <c r="F773" s="83">
        <f t="shared" si="72"/>
        <v>400</v>
      </c>
      <c r="G773" s="268">
        <v>69</v>
      </c>
      <c r="H773" s="268">
        <v>0</v>
      </c>
      <c r="I773" s="83">
        <f t="shared" si="73"/>
        <v>69</v>
      </c>
      <c r="J773" s="171">
        <f t="shared" si="74"/>
        <v>0.17249999999999999</v>
      </c>
      <c r="K773" s="177">
        <f t="shared" ref="K773:K836" si="75">IF(AND((J773-35%)&gt;0,J773&lt;50%),I773*(J773-35%)*0.7,0)</f>
        <v>0</v>
      </c>
      <c r="L773" s="177">
        <f t="shared" ref="L773:L836" si="76">IF(J773&gt;=50%,I773*10.5%,0)</f>
        <v>0</v>
      </c>
      <c r="M773" s="177">
        <f t="shared" ref="M773:M836" si="77">MAX(K773,L773)</f>
        <v>0</v>
      </c>
    </row>
    <row r="774" spans="1:13" ht="12.75" customHeight="1">
      <c r="A774" s="268" t="s">
        <v>370</v>
      </c>
      <c r="B774" s="268" t="s">
        <v>2406</v>
      </c>
      <c r="C774" s="268" t="s">
        <v>2407</v>
      </c>
      <c r="D774" s="268">
        <v>440</v>
      </c>
      <c r="E774" s="268">
        <v>0</v>
      </c>
      <c r="F774" s="83">
        <f t="shared" ref="F774:F837" si="78">SUM(D774+E774)</f>
        <v>440</v>
      </c>
      <c r="G774" s="268">
        <v>104</v>
      </c>
      <c r="H774" s="268">
        <v>0</v>
      </c>
      <c r="I774" s="83">
        <f t="shared" si="73"/>
        <v>104</v>
      </c>
      <c r="J774" s="171">
        <f t="shared" si="74"/>
        <v>0.2364</v>
      </c>
      <c r="K774" s="177">
        <f t="shared" si="75"/>
        <v>0</v>
      </c>
      <c r="L774" s="177">
        <f t="shared" si="76"/>
        <v>0</v>
      </c>
      <c r="M774" s="177">
        <f t="shared" si="77"/>
        <v>0</v>
      </c>
    </row>
    <row r="775" spans="1:13" ht="12.75" customHeight="1">
      <c r="A775" s="268" t="s">
        <v>370</v>
      </c>
      <c r="B775" s="268" t="s">
        <v>2408</v>
      </c>
      <c r="C775" s="268" t="s">
        <v>2409</v>
      </c>
      <c r="D775" s="268">
        <v>1777</v>
      </c>
      <c r="E775" s="268">
        <v>0</v>
      </c>
      <c r="F775" s="83">
        <f t="shared" si="78"/>
        <v>1777</v>
      </c>
      <c r="G775" s="268">
        <v>492</v>
      </c>
      <c r="H775" s="268">
        <v>0</v>
      </c>
      <c r="I775" s="83">
        <f t="shared" si="73"/>
        <v>492</v>
      </c>
      <c r="J775" s="171">
        <f t="shared" si="74"/>
        <v>0.27689999999999998</v>
      </c>
      <c r="K775" s="177">
        <f t="shared" si="75"/>
        <v>0</v>
      </c>
      <c r="L775" s="177">
        <f t="shared" si="76"/>
        <v>0</v>
      </c>
      <c r="M775" s="177">
        <f t="shared" si="77"/>
        <v>0</v>
      </c>
    </row>
    <row r="776" spans="1:13" ht="12.75" customHeight="1">
      <c r="A776" s="268" t="s">
        <v>370</v>
      </c>
      <c r="B776" s="268" t="s">
        <v>2410</v>
      </c>
      <c r="C776" s="268" t="s">
        <v>2411</v>
      </c>
      <c r="D776" s="268">
        <v>476</v>
      </c>
      <c r="E776" s="268">
        <v>0</v>
      </c>
      <c r="F776" s="83">
        <f t="shared" si="78"/>
        <v>476</v>
      </c>
      <c r="G776" s="268">
        <v>177</v>
      </c>
      <c r="H776" s="268">
        <v>0</v>
      </c>
      <c r="I776" s="83">
        <f t="shared" si="73"/>
        <v>177</v>
      </c>
      <c r="J776" s="171">
        <f t="shared" si="74"/>
        <v>0.37180000000000002</v>
      </c>
      <c r="K776" s="177">
        <f t="shared" si="75"/>
        <v>2.7</v>
      </c>
      <c r="L776" s="177">
        <f t="shared" si="76"/>
        <v>0</v>
      </c>
      <c r="M776" s="177">
        <f t="shared" si="77"/>
        <v>2.7</v>
      </c>
    </row>
    <row r="777" spans="1:13" ht="12.75" customHeight="1">
      <c r="A777" s="268" t="s">
        <v>370</v>
      </c>
      <c r="B777" s="268" t="s">
        <v>2412</v>
      </c>
      <c r="C777" s="268" t="s">
        <v>2413</v>
      </c>
      <c r="D777" s="268">
        <v>174</v>
      </c>
      <c r="E777" s="268">
        <v>0</v>
      </c>
      <c r="F777" s="83">
        <f t="shared" si="78"/>
        <v>174</v>
      </c>
      <c r="G777" s="268">
        <v>101</v>
      </c>
      <c r="H777" s="268">
        <v>0</v>
      </c>
      <c r="I777" s="83">
        <f t="shared" si="73"/>
        <v>101</v>
      </c>
      <c r="J777" s="171">
        <f t="shared" si="74"/>
        <v>0.58050000000000002</v>
      </c>
      <c r="K777" s="177">
        <f t="shared" si="75"/>
        <v>0</v>
      </c>
      <c r="L777" s="177">
        <f t="shared" si="76"/>
        <v>10.6</v>
      </c>
      <c r="M777" s="177">
        <f t="shared" si="77"/>
        <v>10.6</v>
      </c>
    </row>
    <row r="778" spans="1:13" ht="12.75" customHeight="1">
      <c r="A778" s="268" t="s">
        <v>371</v>
      </c>
      <c r="B778" s="268" t="s">
        <v>2414</v>
      </c>
      <c r="C778" s="268" t="s">
        <v>2415</v>
      </c>
      <c r="D778" s="268">
        <v>104</v>
      </c>
      <c r="E778" s="268">
        <v>0</v>
      </c>
      <c r="F778" s="83">
        <f t="shared" si="78"/>
        <v>104</v>
      </c>
      <c r="G778" s="268">
        <v>16</v>
      </c>
      <c r="H778" s="268">
        <v>0</v>
      </c>
      <c r="I778" s="83">
        <f t="shared" si="73"/>
        <v>16</v>
      </c>
      <c r="J778" s="171">
        <f t="shared" si="74"/>
        <v>0.15379999999999999</v>
      </c>
      <c r="K778" s="177">
        <f t="shared" si="75"/>
        <v>0</v>
      </c>
      <c r="L778" s="177">
        <f t="shared" si="76"/>
        <v>0</v>
      </c>
      <c r="M778" s="177">
        <f t="shared" si="77"/>
        <v>0</v>
      </c>
    </row>
    <row r="779" spans="1:13" ht="12.75" customHeight="1">
      <c r="A779" s="268" t="s">
        <v>371</v>
      </c>
      <c r="B779" s="268" t="s">
        <v>2416</v>
      </c>
      <c r="C779" s="268" t="s">
        <v>2417</v>
      </c>
      <c r="D779" s="268">
        <v>52</v>
      </c>
      <c r="E779" s="268">
        <v>0</v>
      </c>
      <c r="F779" s="83">
        <f t="shared" si="78"/>
        <v>52</v>
      </c>
      <c r="G779" s="268">
        <v>12</v>
      </c>
      <c r="H779" s="268">
        <v>0</v>
      </c>
      <c r="I779" s="83">
        <f t="shared" si="73"/>
        <v>12</v>
      </c>
      <c r="J779" s="171">
        <f t="shared" si="74"/>
        <v>0.23080000000000001</v>
      </c>
      <c r="K779" s="177">
        <f t="shared" si="75"/>
        <v>0</v>
      </c>
      <c r="L779" s="177">
        <f t="shared" si="76"/>
        <v>0</v>
      </c>
      <c r="M779" s="177">
        <f t="shared" si="77"/>
        <v>0</v>
      </c>
    </row>
    <row r="780" spans="1:13" ht="12.75" customHeight="1">
      <c r="A780" s="268" t="s">
        <v>371</v>
      </c>
      <c r="B780" s="268" t="s">
        <v>2418</v>
      </c>
      <c r="C780" s="268" t="s">
        <v>1145</v>
      </c>
      <c r="D780" s="268">
        <v>59</v>
      </c>
      <c r="E780" s="268">
        <v>0</v>
      </c>
      <c r="F780" s="83">
        <f t="shared" si="78"/>
        <v>59</v>
      </c>
      <c r="G780" s="268">
        <v>10</v>
      </c>
      <c r="H780" s="268">
        <v>0</v>
      </c>
      <c r="I780" s="83">
        <f t="shared" si="73"/>
        <v>10</v>
      </c>
      <c r="J780" s="171">
        <f t="shared" si="74"/>
        <v>0.16950000000000001</v>
      </c>
      <c r="K780" s="177">
        <f t="shared" si="75"/>
        <v>0</v>
      </c>
      <c r="L780" s="177">
        <f t="shared" si="76"/>
        <v>0</v>
      </c>
      <c r="M780" s="177">
        <f t="shared" si="77"/>
        <v>0</v>
      </c>
    </row>
    <row r="781" spans="1:13" ht="12.75" customHeight="1">
      <c r="A781" s="268" t="s">
        <v>372</v>
      </c>
      <c r="B781" s="268" t="s">
        <v>2419</v>
      </c>
      <c r="C781" s="268" t="s">
        <v>2420</v>
      </c>
      <c r="D781" s="268">
        <v>436</v>
      </c>
      <c r="E781" s="268">
        <v>0</v>
      </c>
      <c r="F781" s="83">
        <f t="shared" si="78"/>
        <v>436</v>
      </c>
      <c r="G781" s="268">
        <v>99</v>
      </c>
      <c r="H781" s="268">
        <v>0</v>
      </c>
      <c r="I781" s="83">
        <f t="shared" si="73"/>
        <v>99</v>
      </c>
      <c r="J781" s="171">
        <f t="shared" si="74"/>
        <v>0.2271</v>
      </c>
      <c r="K781" s="177">
        <f t="shared" si="75"/>
        <v>0</v>
      </c>
      <c r="L781" s="177">
        <f t="shared" si="76"/>
        <v>0</v>
      </c>
      <c r="M781" s="177">
        <f t="shared" si="77"/>
        <v>0</v>
      </c>
    </row>
    <row r="782" spans="1:13" ht="12.75" customHeight="1">
      <c r="A782" s="268" t="s">
        <v>372</v>
      </c>
      <c r="B782" s="268" t="s">
        <v>2421</v>
      </c>
      <c r="C782" s="268" t="s">
        <v>2422</v>
      </c>
      <c r="D782" s="268">
        <v>730</v>
      </c>
      <c r="E782" s="268">
        <v>0</v>
      </c>
      <c r="F782" s="83">
        <f t="shared" si="78"/>
        <v>730</v>
      </c>
      <c r="G782" s="268">
        <v>78</v>
      </c>
      <c r="H782" s="268">
        <v>0</v>
      </c>
      <c r="I782" s="83">
        <f t="shared" si="73"/>
        <v>78</v>
      </c>
      <c r="J782" s="171">
        <f t="shared" si="74"/>
        <v>0.10680000000000001</v>
      </c>
      <c r="K782" s="177">
        <f t="shared" si="75"/>
        <v>0</v>
      </c>
      <c r="L782" s="177">
        <f t="shared" si="76"/>
        <v>0</v>
      </c>
      <c r="M782" s="177">
        <f t="shared" si="77"/>
        <v>0</v>
      </c>
    </row>
    <row r="783" spans="1:13" ht="12.75" customHeight="1">
      <c r="A783" s="268" t="s">
        <v>372</v>
      </c>
      <c r="B783" s="268" t="s">
        <v>2423</v>
      </c>
      <c r="C783" s="268" t="s">
        <v>2424</v>
      </c>
      <c r="D783" s="268">
        <v>827</v>
      </c>
      <c r="E783" s="268">
        <v>0</v>
      </c>
      <c r="F783" s="83">
        <f t="shared" si="78"/>
        <v>827</v>
      </c>
      <c r="G783" s="268">
        <v>75</v>
      </c>
      <c r="H783" s="268">
        <v>0</v>
      </c>
      <c r="I783" s="83">
        <f t="shared" si="73"/>
        <v>75</v>
      </c>
      <c r="J783" s="171">
        <f t="shared" si="74"/>
        <v>9.0700000000000003E-2</v>
      </c>
      <c r="K783" s="177">
        <f t="shared" si="75"/>
        <v>0</v>
      </c>
      <c r="L783" s="177">
        <f t="shared" si="76"/>
        <v>0</v>
      </c>
      <c r="M783" s="177">
        <f t="shared" si="77"/>
        <v>0</v>
      </c>
    </row>
    <row r="784" spans="1:13" ht="12.75" customHeight="1">
      <c r="A784" s="268" t="s">
        <v>372</v>
      </c>
      <c r="B784" s="268" t="s">
        <v>2425</v>
      </c>
      <c r="C784" s="268" t="s">
        <v>2426</v>
      </c>
      <c r="D784" s="268">
        <v>499</v>
      </c>
      <c r="E784" s="268">
        <v>0</v>
      </c>
      <c r="F784" s="83">
        <f t="shared" si="78"/>
        <v>499</v>
      </c>
      <c r="G784" s="268">
        <v>37</v>
      </c>
      <c r="H784" s="268">
        <v>0</v>
      </c>
      <c r="I784" s="83">
        <f t="shared" si="73"/>
        <v>37</v>
      </c>
      <c r="J784" s="171">
        <f t="shared" si="74"/>
        <v>7.4099999999999999E-2</v>
      </c>
      <c r="K784" s="177">
        <f t="shared" si="75"/>
        <v>0</v>
      </c>
      <c r="L784" s="177">
        <f t="shared" si="76"/>
        <v>0</v>
      </c>
      <c r="M784" s="177">
        <f t="shared" si="77"/>
        <v>0</v>
      </c>
    </row>
    <row r="785" spans="1:13" ht="12.75" customHeight="1">
      <c r="A785" s="268" t="s">
        <v>372</v>
      </c>
      <c r="B785" s="268" t="s">
        <v>2427</v>
      </c>
      <c r="C785" s="268" t="s">
        <v>1441</v>
      </c>
      <c r="D785" s="268">
        <v>305</v>
      </c>
      <c r="E785" s="268">
        <v>0</v>
      </c>
      <c r="F785" s="83">
        <f t="shared" si="78"/>
        <v>305</v>
      </c>
      <c r="G785" s="268">
        <v>27</v>
      </c>
      <c r="H785" s="268">
        <v>0</v>
      </c>
      <c r="I785" s="83">
        <f t="shared" si="73"/>
        <v>27</v>
      </c>
      <c r="J785" s="171">
        <f t="shared" si="74"/>
        <v>8.8499999999999995E-2</v>
      </c>
      <c r="K785" s="177">
        <f t="shared" si="75"/>
        <v>0</v>
      </c>
      <c r="L785" s="177">
        <f t="shared" si="76"/>
        <v>0</v>
      </c>
      <c r="M785" s="177">
        <f t="shared" si="77"/>
        <v>0</v>
      </c>
    </row>
    <row r="786" spans="1:13" ht="12.75" customHeight="1">
      <c r="A786" s="268" t="s">
        <v>372</v>
      </c>
      <c r="B786" s="268" t="s">
        <v>2428</v>
      </c>
      <c r="C786" s="268" t="s">
        <v>1205</v>
      </c>
      <c r="D786" s="268">
        <v>350</v>
      </c>
      <c r="E786" s="268">
        <v>0</v>
      </c>
      <c r="F786" s="83">
        <f t="shared" si="78"/>
        <v>350</v>
      </c>
      <c r="G786" s="268">
        <v>74</v>
      </c>
      <c r="H786" s="268">
        <v>0</v>
      </c>
      <c r="I786" s="83">
        <f t="shared" si="73"/>
        <v>74</v>
      </c>
      <c r="J786" s="171">
        <f t="shared" si="74"/>
        <v>0.2114</v>
      </c>
      <c r="K786" s="177">
        <f t="shared" si="75"/>
        <v>0</v>
      </c>
      <c r="L786" s="177">
        <f t="shared" si="76"/>
        <v>0</v>
      </c>
      <c r="M786" s="177">
        <f t="shared" si="77"/>
        <v>0</v>
      </c>
    </row>
    <row r="787" spans="1:13" ht="12.75" customHeight="1">
      <c r="A787" s="268" t="s">
        <v>372</v>
      </c>
      <c r="B787" s="268" t="s">
        <v>2429</v>
      </c>
      <c r="C787" s="268" t="s">
        <v>1888</v>
      </c>
      <c r="D787" s="268">
        <v>418</v>
      </c>
      <c r="E787" s="268">
        <v>0</v>
      </c>
      <c r="F787" s="83">
        <f t="shared" si="78"/>
        <v>418</v>
      </c>
      <c r="G787" s="268">
        <v>58</v>
      </c>
      <c r="H787" s="268">
        <v>0</v>
      </c>
      <c r="I787" s="83">
        <f t="shared" si="73"/>
        <v>58</v>
      </c>
      <c r="J787" s="171">
        <f t="shared" si="74"/>
        <v>0.13880000000000001</v>
      </c>
      <c r="K787" s="177">
        <f t="shared" si="75"/>
        <v>0</v>
      </c>
      <c r="L787" s="177">
        <f t="shared" si="76"/>
        <v>0</v>
      </c>
      <c r="M787" s="177">
        <f t="shared" si="77"/>
        <v>0</v>
      </c>
    </row>
    <row r="788" spans="1:13" ht="12.75" customHeight="1">
      <c r="A788" s="268" t="s">
        <v>372</v>
      </c>
      <c r="B788" s="268" t="s">
        <v>2430</v>
      </c>
      <c r="C788" s="268" t="s">
        <v>2431</v>
      </c>
      <c r="D788" s="268">
        <v>631</v>
      </c>
      <c r="E788" s="268">
        <v>0</v>
      </c>
      <c r="F788" s="83">
        <f t="shared" si="78"/>
        <v>631</v>
      </c>
      <c r="G788" s="268">
        <v>111</v>
      </c>
      <c r="H788" s="268">
        <v>0</v>
      </c>
      <c r="I788" s="83">
        <f t="shared" si="73"/>
        <v>111</v>
      </c>
      <c r="J788" s="171">
        <f t="shared" si="74"/>
        <v>0.1759</v>
      </c>
      <c r="K788" s="177">
        <f t="shared" si="75"/>
        <v>0</v>
      </c>
      <c r="L788" s="177">
        <f t="shared" si="76"/>
        <v>0</v>
      </c>
      <c r="M788" s="177">
        <f t="shared" si="77"/>
        <v>0</v>
      </c>
    </row>
    <row r="789" spans="1:13" ht="12.75" customHeight="1">
      <c r="A789" s="268" t="s">
        <v>372</v>
      </c>
      <c r="B789" s="268" t="s">
        <v>2432</v>
      </c>
      <c r="C789" s="268" t="s">
        <v>2433</v>
      </c>
      <c r="D789" s="268">
        <v>795</v>
      </c>
      <c r="E789" s="268">
        <v>0</v>
      </c>
      <c r="F789" s="83">
        <f t="shared" si="78"/>
        <v>795</v>
      </c>
      <c r="G789" s="268">
        <v>76</v>
      </c>
      <c r="H789" s="268">
        <v>0</v>
      </c>
      <c r="I789" s="83">
        <f t="shared" si="73"/>
        <v>76</v>
      </c>
      <c r="J789" s="171">
        <f t="shared" si="74"/>
        <v>9.5600000000000004E-2</v>
      </c>
      <c r="K789" s="177">
        <f t="shared" si="75"/>
        <v>0</v>
      </c>
      <c r="L789" s="177">
        <f t="shared" si="76"/>
        <v>0</v>
      </c>
      <c r="M789" s="177">
        <f t="shared" si="77"/>
        <v>0</v>
      </c>
    </row>
    <row r="790" spans="1:13" ht="12.75" customHeight="1">
      <c r="A790" s="268" t="s">
        <v>372</v>
      </c>
      <c r="B790" s="268" t="s">
        <v>2434</v>
      </c>
      <c r="C790" s="268" t="s">
        <v>2435</v>
      </c>
      <c r="D790" s="268">
        <v>453</v>
      </c>
      <c r="E790" s="268">
        <v>0</v>
      </c>
      <c r="F790" s="83">
        <f t="shared" si="78"/>
        <v>453</v>
      </c>
      <c r="G790" s="268">
        <v>20</v>
      </c>
      <c r="H790" s="268">
        <v>0</v>
      </c>
      <c r="I790" s="83">
        <f t="shared" si="73"/>
        <v>20</v>
      </c>
      <c r="J790" s="171">
        <f t="shared" si="74"/>
        <v>4.4200000000000003E-2</v>
      </c>
      <c r="K790" s="177">
        <f t="shared" si="75"/>
        <v>0</v>
      </c>
      <c r="L790" s="177">
        <f t="shared" si="76"/>
        <v>0</v>
      </c>
      <c r="M790" s="177">
        <f t="shared" si="77"/>
        <v>0</v>
      </c>
    </row>
    <row r="791" spans="1:13" ht="12.75" customHeight="1">
      <c r="A791" s="268" t="s">
        <v>372</v>
      </c>
      <c r="B791" s="268" t="s">
        <v>2436</v>
      </c>
      <c r="C791" s="268" t="s">
        <v>2437</v>
      </c>
      <c r="D791" s="268">
        <v>0</v>
      </c>
      <c r="E791" s="268">
        <v>0</v>
      </c>
      <c r="F791" s="83">
        <f t="shared" si="78"/>
        <v>0</v>
      </c>
      <c r="G791" s="268">
        <v>0</v>
      </c>
      <c r="H791" s="268">
        <v>0</v>
      </c>
      <c r="I791" s="83">
        <f t="shared" si="73"/>
        <v>0</v>
      </c>
      <c r="J791" s="171">
        <f t="shared" si="74"/>
        <v>0</v>
      </c>
      <c r="K791" s="177">
        <f t="shared" si="75"/>
        <v>0</v>
      </c>
      <c r="L791" s="177">
        <f t="shared" si="76"/>
        <v>0</v>
      </c>
      <c r="M791" s="177">
        <f t="shared" si="77"/>
        <v>0</v>
      </c>
    </row>
    <row r="792" spans="1:13" ht="12.75" customHeight="1">
      <c r="A792" s="268" t="s">
        <v>373</v>
      </c>
      <c r="B792" s="268" t="s">
        <v>2438</v>
      </c>
      <c r="C792" s="268" t="s">
        <v>2439</v>
      </c>
      <c r="D792" s="268">
        <v>119</v>
      </c>
      <c r="E792" s="268">
        <v>0</v>
      </c>
      <c r="F792" s="83">
        <f t="shared" si="78"/>
        <v>119</v>
      </c>
      <c r="G792" s="268">
        <v>40</v>
      </c>
      <c r="H792" s="268">
        <v>0</v>
      </c>
      <c r="I792" s="83">
        <f t="shared" si="73"/>
        <v>40</v>
      </c>
      <c r="J792" s="171">
        <f t="shared" si="74"/>
        <v>0.33610000000000001</v>
      </c>
      <c r="K792" s="177">
        <f t="shared" si="75"/>
        <v>0</v>
      </c>
      <c r="L792" s="177">
        <f t="shared" si="76"/>
        <v>0</v>
      </c>
      <c r="M792" s="177">
        <f t="shared" si="77"/>
        <v>0</v>
      </c>
    </row>
    <row r="793" spans="1:13" ht="12.75" customHeight="1">
      <c r="A793" s="268" t="s">
        <v>373</v>
      </c>
      <c r="B793" s="268" t="s">
        <v>2440</v>
      </c>
      <c r="C793" s="268" t="s">
        <v>2441</v>
      </c>
      <c r="D793" s="268">
        <v>105</v>
      </c>
      <c r="E793" s="268">
        <v>0</v>
      </c>
      <c r="F793" s="83">
        <f t="shared" si="78"/>
        <v>105</v>
      </c>
      <c r="G793" s="268">
        <v>39</v>
      </c>
      <c r="H793" s="268">
        <v>0</v>
      </c>
      <c r="I793" s="83">
        <f t="shared" si="73"/>
        <v>39</v>
      </c>
      <c r="J793" s="171">
        <f t="shared" si="74"/>
        <v>0.37140000000000001</v>
      </c>
      <c r="K793" s="177">
        <f t="shared" si="75"/>
        <v>0.6</v>
      </c>
      <c r="L793" s="177">
        <f t="shared" si="76"/>
        <v>0</v>
      </c>
      <c r="M793" s="177">
        <f t="shared" si="77"/>
        <v>0.6</v>
      </c>
    </row>
    <row r="794" spans="1:13" ht="12.75" customHeight="1">
      <c r="A794" s="268" t="s">
        <v>374</v>
      </c>
      <c r="B794" s="268" t="s">
        <v>2442</v>
      </c>
      <c r="C794" s="268" t="s">
        <v>2443</v>
      </c>
      <c r="D794" s="268">
        <v>66</v>
      </c>
      <c r="E794" s="268">
        <v>0</v>
      </c>
      <c r="F794" s="83">
        <f t="shared" si="78"/>
        <v>66</v>
      </c>
      <c r="G794" s="268">
        <v>39</v>
      </c>
      <c r="H794" s="268">
        <v>0</v>
      </c>
      <c r="I794" s="83">
        <f t="shared" si="73"/>
        <v>39</v>
      </c>
      <c r="J794" s="171">
        <f t="shared" si="74"/>
        <v>0.59089999999999998</v>
      </c>
      <c r="K794" s="177">
        <f t="shared" si="75"/>
        <v>0</v>
      </c>
      <c r="L794" s="177">
        <f t="shared" si="76"/>
        <v>4.0999999999999996</v>
      </c>
      <c r="M794" s="177">
        <f t="shared" si="77"/>
        <v>4.0999999999999996</v>
      </c>
    </row>
    <row r="795" spans="1:13" ht="12.75" customHeight="1">
      <c r="A795" s="268" t="s">
        <v>374</v>
      </c>
      <c r="B795" s="268" t="s">
        <v>2444</v>
      </c>
      <c r="C795" s="268" t="s">
        <v>2445</v>
      </c>
      <c r="D795" s="268">
        <v>110</v>
      </c>
      <c r="E795" s="268">
        <v>0</v>
      </c>
      <c r="F795" s="83">
        <f t="shared" si="78"/>
        <v>110</v>
      </c>
      <c r="G795" s="268">
        <v>52</v>
      </c>
      <c r="H795" s="268">
        <v>0</v>
      </c>
      <c r="I795" s="83">
        <f t="shared" si="73"/>
        <v>52</v>
      </c>
      <c r="J795" s="171">
        <f t="shared" si="74"/>
        <v>0.47270000000000001</v>
      </c>
      <c r="K795" s="177">
        <f t="shared" si="75"/>
        <v>4.5</v>
      </c>
      <c r="L795" s="177">
        <f t="shared" si="76"/>
        <v>0</v>
      </c>
      <c r="M795" s="177">
        <f t="shared" si="77"/>
        <v>4.5</v>
      </c>
    </row>
    <row r="796" spans="1:13" ht="12.75" customHeight="1">
      <c r="A796" s="268" t="s">
        <v>375</v>
      </c>
      <c r="B796" s="268" t="s">
        <v>2446</v>
      </c>
      <c r="C796" s="268" t="s">
        <v>1283</v>
      </c>
      <c r="D796" s="268">
        <v>242</v>
      </c>
      <c r="E796" s="268">
        <v>0</v>
      </c>
      <c r="F796" s="83">
        <f t="shared" si="78"/>
        <v>242</v>
      </c>
      <c r="G796" s="268">
        <v>48</v>
      </c>
      <c r="H796" s="268">
        <v>0</v>
      </c>
      <c r="I796" s="83">
        <f t="shared" si="73"/>
        <v>48</v>
      </c>
      <c r="J796" s="171">
        <f t="shared" si="74"/>
        <v>0.1983</v>
      </c>
      <c r="K796" s="177">
        <f t="shared" si="75"/>
        <v>0</v>
      </c>
      <c r="L796" s="177">
        <f t="shared" si="76"/>
        <v>0</v>
      </c>
      <c r="M796" s="177">
        <f t="shared" si="77"/>
        <v>0</v>
      </c>
    </row>
    <row r="797" spans="1:13" ht="12.75" customHeight="1">
      <c r="A797" s="268" t="s">
        <v>375</v>
      </c>
      <c r="B797" s="268" t="s">
        <v>2447</v>
      </c>
      <c r="C797" s="268" t="s">
        <v>2448</v>
      </c>
      <c r="D797" s="268">
        <v>217</v>
      </c>
      <c r="E797" s="268">
        <v>0</v>
      </c>
      <c r="F797" s="83">
        <f t="shared" si="78"/>
        <v>217</v>
      </c>
      <c r="G797" s="268">
        <v>47</v>
      </c>
      <c r="H797" s="268">
        <v>0</v>
      </c>
      <c r="I797" s="83">
        <f t="shared" si="73"/>
        <v>47</v>
      </c>
      <c r="J797" s="171">
        <f t="shared" si="74"/>
        <v>0.21659999999999999</v>
      </c>
      <c r="K797" s="177">
        <f t="shared" si="75"/>
        <v>0</v>
      </c>
      <c r="L797" s="177">
        <f t="shared" si="76"/>
        <v>0</v>
      </c>
      <c r="M797" s="177">
        <f t="shared" si="77"/>
        <v>0</v>
      </c>
    </row>
    <row r="798" spans="1:13" ht="12.75" customHeight="1">
      <c r="A798" s="268" t="s">
        <v>376</v>
      </c>
      <c r="B798" s="268" t="s">
        <v>2449</v>
      </c>
      <c r="C798" s="268" t="s">
        <v>2450</v>
      </c>
      <c r="D798" s="268">
        <v>279</v>
      </c>
      <c r="E798" s="268">
        <v>0</v>
      </c>
      <c r="F798" s="83">
        <f t="shared" si="78"/>
        <v>279</v>
      </c>
      <c r="G798" s="268">
        <v>133</v>
      </c>
      <c r="H798" s="268">
        <v>0</v>
      </c>
      <c r="I798" s="83">
        <f t="shared" si="73"/>
        <v>133</v>
      </c>
      <c r="J798" s="171">
        <f t="shared" si="74"/>
        <v>0.47670000000000001</v>
      </c>
      <c r="K798" s="177">
        <f t="shared" si="75"/>
        <v>11.8</v>
      </c>
      <c r="L798" s="177">
        <f t="shared" si="76"/>
        <v>0</v>
      </c>
      <c r="M798" s="177">
        <f t="shared" si="77"/>
        <v>11.8</v>
      </c>
    </row>
    <row r="799" spans="1:13" ht="12.75" customHeight="1">
      <c r="A799" s="268" t="s">
        <v>376</v>
      </c>
      <c r="B799" s="268" t="s">
        <v>2451</v>
      </c>
      <c r="C799" s="268" t="s">
        <v>2452</v>
      </c>
      <c r="D799" s="268">
        <v>385</v>
      </c>
      <c r="E799" s="268">
        <v>0</v>
      </c>
      <c r="F799" s="83">
        <f t="shared" si="78"/>
        <v>385</v>
      </c>
      <c r="G799" s="268">
        <v>236</v>
      </c>
      <c r="H799" s="268">
        <v>0</v>
      </c>
      <c r="I799" s="83">
        <f t="shared" si="73"/>
        <v>236</v>
      </c>
      <c r="J799" s="171">
        <f t="shared" si="74"/>
        <v>0.61299999999999999</v>
      </c>
      <c r="K799" s="177">
        <f t="shared" si="75"/>
        <v>0</v>
      </c>
      <c r="L799" s="177">
        <f t="shared" si="76"/>
        <v>24.8</v>
      </c>
      <c r="M799" s="177">
        <f t="shared" si="77"/>
        <v>24.8</v>
      </c>
    </row>
    <row r="800" spans="1:13" ht="12.75" customHeight="1">
      <c r="A800" s="268" t="s">
        <v>377</v>
      </c>
      <c r="B800" s="268" t="s">
        <v>3423</v>
      </c>
      <c r="C800" s="268" t="s">
        <v>3424</v>
      </c>
      <c r="D800" s="268">
        <v>26</v>
      </c>
      <c r="E800" s="268">
        <v>0</v>
      </c>
      <c r="F800" s="83">
        <f t="shared" si="78"/>
        <v>26</v>
      </c>
      <c r="G800" s="268">
        <v>20</v>
      </c>
      <c r="H800" s="268">
        <v>0</v>
      </c>
      <c r="I800" s="83">
        <f t="shared" si="73"/>
        <v>20</v>
      </c>
      <c r="J800" s="171">
        <f t="shared" si="74"/>
        <v>0.76919999999999999</v>
      </c>
      <c r="K800" s="177">
        <f t="shared" si="75"/>
        <v>0</v>
      </c>
      <c r="L800" s="177">
        <f t="shared" si="76"/>
        <v>2.1</v>
      </c>
      <c r="M800" s="177">
        <f t="shared" si="77"/>
        <v>2.1</v>
      </c>
    </row>
    <row r="801" spans="1:13" ht="12.75" customHeight="1">
      <c r="A801" s="268" t="s">
        <v>377</v>
      </c>
      <c r="B801" s="268" t="s">
        <v>3425</v>
      </c>
      <c r="C801" s="268" t="s">
        <v>3426</v>
      </c>
      <c r="D801" s="268">
        <v>36</v>
      </c>
      <c r="E801" s="268">
        <v>0</v>
      </c>
      <c r="F801" s="83">
        <f t="shared" si="78"/>
        <v>36</v>
      </c>
      <c r="G801" s="268">
        <v>19</v>
      </c>
      <c r="H801" s="268">
        <v>0</v>
      </c>
      <c r="I801" s="83">
        <f t="shared" si="73"/>
        <v>19</v>
      </c>
      <c r="J801" s="171">
        <f t="shared" si="74"/>
        <v>0.52780000000000005</v>
      </c>
      <c r="K801" s="177">
        <f t="shared" si="75"/>
        <v>0</v>
      </c>
      <c r="L801" s="177">
        <f t="shared" si="76"/>
        <v>2</v>
      </c>
      <c r="M801" s="177">
        <f t="shared" si="77"/>
        <v>2</v>
      </c>
    </row>
    <row r="802" spans="1:13" ht="12.75" customHeight="1">
      <c r="A802" s="268" t="s">
        <v>378</v>
      </c>
      <c r="B802" s="268" t="s">
        <v>2453</v>
      </c>
      <c r="C802" s="268" t="s">
        <v>2454</v>
      </c>
      <c r="D802" s="268">
        <v>171</v>
      </c>
      <c r="E802" s="269">
        <v>0</v>
      </c>
      <c r="F802" s="83">
        <f t="shared" si="78"/>
        <v>171</v>
      </c>
      <c r="G802" s="268">
        <v>64</v>
      </c>
      <c r="H802" s="269">
        <v>0</v>
      </c>
      <c r="I802" s="83">
        <f t="shared" si="73"/>
        <v>64</v>
      </c>
      <c r="J802" s="171">
        <f t="shared" si="74"/>
        <v>0.37430000000000002</v>
      </c>
      <c r="K802" s="177">
        <f t="shared" si="75"/>
        <v>1.1000000000000001</v>
      </c>
      <c r="L802" s="177">
        <f t="shared" si="76"/>
        <v>0</v>
      </c>
      <c r="M802" s="177">
        <f t="shared" si="77"/>
        <v>1.1000000000000001</v>
      </c>
    </row>
    <row r="803" spans="1:13" ht="12.75" customHeight="1">
      <c r="A803" s="268" t="s">
        <v>378</v>
      </c>
      <c r="B803" s="268" t="s">
        <v>2455</v>
      </c>
      <c r="C803" s="268" t="s">
        <v>2456</v>
      </c>
      <c r="D803" s="268">
        <v>113</v>
      </c>
      <c r="E803" s="268">
        <v>0</v>
      </c>
      <c r="F803" s="83">
        <f t="shared" si="78"/>
        <v>113</v>
      </c>
      <c r="G803" s="268">
        <v>36</v>
      </c>
      <c r="H803" s="268">
        <v>0</v>
      </c>
      <c r="I803" s="83">
        <f t="shared" ref="I803:I866" si="79">SUM(G803+H803)</f>
        <v>36</v>
      </c>
      <c r="J803" s="171">
        <f t="shared" ref="J803:J866" si="80">IF(ISERROR(I803/F803),0,I803/F803)</f>
        <v>0.31859999999999999</v>
      </c>
      <c r="K803" s="177">
        <f t="shared" si="75"/>
        <v>0</v>
      </c>
      <c r="L803" s="177">
        <f t="shared" si="76"/>
        <v>0</v>
      </c>
      <c r="M803" s="177">
        <f t="shared" si="77"/>
        <v>0</v>
      </c>
    </row>
    <row r="804" spans="1:13" ht="12.75" customHeight="1">
      <c r="A804" s="268" t="s">
        <v>379</v>
      </c>
      <c r="B804" s="268" t="s">
        <v>2457</v>
      </c>
      <c r="C804" s="268" t="s">
        <v>2458</v>
      </c>
      <c r="D804" s="268">
        <v>225</v>
      </c>
      <c r="E804" s="268">
        <v>0</v>
      </c>
      <c r="F804" s="83">
        <f t="shared" si="78"/>
        <v>225</v>
      </c>
      <c r="G804" s="268">
        <v>100</v>
      </c>
      <c r="H804" s="268">
        <v>0</v>
      </c>
      <c r="I804" s="83">
        <f t="shared" si="79"/>
        <v>100</v>
      </c>
      <c r="J804" s="171">
        <f t="shared" si="80"/>
        <v>0.44440000000000002</v>
      </c>
      <c r="K804" s="177">
        <f t="shared" si="75"/>
        <v>6.6</v>
      </c>
      <c r="L804" s="177">
        <f t="shared" si="76"/>
        <v>0</v>
      </c>
      <c r="M804" s="177">
        <f t="shared" si="77"/>
        <v>6.6</v>
      </c>
    </row>
    <row r="805" spans="1:13" ht="12.75" customHeight="1">
      <c r="A805" s="268" t="s">
        <v>379</v>
      </c>
      <c r="B805" s="268" t="s">
        <v>2459</v>
      </c>
      <c r="C805" s="268" t="s">
        <v>2460</v>
      </c>
      <c r="D805" s="268">
        <v>99</v>
      </c>
      <c r="E805" s="268">
        <v>0</v>
      </c>
      <c r="F805" s="83">
        <f t="shared" si="78"/>
        <v>99</v>
      </c>
      <c r="G805" s="268">
        <v>34</v>
      </c>
      <c r="H805" s="268">
        <v>0</v>
      </c>
      <c r="I805" s="83">
        <f t="shared" si="79"/>
        <v>34</v>
      </c>
      <c r="J805" s="171">
        <f t="shared" si="80"/>
        <v>0.34339999999999998</v>
      </c>
      <c r="K805" s="177">
        <f t="shared" si="75"/>
        <v>0</v>
      </c>
      <c r="L805" s="177">
        <f t="shared" si="76"/>
        <v>0</v>
      </c>
      <c r="M805" s="177">
        <f t="shared" si="77"/>
        <v>0</v>
      </c>
    </row>
    <row r="806" spans="1:13" ht="12.75" customHeight="1">
      <c r="A806" s="268" t="s">
        <v>380</v>
      </c>
      <c r="B806" s="268" t="s">
        <v>2461</v>
      </c>
      <c r="C806" s="268" t="s">
        <v>2462</v>
      </c>
      <c r="D806" s="268">
        <v>375</v>
      </c>
      <c r="E806" s="268">
        <v>0</v>
      </c>
      <c r="F806" s="83">
        <f t="shared" si="78"/>
        <v>375</v>
      </c>
      <c r="G806" s="268">
        <v>97</v>
      </c>
      <c r="H806" s="268">
        <v>0</v>
      </c>
      <c r="I806" s="83">
        <f t="shared" si="79"/>
        <v>97</v>
      </c>
      <c r="J806" s="171">
        <f t="shared" si="80"/>
        <v>0.25869999999999999</v>
      </c>
      <c r="K806" s="177">
        <f t="shared" si="75"/>
        <v>0</v>
      </c>
      <c r="L806" s="177">
        <f t="shared" si="76"/>
        <v>0</v>
      </c>
      <c r="M806" s="177">
        <f t="shared" si="77"/>
        <v>0</v>
      </c>
    </row>
    <row r="807" spans="1:13" ht="12.75" customHeight="1">
      <c r="A807" s="268" t="s">
        <v>380</v>
      </c>
      <c r="B807" s="268" t="s">
        <v>2463</v>
      </c>
      <c r="C807" s="268" t="s">
        <v>2464</v>
      </c>
      <c r="D807" s="268">
        <v>330</v>
      </c>
      <c r="E807" s="268">
        <v>0</v>
      </c>
      <c r="F807" s="83">
        <f t="shared" si="78"/>
        <v>330</v>
      </c>
      <c r="G807" s="268">
        <v>63</v>
      </c>
      <c r="H807" s="268">
        <v>0</v>
      </c>
      <c r="I807" s="83">
        <f t="shared" si="79"/>
        <v>63</v>
      </c>
      <c r="J807" s="171">
        <f t="shared" si="80"/>
        <v>0.19089999999999999</v>
      </c>
      <c r="K807" s="177">
        <f t="shared" si="75"/>
        <v>0</v>
      </c>
      <c r="L807" s="177">
        <f t="shared" si="76"/>
        <v>0</v>
      </c>
      <c r="M807" s="177">
        <f t="shared" si="77"/>
        <v>0</v>
      </c>
    </row>
    <row r="808" spans="1:13" ht="12.75" customHeight="1">
      <c r="A808" s="268" t="s">
        <v>380</v>
      </c>
      <c r="B808" s="268" t="s">
        <v>2465</v>
      </c>
      <c r="C808" s="268" t="s">
        <v>2466</v>
      </c>
      <c r="D808" s="268">
        <v>522</v>
      </c>
      <c r="E808" s="268">
        <v>0</v>
      </c>
      <c r="F808" s="83">
        <f t="shared" si="78"/>
        <v>522</v>
      </c>
      <c r="G808" s="268">
        <v>76</v>
      </c>
      <c r="H808" s="268">
        <v>0</v>
      </c>
      <c r="I808" s="83">
        <f t="shared" si="79"/>
        <v>76</v>
      </c>
      <c r="J808" s="171">
        <f t="shared" si="80"/>
        <v>0.14560000000000001</v>
      </c>
      <c r="K808" s="177">
        <f t="shared" si="75"/>
        <v>0</v>
      </c>
      <c r="L808" s="177">
        <f t="shared" si="76"/>
        <v>0</v>
      </c>
      <c r="M808" s="177">
        <f t="shared" si="77"/>
        <v>0</v>
      </c>
    </row>
    <row r="809" spans="1:13" ht="12.75" customHeight="1">
      <c r="A809" s="268" t="s">
        <v>380</v>
      </c>
      <c r="B809" s="268" t="s">
        <v>2467</v>
      </c>
      <c r="C809" s="268" t="s">
        <v>2468</v>
      </c>
      <c r="D809" s="268">
        <v>370</v>
      </c>
      <c r="E809" s="268">
        <v>0</v>
      </c>
      <c r="F809" s="83">
        <f t="shared" si="78"/>
        <v>370</v>
      </c>
      <c r="G809" s="268">
        <v>91</v>
      </c>
      <c r="H809" s="268">
        <v>0</v>
      </c>
      <c r="I809" s="83">
        <f t="shared" si="79"/>
        <v>91</v>
      </c>
      <c r="J809" s="171">
        <f t="shared" si="80"/>
        <v>0.24590000000000001</v>
      </c>
      <c r="K809" s="177">
        <f t="shared" si="75"/>
        <v>0</v>
      </c>
      <c r="L809" s="177">
        <f t="shared" si="76"/>
        <v>0</v>
      </c>
      <c r="M809" s="177">
        <f t="shared" si="77"/>
        <v>0</v>
      </c>
    </row>
    <row r="810" spans="1:13" ht="12.75" customHeight="1">
      <c r="A810" s="268" t="s">
        <v>381</v>
      </c>
      <c r="B810" s="268" t="s">
        <v>2469</v>
      </c>
      <c r="C810" s="268" t="s">
        <v>2470</v>
      </c>
      <c r="D810" s="268">
        <v>128</v>
      </c>
      <c r="E810" s="268">
        <v>0</v>
      </c>
      <c r="F810" s="83">
        <f t="shared" si="78"/>
        <v>128</v>
      </c>
      <c r="G810" s="268">
        <v>50</v>
      </c>
      <c r="H810" s="268">
        <v>0</v>
      </c>
      <c r="I810" s="83">
        <f t="shared" si="79"/>
        <v>50</v>
      </c>
      <c r="J810" s="171">
        <f t="shared" si="80"/>
        <v>0.3906</v>
      </c>
      <c r="K810" s="177">
        <f t="shared" si="75"/>
        <v>1.4</v>
      </c>
      <c r="L810" s="177">
        <f t="shared" si="76"/>
        <v>0</v>
      </c>
      <c r="M810" s="177">
        <f t="shared" si="77"/>
        <v>1.4</v>
      </c>
    </row>
    <row r="811" spans="1:13" ht="12.75" customHeight="1">
      <c r="A811" s="268" t="s">
        <v>381</v>
      </c>
      <c r="B811" s="268" t="s">
        <v>2471</v>
      </c>
      <c r="C811" s="268" t="s">
        <v>2472</v>
      </c>
      <c r="D811" s="268">
        <v>86</v>
      </c>
      <c r="E811" s="269">
        <v>0</v>
      </c>
      <c r="F811" s="83">
        <f t="shared" si="78"/>
        <v>86</v>
      </c>
      <c r="G811" s="268">
        <v>36</v>
      </c>
      <c r="H811" s="269">
        <v>0</v>
      </c>
      <c r="I811" s="83">
        <f t="shared" si="79"/>
        <v>36</v>
      </c>
      <c r="J811" s="171">
        <f t="shared" si="80"/>
        <v>0.41860000000000003</v>
      </c>
      <c r="K811" s="177">
        <f t="shared" si="75"/>
        <v>1.7</v>
      </c>
      <c r="L811" s="177">
        <f t="shared" si="76"/>
        <v>0</v>
      </c>
      <c r="M811" s="177">
        <f t="shared" si="77"/>
        <v>1.7</v>
      </c>
    </row>
    <row r="812" spans="1:13" ht="12.75" customHeight="1">
      <c r="A812" s="268" t="s">
        <v>381</v>
      </c>
      <c r="B812" s="268" t="s">
        <v>2473</v>
      </c>
      <c r="C812" s="268" t="s">
        <v>2474</v>
      </c>
      <c r="D812" s="268">
        <v>48</v>
      </c>
      <c r="E812" s="268">
        <v>0</v>
      </c>
      <c r="F812" s="83">
        <f t="shared" si="78"/>
        <v>48</v>
      </c>
      <c r="G812" s="268">
        <v>22</v>
      </c>
      <c r="H812" s="268">
        <v>0</v>
      </c>
      <c r="I812" s="83">
        <f t="shared" si="79"/>
        <v>22</v>
      </c>
      <c r="J812" s="171">
        <f t="shared" si="80"/>
        <v>0.45829999999999999</v>
      </c>
      <c r="K812" s="177">
        <f t="shared" si="75"/>
        <v>1.7</v>
      </c>
      <c r="L812" s="177">
        <f t="shared" si="76"/>
        <v>0</v>
      </c>
      <c r="M812" s="177">
        <f t="shared" si="77"/>
        <v>1.7</v>
      </c>
    </row>
    <row r="813" spans="1:13" ht="12.75" customHeight="1">
      <c r="A813" s="268" t="s">
        <v>382</v>
      </c>
      <c r="B813" s="268" t="s">
        <v>2475</v>
      </c>
      <c r="C813" s="268" t="s">
        <v>2476</v>
      </c>
      <c r="D813" s="268">
        <v>265</v>
      </c>
      <c r="E813" s="268">
        <v>0</v>
      </c>
      <c r="F813" s="83">
        <f t="shared" si="78"/>
        <v>265</v>
      </c>
      <c r="G813" s="268">
        <v>90</v>
      </c>
      <c r="H813" s="268">
        <v>0</v>
      </c>
      <c r="I813" s="83">
        <f t="shared" si="79"/>
        <v>90</v>
      </c>
      <c r="J813" s="171">
        <f t="shared" si="80"/>
        <v>0.33960000000000001</v>
      </c>
      <c r="K813" s="177">
        <f t="shared" si="75"/>
        <v>0</v>
      </c>
      <c r="L813" s="177">
        <f t="shared" si="76"/>
        <v>0</v>
      </c>
      <c r="M813" s="177">
        <f t="shared" si="77"/>
        <v>0</v>
      </c>
    </row>
    <row r="814" spans="1:13" ht="12.75" customHeight="1">
      <c r="A814" s="268" t="s">
        <v>382</v>
      </c>
      <c r="B814" s="268" t="s">
        <v>2477</v>
      </c>
      <c r="C814" s="268" t="s">
        <v>2478</v>
      </c>
      <c r="D814" s="268">
        <v>154</v>
      </c>
      <c r="E814" s="268">
        <v>0</v>
      </c>
      <c r="F814" s="83">
        <f t="shared" si="78"/>
        <v>154</v>
      </c>
      <c r="G814" s="268">
        <v>35</v>
      </c>
      <c r="H814" s="268">
        <v>0</v>
      </c>
      <c r="I814" s="83">
        <f t="shared" si="79"/>
        <v>35</v>
      </c>
      <c r="J814" s="171">
        <f t="shared" si="80"/>
        <v>0.2273</v>
      </c>
      <c r="K814" s="177">
        <f t="shared" si="75"/>
        <v>0</v>
      </c>
      <c r="L814" s="177">
        <f t="shared" si="76"/>
        <v>0</v>
      </c>
      <c r="M814" s="177">
        <f t="shared" si="77"/>
        <v>0</v>
      </c>
    </row>
    <row r="815" spans="1:13" ht="12.75" customHeight="1">
      <c r="A815" s="268" t="s">
        <v>382</v>
      </c>
      <c r="B815" s="268" t="s">
        <v>2479</v>
      </c>
      <c r="C815" s="268" t="s">
        <v>2480</v>
      </c>
      <c r="D815" s="268">
        <v>242</v>
      </c>
      <c r="E815" s="268">
        <v>0</v>
      </c>
      <c r="F815" s="83">
        <f t="shared" si="78"/>
        <v>242</v>
      </c>
      <c r="G815" s="268">
        <v>49</v>
      </c>
      <c r="H815" s="268">
        <v>0</v>
      </c>
      <c r="I815" s="83">
        <f t="shared" si="79"/>
        <v>49</v>
      </c>
      <c r="J815" s="171">
        <f t="shared" si="80"/>
        <v>0.20250000000000001</v>
      </c>
      <c r="K815" s="177">
        <f t="shared" si="75"/>
        <v>0</v>
      </c>
      <c r="L815" s="177">
        <f t="shared" si="76"/>
        <v>0</v>
      </c>
      <c r="M815" s="177">
        <f t="shared" si="77"/>
        <v>0</v>
      </c>
    </row>
    <row r="816" spans="1:13" ht="12.75" customHeight="1">
      <c r="A816" s="268" t="s">
        <v>383</v>
      </c>
      <c r="B816" s="268" t="s">
        <v>2481</v>
      </c>
      <c r="C816" s="268" t="s">
        <v>2482</v>
      </c>
      <c r="D816" s="268">
        <v>196</v>
      </c>
      <c r="E816" s="268">
        <v>0</v>
      </c>
      <c r="F816" s="83">
        <f t="shared" si="78"/>
        <v>196</v>
      </c>
      <c r="G816" s="268">
        <v>61</v>
      </c>
      <c r="H816" s="268">
        <v>0</v>
      </c>
      <c r="I816" s="83">
        <f t="shared" si="79"/>
        <v>61</v>
      </c>
      <c r="J816" s="171">
        <f t="shared" si="80"/>
        <v>0.31119999999999998</v>
      </c>
      <c r="K816" s="177">
        <f t="shared" si="75"/>
        <v>0</v>
      </c>
      <c r="L816" s="177">
        <f t="shared" si="76"/>
        <v>0</v>
      </c>
      <c r="M816" s="177">
        <f t="shared" si="77"/>
        <v>0</v>
      </c>
    </row>
    <row r="817" spans="1:13" ht="12.75" customHeight="1">
      <c r="A817" s="268" t="s">
        <v>384</v>
      </c>
      <c r="B817" s="268" t="s">
        <v>2483</v>
      </c>
      <c r="C817" s="268" t="s">
        <v>2484</v>
      </c>
      <c r="D817" s="268">
        <v>110</v>
      </c>
      <c r="E817" s="268">
        <v>0</v>
      </c>
      <c r="F817" s="83">
        <f t="shared" si="78"/>
        <v>110</v>
      </c>
      <c r="G817" s="268">
        <v>58</v>
      </c>
      <c r="H817" s="268">
        <v>0</v>
      </c>
      <c r="I817" s="83">
        <f t="shared" si="79"/>
        <v>58</v>
      </c>
      <c r="J817" s="171">
        <f t="shared" si="80"/>
        <v>0.52729999999999999</v>
      </c>
      <c r="K817" s="177">
        <f t="shared" si="75"/>
        <v>0</v>
      </c>
      <c r="L817" s="177">
        <f t="shared" si="76"/>
        <v>6.1</v>
      </c>
      <c r="M817" s="177">
        <f t="shared" si="77"/>
        <v>6.1</v>
      </c>
    </row>
    <row r="818" spans="1:13" ht="12.75" customHeight="1">
      <c r="A818" s="268" t="s">
        <v>384</v>
      </c>
      <c r="B818" s="268" t="s">
        <v>2485</v>
      </c>
      <c r="C818" s="268" t="s">
        <v>2486</v>
      </c>
      <c r="D818" s="268">
        <v>132</v>
      </c>
      <c r="E818" s="268">
        <v>0</v>
      </c>
      <c r="F818" s="83">
        <f t="shared" si="78"/>
        <v>132</v>
      </c>
      <c r="G818" s="268">
        <v>59</v>
      </c>
      <c r="H818" s="268">
        <v>0</v>
      </c>
      <c r="I818" s="83">
        <f t="shared" si="79"/>
        <v>59</v>
      </c>
      <c r="J818" s="171">
        <f t="shared" si="80"/>
        <v>0.44700000000000001</v>
      </c>
      <c r="K818" s="177">
        <f t="shared" si="75"/>
        <v>4</v>
      </c>
      <c r="L818" s="177">
        <f t="shared" si="76"/>
        <v>0</v>
      </c>
      <c r="M818" s="177">
        <f t="shared" si="77"/>
        <v>4</v>
      </c>
    </row>
    <row r="819" spans="1:13" ht="12.75" customHeight="1">
      <c r="A819" s="268" t="s">
        <v>385</v>
      </c>
      <c r="B819" s="268" t="s">
        <v>2487</v>
      </c>
      <c r="C819" s="268" t="s">
        <v>2488</v>
      </c>
      <c r="D819" s="268">
        <v>65</v>
      </c>
      <c r="E819" s="268">
        <v>0</v>
      </c>
      <c r="F819" s="83">
        <f t="shared" si="78"/>
        <v>65</v>
      </c>
      <c r="G819" s="268">
        <v>32</v>
      </c>
      <c r="H819" s="268">
        <v>0</v>
      </c>
      <c r="I819" s="83">
        <f t="shared" si="79"/>
        <v>32</v>
      </c>
      <c r="J819" s="171">
        <f t="shared" si="80"/>
        <v>0.49230000000000002</v>
      </c>
      <c r="K819" s="177">
        <f t="shared" si="75"/>
        <v>3.2</v>
      </c>
      <c r="L819" s="177">
        <f t="shared" si="76"/>
        <v>0</v>
      </c>
      <c r="M819" s="177">
        <f t="shared" si="77"/>
        <v>3.2</v>
      </c>
    </row>
    <row r="820" spans="1:13" ht="12.75" customHeight="1">
      <c r="A820" s="268" t="s">
        <v>385</v>
      </c>
      <c r="B820" s="268" t="s">
        <v>2489</v>
      </c>
      <c r="C820" s="268" t="s">
        <v>2490</v>
      </c>
      <c r="D820" s="268">
        <v>53</v>
      </c>
      <c r="E820" s="268">
        <v>0</v>
      </c>
      <c r="F820" s="83">
        <f t="shared" si="78"/>
        <v>53</v>
      </c>
      <c r="G820" s="268">
        <v>15</v>
      </c>
      <c r="H820" s="268">
        <v>0</v>
      </c>
      <c r="I820" s="83">
        <f t="shared" si="79"/>
        <v>15</v>
      </c>
      <c r="J820" s="171">
        <f t="shared" si="80"/>
        <v>0.28299999999999997</v>
      </c>
      <c r="K820" s="177">
        <f t="shared" si="75"/>
        <v>0</v>
      </c>
      <c r="L820" s="177">
        <f t="shared" si="76"/>
        <v>0</v>
      </c>
      <c r="M820" s="177">
        <f t="shared" si="77"/>
        <v>0</v>
      </c>
    </row>
    <row r="821" spans="1:13" ht="12.75" customHeight="1">
      <c r="A821" s="268" t="s">
        <v>386</v>
      </c>
      <c r="B821" s="268" t="s">
        <v>2491</v>
      </c>
      <c r="C821" s="268" t="s">
        <v>2492</v>
      </c>
      <c r="D821" s="268">
        <v>0</v>
      </c>
      <c r="E821" s="268">
        <v>0</v>
      </c>
      <c r="F821" s="83">
        <f t="shared" si="78"/>
        <v>0</v>
      </c>
      <c r="G821" s="268">
        <v>0</v>
      </c>
      <c r="H821" s="268">
        <v>0</v>
      </c>
      <c r="I821" s="83">
        <f t="shared" si="79"/>
        <v>0</v>
      </c>
      <c r="J821" s="171">
        <f t="shared" si="80"/>
        <v>0</v>
      </c>
      <c r="K821" s="177">
        <f t="shared" si="75"/>
        <v>0</v>
      </c>
      <c r="L821" s="177">
        <f t="shared" si="76"/>
        <v>0</v>
      </c>
      <c r="M821" s="177">
        <f t="shared" si="77"/>
        <v>0</v>
      </c>
    </row>
    <row r="822" spans="1:13" ht="12.75" customHeight="1">
      <c r="A822" s="268" t="s">
        <v>386</v>
      </c>
      <c r="B822" s="268" t="s">
        <v>2493</v>
      </c>
      <c r="C822" s="268" t="s">
        <v>2494</v>
      </c>
      <c r="D822" s="268">
        <v>286</v>
      </c>
      <c r="E822" s="268">
        <v>0</v>
      </c>
      <c r="F822" s="83">
        <f t="shared" si="78"/>
        <v>286</v>
      </c>
      <c r="G822" s="268">
        <v>70</v>
      </c>
      <c r="H822" s="268">
        <v>0</v>
      </c>
      <c r="I822" s="83">
        <f t="shared" si="79"/>
        <v>70</v>
      </c>
      <c r="J822" s="171">
        <f t="shared" si="80"/>
        <v>0.24479999999999999</v>
      </c>
      <c r="K822" s="177">
        <f t="shared" si="75"/>
        <v>0</v>
      </c>
      <c r="L822" s="177">
        <f t="shared" si="76"/>
        <v>0</v>
      </c>
      <c r="M822" s="177">
        <f t="shared" si="77"/>
        <v>0</v>
      </c>
    </row>
    <row r="823" spans="1:13" ht="12.75" customHeight="1">
      <c r="A823" s="268" t="s">
        <v>386</v>
      </c>
      <c r="B823" s="268" t="s">
        <v>2495</v>
      </c>
      <c r="C823" s="268" t="s">
        <v>2496</v>
      </c>
      <c r="D823" s="268">
        <v>260</v>
      </c>
      <c r="E823" s="268">
        <v>0</v>
      </c>
      <c r="F823" s="83">
        <f t="shared" si="78"/>
        <v>260</v>
      </c>
      <c r="G823" s="268">
        <v>59</v>
      </c>
      <c r="H823" s="268">
        <v>0</v>
      </c>
      <c r="I823" s="83">
        <f t="shared" si="79"/>
        <v>59</v>
      </c>
      <c r="J823" s="171">
        <f t="shared" si="80"/>
        <v>0.22689999999999999</v>
      </c>
      <c r="K823" s="177">
        <f t="shared" si="75"/>
        <v>0</v>
      </c>
      <c r="L823" s="177">
        <f t="shared" si="76"/>
        <v>0</v>
      </c>
      <c r="M823" s="177">
        <f t="shared" si="77"/>
        <v>0</v>
      </c>
    </row>
    <row r="824" spans="1:13" ht="12.75" customHeight="1">
      <c r="A824" s="268" t="s">
        <v>386</v>
      </c>
      <c r="B824" s="268" t="s">
        <v>2497</v>
      </c>
      <c r="C824" s="268" t="s">
        <v>2498</v>
      </c>
      <c r="D824" s="268">
        <v>264</v>
      </c>
      <c r="E824" s="268">
        <v>0</v>
      </c>
      <c r="F824" s="83">
        <f t="shared" si="78"/>
        <v>264</v>
      </c>
      <c r="G824" s="268">
        <v>51</v>
      </c>
      <c r="H824" s="268">
        <v>0</v>
      </c>
      <c r="I824" s="83">
        <f t="shared" si="79"/>
        <v>51</v>
      </c>
      <c r="J824" s="171">
        <f t="shared" si="80"/>
        <v>0.19320000000000001</v>
      </c>
      <c r="K824" s="177">
        <f t="shared" si="75"/>
        <v>0</v>
      </c>
      <c r="L824" s="177">
        <f t="shared" si="76"/>
        <v>0</v>
      </c>
      <c r="M824" s="177">
        <f t="shared" si="77"/>
        <v>0</v>
      </c>
    </row>
    <row r="825" spans="1:13" ht="12.75" customHeight="1">
      <c r="A825" s="268" t="s">
        <v>387</v>
      </c>
      <c r="B825" s="268" t="s">
        <v>2499</v>
      </c>
      <c r="C825" s="268" t="s">
        <v>2500</v>
      </c>
      <c r="D825" s="268">
        <v>72</v>
      </c>
      <c r="E825" s="268">
        <v>0</v>
      </c>
      <c r="F825" s="83">
        <f t="shared" si="78"/>
        <v>72</v>
      </c>
      <c r="G825" s="268">
        <v>43</v>
      </c>
      <c r="H825" s="268">
        <v>0</v>
      </c>
      <c r="I825" s="83">
        <f t="shared" si="79"/>
        <v>43</v>
      </c>
      <c r="J825" s="171">
        <f t="shared" si="80"/>
        <v>0.59719999999999995</v>
      </c>
      <c r="K825" s="177">
        <f t="shared" si="75"/>
        <v>0</v>
      </c>
      <c r="L825" s="177">
        <f t="shared" si="76"/>
        <v>4.5</v>
      </c>
      <c r="M825" s="177">
        <f t="shared" si="77"/>
        <v>4.5</v>
      </c>
    </row>
    <row r="826" spans="1:13" ht="12.75" customHeight="1">
      <c r="A826" s="268" t="s">
        <v>387</v>
      </c>
      <c r="B826" s="268" t="s">
        <v>2501</v>
      </c>
      <c r="C826" s="268" t="s">
        <v>2502</v>
      </c>
      <c r="D826" s="268">
        <v>43</v>
      </c>
      <c r="E826" s="268">
        <v>0</v>
      </c>
      <c r="F826" s="83">
        <f t="shared" si="78"/>
        <v>43</v>
      </c>
      <c r="G826" s="268">
        <v>25</v>
      </c>
      <c r="H826" s="268">
        <v>0</v>
      </c>
      <c r="I826" s="83">
        <f t="shared" si="79"/>
        <v>25</v>
      </c>
      <c r="J826" s="171">
        <f t="shared" si="80"/>
        <v>0.58140000000000003</v>
      </c>
      <c r="K826" s="177">
        <f t="shared" si="75"/>
        <v>0</v>
      </c>
      <c r="L826" s="177">
        <f t="shared" si="76"/>
        <v>2.6</v>
      </c>
      <c r="M826" s="177">
        <f t="shared" si="77"/>
        <v>2.6</v>
      </c>
    </row>
    <row r="827" spans="1:13" ht="12.75" customHeight="1">
      <c r="A827" s="268" t="s">
        <v>387</v>
      </c>
      <c r="B827" s="268" t="s">
        <v>2503</v>
      </c>
      <c r="C827" s="268" t="s">
        <v>2504</v>
      </c>
      <c r="D827" s="268">
        <v>38</v>
      </c>
      <c r="E827" s="268">
        <v>0</v>
      </c>
      <c r="F827" s="83">
        <f t="shared" si="78"/>
        <v>38</v>
      </c>
      <c r="G827" s="268">
        <v>24</v>
      </c>
      <c r="H827" s="268">
        <v>0</v>
      </c>
      <c r="I827" s="83">
        <f t="shared" si="79"/>
        <v>24</v>
      </c>
      <c r="J827" s="171">
        <f t="shared" si="80"/>
        <v>0.63160000000000005</v>
      </c>
      <c r="K827" s="177">
        <f t="shared" si="75"/>
        <v>0</v>
      </c>
      <c r="L827" s="177">
        <f t="shared" si="76"/>
        <v>2.5</v>
      </c>
      <c r="M827" s="177">
        <f t="shared" si="77"/>
        <v>2.5</v>
      </c>
    </row>
    <row r="828" spans="1:13" ht="12.75" customHeight="1">
      <c r="A828" s="268" t="s">
        <v>388</v>
      </c>
      <c r="B828" s="268" t="s">
        <v>2505</v>
      </c>
      <c r="C828" s="268" t="s">
        <v>1881</v>
      </c>
      <c r="D828" s="268">
        <v>237</v>
      </c>
      <c r="E828" s="268">
        <v>0</v>
      </c>
      <c r="F828" s="83">
        <f t="shared" si="78"/>
        <v>237</v>
      </c>
      <c r="G828" s="268">
        <v>101</v>
      </c>
      <c r="H828" s="268">
        <v>0</v>
      </c>
      <c r="I828" s="83">
        <f t="shared" si="79"/>
        <v>101</v>
      </c>
      <c r="J828" s="171">
        <f t="shared" si="80"/>
        <v>0.42620000000000002</v>
      </c>
      <c r="K828" s="177">
        <f t="shared" si="75"/>
        <v>5.4</v>
      </c>
      <c r="L828" s="177">
        <f t="shared" si="76"/>
        <v>0</v>
      </c>
      <c r="M828" s="177">
        <f t="shared" si="77"/>
        <v>5.4</v>
      </c>
    </row>
    <row r="829" spans="1:13" ht="12.75" customHeight="1">
      <c r="A829" s="268" t="s">
        <v>388</v>
      </c>
      <c r="B829" s="268" t="s">
        <v>2506</v>
      </c>
      <c r="C829" s="268" t="s">
        <v>2507</v>
      </c>
      <c r="D829" s="268">
        <v>350</v>
      </c>
      <c r="E829" s="268">
        <v>0</v>
      </c>
      <c r="F829" s="83">
        <f t="shared" si="78"/>
        <v>350</v>
      </c>
      <c r="G829" s="268">
        <v>75</v>
      </c>
      <c r="H829" s="268">
        <v>0</v>
      </c>
      <c r="I829" s="83">
        <f t="shared" si="79"/>
        <v>75</v>
      </c>
      <c r="J829" s="171">
        <f t="shared" si="80"/>
        <v>0.21429999999999999</v>
      </c>
      <c r="K829" s="177">
        <f t="shared" si="75"/>
        <v>0</v>
      </c>
      <c r="L829" s="177">
        <f t="shared" si="76"/>
        <v>0</v>
      </c>
      <c r="M829" s="177">
        <f t="shared" si="77"/>
        <v>0</v>
      </c>
    </row>
    <row r="830" spans="1:13" ht="12.75" customHeight="1">
      <c r="A830" s="268" t="s">
        <v>388</v>
      </c>
      <c r="B830" s="268" t="s">
        <v>2508</v>
      </c>
      <c r="C830" s="268" t="s">
        <v>1490</v>
      </c>
      <c r="D830" s="268">
        <v>229</v>
      </c>
      <c r="E830" s="268">
        <v>0</v>
      </c>
      <c r="F830" s="83">
        <f t="shared" si="78"/>
        <v>229</v>
      </c>
      <c r="G830" s="268">
        <v>73</v>
      </c>
      <c r="H830" s="268">
        <v>0</v>
      </c>
      <c r="I830" s="83">
        <f t="shared" si="79"/>
        <v>73</v>
      </c>
      <c r="J830" s="171">
        <f t="shared" si="80"/>
        <v>0.31879999999999997</v>
      </c>
      <c r="K830" s="177">
        <f t="shared" si="75"/>
        <v>0</v>
      </c>
      <c r="L830" s="177">
        <f t="shared" si="76"/>
        <v>0</v>
      </c>
      <c r="M830" s="177">
        <f t="shared" si="77"/>
        <v>0</v>
      </c>
    </row>
    <row r="831" spans="1:13" ht="12.75" customHeight="1">
      <c r="A831" s="268" t="s">
        <v>388</v>
      </c>
      <c r="B831" s="268" t="s">
        <v>2509</v>
      </c>
      <c r="C831" s="268" t="s">
        <v>2510</v>
      </c>
      <c r="D831" s="268">
        <v>217</v>
      </c>
      <c r="E831" s="268">
        <v>0</v>
      </c>
      <c r="F831" s="83">
        <f t="shared" si="78"/>
        <v>217</v>
      </c>
      <c r="G831" s="268">
        <v>104</v>
      </c>
      <c r="H831" s="268">
        <v>0</v>
      </c>
      <c r="I831" s="83">
        <f t="shared" si="79"/>
        <v>104</v>
      </c>
      <c r="J831" s="171">
        <f t="shared" si="80"/>
        <v>0.4793</v>
      </c>
      <c r="K831" s="177">
        <f t="shared" si="75"/>
        <v>9.4</v>
      </c>
      <c r="L831" s="177">
        <f t="shared" si="76"/>
        <v>0</v>
      </c>
      <c r="M831" s="177">
        <f t="shared" si="77"/>
        <v>9.4</v>
      </c>
    </row>
    <row r="832" spans="1:13" ht="12.75" customHeight="1">
      <c r="A832" s="268" t="s">
        <v>388</v>
      </c>
      <c r="B832" s="268" t="s">
        <v>2511</v>
      </c>
      <c r="C832" s="268" t="s">
        <v>2512</v>
      </c>
      <c r="D832" s="268">
        <v>527</v>
      </c>
      <c r="E832" s="268">
        <v>0</v>
      </c>
      <c r="F832" s="83">
        <f t="shared" si="78"/>
        <v>527</v>
      </c>
      <c r="G832" s="268">
        <v>153</v>
      </c>
      <c r="H832" s="268">
        <v>0</v>
      </c>
      <c r="I832" s="83">
        <f t="shared" si="79"/>
        <v>153</v>
      </c>
      <c r="J832" s="171">
        <f t="shared" si="80"/>
        <v>0.2903</v>
      </c>
      <c r="K832" s="177">
        <f t="shared" si="75"/>
        <v>0</v>
      </c>
      <c r="L832" s="177">
        <f t="shared" si="76"/>
        <v>0</v>
      </c>
      <c r="M832" s="177">
        <f t="shared" si="77"/>
        <v>0</v>
      </c>
    </row>
    <row r="833" spans="1:13" ht="12.75" customHeight="1">
      <c r="A833" s="268" t="s">
        <v>388</v>
      </c>
      <c r="B833" s="268" t="s">
        <v>2513</v>
      </c>
      <c r="C833" s="268" t="s">
        <v>2514</v>
      </c>
      <c r="D833" s="268">
        <v>662</v>
      </c>
      <c r="E833" s="268">
        <v>0</v>
      </c>
      <c r="F833" s="83">
        <f t="shared" si="78"/>
        <v>662</v>
      </c>
      <c r="G833" s="268">
        <v>179</v>
      </c>
      <c r="H833" s="268">
        <v>0</v>
      </c>
      <c r="I833" s="83">
        <f t="shared" si="79"/>
        <v>179</v>
      </c>
      <c r="J833" s="171">
        <f t="shared" si="80"/>
        <v>0.27039999999999997</v>
      </c>
      <c r="K833" s="177">
        <f t="shared" si="75"/>
        <v>0</v>
      </c>
      <c r="L833" s="177">
        <f t="shared" si="76"/>
        <v>0</v>
      </c>
      <c r="M833" s="177">
        <f t="shared" si="77"/>
        <v>0</v>
      </c>
    </row>
    <row r="834" spans="1:13" ht="12.75" customHeight="1">
      <c r="A834" s="268" t="s">
        <v>389</v>
      </c>
      <c r="B834" s="268" t="s">
        <v>2515</v>
      </c>
      <c r="C834" s="268" t="s">
        <v>2516</v>
      </c>
      <c r="D834" s="268">
        <v>60</v>
      </c>
      <c r="E834" s="268">
        <v>0</v>
      </c>
      <c r="F834" s="83">
        <f t="shared" si="78"/>
        <v>60</v>
      </c>
      <c r="G834" s="268">
        <v>0</v>
      </c>
      <c r="H834" s="268">
        <v>0</v>
      </c>
      <c r="I834" s="83">
        <f t="shared" si="79"/>
        <v>0</v>
      </c>
      <c r="J834" s="171">
        <f t="shared" si="80"/>
        <v>0</v>
      </c>
      <c r="K834" s="177">
        <f t="shared" si="75"/>
        <v>0</v>
      </c>
      <c r="L834" s="177">
        <f t="shared" si="76"/>
        <v>0</v>
      </c>
      <c r="M834" s="177">
        <f t="shared" si="77"/>
        <v>0</v>
      </c>
    </row>
    <row r="835" spans="1:13" ht="12.75" customHeight="1">
      <c r="A835" s="268" t="s">
        <v>389</v>
      </c>
      <c r="B835" s="268" t="s">
        <v>2517</v>
      </c>
      <c r="C835" s="268" t="s">
        <v>2518</v>
      </c>
      <c r="D835" s="268">
        <v>84</v>
      </c>
      <c r="E835" s="268">
        <v>0</v>
      </c>
      <c r="F835" s="83">
        <f t="shared" si="78"/>
        <v>84</v>
      </c>
      <c r="G835" s="268">
        <v>31</v>
      </c>
      <c r="H835" s="268">
        <v>0</v>
      </c>
      <c r="I835" s="83">
        <f t="shared" si="79"/>
        <v>31</v>
      </c>
      <c r="J835" s="171">
        <f t="shared" si="80"/>
        <v>0.36899999999999999</v>
      </c>
      <c r="K835" s="177">
        <f t="shared" si="75"/>
        <v>0.4</v>
      </c>
      <c r="L835" s="177">
        <f t="shared" si="76"/>
        <v>0</v>
      </c>
      <c r="M835" s="177">
        <f t="shared" si="77"/>
        <v>0.4</v>
      </c>
    </row>
    <row r="836" spans="1:13" ht="12.75" customHeight="1">
      <c r="A836" s="268" t="s">
        <v>389</v>
      </c>
      <c r="B836" s="268" t="s">
        <v>2519</v>
      </c>
      <c r="C836" s="268" t="s">
        <v>2520</v>
      </c>
      <c r="D836" s="268">
        <v>109</v>
      </c>
      <c r="E836" s="268">
        <v>0</v>
      </c>
      <c r="F836" s="83">
        <f t="shared" si="78"/>
        <v>109</v>
      </c>
      <c r="G836" s="268">
        <v>33</v>
      </c>
      <c r="H836" s="268">
        <v>0</v>
      </c>
      <c r="I836" s="83">
        <f t="shared" si="79"/>
        <v>33</v>
      </c>
      <c r="J836" s="171">
        <f t="shared" si="80"/>
        <v>0.30280000000000001</v>
      </c>
      <c r="K836" s="177">
        <f t="shared" si="75"/>
        <v>0</v>
      </c>
      <c r="L836" s="177">
        <f t="shared" si="76"/>
        <v>0</v>
      </c>
      <c r="M836" s="177">
        <f t="shared" si="77"/>
        <v>0</v>
      </c>
    </row>
    <row r="837" spans="1:13" ht="12.75" customHeight="1">
      <c r="A837" s="268" t="s">
        <v>390</v>
      </c>
      <c r="B837" s="268" t="s">
        <v>2521</v>
      </c>
      <c r="C837" s="268" t="s">
        <v>2522</v>
      </c>
      <c r="D837" s="268">
        <v>336</v>
      </c>
      <c r="E837" s="268">
        <v>0</v>
      </c>
      <c r="F837" s="83">
        <f t="shared" si="78"/>
        <v>336</v>
      </c>
      <c r="G837" s="268">
        <v>158</v>
      </c>
      <c r="H837" s="268">
        <v>0</v>
      </c>
      <c r="I837" s="83">
        <f t="shared" si="79"/>
        <v>158</v>
      </c>
      <c r="J837" s="171">
        <f t="shared" si="80"/>
        <v>0.47020000000000001</v>
      </c>
      <c r="K837" s="177">
        <f t="shared" ref="K837:K900" si="81">IF(AND((J837-35%)&gt;0,J837&lt;50%),I837*(J837-35%)*0.7,0)</f>
        <v>13.3</v>
      </c>
      <c r="L837" s="177">
        <f t="shared" ref="L837:L900" si="82">IF(J837&gt;=50%,I837*10.5%,0)</f>
        <v>0</v>
      </c>
      <c r="M837" s="177">
        <f t="shared" ref="M837:M900" si="83">MAX(K837,L837)</f>
        <v>13.3</v>
      </c>
    </row>
    <row r="838" spans="1:13" ht="12.75" customHeight="1">
      <c r="A838" s="268" t="s">
        <v>390</v>
      </c>
      <c r="B838" s="268" t="s">
        <v>2523</v>
      </c>
      <c r="C838" s="268" t="s">
        <v>2524</v>
      </c>
      <c r="D838" s="268">
        <v>182</v>
      </c>
      <c r="E838" s="268">
        <v>0</v>
      </c>
      <c r="F838" s="83">
        <f t="shared" ref="F838:F901" si="84">SUM(D838+E838)</f>
        <v>182</v>
      </c>
      <c r="G838" s="268">
        <v>77</v>
      </c>
      <c r="H838" s="268">
        <v>0</v>
      </c>
      <c r="I838" s="83">
        <f t="shared" si="79"/>
        <v>77</v>
      </c>
      <c r="J838" s="171">
        <f t="shared" si="80"/>
        <v>0.42309999999999998</v>
      </c>
      <c r="K838" s="177">
        <f t="shared" si="81"/>
        <v>3.9</v>
      </c>
      <c r="L838" s="177">
        <f t="shared" si="82"/>
        <v>0</v>
      </c>
      <c r="M838" s="177">
        <f t="shared" si="83"/>
        <v>3.9</v>
      </c>
    </row>
    <row r="839" spans="1:13" ht="12.75" customHeight="1">
      <c r="A839" s="268" t="s">
        <v>390</v>
      </c>
      <c r="B839" s="268" t="s">
        <v>2525</v>
      </c>
      <c r="C839" s="268" t="s">
        <v>2526</v>
      </c>
      <c r="D839" s="268">
        <v>221</v>
      </c>
      <c r="E839" s="268">
        <v>0</v>
      </c>
      <c r="F839" s="83">
        <f t="shared" si="84"/>
        <v>221</v>
      </c>
      <c r="G839" s="268">
        <v>78</v>
      </c>
      <c r="H839" s="268">
        <v>0</v>
      </c>
      <c r="I839" s="83">
        <f t="shared" si="79"/>
        <v>78</v>
      </c>
      <c r="J839" s="171">
        <f t="shared" si="80"/>
        <v>0.35289999999999999</v>
      </c>
      <c r="K839" s="177">
        <f t="shared" si="81"/>
        <v>0.2</v>
      </c>
      <c r="L839" s="177">
        <f t="shared" si="82"/>
        <v>0</v>
      </c>
      <c r="M839" s="177">
        <f t="shared" si="83"/>
        <v>0.2</v>
      </c>
    </row>
    <row r="840" spans="1:13" ht="12.75" customHeight="1">
      <c r="A840" s="268" t="s">
        <v>391</v>
      </c>
      <c r="B840" s="268" t="s">
        <v>2527</v>
      </c>
      <c r="C840" s="268" t="s">
        <v>2528</v>
      </c>
      <c r="D840" s="268">
        <v>164</v>
      </c>
      <c r="E840" s="268">
        <v>0</v>
      </c>
      <c r="F840" s="83">
        <f t="shared" si="84"/>
        <v>164</v>
      </c>
      <c r="G840" s="268">
        <v>108</v>
      </c>
      <c r="H840" s="268">
        <v>0</v>
      </c>
      <c r="I840" s="83">
        <f t="shared" si="79"/>
        <v>108</v>
      </c>
      <c r="J840" s="171">
        <f t="shared" si="80"/>
        <v>0.65849999999999997</v>
      </c>
      <c r="K840" s="177">
        <f t="shared" si="81"/>
        <v>0</v>
      </c>
      <c r="L840" s="177">
        <f t="shared" si="82"/>
        <v>11.3</v>
      </c>
      <c r="M840" s="177">
        <f t="shared" si="83"/>
        <v>11.3</v>
      </c>
    </row>
    <row r="841" spans="1:13" ht="12.75" customHeight="1">
      <c r="A841" s="268" t="s">
        <v>391</v>
      </c>
      <c r="B841" s="268" t="s">
        <v>2529</v>
      </c>
      <c r="C841" s="268" t="s">
        <v>2530</v>
      </c>
      <c r="D841" s="268">
        <v>218</v>
      </c>
      <c r="E841" s="268">
        <v>0</v>
      </c>
      <c r="F841" s="83">
        <f t="shared" si="84"/>
        <v>218</v>
      </c>
      <c r="G841" s="268">
        <v>139</v>
      </c>
      <c r="H841" s="268">
        <v>0</v>
      </c>
      <c r="I841" s="83">
        <f t="shared" si="79"/>
        <v>139</v>
      </c>
      <c r="J841" s="171">
        <f t="shared" si="80"/>
        <v>0.63759999999999994</v>
      </c>
      <c r="K841" s="177">
        <f t="shared" si="81"/>
        <v>0</v>
      </c>
      <c r="L841" s="177">
        <f t="shared" si="82"/>
        <v>14.6</v>
      </c>
      <c r="M841" s="177">
        <f t="shared" si="83"/>
        <v>14.6</v>
      </c>
    </row>
    <row r="842" spans="1:13" ht="12.75" customHeight="1">
      <c r="A842" s="268" t="s">
        <v>391</v>
      </c>
      <c r="B842" s="268" t="s">
        <v>2531</v>
      </c>
      <c r="C842" s="268" t="s">
        <v>2532</v>
      </c>
      <c r="D842" s="268">
        <v>163</v>
      </c>
      <c r="E842" s="268">
        <v>0</v>
      </c>
      <c r="F842" s="83">
        <f t="shared" si="84"/>
        <v>163</v>
      </c>
      <c r="G842" s="268">
        <v>102</v>
      </c>
      <c r="H842" s="268">
        <v>0</v>
      </c>
      <c r="I842" s="83">
        <f t="shared" si="79"/>
        <v>102</v>
      </c>
      <c r="J842" s="171">
        <f t="shared" si="80"/>
        <v>0.62580000000000002</v>
      </c>
      <c r="K842" s="177">
        <f t="shared" si="81"/>
        <v>0</v>
      </c>
      <c r="L842" s="177">
        <f t="shared" si="82"/>
        <v>10.7</v>
      </c>
      <c r="M842" s="177">
        <f t="shared" si="83"/>
        <v>10.7</v>
      </c>
    </row>
    <row r="843" spans="1:13" ht="12.75" customHeight="1">
      <c r="A843" s="268" t="s">
        <v>391</v>
      </c>
      <c r="B843" s="268" t="s">
        <v>2533</v>
      </c>
      <c r="C843" s="268" t="s">
        <v>2534</v>
      </c>
      <c r="D843" s="268">
        <v>216</v>
      </c>
      <c r="E843" s="268">
        <v>0</v>
      </c>
      <c r="F843" s="83">
        <f t="shared" si="84"/>
        <v>216</v>
      </c>
      <c r="G843" s="268">
        <v>138</v>
      </c>
      <c r="H843" s="268">
        <v>0</v>
      </c>
      <c r="I843" s="83">
        <f t="shared" si="79"/>
        <v>138</v>
      </c>
      <c r="J843" s="171">
        <f t="shared" si="80"/>
        <v>0.63890000000000002</v>
      </c>
      <c r="K843" s="177">
        <f t="shared" si="81"/>
        <v>0</v>
      </c>
      <c r="L843" s="177">
        <f t="shared" si="82"/>
        <v>14.5</v>
      </c>
      <c r="M843" s="177">
        <f t="shared" si="83"/>
        <v>14.5</v>
      </c>
    </row>
    <row r="844" spans="1:13" ht="12.75" customHeight="1">
      <c r="A844" s="268" t="s">
        <v>392</v>
      </c>
      <c r="B844" s="268" t="s">
        <v>2535</v>
      </c>
      <c r="C844" s="268" t="s">
        <v>2536</v>
      </c>
      <c r="D844" s="268">
        <v>266</v>
      </c>
      <c r="E844" s="268">
        <v>0</v>
      </c>
      <c r="F844" s="83">
        <f t="shared" si="84"/>
        <v>266</v>
      </c>
      <c r="G844" s="268">
        <v>124</v>
      </c>
      <c r="H844" s="268">
        <v>0</v>
      </c>
      <c r="I844" s="83">
        <f t="shared" si="79"/>
        <v>124</v>
      </c>
      <c r="J844" s="171">
        <f t="shared" si="80"/>
        <v>0.4662</v>
      </c>
      <c r="K844" s="177">
        <f t="shared" si="81"/>
        <v>10.1</v>
      </c>
      <c r="L844" s="177">
        <f t="shared" si="82"/>
        <v>0</v>
      </c>
      <c r="M844" s="177">
        <f t="shared" si="83"/>
        <v>10.1</v>
      </c>
    </row>
    <row r="845" spans="1:13" ht="12.75" customHeight="1">
      <c r="A845" s="268" t="s">
        <v>392</v>
      </c>
      <c r="B845" s="268" t="s">
        <v>2537</v>
      </c>
      <c r="C845" s="268" t="s">
        <v>2538</v>
      </c>
      <c r="D845" s="268">
        <v>163</v>
      </c>
      <c r="E845" s="268">
        <v>0</v>
      </c>
      <c r="F845" s="83">
        <f t="shared" si="84"/>
        <v>163</v>
      </c>
      <c r="G845" s="268">
        <v>74</v>
      </c>
      <c r="H845" s="268">
        <v>0</v>
      </c>
      <c r="I845" s="83">
        <f t="shared" si="79"/>
        <v>74</v>
      </c>
      <c r="J845" s="171">
        <f t="shared" si="80"/>
        <v>0.45400000000000001</v>
      </c>
      <c r="K845" s="177">
        <f t="shared" si="81"/>
        <v>5.4</v>
      </c>
      <c r="L845" s="177">
        <f t="shared" si="82"/>
        <v>0</v>
      </c>
      <c r="M845" s="177">
        <f t="shared" si="83"/>
        <v>5.4</v>
      </c>
    </row>
    <row r="846" spans="1:13" ht="12.75" customHeight="1">
      <c r="A846" s="268" t="s">
        <v>392</v>
      </c>
      <c r="B846" s="268" t="s">
        <v>2539</v>
      </c>
      <c r="C846" s="268" t="s">
        <v>2540</v>
      </c>
      <c r="D846" s="268">
        <v>175</v>
      </c>
      <c r="E846" s="268">
        <v>0</v>
      </c>
      <c r="F846" s="83">
        <f t="shared" si="84"/>
        <v>175</v>
      </c>
      <c r="G846" s="268">
        <v>88</v>
      </c>
      <c r="H846" s="268">
        <v>0</v>
      </c>
      <c r="I846" s="83">
        <f t="shared" si="79"/>
        <v>88</v>
      </c>
      <c r="J846" s="171">
        <f t="shared" si="80"/>
        <v>0.50290000000000001</v>
      </c>
      <c r="K846" s="177">
        <f t="shared" si="81"/>
        <v>0</v>
      </c>
      <c r="L846" s="177">
        <f t="shared" si="82"/>
        <v>9.1999999999999993</v>
      </c>
      <c r="M846" s="177">
        <f t="shared" si="83"/>
        <v>9.1999999999999993</v>
      </c>
    </row>
    <row r="847" spans="1:13" ht="12.75" customHeight="1">
      <c r="A847" s="268" t="s">
        <v>392</v>
      </c>
      <c r="B847" s="268" t="s">
        <v>2541</v>
      </c>
      <c r="C847" s="268" t="s">
        <v>2542</v>
      </c>
      <c r="D847" s="268">
        <v>254</v>
      </c>
      <c r="E847" s="268">
        <v>0</v>
      </c>
      <c r="F847" s="83">
        <f t="shared" si="84"/>
        <v>254</v>
      </c>
      <c r="G847" s="268">
        <v>100</v>
      </c>
      <c r="H847" s="268">
        <v>0</v>
      </c>
      <c r="I847" s="83">
        <f t="shared" si="79"/>
        <v>100</v>
      </c>
      <c r="J847" s="171">
        <f t="shared" si="80"/>
        <v>0.39369999999999999</v>
      </c>
      <c r="K847" s="177">
        <f t="shared" si="81"/>
        <v>3.1</v>
      </c>
      <c r="L847" s="177">
        <f t="shared" si="82"/>
        <v>0</v>
      </c>
      <c r="M847" s="177">
        <f t="shared" si="83"/>
        <v>3.1</v>
      </c>
    </row>
    <row r="848" spans="1:13" ht="12.75" customHeight="1">
      <c r="A848" s="268" t="s">
        <v>393</v>
      </c>
      <c r="B848" s="268" t="s">
        <v>2543</v>
      </c>
      <c r="C848" s="268" t="s">
        <v>2544</v>
      </c>
      <c r="D848" s="268">
        <v>106</v>
      </c>
      <c r="E848" s="268">
        <v>0</v>
      </c>
      <c r="F848" s="83">
        <f t="shared" si="84"/>
        <v>106</v>
      </c>
      <c r="G848" s="268">
        <v>36</v>
      </c>
      <c r="H848" s="268">
        <v>0</v>
      </c>
      <c r="I848" s="83">
        <f t="shared" si="79"/>
        <v>36</v>
      </c>
      <c r="J848" s="171">
        <f t="shared" si="80"/>
        <v>0.33960000000000001</v>
      </c>
      <c r="K848" s="177">
        <f t="shared" si="81"/>
        <v>0</v>
      </c>
      <c r="L848" s="177">
        <f t="shared" si="82"/>
        <v>0</v>
      </c>
      <c r="M848" s="177">
        <f t="shared" si="83"/>
        <v>0</v>
      </c>
    </row>
    <row r="849" spans="1:13" ht="12.75" customHeight="1">
      <c r="A849" s="268" t="s">
        <v>393</v>
      </c>
      <c r="B849" s="268" t="s">
        <v>2545</v>
      </c>
      <c r="C849" s="268" t="s">
        <v>2546</v>
      </c>
      <c r="D849" s="268">
        <v>144</v>
      </c>
      <c r="E849" s="268">
        <v>0</v>
      </c>
      <c r="F849" s="83">
        <f t="shared" si="84"/>
        <v>144</v>
      </c>
      <c r="G849" s="268">
        <v>43</v>
      </c>
      <c r="H849" s="268">
        <v>0</v>
      </c>
      <c r="I849" s="83">
        <f t="shared" si="79"/>
        <v>43</v>
      </c>
      <c r="J849" s="171">
        <f t="shared" si="80"/>
        <v>0.29859999999999998</v>
      </c>
      <c r="K849" s="177">
        <f t="shared" si="81"/>
        <v>0</v>
      </c>
      <c r="L849" s="177">
        <f t="shared" si="82"/>
        <v>0</v>
      </c>
      <c r="M849" s="177">
        <f t="shared" si="83"/>
        <v>0</v>
      </c>
    </row>
    <row r="850" spans="1:13" ht="12.75" customHeight="1">
      <c r="A850" s="268" t="s">
        <v>393</v>
      </c>
      <c r="B850" s="268" t="s">
        <v>2547</v>
      </c>
      <c r="C850" s="268" t="s">
        <v>2548</v>
      </c>
      <c r="D850" s="268">
        <v>238</v>
      </c>
      <c r="E850" s="268">
        <v>0</v>
      </c>
      <c r="F850" s="83">
        <f t="shared" si="84"/>
        <v>238</v>
      </c>
      <c r="G850" s="268">
        <v>78</v>
      </c>
      <c r="H850" s="268">
        <v>0</v>
      </c>
      <c r="I850" s="83">
        <f t="shared" si="79"/>
        <v>78</v>
      </c>
      <c r="J850" s="171">
        <f t="shared" si="80"/>
        <v>0.32769999999999999</v>
      </c>
      <c r="K850" s="177">
        <f t="shared" si="81"/>
        <v>0</v>
      </c>
      <c r="L850" s="177">
        <f t="shared" si="82"/>
        <v>0</v>
      </c>
      <c r="M850" s="177">
        <f t="shared" si="83"/>
        <v>0</v>
      </c>
    </row>
    <row r="851" spans="1:13" ht="12.75" customHeight="1">
      <c r="A851" s="268" t="s">
        <v>394</v>
      </c>
      <c r="B851" s="268" t="s">
        <v>2549</v>
      </c>
      <c r="C851" s="268" t="s">
        <v>2550</v>
      </c>
      <c r="D851" s="268">
        <v>820</v>
      </c>
      <c r="E851" s="268">
        <v>0</v>
      </c>
      <c r="F851" s="83">
        <f t="shared" si="84"/>
        <v>820</v>
      </c>
      <c r="G851" s="268">
        <v>486</v>
      </c>
      <c r="H851" s="268">
        <v>0</v>
      </c>
      <c r="I851" s="83">
        <f t="shared" si="79"/>
        <v>486</v>
      </c>
      <c r="J851" s="171">
        <f t="shared" si="80"/>
        <v>0.5927</v>
      </c>
      <c r="K851" s="177">
        <f t="shared" si="81"/>
        <v>0</v>
      </c>
      <c r="L851" s="177">
        <f t="shared" si="82"/>
        <v>51</v>
      </c>
      <c r="M851" s="177">
        <f t="shared" si="83"/>
        <v>51</v>
      </c>
    </row>
    <row r="852" spans="1:13" ht="12.75" customHeight="1">
      <c r="A852" s="268" t="s">
        <v>394</v>
      </c>
      <c r="B852" s="268" t="s">
        <v>2551</v>
      </c>
      <c r="C852" s="268" t="s">
        <v>2552</v>
      </c>
      <c r="D852" s="268">
        <v>463</v>
      </c>
      <c r="E852" s="268">
        <v>0</v>
      </c>
      <c r="F852" s="83">
        <f t="shared" si="84"/>
        <v>463</v>
      </c>
      <c r="G852" s="268">
        <v>212</v>
      </c>
      <c r="H852" s="268">
        <v>0</v>
      </c>
      <c r="I852" s="83">
        <f t="shared" si="79"/>
        <v>212</v>
      </c>
      <c r="J852" s="171">
        <f t="shared" si="80"/>
        <v>0.45789999999999997</v>
      </c>
      <c r="K852" s="177">
        <f t="shared" si="81"/>
        <v>16</v>
      </c>
      <c r="L852" s="177">
        <f t="shared" si="82"/>
        <v>0</v>
      </c>
      <c r="M852" s="177">
        <f t="shared" si="83"/>
        <v>16</v>
      </c>
    </row>
    <row r="853" spans="1:13" ht="12.75" customHeight="1">
      <c r="A853" s="268" t="s">
        <v>394</v>
      </c>
      <c r="B853" s="268" t="s">
        <v>2553</v>
      </c>
      <c r="C853" s="268" t="s">
        <v>2554</v>
      </c>
      <c r="D853" s="268">
        <v>35</v>
      </c>
      <c r="E853" s="268">
        <v>0</v>
      </c>
      <c r="F853" s="83">
        <f t="shared" si="84"/>
        <v>35</v>
      </c>
      <c r="G853" s="268">
        <v>27</v>
      </c>
      <c r="H853" s="268">
        <v>0</v>
      </c>
      <c r="I853" s="83">
        <f t="shared" si="79"/>
        <v>27</v>
      </c>
      <c r="J853" s="171">
        <f t="shared" si="80"/>
        <v>0.77139999999999997</v>
      </c>
      <c r="K853" s="177">
        <f t="shared" si="81"/>
        <v>0</v>
      </c>
      <c r="L853" s="177">
        <f t="shared" si="82"/>
        <v>2.8</v>
      </c>
      <c r="M853" s="177">
        <f t="shared" si="83"/>
        <v>2.8</v>
      </c>
    </row>
    <row r="854" spans="1:13" ht="12.75" customHeight="1">
      <c r="A854" s="268" t="s">
        <v>394</v>
      </c>
      <c r="B854" s="268" t="s">
        <v>2555</v>
      </c>
      <c r="C854" s="268" t="s">
        <v>2556</v>
      </c>
      <c r="D854" s="268">
        <v>373</v>
      </c>
      <c r="E854" s="268">
        <v>0</v>
      </c>
      <c r="F854" s="83">
        <f t="shared" si="84"/>
        <v>373</v>
      </c>
      <c r="G854" s="268">
        <v>193</v>
      </c>
      <c r="H854" s="268">
        <v>0</v>
      </c>
      <c r="I854" s="83">
        <f t="shared" si="79"/>
        <v>193</v>
      </c>
      <c r="J854" s="171">
        <f t="shared" si="80"/>
        <v>0.51739999999999997</v>
      </c>
      <c r="K854" s="177">
        <f t="shared" si="81"/>
        <v>0</v>
      </c>
      <c r="L854" s="177">
        <f t="shared" si="82"/>
        <v>20.3</v>
      </c>
      <c r="M854" s="177">
        <f t="shared" si="83"/>
        <v>20.3</v>
      </c>
    </row>
    <row r="855" spans="1:13" ht="12.75" customHeight="1">
      <c r="A855" s="268" t="s">
        <v>395</v>
      </c>
      <c r="B855" s="268" t="s">
        <v>2557</v>
      </c>
      <c r="C855" s="268" t="s">
        <v>2558</v>
      </c>
      <c r="D855" s="268">
        <v>294</v>
      </c>
      <c r="E855" s="268">
        <v>0</v>
      </c>
      <c r="F855" s="83">
        <f t="shared" si="84"/>
        <v>294</v>
      </c>
      <c r="G855" s="268">
        <v>88</v>
      </c>
      <c r="H855" s="268">
        <v>0</v>
      </c>
      <c r="I855" s="83">
        <f t="shared" si="79"/>
        <v>88</v>
      </c>
      <c r="J855" s="171">
        <f t="shared" si="80"/>
        <v>0.29930000000000001</v>
      </c>
      <c r="K855" s="177">
        <f t="shared" si="81"/>
        <v>0</v>
      </c>
      <c r="L855" s="177">
        <f t="shared" si="82"/>
        <v>0</v>
      </c>
      <c r="M855" s="177">
        <f t="shared" si="83"/>
        <v>0</v>
      </c>
    </row>
    <row r="856" spans="1:13" ht="12.75" customHeight="1">
      <c r="A856" s="268" t="s">
        <v>395</v>
      </c>
      <c r="B856" s="268" t="s">
        <v>2559</v>
      </c>
      <c r="C856" s="268" t="s">
        <v>2560</v>
      </c>
      <c r="D856" s="268">
        <v>295</v>
      </c>
      <c r="E856" s="268">
        <v>0</v>
      </c>
      <c r="F856" s="83">
        <f t="shared" si="84"/>
        <v>295</v>
      </c>
      <c r="G856" s="268">
        <v>71</v>
      </c>
      <c r="H856" s="268">
        <v>0</v>
      </c>
      <c r="I856" s="83">
        <f t="shared" si="79"/>
        <v>71</v>
      </c>
      <c r="J856" s="171">
        <f t="shared" si="80"/>
        <v>0.2407</v>
      </c>
      <c r="K856" s="177">
        <f t="shared" si="81"/>
        <v>0</v>
      </c>
      <c r="L856" s="177">
        <f t="shared" si="82"/>
        <v>0</v>
      </c>
      <c r="M856" s="177">
        <f t="shared" si="83"/>
        <v>0</v>
      </c>
    </row>
    <row r="857" spans="1:13" ht="12.75" customHeight="1">
      <c r="A857" s="268" t="s">
        <v>396</v>
      </c>
      <c r="B857" s="268" t="s">
        <v>2561</v>
      </c>
      <c r="C857" s="268" t="s">
        <v>2562</v>
      </c>
      <c r="D857" s="268">
        <v>130</v>
      </c>
      <c r="E857" s="268">
        <v>0</v>
      </c>
      <c r="F857" s="83">
        <f t="shared" si="84"/>
        <v>130</v>
      </c>
      <c r="G857" s="268">
        <v>31</v>
      </c>
      <c r="H857" s="268">
        <v>0</v>
      </c>
      <c r="I857" s="83">
        <f t="shared" si="79"/>
        <v>31</v>
      </c>
      <c r="J857" s="171">
        <f t="shared" si="80"/>
        <v>0.23849999999999999</v>
      </c>
      <c r="K857" s="177">
        <f t="shared" si="81"/>
        <v>0</v>
      </c>
      <c r="L857" s="177">
        <f t="shared" si="82"/>
        <v>0</v>
      </c>
      <c r="M857" s="177">
        <f t="shared" si="83"/>
        <v>0</v>
      </c>
    </row>
    <row r="858" spans="1:13" ht="12.75" customHeight="1">
      <c r="A858" s="268" t="s">
        <v>396</v>
      </c>
      <c r="B858" s="268" t="s">
        <v>2563</v>
      </c>
      <c r="C858" s="268" t="s">
        <v>2564</v>
      </c>
      <c r="D858" s="268">
        <v>177</v>
      </c>
      <c r="E858" s="268">
        <v>0</v>
      </c>
      <c r="F858" s="83">
        <f t="shared" si="84"/>
        <v>177</v>
      </c>
      <c r="G858" s="268">
        <v>32</v>
      </c>
      <c r="H858" s="268">
        <v>0</v>
      </c>
      <c r="I858" s="83">
        <f t="shared" si="79"/>
        <v>32</v>
      </c>
      <c r="J858" s="171">
        <f t="shared" si="80"/>
        <v>0.18079999999999999</v>
      </c>
      <c r="K858" s="177">
        <f t="shared" si="81"/>
        <v>0</v>
      </c>
      <c r="L858" s="177">
        <f t="shared" si="82"/>
        <v>0</v>
      </c>
      <c r="M858" s="177">
        <f t="shared" si="83"/>
        <v>0</v>
      </c>
    </row>
    <row r="859" spans="1:13" ht="12.75" customHeight="1">
      <c r="A859" s="268" t="s">
        <v>397</v>
      </c>
      <c r="B859" s="268" t="s">
        <v>2565</v>
      </c>
      <c r="C859" s="268" t="s">
        <v>2566</v>
      </c>
      <c r="D859" s="268">
        <v>228</v>
      </c>
      <c r="E859" s="268">
        <v>0</v>
      </c>
      <c r="F859" s="83">
        <f t="shared" si="84"/>
        <v>228</v>
      </c>
      <c r="G859" s="268">
        <v>46</v>
      </c>
      <c r="H859" s="268">
        <v>0</v>
      </c>
      <c r="I859" s="83">
        <f t="shared" si="79"/>
        <v>46</v>
      </c>
      <c r="J859" s="171">
        <f t="shared" si="80"/>
        <v>0.20180000000000001</v>
      </c>
      <c r="K859" s="177">
        <f t="shared" si="81"/>
        <v>0</v>
      </c>
      <c r="L859" s="177">
        <f t="shared" si="82"/>
        <v>0</v>
      </c>
      <c r="M859" s="177">
        <f t="shared" si="83"/>
        <v>0</v>
      </c>
    </row>
    <row r="860" spans="1:13" ht="12.75" customHeight="1">
      <c r="A860" s="268" t="s">
        <v>397</v>
      </c>
      <c r="B860" s="268" t="s">
        <v>2567</v>
      </c>
      <c r="C860" s="268" t="s">
        <v>2568</v>
      </c>
      <c r="D860" s="268">
        <v>179</v>
      </c>
      <c r="E860" s="268">
        <v>0</v>
      </c>
      <c r="F860" s="83">
        <f t="shared" si="84"/>
        <v>179</v>
      </c>
      <c r="G860" s="268">
        <v>31</v>
      </c>
      <c r="H860" s="268">
        <v>0</v>
      </c>
      <c r="I860" s="83">
        <f t="shared" si="79"/>
        <v>31</v>
      </c>
      <c r="J860" s="171">
        <f t="shared" si="80"/>
        <v>0.17319999999999999</v>
      </c>
      <c r="K860" s="177">
        <f t="shared" si="81"/>
        <v>0</v>
      </c>
      <c r="L860" s="177">
        <f t="shared" si="82"/>
        <v>0</v>
      </c>
      <c r="M860" s="177">
        <f t="shared" si="83"/>
        <v>0</v>
      </c>
    </row>
    <row r="861" spans="1:13" ht="12.75" customHeight="1">
      <c r="A861" s="268" t="s">
        <v>398</v>
      </c>
      <c r="B861" s="268" t="s">
        <v>2569</v>
      </c>
      <c r="C861" s="268" t="s">
        <v>2570</v>
      </c>
      <c r="D861" s="268">
        <v>750</v>
      </c>
      <c r="E861" s="268">
        <v>0</v>
      </c>
      <c r="F861" s="83">
        <f t="shared" si="84"/>
        <v>750</v>
      </c>
      <c r="G861" s="268">
        <v>395</v>
      </c>
      <c r="H861" s="268">
        <v>0</v>
      </c>
      <c r="I861" s="83">
        <f t="shared" si="79"/>
        <v>395</v>
      </c>
      <c r="J861" s="171">
        <f t="shared" si="80"/>
        <v>0.52669999999999995</v>
      </c>
      <c r="K861" s="177">
        <f t="shared" si="81"/>
        <v>0</v>
      </c>
      <c r="L861" s="177">
        <f t="shared" si="82"/>
        <v>41.5</v>
      </c>
      <c r="M861" s="177">
        <f t="shared" si="83"/>
        <v>41.5</v>
      </c>
    </row>
    <row r="862" spans="1:13" ht="12.75" customHeight="1">
      <c r="A862" s="268" t="s">
        <v>398</v>
      </c>
      <c r="B862" s="268" t="s">
        <v>2571</v>
      </c>
      <c r="C862" s="268" t="s">
        <v>2572</v>
      </c>
      <c r="D862" s="268">
        <v>501</v>
      </c>
      <c r="E862" s="268">
        <v>0</v>
      </c>
      <c r="F862" s="83">
        <f t="shared" si="84"/>
        <v>501</v>
      </c>
      <c r="G862" s="268">
        <v>257</v>
      </c>
      <c r="H862" s="268">
        <v>0</v>
      </c>
      <c r="I862" s="83">
        <f t="shared" si="79"/>
        <v>257</v>
      </c>
      <c r="J862" s="171">
        <f t="shared" si="80"/>
        <v>0.51300000000000001</v>
      </c>
      <c r="K862" s="177">
        <f t="shared" si="81"/>
        <v>0</v>
      </c>
      <c r="L862" s="177">
        <f t="shared" si="82"/>
        <v>27</v>
      </c>
      <c r="M862" s="177">
        <f t="shared" si="83"/>
        <v>27</v>
      </c>
    </row>
    <row r="863" spans="1:13" ht="12.75" customHeight="1">
      <c r="A863" s="268" t="s">
        <v>398</v>
      </c>
      <c r="B863" s="268" t="s">
        <v>2573</v>
      </c>
      <c r="C863" s="268" t="s">
        <v>2574</v>
      </c>
      <c r="D863" s="268">
        <v>554</v>
      </c>
      <c r="E863" s="268">
        <v>0</v>
      </c>
      <c r="F863" s="83">
        <f t="shared" si="84"/>
        <v>554</v>
      </c>
      <c r="G863" s="268">
        <v>256</v>
      </c>
      <c r="H863" s="268">
        <v>0</v>
      </c>
      <c r="I863" s="83">
        <f t="shared" si="79"/>
        <v>256</v>
      </c>
      <c r="J863" s="171">
        <f t="shared" si="80"/>
        <v>0.46210000000000001</v>
      </c>
      <c r="K863" s="177">
        <f t="shared" si="81"/>
        <v>20.100000000000001</v>
      </c>
      <c r="L863" s="177">
        <f t="shared" si="82"/>
        <v>0</v>
      </c>
      <c r="M863" s="177">
        <f t="shared" si="83"/>
        <v>20.100000000000001</v>
      </c>
    </row>
    <row r="864" spans="1:13" ht="12.75" customHeight="1">
      <c r="A864" s="268" t="s">
        <v>399</v>
      </c>
      <c r="B864" s="268" t="s">
        <v>2575</v>
      </c>
      <c r="C864" s="268" t="s">
        <v>2576</v>
      </c>
      <c r="D864" s="268">
        <v>418</v>
      </c>
      <c r="E864" s="268">
        <v>0</v>
      </c>
      <c r="F864" s="83">
        <f t="shared" si="84"/>
        <v>418</v>
      </c>
      <c r="G864" s="268">
        <v>188</v>
      </c>
      <c r="H864" s="268">
        <v>0</v>
      </c>
      <c r="I864" s="83">
        <f t="shared" si="79"/>
        <v>188</v>
      </c>
      <c r="J864" s="171">
        <f t="shared" si="80"/>
        <v>0.44979999999999998</v>
      </c>
      <c r="K864" s="177">
        <f t="shared" si="81"/>
        <v>13.1</v>
      </c>
      <c r="L864" s="177">
        <f t="shared" si="82"/>
        <v>0</v>
      </c>
      <c r="M864" s="177">
        <f t="shared" si="83"/>
        <v>13.1</v>
      </c>
    </row>
    <row r="865" spans="1:13" ht="12.75" customHeight="1">
      <c r="A865" s="268" t="s">
        <v>399</v>
      </c>
      <c r="B865" s="268" t="s">
        <v>2577</v>
      </c>
      <c r="C865" s="268" t="s">
        <v>2578</v>
      </c>
      <c r="D865" s="268">
        <v>260</v>
      </c>
      <c r="E865" s="268">
        <v>0</v>
      </c>
      <c r="F865" s="83">
        <f t="shared" si="84"/>
        <v>260</v>
      </c>
      <c r="G865" s="268">
        <v>80</v>
      </c>
      <c r="H865" s="268">
        <v>0</v>
      </c>
      <c r="I865" s="83">
        <f t="shared" si="79"/>
        <v>80</v>
      </c>
      <c r="J865" s="171">
        <f t="shared" si="80"/>
        <v>0.30769999999999997</v>
      </c>
      <c r="K865" s="177">
        <f t="shared" si="81"/>
        <v>0</v>
      </c>
      <c r="L865" s="177">
        <f t="shared" si="82"/>
        <v>0</v>
      </c>
      <c r="M865" s="177">
        <f t="shared" si="83"/>
        <v>0</v>
      </c>
    </row>
    <row r="866" spans="1:13" ht="12.75" customHeight="1">
      <c r="A866" s="268" t="s">
        <v>399</v>
      </c>
      <c r="B866" s="268" t="s">
        <v>2579</v>
      </c>
      <c r="C866" s="268" t="s">
        <v>2580</v>
      </c>
      <c r="D866" s="268">
        <v>299</v>
      </c>
      <c r="E866" s="268">
        <v>0</v>
      </c>
      <c r="F866" s="83">
        <f t="shared" si="84"/>
        <v>299</v>
      </c>
      <c r="G866" s="268">
        <v>133</v>
      </c>
      <c r="H866" s="268">
        <v>0</v>
      </c>
      <c r="I866" s="83">
        <f t="shared" si="79"/>
        <v>133</v>
      </c>
      <c r="J866" s="171">
        <f t="shared" si="80"/>
        <v>0.44479999999999997</v>
      </c>
      <c r="K866" s="177">
        <f t="shared" si="81"/>
        <v>8.8000000000000007</v>
      </c>
      <c r="L866" s="177">
        <f t="shared" si="82"/>
        <v>0</v>
      </c>
      <c r="M866" s="177">
        <f t="shared" si="83"/>
        <v>8.8000000000000007</v>
      </c>
    </row>
    <row r="867" spans="1:13" ht="12.75" customHeight="1">
      <c r="A867" s="268" t="s">
        <v>400</v>
      </c>
      <c r="B867" s="268" t="s">
        <v>2581</v>
      </c>
      <c r="C867" s="268" t="s">
        <v>2582</v>
      </c>
      <c r="D867" s="268">
        <v>373</v>
      </c>
      <c r="E867" s="268">
        <v>0</v>
      </c>
      <c r="F867" s="83">
        <f t="shared" si="84"/>
        <v>373</v>
      </c>
      <c r="G867" s="268">
        <v>62</v>
      </c>
      <c r="H867" s="268">
        <v>0</v>
      </c>
      <c r="I867" s="83">
        <f t="shared" ref="I867:I930" si="85">SUM(G867+H867)</f>
        <v>62</v>
      </c>
      <c r="J867" s="171">
        <f t="shared" ref="J867:J930" si="86">IF(ISERROR(I867/F867),0,I867/F867)</f>
        <v>0.16619999999999999</v>
      </c>
      <c r="K867" s="177">
        <f t="shared" si="81"/>
        <v>0</v>
      </c>
      <c r="L867" s="177">
        <f t="shared" si="82"/>
        <v>0</v>
      </c>
      <c r="M867" s="177">
        <f t="shared" si="83"/>
        <v>0</v>
      </c>
    </row>
    <row r="868" spans="1:13" ht="12.75" customHeight="1">
      <c r="A868" s="268" t="s">
        <v>400</v>
      </c>
      <c r="B868" s="268" t="s">
        <v>2583</v>
      </c>
      <c r="C868" s="268" t="s">
        <v>2584</v>
      </c>
      <c r="D868" s="268">
        <v>530</v>
      </c>
      <c r="E868" s="268">
        <v>0</v>
      </c>
      <c r="F868" s="83">
        <f t="shared" si="84"/>
        <v>530</v>
      </c>
      <c r="G868" s="268">
        <v>74</v>
      </c>
      <c r="H868" s="268">
        <v>0</v>
      </c>
      <c r="I868" s="83">
        <f t="shared" si="85"/>
        <v>74</v>
      </c>
      <c r="J868" s="171">
        <f t="shared" si="86"/>
        <v>0.1396</v>
      </c>
      <c r="K868" s="177">
        <f t="shared" si="81"/>
        <v>0</v>
      </c>
      <c r="L868" s="177">
        <f t="shared" si="82"/>
        <v>0</v>
      </c>
      <c r="M868" s="177">
        <f t="shared" si="83"/>
        <v>0</v>
      </c>
    </row>
    <row r="869" spans="1:13" ht="12.75" customHeight="1">
      <c r="A869" s="268" t="s">
        <v>400</v>
      </c>
      <c r="B869" s="268" t="s">
        <v>2585</v>
      </c>
      <c r="C869" s="268" t="s">
        <v>2586</v>
      </c>
      <c r="D869" s="268">
        <v>425</v>
      </c>
      <c r="E869" s="268">
        <v>0</v>
      </c>
      <c r="F869" s="83">
        <f t="shared" si="84"/>
        <v>425</v>
      </c>
      <c r="G869" s="268">
        <v>72</v>
      </c>
      <c r="H869" s="268">
        <v>0</v>
      </c>
      <c r="I869" s="83">
        <f t="shared" si="85"/>
        <v>72</v>
      </c>
      <c r="J869" s="171">
        <f t="shared" si="86"/>
        <v>0.1694</v>
      </c>
      <c r="K869" s="177">
        <f t="shared" si="81"/>
        <v>0</v>
      </c>
      <c r="L869" s="177">
        <f t="shared" si="82"/>
        <v>0</v>
      </c>
      <c r="M869" s="177">
        <f t="shared" si="83"/>
        <v>0</v>
      </c>
    </row>
    <row r="870" spans="1:13" ht="12.75" customHeight="1">
      <c r="A870" s="268" t="s">
        <v>400</v>
      </c>
      <c r="B870" s="268" t="s">
        <v>2587</v>
      </c>
      <c r="C870" s="268" t="s">
        <v>2588</v>
      </c>
      <c r="D870" s="268">
        <v>371</v>
      </c>
      <c r="E870" s="268">
        <v>0</v>
      </c>
      <c r="F870" s="83">
        <f t="shared" si="84"/>
        <v>371</v>
      </c>
      <c r="G870" s="268">
        <v>62</v>
      </c>
      <c r="H870" s="268">
        <v>0</v>
      </c>
      <c r="I870" s="83">
        <f t="shared" si="85"/>
        <v>62</v>
      </c>
      <c r="J870" s="171">
        <f t="shared" si="86"/>
        <v>0.1671</v>
      </c>
      <c r="K870" s="177">
        <f t="shared" si="81"/>
        <v>0</v>
      </c>
      <c r="L870" s="177">
        <f t="shared" si="82"/>
        <v>0</v>
      </c>
      <c r="M870" s="177">
        <f t="shared" si="83"/>
        <v>0</v>
      </c>
    </row>
    <row r="871" spans="1:13" ht="12.75" customHeight="1">
      <c r="A871" s="268" t="s">
        <v>401</v>
      </c>
      <c r="B871" s="268" t="s">
        <v>2589</v>
      </c>
      <c r="C871" s="268" t="s">
        <v>2590</v>
      </c>
      <c r="D871" s="268">
        <v>95</v>
      </c>
      <c r="E871" s="268">
        <v>0</v>
      </c>
      <c r="F871" s="83">
        <f t="shared" si="84"/>
        <v>95</v>
      </c>
      <c r="G871" s="268">
        <v>44</v>
      </c>
      <c r="H871" s="268">
        <v>0</v>
      </c>
      <c r="I871" s="83">
        <f t="shared" si="85"/>
        <v>44</v>
      </c>
      <c r="J871" s="171">
        <f t="shared" si="86"/>
        <v>0.4632</v>
      </c>
      <c r="K871" s="177">
        <f t="shared" si="81"/>
        <v>3.5</v>
      </c>
      <c r="L871" s="177">
        <f t="shared" si="82"/>
        <v>0</v>
      </c>
      <c r="M871" s="177">
        <f t="shared" si="83"/>
        <v>3.5</v>
      </c>
    </row>
    <row r="872" spans="1:13" ht="12.75" customHeight="1">
      <c r="A872" s="268" t="s">
        <v>401</v>
      </c>
      <c r="B872" s="268" t="s">
        <v>2591</v>
      </c>
      <c r="C872" s="268" t="s">
        <v>2592</v>
      </c>
      <c r="D872" s="268">
        <v>387</v>
      </c>
      <c r="E872" s="268">
        <v>0</v>
      </c>
      <c r="F872" s="83">
        <f t="shared" si="84"/>
        <v>387</v>
      </c>
      <c r="G872" s="268">
        <v>141</v>
      </c>
      <c r="H872" s="268">
        <v>0</v>
      </c>
      <c r="I872" s="83">
        <f t="shared" si="85"/>
        <v>141</v>
      </c>
      <c r="J872" s="171">
        <f t="shared" si="86"/>
        <v>0.36430000000000001</v>
      </c>
      <c r="K872" s="177">
        <f t="shared" si="81"/>
        <v>1.4</v>
      </c>
      <c r="L872" s="177">
        <f t="shared" si="82"/>
        <v>0</v>
      </c>
      <c r="M872" s="177">
        <f t="shared" si="83"/>
        <v>1.4</v>
      </c>
    </row>
    <row r="873" spans="1:13" ht="12.75" customHeight="1">
      <c r="A873" s="268" t="s">
        <v>401</v>
      </c>
      <c r="B873" s="268" t="s">
        <v>2593</v>
      </c>
      <c r="C873" s="268" t="s">
        <v>2594</v>
      </c>
      <c r="D873" s="268">
        <v>330</v>
      </c>
      <c r="E873" s="268">
        <v>0</v>
      </c>
      <c r="F873" s="83">
        <f t="shared" si="84"/>
        <v>330</v>
      </c>
      <c r="G873" s="268">
        <v>102</v>
      </c>
      <c r="H873" s="268">
        <v>0</v>
      </c>
      <c r="I873" s="83">
        <f t="shared" si="85"/>
        <v>102</v>
      </c>
      <c r="J873" s="171">
        <f t="shared" si="86"/>
        <v>0.30909999999999999</v>
      </c>
      <c r="K873" s="177">
        <f t="shared" si="81"/>
        <v>0</v>
      </c>
      <c r="L873" s="177">
        <f t="shared" si="82"/>
        <v>0</v>
      </c>
      <c r="M873" s="177">
        <f t="shared" si="83"/>
        <v>0</v>
      </c>
    </row>
    <row r="874" spans="1:13" ht="12.75" customHeight="1">
      <c r="A874" s="268" t="s">
        <v>402</v>
      </c>
      <c r="B874" s="268" t="s">
        <v>2595</v>
      </c>
      <c r="C874" s="268" t="s">
        <v>2596</v>
      </c>
      <c r="D874" s="268">
        <v>281</v>
      </c>
      <c r="E874" s="268">
        <v>0</v>
      </c>
      <c r="F874" s="83">
        <f t="shared" si="84"/>
        <v>281</v>
      </c>
      <c r="G874" s="268">
        <v>54</v>
      </c>
      <c r="H874" s="268">
        <v>0</v>
      </c>
      <c r="I874" s="83">
        <f t="shared" si="85"/>
        <v>54</v>
      </c>
      <c r="J874" s="171">
        <f t="shared" si="86"/>
        <v>0.19220000000000001</v>
      </c>
      <c r="K874" s="177">
        <f t="shared" si="81"/>
        <v>0</v>
      </c>
      <c r="L874" s="177">
        <f t="shared" si="82"/>
        <v>0</v>
      </c>
      <c r="M874" s="177">
        <f t="shared" si="83"/>
        <v>0</v>
      </c>
    </row>
    <row r="875" spans="1:13" ht="12.75" customHeight="1">
      <c r="A875" s="268" t="s">
        <v>402</v>
      </c>
      <c r="B875" s="268" t="s">
        <v>2597</v>
      </c>
      <c r="C875" s="268" t="s">
        <v>1490</v>
      </c>
      <c r="D875" s="268">
        <v>288</v>
      </c>
      <c r="E875" s="268">
        <v>0</v>
      </c>
      <c r="F875" s="83">
        <f t="shared" si="84"/>
        <v>288</v>
      </c>
      <c r="G875" s="268">
        <v>108</v>
      </c>
      <c r="H875" s="268">
        <v>0</v>
      </c>
      <c r="I875" s="83">
        <f t="shared" si="85"/>
        <v>108</v>
      </c>
      <c r="J875" s="171">
        <f t="shared" si="86"/>
        <v>0.375</v>
      </c>
      <c r="K875" s="177">
        <f t="shared" si="81"/>
        <v>1.9</v>
      </c>
      <c r="L875" s="177">
        <f t="shared" si="82"/>
        <v>0</v>
      </c>
      <c r="M875" s="177">
        <f t="shared" si="83"/>
        <v>1.9</v>
      </c>
    </row>
    <row r="876" spans="1:13" ht="12.75" customHeight="1">
      <c r="A876" s="268" t="s">
        <v>402</v>
      </c>
      <c r="B876" s="268" t="s">
        <v>2598</v>
      </c>
      <c r="C876" s="268" t="s">
        <v>2599</v>
      </c>
      <c r="D876" s="268">
        <v>287</v>
      </c>
      <c r="E876" s="268">
        <v>0</v>
      </c>
      <c r="F876" s="83">
        <f t="shared" si="84"/>
        <v>287</v>
      </c>
      <c r="G876" s="268">
        <v>144</v>
      </c>
      <c r="H876" s="268">
        <v>0</v>
      </c>
      <c r="I876" s="83">
        <f t="shared" si="85"/>
        <v>144</v>
      </c>
      <c r="J876" s="171">
        <f t="shared" si="86"/>
        <v>0.50170000000000003</v>
      </c>
      <c r="K876" s="177">
        <f t="shared" si="81"/>
        <v>0</v>
      </c>
      <c r="L876" s="177">
        <f t="shared" si="82"/>
        <v>15.1</v>
      </c>
      <c r="M876" s="177">
        <f t="shared" si="83"/>
        <v>15.1</v>
      </c>
    </row>
    <row r="877" spans="1:13" ht="12.75" customHeight="1">
      <c r="A877" s="268" t="s">
        <v>402</v>
      </c>
      <c r="B877" s="268" t="s">
        <v>2600</v>
      </c>
      <c r="C877" s="268" t="s">
        <v>1283</v>
      </c>
      <c r="D877" s="268">
        <v>301</v>
      </c>
      <c r="E877" s="268">
        <v>0</v>
      </c>
      <c r="F877" s="83">
        <f t="shared" si="84"/>
        <v>301</v>
      </c>
      <c r="G877" s="268">
        <v>109</v>
      </c>
      <c r="H877" s="268">
        <v>0</v>
      </c>
      <c r="I877" s="83">
        <f t="shared" si="85"/>
        <v>109</v>
      </c>
      <c r="J877" s="171">
        <f t="shared" si="86"/>
        <v>0.36209999999999998</v>
      </c>
      <c r="K877" s="177">
        <f t="shared" si="81"/>
        <v>0.9</v>
      </c>
      <c r="L877" s="177">
        <f t="shared" si="82"/>
        <v>0</v>
      </c>
      <c r="M877" s="177">
        <f t="shared" si="83"/>
        <v>0.9</v>
      </c>
    </row>
    <row r="878" spans="1:13" ht="12.75" customHeight="1">
      <c r="A878" s="268" t="s">
        <v>402</v>
      </c>
      <c r="B878" s="268" t="s">
        <v>2601</v>
      </c>
      <c r="C878" s="268" t="s">
        <v>2602</v>
      </c>
      <c r="D878" s="268">
        <v>552</v>
      </c>
      <c r="E878" s="268">
        <v>0</v>
      </c>
      <c r="F878" s="83">
        <f t="shared" si="84"/>
        <v>552</v>
      </c>
      <c r="G878" s="268">
        <v>180</v>
      </c>
      <c r="H878" s="268">
        <v>0</v>
      </c>
      <c r="I878" s="83">
        <f t="shared" si="85"/>
        <v>180</v>
      </c>
      <c r="J878" s="171">
        <f t="shared" si="86"/>
        <v>0.3261</v>
      </c>
      <c r="K878" s="177">
        <f t="shared" si="81"/>
        <v>0</v>
      </c>
      <c r="L878" s="177">
        <f t="shared" si="82"/>
        <v>0</v>
      </c>
      <c r="M878" s="177">
        <f t="shared" si="83"/>
        <v>0</v>
      </c>
    </row>
    <row r="879" spans="1:13" ht="12.75" customHeight="1">
      <c r="A879" s="268" t="s">
        <v>402</v>
      </c>
      <c r="B879" s="268" t="s">
        <v>2603</v>
      </c>
      <c r="C879" s="268" t="s">
        <v>2604</v>
      </c>
      <c r="D879" s="268">
        <v>746</v>
      </c>
      <c r="E879" s="268">
        <v>0</v>
      </c>
      <c r="F879" s="83">
        <f t="shared" si="84"/>
        <v>746</v>
      </c>
      <c r="G879" s="268">
        <v>179</v>
      </c>
      <c r="H879" s="268">
        <v>0</v>
      </c>
      <c r="I879" s="83">
        <f t="shared" si="85"/>
        <v>179</v>
      </c>
      <c r="J879" s="171">
        <f t="shared" si="86"/>
        <v>0.2399</v>
      </c>
      <c r="K879" s="177">
        <f t="shared" si="81"/>
        <v>0</v>
      </c>
      <c r="L879" s="177">
        <f t="shared" si="82"/>
        <v>0</v>
      </c>
      <c r="M879" s="177">
        <f t="shared" si="83"/>
        <v>0</v>
      </c>
    </row>
    <row r="880" spans="1:13" ht="12.75" customHeight="1">
      <c r="A880" s="268" t="s">
        <v>403</v>
      </c>
      <c r="B880" s="268" t="s">
        <v>2605</v>
      </c>
      <c r="C880" s="268" t="s">
        <v>2606</v>
      </c>
      <c r="D880" s="268">
        <v>161</v>
      </c>
      <c r="E880" s="268">
        <v>0</v>
      </c>
      <c r="F880" s="83">
        <f t="shared" si="84"/>
        <v>161</v>
      </c>
      <c r="G880" s="268">
        <v>41</v>
      </c>
      <c r="H880" s="268">
        <v>0</v>
      </c>
      <c r="I880" s="83">
        <f t="shared" si="85"/>
        <v>41</v>
      </c>
      <c r="J880" s="171">
        <f t="shared" si="86"/>
        <v>0.25469999999999998</v>
      </c>
      <c r="K880" s="177">
        <f t="shared" si="81"/>
        <v>0</v>
      </c>
      <c r="L880" s="177">
        <f t="shared" si="82"/>
        <v>0</v>
      </c>
      <c r="M880" s="177">
        <f t="shared" si="83"/>
        <v>0</v>
      </c>
    </row>
    <row r="881" spans="1:13" ht="12.75" customHeight="1">
      <c r="A881" s="268" t="s">
        <v>403</v>
      </c>
      <c r="B881" s="268" t="s">
        <v>2607</v>
      </c>
      <c r="C881" s="268" t="s">
        <v>2608</v>
      </c>
      <c r="D881" s="268">
        <v>168</v>
      </c>
      <c r="E881" s="268">
        <v>0</v>
      </c>
      <c r="F881" s="83">
        <f t="shared" si="84"/>
        <v>168</v>
      </c>
      <c r="G881" s="268">
        <v>63</v>
      </c>
      <c r="H881" s="268">
        <v>0</v>
      </c>
      <c r="I881" s="83">
        <f t="shared" si="85"/>
        <v>63</v>
      </c>
      <c r="J881" s="171">
        <f t="shared" si="86"/>
        <v>0.375</v>
      </c>
      <c r="K881" s="177">
        <f t="shared" si="81"/>
        <v>1.1000000000000001</v>
      </c>
      <c r="L881" s="177">
        <f t="shared" si="82"/>
        <v>0</v>
      </c>
      <c r="M881" s="177">
        <f t="shared" si="83"/>
        <v>1.1000000000000001</v>
      </c>
    </row>
    <row r="882" spans="1:13" ht="12.75" customHeight="1">
      <c r="A882" s="268" t="s">
        <v>404</v>
      </c>
      <c r="B882" s="268" t="s">
        <v>2609</v>
      </c>
      <c r="C882" s="268" t="s">
        <v>2610</v>
      </c>
      <c r="D882" s="268">
        <v>302</v>
      </c>
      <c r="E882" s="268">
        <v>0</v>
      </c>
      <c r="F882" s="83">
        <f t="shared" si="84"/>
        <v>302</v>
      </c>
      <c r="G882" s="268">
        <v>103</v>
      </c>
      <c r="H882" s="268">
        <v>0</v>
      </c>
      <c r="I882" s="83">
        <f t="shared" si="85"/>
        <v>103</v>
      </c>
      <c r="J882" s="171">
        <f t="shared" si="86"/>
        <v>0.34110000000000001</v>
      </c>
      <c r="K882" s="177">
        <f t="shared" si="81"/>
        <v>0</v>
      </c>
      <c r="L882" s="177">
        <f t="shared" si="82"/>
        <v>0</v>
      </c>
      <c r="M882" s="177">
        <f t="shared" si="83"/>
        <v>0</v>
      </c>
    </row>
    <row r="883" spans="1:13" ht="12.75" customHeight="1">
      <c r="A883" s="268" t="s">
        <v>404</v>
      </c>
      <c r="B883" s="268" t="s">
        <v>2611</v>
      </c>
      <c r="C883" s="268" t="s">
        <v>2612</v>
      </c>
      <c r="D883" s="268">
        <v>220</v>
      </c>
      <c r="E883" s="268">
        <v>0</v>
      </c>
      <c r="F883" s="83">
        <f t="shared" si="84"/>
        <v>220</v>
      </c>
      <c r="G883" s="268">
        <v>65</v>
      </c>
      <c r="H883" s="268">
        <v>0</v>
      </c>
      <c r="I883" s="83">
        <f t="shared" si="85"/>
        <v>65</v>
      </c>
      <c r="J883" s="171">
        <f t="shared" si="86"/>
        <v>0.29549999999999998</v>
      </c>
      <c r="K883" s="177">
        <f t="shared" si="81"/>
        <v>0</v>
      </c>
      <c r="L883" s="177">
        <f t="shared" si="82"/>
        <v>0</v>
      </c>
      <c r="M883" s="177">
        <f t="shared" si="83"/>
        <v>0</v>
      </c>
    </row>
    <row r="884" spans="1:13" ht="12.75" customHeight="1">
      <c r="A884" s="268" t="s">
        <v>404</v>
      </c>
      <c r="B884" s="268" t="s">
        <v>2613</v>
      </c>
      <c r="C884" s="268" t="s">
        <v>2614</v>
      </c>
      <c r="D884" s="268">
        <v>171</v>
      </c>
      <c r="E884" s="268">
        <v>0</v>
      </c>
      <c r="F884" s="83">
        <f t="shared" si="84"/>
        <v>171</v>
      </c>
      <c r="G884" s="268">
        <v>62</v>
      </c>
      <c r="H884" s="268">
        <v>0</v>
      </c>
      <c r="I884" s="83">
        <f t="shared" si="85"/>
        <v>62</v>
      </c>
      <c r="J884" s="171">
        <f t="shared" si="86"/>
        <v>0.36259999999999998</v>
      </c>
      <c r="K884" s="177">
        <f t="shared" si="81"/>
        <v>0.5</v>
      </c>
      <c r="L884" s="177">
        <f t="shared" si="82"/>
        <v>0</v>
      </c>
      <c r="M884" s="177">
        <f t="shared" si="83"/>
        <v>0.5</v>
      </c>
    </row>
    <row r="885" spans="1:13" ht="12.75" customHeight="1">
      <c r="A885" s="268" t="s">
        <v>405</v>
      </c>
      <c r="B885" s="268" t="s">
        <v>2615</v>
      </c>
      <c r="C885" s="268" t="s">
        <v>2616</v>
      </c>
      <c r="D885" s="268">
        <v>294</v>
      </c>
      <c r="E885" s="268">
        <v>0</v>
      </c>
      <c r="F885" s="83">
        <f t="shared" si="84"/>
        <v>294</v>
      </c>
      <c r="G885" s="268">
        <v>70</v>
      </c>
      <c r="H885" s="268">
        <v>0</v>
      </c>
      <c r="I885" s="83">
        <f t="shared" si="85"/>
        <v>70</v>
      </c>
      <c r="J885" s="171">
        <f t="shared" si="86"/>
        <v>0.23810000000000001</v>
      </c>
      <c r="K885" s="177">
        <f t="shared" si="81"/>
        <v>0</v>
      </c>
      <c r="L885" s="177">
        <f t="shared" si="82"/>
        <v>0</v>
      </c>
      <c r="M885" s="177">
        <f t="shared" si="83"/>
        <v>0</v>
      </c>
    </row>
    <row r="886" spans="1:13" ht="12.75" customHeight="1">
      <c r="A886" s="268" t="s">
        <v>405</v>
      </c>
      <c r="B886" s="268" t="s">
        <v>2617</v>
      </c>
      <c r="C886" s="268" t="s">
        <v>2618</v>
      </c>
      <c r="D886" s="268">
        <v>137</v>
      </c>
      <c r="E886" s="268">
        <v>0</v>
      </c>
      <c r="F886" s="83">
        <f t="shared" si="84"/>
        <v>137</v>
      </c>
      <c r="G886" s="268">
        <v>31</v>
      </c>
      <c r="H886" s="268">
        <v>0</v>
      </c>
      <c r="I886" s="83">
        <f t="shared" si="85"/>
        <v>31</v>
      </c>
      <c r="J886" s="171">
        <f t="shared" si="86"/>
        <v>0.2263</v>
      </c>
      <c r="K886" s="177">
        <f t="shared" si="81"/>
        <v>0</v>
      </c>
      <c r="L886" s="177">
        <f t="shared" si="82"/>
        <v>0</v>
      </c>
      <c r="M886" s="177">
        <f t="shared" si="83"/>
        <v>0</v>
      </c>
    </row>
    <row r="887" spans="1:13" ht="12.75" customHeight="1">
      <c r="A887" s="268" t="s">
        <v>406</v>
      </c>
      <c r="B887" s="268" t="s">
        <v>2619</v>
      </c>
      <c r="C887" s="268" t="s">
        <v>2620</v>
      </c>
      <c r="D887" s="268">
        <v>185</v>
      </c>
      <c r="E887" s="268">
        <v>0</v>
      </c>
      <c r="F887" s="83">
        <f t="shared" si="84"/>
        <v>185</v>
      </c>
      <c r="G887" s="268">
        <v>50</v>
      </c>
      <c r="H887" s="268">
        <v>0</v>
      </c>
      <c r="I887" s="83">
        <f t="shared" si="85"/>
        <v>50</v>
      </c>
      <c r="J887" s="171">
        <f t="shared" si="86"/>
        <v>0.27029999999999998</v>
      </c>
      <c r="K887" s="177">
        <f t="shared" si="81"/>
        <v>0</v>
      </c>
      <c r="L887" s="177">
        <f t="shared" si="82"/>
        <v>0</v>
      </c>
      <c r="M887" s="177">
        <f t="shared" si="83"/>
        <v>0</v>
      </c>
    </row>
    <row r="888" spans="1:13" ht="12.75" customHeight="1">
      <c r="A888" s="268" t="s">
        <v>406</v>
      </c>
      <c r="B888" s="268" t="s">
        <v>2621</v>
      </c>
      <c r="C888" s="268" t="s">
        <v>2622</v>
      </c>
      <c r="D888" s="268">
        <v>1</v>
      </c>
      <c r="E888" s="268">
        <v>0</v>
      </c>
      <c r="F888" s="83">
        <f t="shared" si="84"/>
        <v>1</v>
      </c>
      <c r="G888" s="268">
        <v>0</v>
      </c>
      <c r="H888" s="268">
        <v>0</v>
      </c>
      <c r="I888" s="83">
        <f t="shared" si="85"/>
        <v>0</v>
      </c>
      <c r="J888" s="171">
        <f t="shared" si="86"/>
        <v>0</v>
      </c>
      <c r="K888" s="177">
        <f t="shared" si="81"/>
        <v>0</v>
      </c>
      <c r="L888" s="177">
        <f t="shared" si="82"/>
        <v>0</v>
      </c>
      <c r="M888" s="177">
        <f t="shared" si="83"/>
        <v>0</v>
      </c>
    </row>
    <row r="889" spans="1:13" ht="12.75" customHeight="1">
      <c r="A889" s="268" t="s">
        <v>406</v>
      </c>
      <c r="B889" s="268" t="s">
        <v>2623</v>
      </c>
      <c r="C889" s="268" t="s">
        <v>2624</v>
      </c>
      <c r="D889" s="268">
        <v>67</v>
      </c>
      <c r="E889" s="268">
        <v>0</v>
      </c>
      <c r="F889" s="83">
        <f t="shared" si="84"/>
        <v>67</v>
      </c>
      <c r="G889" s="268">
        <v>20</v>
      </c>
      <c r="H889" s="268">
        <v>0</v>
      </c>
      <c r="I889" s="83">
        <f t="shared" si="85"/>
        <v>20</v>
      </c>
      <c r="J889" s="171">
        <f t="shared" si="86"/>
        <v>0.29849999999999999</v>
      </c>
      <c r="K889" s="177">
        <f t="shared" si="81"/>
        <v>0</v>
      </c>
      <c r="L889" s="177">
        <f t="shared" si="82"/>
        <v>0</v>
      </c>
      <c r="M889" s="177">
        <f t="shared" si="83"/>
        <v>0</v>
      </c>
    </row>
    <row r="890" spans="1:13" ht="12.75" customHeight="1">
      <c r="A890" s="268" t="s">
        <v>407</v>
      </c>
      <c r="B890" s="268" t="s">
        <v>2625</v>
      </c>
      <c r="C890" s="268" t="s">
        <v>2626</v>
      </c>
      <c r="D890" s="268">
        <v>148</v>
      </c>
      <c r="E890" s="268">
        <v>0</v>
      </c>
      <c r="F890" s="83">
        <f t="shared" si="84"/>
        <v>148</v>
      </c>
      <c r="G890" s="268">
        <v>40</v>
      </c>
      <c r="H890" s="268">
        <v>0</v>
      </c>
      <c r="I890" s="83">
        <f t="shared" si="85"/>
        <v>40</v>
      </c>
      <c r="J890" s="171">
        <f t="shared" si="86"/>
        <v>0.27029999999999998</v>
      </c>
      <c r="K890" s="177">
        <f t="shared" si="81"/>
        <v>0</v>
      </c>
      <c r="L890" s="177">
        <f t="shared" si="82"/>
        <v>0</v>
      </c>
      <c r="M890" s="177">
        <f t="shared" si="83"/>
        <v>0</v>
      </c>
    </row>
    <row r="891" spans="1:13" ht="12.75" customHeight="1">
      <c r="A891" s="268" t="s">
        <v>407</v>
      </c>
      <c r="B891" s="268" t="s">
        <v>2627</v>
      </c>
      <c r="C891" s="268" t="s">
        <v>2628</v>
      </c>
      <c r="D891" s="268">
        <v>105</v>
      </c>
      <c r="E891" s="268">
        <v>0</v>
      </c>
      <c r="F891" s="83">
        <f t="shared" si="84"/>
        <v>105</v>
      </c>
      <c r="G891" s="268">
        <v>18</v>
      </c>
      <c r="H891" s="268">
        <v>0</v>
      </c>
      <c r="I891" s="83">
        <f t="shared" si="85"/>
        <v>18</v>
      </c>
      <c r="J891" s="171">
        <f t="shared" si="86"/>
        <v>0.1714</v>
      </c>
      <c r="K891" s="177">
        <f t="shared" si="81"/>
        <v>0</v>
      </c>
      <c r="L891" s="177">
        <f t="shared" si="82"/>
        <v>0</v>
      </c>
      <c r="M891" s="177">
        <f t="shared" si="83"/>
        <v>0</v>
      </c>
    </row>
    <row r="892" spans="1:13" ht="12.75" customHeight="1">
      <c r="A892" s="268" t="s">
        <v>407</v>
      </c>
      <c r="B892" s="268" t="s">
        <v>2629</v>
      </c>
      <c r="C892" s="268" t="s">
        <v>2630</v>
      </c>
      <c r="D892" s="268">
        <v>173</v>
      </c>
      <c r="E892" s="268">
        <v>0</v>
      </c>
      <c r="F892" s="83">
        <f t="shared" si="84"/>
        <v>173</v>
      </c>
      <c r="G892" s="268">
        <v>29</v>
      </c>
      <c r="H892" s="268">
        <v>0</v>
      </c>
      <c r="I892" s="83">
        <f t="shared" si="85"/>
        <v>29</v>
      </c>
      <c r="J892" s="171">
        <f t="shared" si="86"/>
        <v>0.1676</v>
      </c>
      <c r="K892" s="177">
        <f t="shared" si="81"/>
        <v>0</v>
      </c>
      <c r="L892" s="177">
        <f t="shared" si="82"/>
        <v>0</v>
      </c>
      <c r="M892" s="177">
        <f t="shared" si="83"/>
        <v>0</v>
      </c>
    </row>
    <row r="893" spans="1:13" ht="12.75" customHeight="1">
      <c r="A893" s="268" t="s">
        <v>408</v>
      </c>
      <c r="B893" s="268" t="s">
        <v>2631</v>
      </c>
      <c r="C893" s="268" t="s">
        <v>2632</v>
      </c>
      <c r="D893" s="268">
        <v>104</v>
      </c>
      <c r="E893" s="268">
        <v>0</v>
      </c>
      <c r="F893" s="83">
        <f t="shared" si="84"/>
        <v>104</v>
      </c>
      <c r="G893" s="268">
        <v>45</v>
      </c>
      <c r="H893" s="268">
        <v>0</v>
      </c>
      <c r="I893" s="83">
        <f t="shared" si="85"/>
        <v>45</v>
      </c>
      <c r="J893" s="171">
        <f t="shared" si="86"/>
        <v>0.43269999999999997</v>
      </c>
      <c r="K893" s="177">
        <f t="shared" si="81"/>
        <v>2.6</v>
      </c>
      <c r="L893" s="177">
        <f t="shared" si="82"/>
        <v>0</v>
      </c>
      <c r="M893" s="177">
        <f t="shared" si="83"/>
        <v>2.6</v>
      </c>
    </row>
    <row r="894" spans="1:13" ht="12.75" customHeight="1">
      <c r="A894" s="268" t="s">
        <v>408</v>
      </c>
      <c r="B894" s="268" t="s">
        <v>2633</v>
      </c>
      <c r="C894" s="268" t="s">
        <v>2634</v>
      </c>
      <c r="D894" s="268">
        <v>42</v>
      </c>
      <c r="E894" s="268">
        <v>0</v>
      </c>
      <c r="F894" s="83">
        <f t="shared" si="84"/>
        <v>42</v>
      </c>
      <c r="G894" s="268">
        <v>15</v>
      </c>
      <c r="H894" s="268">
        <v>0</v>
      </c>
      <c r="I894" s="83">
        <f t="shared" si="85"/>
        <v>15</v>
      </c>
      <c r="J894" s="171">
        <f t="shared" si="86"/>
        <v>0.35709999999999997</v>
      </c>
      <c r="K894" s="177">
        <f t="shared" si="81"/>
        <v>0.1</v>
      </c>
      <c r="L894" s="177">
        <f t="shared" si="82"/>
        <v>0</v>
      </c>
      <c r="M894" s="177">
        <f t="shared" si="83"/>
        <v>0.1</v>
      </c>
    </row>
    <row r="895" spans="1:13" ht="12.75" customHeight="1">
      <c r="A895" s="268" t="s">
        <v>408</v>
      </c>
      <c r="B895" s="268" t="s">
        <v>2635</v>
      </c>
      <c r="C895" s="268" t="s">
        <v>2636</v>
      </c>
      <c r="D895" s="268">
        <v>61</v>
      </c>
      <c r="E895" s="268">
        <v>0</v>
      </c>
      <c r="F895" s="83">
        <f t="shared" si="84"/>
        <v>61</v>
      </c>
      <c r="G895" s="268">
        <v>17</v>
      </c>
      <c r="H895" s="268">
        <v>0</v>
      </c>
      <c r="I895" s="83">
        <f t="shared" si="85"/>
        <v>17</v>
      </c>
      <c r="J895" s="171">
        <f t="shared" si="86"/>
        <v>0.2787</v>
      </c>
      <c r="K895" s="177">
        <f t="shared" si="81"/>
        <v>0</v>
      </c>
      <c r="L895" s="177">
        <f t="shared" si="82"/>
        <v>0</v>
      </c>
      <c r="M895" s="177">
        <f t="shared" si="83"/>
        <v>0</v>
      </c>
    </row>
    <row r="896" spans="1:13" ht="12.75" customHeight="1">
      <c r="A896" s="268" t="s">
        <v>409</v>
      </c>
      <c r="B896" s="268" t="s">
        <v>2637</v>
      </c>
      <c r="C896" s="268" t="s">
        <v>1026</v>
      </c>
      <c r="D896" s="268">
        <v>290</v>
      </c>
      <c r="E896" s="268">
        <v>0</v>
      </c>
      <c r="F896" s="83">
        <f t="shared" si="84"/>
        <v>290</v>
      </c>
      <c r="G896" s="268">
        <v>166</v>
      </c>
      <c r="H896" s="268">
        <v>0</v>
      </c>
      <c r="I896" s="83">
        <f t="shared" si="85"/>
        <v>166</v>
      </c>
      <c r="J896" s="171">
        <f t="shared" si="86"/>
        <v>0.57240000000000002</v>
      </c>
      <c r="K896" s="177">
        <f t="shared" si="81"/>
        <v>0</v>
      </c>
      <c r="L896" s="177">
        <f t="shared" si="82"/>
        <v>17.399999999999999</v>
      </c>
      <c r="M896" s="177">
        <f t="shared" si="83"/>
        <v>17.399999999999999</v>
      </c>
    </row>
    <row r="897" spans="1:13" ht="12.75" customHeight="1">
      <c r="A897" s="268" t="s">
        <v>409</v>
      </c>
      <c r="B897" s="268" t="s">
        <v>2638</v>
      </c>
      <c r="C897" s="268" t="s">
        <v>1488</v>
      </c>
      <c r="D897" s="268">
        <v>289</v>
      </c>
      <c r="E897" s="268">
        <v>0</v>
      </c>
      <c r="F897" s="83">
        <f t="shared" si="84"/>
        <v>289</v>
      </c>
      <c r="G897" s="268">
        <v>107</v>
      </c>
      <c r="H897" s="268">
        <v>0</v>
      </c>
      <c r="I897" s="83">
        <f t="shared" si="85"/>
        <v>107</v>
      </c>
      <c r="J897" s="171">
        <f t="shared" si="86"/>
        <v>0.37019999999999997</v>
      </c>
      <c r="K897" s="177">
        <f t="shared" si="81"/>
        <v>1.5</v>
      </c>
      <c r="L897" s="177">
        <f t="shared" si="82"/>
        <v>0</v>
      </c>
      <c r="M897" s="177">
        <f t="shared" si="83"/>
        <v>1.5</v>
      </c>
    </row>
    <row r="898" spans="1:13" ht="12.75" customHeight="1">
      <c r="A898" s="268" t="s">
        <v>409</v>
      </c>
      <c r="B898" s="268" t="s">
        <v>2639</v>
      </c>
      <c r="C898" s="268" t="s">
        <v>1490</v>
      </c>
      <c r="D898" s="268">
        <v>292</v>
      </c>
      <c r="E898" s="268">
        <v>0</v>
      </c>
      <c r="F898" s="83">
        <f t="shared" si="84"/>
        <v>292</v>
      </c>
      <c r="G898" s="268">
        <v>150</v>
      </c>
      <c r="H898" s="268">
        <v>0</v>
      </c>
      <c r="I898" s="83">
        <f t="shared" si="85"/>
        <v>150</v>
      </c>
      <c r="J898" s="171">
        <f t="shared" si="86"/>
        <v>0.51370000000000005</v>
      </c>
      <c r="K898" s="177">
        <f t="shared" si="81"/>
        <v>0</v>
      </c>
      <c r="L898" s="177">
        <f t="shared" si="82"/>
        <v>15.8</v>
      </c>
      <c r="M898" s="177">
        <f t="shared" si="83"/>
        <v>15.8</v>
      </c>
    </row>
    <row r="899" spans="1:13" ht="12.75" customHeight="1">
      <c r="A899" s="268" t="s">
        <v>409</v>
      </c>
      <c r="B899" s="268" t="s">
        <v>2640</v>
      </c>
      <c r="C899" s="268" t="s">
        <v>2641</v>
      </c>
      <c r="D899" s="268">
        <v>267</v>
      </c>
      <c r="E899" s="268">
        <v>0</v>
      </c>
      <c r="F899" s="83">
        <f t="shared" si="84"/>
        <v>267</v>
      </c>
      <c r="G899" s="268">
        <v>199</v>
      </c>
      <c r="H899" s="268">
        <v>0</v>
      </c>
      <c r="I899" s="83">
        <f t="shared" si="85"/>
        <v>199</v>
      </c>
      <c r="J899" s="171">
        <f t="shared" si="86"/>
        <v>0.74529999999999996</v>
      </c>
      <c r="K899" s="177">
        <f t="shared" si="81"/>
        <v>0</v>
      </c>
      <c r="L899" s="177">
        <f t="shared" si="82"/>
        <v>20.9</v>
      </c>
      <c r="M899" s="177">
        <f t="shared" si="83"/>
        <v>20.9</v>
      </c>
    </row>
    <row r="900" spans="1:13" ht="12.75" customHeight="1">
      <c r="A900" s="268" t="s">
        <v>409</v>
      </c>
      <c r="B900" s="268" t="s">
        <v>2642</v>
      </c>
      <c r="C900" s="268" t="s">
        <v>2643</v>
      </c>
      <c r="D900" s="268">
        <v>301</v>
      </c>
      <c r="E900" s="268">
        <v>0</v>
      </c>
      <c r="F900" s="83">
        <f t="shared" si="84"/>
        <v>301</v>
      </c>
      <c r="G900" s="268">
        <v>252</v>
      </c>
      <c r="H900" s="268">
        <v>0</v>
      </c>
      <c r="I900" s="83">
        <f t="shared" si="85"/>
        <v>252</v>
      </c>
      <c r="J900" s="171">
        <f t="shared" si="86"/>
        <v>0.83720000000000006</v>
      </c>
      <c r="K900" s="177">
        <f t="shared" si="81"/>
        <v>0</v>
      </c>
      <c r="L900" s="177">
        <f t="shared" si="82"/>
        <v>26.5</v>
      </c>
      <c r="M900" s="177">
        <f t="shared" si="83"/>
        <v>26.5</v>
      </c>
    </row>
    <row r="901" spans="1:13" ht="12.75" customHeight="1">
      <c r="A901" s="268" t="s">
        <v>409</v>
      </c>
      <c r="B901" s="268" t="s">
        <v>2644</v>
      </c>
      <c r="C901" s="268" t="s">
        <v>2645</v>
      </c>
      <c r="D901" s="268">
        <v>440</v>
      </c>
      <c r="E901" s="268">
        <v>0</v>
      </c>
      <c r="F901" s="83">
        <f t="shared" si="84"/>
        <v>440</v>
      </c>
      <c r="G901" s="268">
        <v>252</v>
      </c>
      <c r="H901" s="268">
        <v>0</v>
      </c>
      <c r="I901" s="83">
        <f t="shared" si="85"/>
        <v>252</v>
      </c>
      <c r="J901" s="171">
        <f t="shared" si="86"/>
        <v>0.57269999999999999</v>
      </c>
      <c r="K901" s="177">
        <f t="shared" ref="K901:K964" si="87">IF(AND((J901-35%)&gt;0,J901&lt;50%),I901*(J901-35%)*0.7,0)</f>
        <v>0</v>
      </c>
      <c r="L901" s="177">
        <f t="shared" ref="L901:L964" si="88">IF(J901&gt;=50%,I901*10.5%,0)</f>
        <v>26.5</v>
      </c>
      <c r="M901" s="177">
        <f t="shared" ref="M901:M964" si="89">MAX(K901,L901)</f>
        <v>26.5</v>
      </c>
    </row>
    <row r="902" spans="1:13" ht="12.75" customHeight="1">
      <c r="A902" s="268" t="s">
        <v>409</v>
      </c>
      <c r="B902" s="268" t="s">
        <v>2646</v>
      </c>
      <c r="C902" s="268" t="s">
        <v>2647</v>
      </c>
      <c r="D902" s="268">
        <v>863</v>
      </c>
      <c r="E902" s="268">
        <v>0</v>
      </c>
      <c r="F902" s="83">
        <f t="shared" ref="F902:F965" si="90">SUM(D902+E902)</f>
        <v>863</v>
      </c>
      <c r="G902" s="268">
        <v>429</v>
      </c>
      <c r="H902" s="268">
        <v>0</v>
      </c>
      <c r="I902" s="83">
        <f t="shared" si="85"/>
        <v>429</v>
      </c>
      <c r="J902" s="171">
        <f t="shared" si="86"/>
        <v>0.49709999999999999</v>
      </c>
      <c r="K902" s="177">
        <f t="shared" si="87"/>
        <v>44.2</v>
      </c>
      <c r="L902" s="177">
        <f t="shared" si="88"/>
        <v>0</v>
      </c>
      <c r="M902" s="177">
        <f t="shared" si="89"/>
        <v>44.2</v>
      </c>
    </row>
    <row r="903" spans="1:13" ht="12.75" customHeight="1">
      <c r="A903" s="268" t="s">
        <v>410</v>
      </c>
      <c r="B903" s="268" t="s">
        <v>2648</v>
      </c>
      <c r="C903" s="268" t="s">
        <v>2649</v>
      </c>
      <c r="D903" s="268">
        <v>205</v>
      </c>
      <c r="E903" s="268">
        <v>0</v>
      </c>
      <c r="F903" s="83">
        <f t="shared" si="90"/>
        <v>205</v>
      </c>
      <c r="G903" s="268">
        <v>48</v>
      </c>
      <c r="H903" s="268">
        <v>0</v>
      </c>
      <c r="I903" s="83">
        <f t="shared" si="85"/>
        <v>48</v>
      </c>
      <c r="J903" s="171">
        <f t="shared" si="86"/>
        <v>0.2341</v>
      </c>
      <c r="K903" s="177">
        <f t="shared" si="87"/>
        <v>0</v>
      </c>
      <c r="L903" s="177">
        <f t="shared" si="88"/>
        <v>0</v>
      </c>
      <c r="M903" s="177">
        <f t="shared" si="89"/>
        <v>0</v>
      </c>
    </row>
    <row r="904" spans="1:13" ht="12.75" customHeight="1">
      <c r="A904" s="268" t="s">
        <v>410</v>
      </c>
      <c r="B904" s="268" t="s">
        <v>2650</v>
      </c>
      <c r="C904" s="268" t="s">
        <v>2651</v>
      </c>
      <c r="D904" s="268">
        <v>149</v>
      </c>
      <c r="E904" s="268">
        <v>0</v>
      </c>
      <c r="F904" s="83">
        <f t="shared" si="90"/>
        <v>149</v>
      </c>
      <c r="G904" s="268">
        <v>34</v>
      </c>
      <c r="H904" s="268">
        <v>0</v>
      </c>
      <c r="I904" s="83">
        <f t="shared" si="85"/>
        <v>34</v>
      </c>
      <c r="J904" s="171">
        <f t="shared" si="86"/>
        <v>0.22819999999999999</v>
      </c>
      <c r="K904" s="177">
        <f t="shared" si="87"/>
        <v>0</v>
      </c>
      <c r="L904" s="177">
        <f t="shared" si="88"/>
        <v>0</v>
      </c>
      <c r="M904" s="177">
        <f t="shared" si="89"/>
        <v>0</v>
      </c>
    </row>
    <row r="905" spans="1:13" ht="12.75" customHeight="1">
      <c r="A905" s="268" t="s">
        <v>411</v>
      </c>
      <c r="B905" s="268" t="s">
        <v>2652</v>
      </c>
      <c r="C905" s="268" t="s">
        <v>2653</v>
      </c>
      <c r="D905" s="268">
        <v>170</v>
      </c>
      <c r="E905" s="268">
        <v>0</v>
      </c>
      <c r="F905" s="83">
        <f t="shared" si="90"/>
        <v>170</v>
      </c>
      <c r="G905" s="268">
        <v>98</v>
      </c>
      <c r="H905" s="268">
        <v>0</v>
      </c>
      <c r="I905" s="83">
        <f t="shared" si="85"/>
        <v>98</v>
      </c>
      <c r="J905" s="171">
        <f t="shared" si="86"/>
        <v>0.57650000000000001</v>
      </c>
      <c r="K905" s="177">
        <f t="shared" si="87"/>
        <v>0</v>
      </c>
      <c r="L905" s="177">
        <f t="shared" si="88"/>
        <v>10.3</v>
      </c>
      <c r="M905" s="177">
        <f t="shared" si="89"/>
        <v>10.3</v>
      </c>
    </row>
    <row r="906" spans="1:13" ht="12.75" customHeight="1">
      <c r="A906" s="268" t="s">
        <v>411</v>
      </c>
      <c r="B906" s="268" t="s">
        <v>2654</v>
      </c>
      <c r="C906" s="268" t="s">
        <v>2655</v>
      </c>
      <c r="D906" s="268">
        <v>195</v>
      </c>
      <c r="E906" s="268">
        <v>0</v>
      </c>
      <c r="F906" s="83">
        <f t="shared" si="90"/>
        <v>195</v>
      </c>
      <c r="G906" s="268">
        <v>113</v>
      </c>
      <c r="H906" s="268">
        <v>0</v>
      </c>
      <c r="I906" s="83">
        <f t="shared" si="85"/>
        <v>113</v>
      </c>
      <c r="J906" s="171">
        <f t="shared" si="86"/>
        <v>0.57950000000000002</v>
      </c>
      <c r="K906" s="177">
        <f t="shared" si="87"/>
        <v>0</v>
      </c>
      <c r="L906" s="177">
        <f t="shared" si="88"/>
        <v>11.9</v>
      </c>
      <c r="M906" s="177">
        <f t="shared" si="89"/>
        <v>11.9</v>
      </c>
    </row>
    <row r="907" spans="1:13" ht="12.75" customHeight="1">
      <c r="A907" s="268" t="s">
        <v>411</v>
      </c>
      <c r="B907" s="268" t="s">
        <v>2656</v>
      </c>
      <c r="C907" s="268" t="s">
        <v>2657</v>
      </c>
      <c r="D907" s="268">
        <v>152</v>
      </c>
      <c r="E907" s="268">
        <v>0</v>
      </c>
      <c r="F907" s="83">
        <f t="shared" si="90"/>
        <v>152</v>
      </c>
      <c r="G907" s="268">
        <v>78</v>
      </c>
      <c r="H907" s="268">
        <v>0</v>
      </c>
      <c r="I907" s="83">
        <f t="shared" si="85"/>
        <v>78</v>
      </c>
      <c r="J907" s="171">
        <f t="shared" si="86"/>
        <v>0.51319999999999999</v>
      </c>
      <c r="K907" s="177">
        <f t="shared" si="87"/>
        <v>0</v>
      </c>
      <c r="L907" s="177">
        <f t="shared" si="88"/>
        <v>8.1999999999999993</v>
      </c>
      <c r="M907" s="177">
        <f t="shared" si="89"/>
        <v>8.1999999999999993</v>
      </c>
    </row>
    <row r="908" spans="1:13" ht="12.75" customHeight="1">
      <c r="A908" s="268" t="s">
        <v>412</v>
      </c>
      <c r="B908" s="268" t="s">
        <v>2658</v>
      </c>
      <c r="C908" s="268" t="s">
        <v>2659</v>
      </c>
      <c r="D908" s="268">
        <v>217</v>
      </c>
      <c r="E908" s="268">
        <v>0</v>
      </c>
      <c r="F908" s="83">
        <f t="shared" si="90"/>
        <v>217</v>
      </c>
      <c r="G908" s="268">
        <v>100</v>
      </c>
      <c r="H908" s="268">
        <v>0</v>
      </c>
      <c r="I908" s="83">
        <f t="shared" si="85"/>
        <v>100</v>
      </c>
      <c r="J908" s="171">
        <f t="shared" si="86"/>
        <v>0.46079999999999999</v>
      </c>
      <c r="K908" s="177">
        <f t="shared" si="87"/>
        <v>7.8</v>
      </c>
      <c r="L908" s="177">
        <f t="shared" si="88"/>
        <v>0</v>
      </c>
      <c r="M908" s="177">
        <f t="shared" si="89"/>
        <v>7.8</v>
      </c>
    </row>
    <row r="909" spans="1:13" ht="12.75" customHeight="1">
      <c r="A909" s="268" t="s">
        <v>412</v>
      </c>
      <c r="B909" s="268" t="s">
        <v>2660</v>
      </c>
      <c r="C909" s="268" t="s">
        <v>2661</v>
      </c>
      <c r="D909" s="268">
        <v>171</v>
      </c>
      <c r="E909" s="268">
        <v>0</v>
      </c>
      <c r="F909" s="83">
        <f t="shared" si="90"/>
        <v>171</v>
      </c>
      <c r="G909" s="268">
        <v>85</v>
      </c>
      <c r="H909" s="268">
        <v>0</v>
      </c>
      <c r="I909" s="83">
        <f t="shared" si="85"/>
        <v>85</v>
      </c>
      <c r="J909" s="171">
        <f t="shared" si="86"/>
        <v>0.49709999999999999</v>
      </c>
      <c r="K909" s="177">
        <f t="shared" si="87"/>
        <v>8.8000000000000007</v>
      </c>
      <c r="L909" s="177">
        <f t="shared" si="88"/>
        <v>0</v>
      </c>
      <c r="M909" s="177">
        <f t="shared" si="89"/>
        <v>8.8000000000000007</v>
      </c>
    </row>
    <row r="910" spans="1:13" ht="12.75" customHeight="1">
      <c r="A910" s="268" t="s">
        <v>412</v>
      </c>
      <c r="B910" s="268" t="s">
        <v>2662</v>
      </c>
      <c r="C910" s="268" t="s">
        <v>2663</v>
      </c>
      <c r="D910" s="268">
        <v>174</v>
      </c>
      <c r="E910" s="268">
        <v>0</v>
      </c>
      <c r="F910" s="83">
        <f t="shared" si="90"/>
        <v>174</v>
      </c>
      <c r="G910" s="268">
        <v>73</v>
      </c>
      <c r="H910" s="268">
        <v>0</v>
      </c>
      <c r="I910" s="83">
        <f t="shared" si="85"/>
        <v>73</v>
      </c>
      <c r="J910" s="171">
        <f t="shared" si="86"/>
        <v>0.41949999999999998</v>
      </c>
      <c r="K910" s="177">
        <f t="shared" si="87"/>
        <v>3.6</v>
      </c>
      <c r="L910" s="177">
        <f t="shared" si="88"/>
        <v>0</v>
      </c>
      <c r="M910" s="177">
        <f t="shared" si="89"/>
        <v>3.6</v>
      </c>
    </row>
    <row r="911" spans="1:13" ht="12.75" customHeight="1">
      <c r="A911" s="268" t="s">
        <v>412</v>
      </c>
      <c r="B911" s="268" t="s">
        <v>2664</v>
      </c>
      <c r="C911" s="268" t="s">
        <v>2665</v>
      </c>
      <c r="D911" s="268">
        <v>200</v>
      </c>
      <c r="E911" s="268">
        <v>0</v>
      </c>
      <c r="F911" s="83">
        <f t="shared" si="90"/>
        <v>200</v>
      </c>
      <c r="G911" s="268">
        <v>63</v>
      </c>
      <c r="H911" s="268">
        <v>0</v>
      </c>
      <c r="I911" s="83">
        <f t="shared" si="85"/>
        <v>63</v>
      </c>
      <c r="J911" s="171">
        <f t="shared" si="86"/>
        <v>0.315</v>
      </c>
      <c r="K911" s="177">
        <f t="shared" si="87"/>
        <v>0</v>
      </c>
      <c r="L911" s="177">
        <f t="shared" si="88"/>
        <v>0</v>
      </c>
      <c r="M911" s="177">
        <f t="shared" si="89"/>
        <v>0</v>
      </c>
    </row>
    <row r="912" spans="1:13" ht="12.75" customHeight="1">
      <c r="A912" s="268" t="s">
        <v>413</v>
      </c>
      <c r="B912" s="268" t="s">
        <v>2666</v>
      </c>
      <c r="C912" s="268" t="s">
        <v>2667</v>
      </c>
      <c r="D912" s="268">
        <v>166</v>
      </c>
      <c r="E912" s="268">
        <v>0</v>
      </c>
      <c r="F912" s="83">
        <f t="shared" si="90"/>
        <v>166</v>
      </c>
      <c r="G912" s="268">
        <v>26</v>
      </c>
      <c r="H912" s="268">
        <v>0</v>
      </c>
      <c r="I912" s="83">
        <f t="shared" si="85"/>
        <v>26</v>
      </c>
      <c r="J912" s="171">
        <f t="shared" si="86"/>
        <v>0.15659999999999999</v>
      </c>
      <c r="K912" s="177">
        <f t="shared" si="87"/>
        <v>0</v>
      </c>
      <c r="L912" s="177">
        <f t="shared" si="88"/>
        <v>0</v>
      </c>
      <c r="M912" s="177">
        <f t="shared" si="89"/>
        <v>0</v>
      </c>
    </row>
    <row r="913" spans="1:13" ht="12.75" customHeight="1">
      <c r="A913" s="268" t="s">
        <v>413</v>
      </c>
      <c r="B913" s="268" t="s">
        <v>2668</v>
      </c>
      <c r="C913" s="268" t="s">
        <v>2669</v>
      </c>
      <c r="D913" s="268">
        <v>124</v>
      </c>
      <c r="E913" s="268">
        <v>0</v>
      </c>
      <c r="F913" s="83">
        <f t="shared" si="90"/>
        <v>124</v>
      </c>
      <c r="G913" s="268">
        <v>15</v>
      </c>
      <c r="H913" s="268">
        <v>0</v>
      </c>
      <c r="I913" s="83">
        <f t="shared" si="85"/>
        <v>15</v>
      </c>
      <c r="J913" s="171">
        <f t="shared" si="86"/>
        <v>0.121</v>
      </c>
      <c r="K913" s="177">
        <f t="shared" si="87"/>
        <v>0</v>
      </c>
      <c r="L913" s="177">
        <f t="shared" si="88"/>
        <v>0</v>
      </c>
      <c r="M913" s="177">
        <f t="shared" si="89"/>
        <v>0</v>
      </c>
    </row>
    <row r="914" spans="1:13" ht="12.75" customHeight="1">
      <c r="A914" s="268" t="s">
        <v>414</v>
      </c>
      <c r="B914" s="268" t="s">
        <v>2670</v>
      </c>
      <c r="C914" s="268" t="s">
        <v>2671</v>
      </c>
      <c r="D914" s="268">
        <v>393</v>
      </c>
      <c r="E914" s="268">
        <v>0</v>
      </c>
      <c r="F914" s="83">
        <f t="shared" si="90"/>
        <v>393</v>
      </c>
      <c r="G914" s="268">
        <v>153</v>
      </c>
      <c r="H914" s="268">
        <v>0</v>
      </c>
      <c r="I914" s="83">
        <f t="shared" si="85"/>
        <v>153</v>
      </c>
      <c r="J914" s="171">
        <f t="shared" si="86"/>
        <v>0.38929999999999998</v>
      </c>
      <c r="K914" s="177">
        <f t="shared" si="87"/>
        <v>4.2</v>
      </c>
      <c r="L914" s="177">
        <f t="shared" si="88"/>
        <v>0</v>
      </c>
      <c r="M914" s="177">
        <f t="shared" si="89"/>
        <v>4.2</v>
      </c>
    </row>
    <row r="915" spans="1:13" ht="12.75" customHeight="1">
      <c r="A915" s="268" t="s">
        <v>414</v>
      </c>
      <c r="B915" s="268" t="s">
        <v>2672</v>
      </c>
      <c r="C915" s="268" t="s">
        <v>2673</v>
      </c>
      <c r="D915" s="268">
        <v>355</v>
      </c>
      <c r="E915" s="268">
        <v>0</v>
      </c>
      <c r="F915" s="83">
        <f t="shared" si="90"/>
        <v>355</v>
      </c>
      <c r="G915" s="268">
        <v>163</v>
      </c>
      <c r="H915" s="268">
        <v>0</v>
      </c>
      <c r="I915" s="83">
        <f t="shared" si="85"/>
        <v>163</v>
      </c>
      <c r="J915" s="171">
        <f t="shared" si="86"/>
        <v>0.4592</v>
      </c>
      <c r="K915" s="177">
        <f t="shared" si="87"/>
        <v>12.5</v>
      </c>
      <c r="L915" s="177">
        <f t="shared" si="88"/>
        <v>0</v>
      </c>
      <c r="M915" s="177">
        <f t="shared" si="89"/>
        <v>12.5</v>
      </c>
    </row>
    <row r="916" spans="1:13" ht="12.75" customHeight="1">
      <c r="A916" s="268" t="s">
        <v>414</v>
      </c>
      <c r="B916" s="268" t="s">
        <v>2674</v>
      </c>
      <c r="C916" s="268" t="s">
        <v>2675</v>
      </c>
      <c r="D916" s="268">
        <v>296</v>
      </c>
      <c r="E916" s="268">
        <v>0</v>
      </c>
      <c r="F916" s="83">
        <f t="shared" si="90"/>
        <v>296</v>
      </c>
      <c r="G916" s="268">
        <v>88</v>
      </c>
      <c r="H916" s="268">
        <v>0</v>
      </c>
      <c r="I916" s="83">
        <f t="shared" si="85"/>
        <v>88</v>
      </c>
      <c r="J916" s="171">
        <f t="shared" si="86"/>
        <v>0.29730000000000001</v>
      </c>
      <c r="K916" s="177">
        <f t="shared" si="87"/>
        <v>0</v>
      </c>
      <c r="L916" s="177">
        <f t="shared" si="88"/>
        <v>0</v>
      </c>
      <c r="M916" s="177">
        <f t="shared" si="89"/>
        <v>0</v>
      </c>
    </row>
    <row r="917" spans="1:13" ht="12.75" customHeight="1">
      <c r="A917" s="268" t="s">
        <v>415</v>
      </c>
      <c r="B917" s="268" t="s">
        <v>2676</v>
      </c>
      <c r="C917" s="268" t="s">
        <v>2677</v>
      </c>
      <c r="D917" s="268">
        <v>233</v>
      </c>
      <c r="E917" s="268">
        <v>0</v>
      </c>
      <c r="F917" s="83">
        <f t="shared" si="90"/>
        <v>233</v>
      </c>
      <c r="G917" s="268">
        <v>94</v>
      </c>
      <c r="H917" s="268">
        <v>0</v>
      </c>
      <c r="I917" s="83">
        <f t="shared" si="85"/>
        <v>94</v>
      </c>
      <c r="J917" s="171">
        <f t="shared" si="86"/>
        <v>0.40339999999999998</v>
      </c>
      <c r="K917" s="177">
        <f t="shared" si="87"/>
        <v>3.5</v>
      </c>
      <c r="L917" s="177">
        <f t="shared" si="88"/>
        <v>0</v>
      </c>
      <c r="M917" s="177">
        <f t="shared" si="89"/>
        <v>3.5</v>
      </c>
    </row>
    <row r="918" spans="1:13" ht="12.75" customHeight="1">
      <c r="A918" s="268" t="s">
        <v>415</v>
      </c>
      <c r="B918" s="268" t="s">
        <v>2678</v>
      </c>
      <c r="C918" s="268" t="s">
        <v>2215</v>
      </c>
      <c r="D918" s="268">
        <v>236</v>
      </c>
      <c r="E918" s="268">
        <v>0</v>
      </c>
      <c r="F918" s="83">
        <f t="shared" si="90"/>
        <v>236</v>
      </c>
      <c r="G918" s="268">
        <v>85</v>
      </c>
      <c r="H918" s="268">
        <v>0</v>
      </c>
      <c r="I918" s="83">
        <f t="shared" si="85"/>
        <v>85</v>
      </c>
      <c r="J918" s="171">
        <f t="shared" si="86"/>
        <v>0.36020000000000002</v>
      </c>
      <c r="K918" s="177">
        <f t="shared" si="87"/>
        <v>0.6</v>
      </c>
      <c r="L918" s="177">
        <f t="shared" si="88"/>
        <v>0</v>
      </c>
      <c r="M918" s="177">
        <f t="shared" si="89"/>
        <v>0.6</v>
      </c>
    </row>
    <row r="919" spans="1:13" ht="12.75" customHeight="1">
      <c r="A919" s="268" t="s">
        <v>415</v>
      </c>
      <c r="B919" s="268" t="s">
        <v>2679</v>
      </c>
      <c r="C919" s="268" t="s">
        <v>1492</v>
      </c>
      <c r="D919" s="268">
        <v>223</v>
      </c>
      <c r="E919" s="268">
        <v>0</v>
      </c>
      <c r="F919" s="83">
        <f t="shared" si="90"/>
        <v>223</v>
      </c>
      <c r="G919" s="268">
        <v>105</v>
      </c>
      <c r="H919" s="268">
        <v>0</v>
      </c>
      <c r="I919" s="83">
        <f t="shared" si="85"/>
        <v>105</v>
      </c>
      <c r="J919" s="171">
        <f t="shared" si="86"/>
        <v>0.47089999999999999</v>
      </c>
      <c r="K919" s="177">
        <f t="shared" si="87"/>
        <v>8.9</v>
      </c>
      <c r="L919" s="177">
        <f t="shared" si="88"/>
        <v>0</v>
      </c>
      <c r="M919" s="177">
        <f t="shared" si="89"/>
        <v>8.9</v>
      </c>
    </row>
    <row r="920" spans="1:13" ht="12.75" customHeight="1">
      <c r="A920" s="268" t="s">
        <v>415</v>
      </c>
      <c r="B920" s="268" t="s">
        <v>2680</v>
      </c>
      <c r="C920" s="268" t="s">
        <v>2681</v>
      </c>
      <c r="D920" s="268">
        <v>371</v>
      </c>
      <c r="E920" s="268">
        <v>0</v>
      </c>
      <c r="F920" s="83">
        <f t="shared" si="90"/>
        <v>371</v>
      </c>
      <c r="G920" s="268">
        <v>127</v>
      </c>
      <c r="H920" s="268">
        <v>0</v>
      </c>
      <c r="I920" s="83">
        <f t="shared" si="85"/>
        <v>127</v>
      </c>
      <c r="J920" s="171">
        <f t="shared" si="86"/>
        <v>0.34229999999999999</v>
      </c>
      <c r="K920" s="177">
        <f t="shared" si="87"/>
        <v>0</v>
      </c>
      <c r="L920" s="177">
        <f t="shared" si="88"/>
        <v>0</v>
      </c>
      <c r="M920" s="177">
        <f t="shared" si="89"/>
        <v>0</v>
      </c>
    </row>
    <row r="921" spans="1:13" ht="12.75" customHeight="1">
      <c r="A921" s="268" t="s">
        <v>415</v>
      </c>
      <c r="B921" s="268" t="s">
        <v>2682</v>
      </c>
      <c r="C921" s="268" t="s">
        <v>2683</v>
      </c>
      <c r="D921" s="268">
        <v>498</v>
      </c>
      <c r="E921" s="268">
        <v>0</v>
      </c>
      <c r="F921" s="83">
        <f t="shared" si="90"/>
        <v>498</v>
      </c>
      <c r="G921" s="268">
        <v>131</v>
      </c>
      <c r="H921" s="268">
        <v>0</v>
      </c>
      <c r="I921" s="83">
        <f t="shared" si="85"/>
        <v>131</v>
      </c>
      <c r="J921" s="171">
        <f t="shared" si="86"/>
        <v>0.2631</v>
      </c>
      <c r="K921" s="177">
        <f t="shared" si="87"/>
        <v>0</v>
      </c>
      <c r="L921" s="177">
        <f t="shared" si="88"/>
        <v>0</v>
      </c>
      <c r="M921" s="177">
        <f t="shared" si="89"/>
        <v>0</v>
      </c>
    </row>
    <row r="922" spans="1:13" ht="12.75" customHeight="1">
      <c r="A922" s="268" t="s">
        <v>416</v>
      </c>
      <c r="B922" s="268" t="s">
        <v>2684</v>
      </c>
      <c r="C922" s="268" t="s">
        <v>2685</v>
      </c>
      <c r="D922" s="268">
        <v>394</v>
      </c>
      <c r="E922" s="268">
        <v>0</v>
      </c>
      <c r="F922" s="83">
        <f t="shared" si="90"/>
        <v>394</v>
      </c>
      <c r="G922" s="268">
        <v>167</v>
      </c>
      <c r="H922" s="268">
        <v>0</v>
      </c>
      <c r="I922" s="83">
        <f t="shared" si="85"/>
        <v>167</v>
      </c>
      <c r="J922" s="171">
        <f t="shared" si="86"/>
        <v>0.4239</v>
      </c>
      <c r="K922" s="177">
        <f t="shared" si="87"/>
        <v>8.6</v>
      </c>
      <c r="L922" s="177">
        <f t="shared" si="88"/>
        <v>0</v>
      </c>
      <c r="M922" s="177">
        <f t="shared" si="89"/>
        <v>8.6</v>
      </c>
    </row>
    <row r="923" spans="1:13" ht="12.75" customHeight="1">
      <c r="A923" s="268" t="s">
        <v>416</v>
      </c>
      <c r="B923" s="268" t="s">
        <v>2686</v>
      </c>
      <c r="C923" s="268" t="s">
        <v>2687</v>
      </c>
      <c r="D923" s="268">
        <v>8</v>
      </c>
      <c r="E923" s="268">
        <v>0</v>
      </c>
      <c r="F923" s="83">
        <f t="shared" si="90"/>
        <v>8</v>
      </c>
      <c r="G923" s="268">
        <v>4</v>
      </c>
      <c r="H923" s="268">
        <v>0</v>
      </c>
      <c r="I923" s="83">
        <f t="shared" si="85"/>
        <v>4</v>
      </c>
      <c r="J923" s="171">
        <f t="shared" si="86"/>
        <v>0.5</v>
      </c>
      <c r="K923" s="177">
        <f t="shared" si="87"/>
        <v>0</v>
      </c>
      <c r="L923" s="177">
        <f t="shared" si="88"/>
        <v>0.4</v>
      </c>
      <c r="M923" s="177">
        <f t="shared" si="89"/>
        <v>0.4</v>
      </c>
    </row>
    <row r="924" spans="1:13" ht="12.75" customHeight="1">
      <c r="A924" s="268" t="s">
        <v>416</v>
      </c>
      <c r="B924" s="268" t="s">
        <v>2688</v>
      </c>
      <c r="C924" s="268" t="s">
        <v>2689</v>
      </c>
      <c r="D924" s="268">
        <v>361</v>
      </c>
      <c r="E924" s="268">
        <v>0</v>
      </c>
      <c r="F924" s="83">
        <f t="shared" si="90"/>
        <v>361</v>
      </c>
      <c r="G924" s="268">
        <v>124</v>
      </c>
      <c r="H924" s="268">
        <v>0</v>
      </c>
      <c r="I924" s="83">
        <f t="shared" si="85"/>
        <v>124</v>
      </c>
      <c r="J924" s="171">
        <f t="shared" si="86"/>
        <v>0.34350000000000003</v>
      </c>
      <c r="K924" s="177">
        <f t="shared" si="87"/>
        <v>0</v>
      </c>
      <c r="L924" s="177">
        <f t="shared" si="88"/>
        <v>0</v>
      </c>
      <c r="M924" s="177">
        <f t="shared" si="89"/>
        <v>0</v>
      </c>
    </row>
    <row r="925" spans="1:13" ht="12.75" customHeight="1">
      <c r="A925" s="268" t="s">
        <v>417</v>
      </c>
      <c r="B925" s="268" t="s">
        <v>2690</v>
      </c>
      <c r="C925" s="268" t="s">
        <v>2691</v>
      </c>
      <c r="D925" s="268">
        <v>412</v>
      </c>
      <c r="E925" s="268">
        <v>0</v>
      </c>
      <c r="F925" s="83">
        <f t="shared" si="90"/>
        <v>412</v>
      </c>
      <c r="G925" s="268">
        <v>91</v>
      </c>
      <c r="H925" s="268">
        <v>0</v>
      </c>
      <c r="I925" s="83">
        <f t="shared" si="85"/>
        <v>91</v>
      </c>
      <c r="J925" s="171">
        <f t="shared" si="86"/>
        <v>0.22090000000000001</v>
      </c>
      <c r="K925" s="177">
        <f t="shared" si="87"/>
        <v>0</v>
      </c>
      <c r="L925" s="177">
        <f t="shared" si="88"/>
        <v>0</v>
      </c>
      <c r="M925" s="177">
        <f t="shared" si="89"/>
        <v>0</v>
      </c>
    </row>
    <row r="926" spans="1:13" ht="12.75" customHeight="1">
      <c r="A926" s="268" t="s">
        <v>417</v>
      </c>
      <c r="B926" s="268" t="s">
        <v>2692</v>
      </c>
      <c r="C926" s="268" t="s">
        <v>2693</v>
      </c>
      <c r="D926" s="268">
        <v>579</v>
      </c>
      <c r="E926" s="268">
        <v>0</v>
      </c>
      <c r="F926" s="83">
        <f t="shared" si="90"/>
        <v>579</v>
      </c>
      <c r="G926" s="268">
        <v>103</v>
      </c>
      <c r="H926" s="268">
        <v>0</v>
      </c>
      <c r="I926" s="83">
        <f t="shared" si="85"/>
        <v>103</v>
      </c>
      <c r="J926" s="171">
        <f t="shared" si="86"/>
        <v>0.1779</v>
      </c>
      <c r="K926" s="177">
        <f t="shared" si="87"/>
        <v>0</v>
      </c>
      <c r="L926" s="177">
        <f t="shared" si="88"/>
        <v>0</v>
      </c>
      <c r="M926" s="177">
        <f t="shared" si="89"/>
        <v>0</v>
      </c>
    </row>
    <row r="927" spans="1:13" ht="12.75" customHeight="1">
      <c r="A927" s="268" t="s">
        <v>417</v>
      </c>
      <c r="B927" s="268" t="s">
        <v>2694</v>
      </c>
      <c r="C927" s="268" t="s">
        <v>2695</v>
      </c>
      <c r="D927" s="268">
        <v>527</v>
      </c>
      <c r="E927" s="268">
        <v>0</v>
      </c>
      <c r="F927" s="83">
        <f t="shared" si="90"/>
        <v>527</v>
      </c>
      <c r="G927" s="268">
        <v>63</v>
      </c>
      <c r="H927" s="268">
        <v>0</v>
      </c>
      <c r="I927" s="83">
        <f t="shared" si="85"/>
        <v>63</v>
      </c>
      <c r="J927" s="171">
        <f t="shared" si="86"/>
        <v>0.1195</v>
      </c>
      <c r="K927" s="177">
        <f t="shared" si="87"/>
        <v>0</v>
      </c>
      <c r="L927" s="177">
        <f t="shared" si="88"/>
        <v>0</v>
      </c>
      <c r="M927" s="177">
        <f t="shared" si="89"/>
        <v>0</v>
      </c>
    </row>
    <row r="928" spans="1:13" ht="12.75" customHeight="1">
      <c r="A928" s="268" t="s">
        <v>417</v>
      </c>
      <c r="B928" s="268" t="s">
        <v>2696</v>
      </c>
      <c r="C928" s="268" t="s">
        <v>2697</v>
      </c>
      <c r="D928" s="268">
        <v>440</v>
      </c>
      <c r="E928" s="268">
        <v>0</v>
      </c>
      <c r="F928" s="83">
        <f t="shared" si="90"/>
        <v>440</v>
      </c>
      <c r="G928" s="268">
        <v>248</v>
      </c>
      <c r="H928" s="268">
        <v>0</v>
      </c>
      <c r="I928" s="83">
        <f t="shared" si="85"/>
        <v>248</v>
      </c>
      <c r="J928" s="171">
        <f t="shared" si="86"/>
        <v>0.56359999999999999</v>
      </c>
      <c r="K928" s="177">
        <f t="shared" si="87"/>
        <v>0</v>
      </c>
      <c r="L928" s="177">
        <f t="shared" si="88"/>
        <v>26</v>
      </c>
      <c r="M928" s="177">
        <f t="shared" si="89"/>
        <v>26</v>
      </c>
    </row>
    <row r="929" spans="1:13" ht="12.75" customHeight="1">
      <c r="A929" s="268" t="s">
        <v>417</v>
      </c>
      <c r="B929" s="268" t="s">
        <v>2698</v>
      </c>
      <c r="C929" s="268" t="s">
        <v>2699</v>
      </c>
      <c r="D929" s="268">
        <v>336</v>
      </c>
      <c r="E929" s="268">
        <v>0</v>
      </c>
      <c r="F929" s="83">
        <f t="shared" si="90"/>
        <v>336</v>
      </c>
      <c r="G929" s="268">
        <v>181</v>
      </c>
      <c r="H929" s="268">
        <v>0</v>
      </c>
      <c r="I929" s="83">
        <f t="shared" si="85"/>
        <v>181</v>
      </c>
      <c r="J929" s="171">
        <f t="shared" si="86"/>
        <v>0.53869999999999996</v>
      </c>
      <c r="K929" s="177">
        <f t="shared" si="87"/>
        <v>0</v>
      </c>
      <c r="L929" s="177">
        <f t="shared" si="88"/>
        <v>19</v>
      </c>
      <c r="M929" s="177">
        <f t="shared" si="89"/>
        <v>19</v>
      </c>
    </row>
    <row r="930" spans="1:13" ht="12.75" customHeight="1">
      <c r="A930" s="268" t="s">
        <v>417</v>
      </c>
      <c r="B930" s="268" t="s">
        <v>2700</v>
      </c>
      <c r="C930" s="268" t="s">
        <v>2701</v>
      </c>
      <c r="D930" s="268">
        <v>981</v>
      </c>
      <c r="E930" s="268">
        <v>0</v>
      </c>
      <c r="F930" s="83">
        <f t="shared" si="90"/>
        <v>981</v>
      </c>
      <c r="G930" s="268">
        <v>248</v>
      </c>
      <c r="H930" s="268">
        <v>0</v>
      </c>
      <c r="I930" s="83">
        <f t="shared" si="85"/>
        <v>248</v>
      </c>
      <c r="J930" s="171">
        <f t="shared" si="86"/>
        <v>0.25280000000000002</v>
      </c>
      <c r="K930" s="177">
        <f t="shared" si="87"/>
        <v>0</v>
      </c>
      <c r="L930" s="177">
        <f t="shared" si="88"/>
        <v>0</v>
      </c>
      <c r="M930" s="177">
        <f t="shared" si="89"/>
        <v>0</v>
      </c>
    </row>
    <row r="931" spans="1:13" ht="12.75" customHeight="1">
      <c r="A931" s="268" t="s">
        <v>417</v>
      </c>
      <c r="B931" s="268" t="s">
        <v>2702</v>
      </c>
      <c r="C931" s="268" t="s">
        <v>2703</v>
      </c>
      <c r="D931" s="268">
        <v>512</v>
      </c>
      <c r="E931" s="268">
        <v>0</v>
      </c>
      <c r="F931" s="83">
        <f t="shared" si="90"/>
        <v>512</v>
      </c>
      <c r="G931" s="268">
        <v>111</v>
      </c>
      <c r="H931" s="268">
        <v>0</v>
      </c>
      <c r="I931" s="83">
        <f t="shared" ref="I931:I994" si="91">SUM(G931+H931)</f>
        <v>111</v>
      </c>
      <c r="J931" s="171">
        <f t="shared" ref="J931:J994" si="92">IF(ISERROR(I931/F931),0,I931/F931)</f>
        <v>0.21679999999999999</v>
      </c>
      <c r="K931" s="177">
        <f t="shared" si="87"/>
        <v>0</v>
      </c>
      <c r="L931" s="177">
        <f t="shared" si="88"/>
        <v>0</v>
      </c>
      <c r="M931" s="177">
        <f t="shared" si="89"/>
        <v>0</v>
      </c>
    </row>
    <row r="932" spans="1:13" ht="12.75" customHeight="1">
      <c r="A932" s="268" t="s">
        <v>417</v>
      </c>
      <c r="B932" s="268" t="s">
        <v>2704</v>
      </c>
      <c r="C932" s="268" t="s">
        <v>2705</v>
      </c>
      <c r="D932" s="268">
        <v>560</v>
      </c>
      <c r="E932" s="268">
        <v>0</v>
      </c>
      <c r="F932" s="83">
        <f t="shared" si="90"/>
        <v>560</v>
      </c>
      <c r="G932" s="268">
        <v>45</v>
      </c>
      <c r="H932" s="268">
        <v>0</v>
      </c>
      <c r="I932" s="83">
        <f t="shared" si="91"/>
        <v>45</v>
      </c>
      <c r="J932" s="171">
        <f t="shared" si="92"/>
        <v>8.0399999999999999E-2</v>
      </c>
      <c r="K932" s="177">
        <f t="shared" si="87"/>
        <v>0</v>
      </c>
      <c r="L932" s="177">
        <f t="shared" si="88"/>
        <v>0</v>
      </c>
      <c r="M932" s="177">
        <f t="shared" si="89"/>
        <v>0</v>
      </c>
    </row>
    <row r="933" spans="1:13" ht="12.75" customHeight="1">
      <c r="A933" s="268" t="s">
        <v>417</v>
      </c>
      <c r="B933" s="268" t="s">
        <v>2706</v>
      </c>
      <c r="C933" s="268" t="s">
        <v>2707</v>
      </c>
      <c r="D933" s="268">
        <v>1933</v>
      </c>
      <c r="E933" s="268">
        <v>0</v>
      </c>
      <c r="F933" s="83">
        <f t="shared" si="90"/>
        <v>1933</v>
      </c>
      <c r="G933" s="268">
        <v>437</v>
      </c>
      <c r="H933" s="268">
        <v>0</v>
      </c>
      <c r="I933" s="83">
        <f t="shared" si="91"/>
        <v>437</v>
      </c>
      <c r="J933" s="171">
        <f t="shared" si="92"/>
        <v>0.2261</v>
      </c>
      <c r="K933" s="177">
        <f t="shared" si="87"/>
        <v>0</v>
      </c>
      <c r="L933" s="177">
        <f t="shared" si="88"/>
        <v>0</v>
      </c>
      <c r="M933" s="177">
        <f t="shared" si="89"/>
        <v>0</v>
      </c>
    </row>
    <row r="934" spans="1:13" ht="12.75" customHeight="1">
      <c r="A934" s="268" t="s">
        <v>418</v>
      </c>
      <c r="B934" s="268" t="s">
        <v>2708</v>
      </c>
      <c r="C934" s="268" t="s">
        <v>2709</v>
      </c>
      <c r="D934" s="268">
        <v>270</v>
      </c>
      <c r="E934" s="268">
        <v>0</v>
      </c>
      <c r="F934" s="83">
        <f t="shared" si="90"/>
        <v>270</v>
      </c>
      <c r="G934" s="268">
        <v>59</v>
      </c>
      <c r="H934" s="268">
        <v>0</v>
      </c>
      <c r="I934" s="83">
        <f t="shared" si="91"/>
        <v>59</v>
      </c>
      <c r="J934" s="171">
        <f t="shared" si="92"/>
        <v>0.2185</v>
      </c>
      <c r="K934" s="177">
        <f t="shared" si="87"/>
        <v>0</v>
      </c>
      <c r="L934" s="177">
        <f t="shared" si="88"/>
        <v>0</v>
      </c>
      <c r="M934" s="177">
        <f t="shared" si="89"/>
        <v>0</v>
      </c>
    </row>
    <row r="935" spans="1:13" ht="12.75" customHeight="1">
      <c r="A935" s="268" t="s">
        <v>418</v>
      </c>
      <c r="B935" s="268" t="s">
        <v>2710</v>
      </c>
      <c r="C935" s="268" t="s">
        <v>2711</v>
      </c>
      <c r="D935" s="268">
        <v>125</v>
      </c>
      <c r="E935" s="268">
        <v>0</v>
      </c>
      <c r="F935" s="83">
        <f t="shared" si="90"/>
        <v>125</v>
      </c>
      <c r="G935" s="268">
        <v>14</v>
      </c>
      <c r="H935" s="268">
        <v>0</v>
      </c>
      <c r="I935" s="83">
        <f t="shared" si="91"/>
        <v>14</v>
      </c>
      <c r="J935" s="171">
        <f t="shared" si="92"/>
        <v>0.112</v>
      </c>
      <c r="K935" s="177">
        <f t="shared" si="87"/>
        <v>0</v>
      </c>
      <c r="L935" s="177">
        <f t="shared" si="88"/>
        <v>0</v>
      </c>
      <c r="M935" s="177">
        <f t="shared" si="89"/>
        <v>0</v>
      </c>
    </row>
    <row r="936" spans="1:13" ht="12.75" customHeight="1">
      <c r="A936" s="268" t="s">
        <v>419</v>
      </c>
      <c r="B936" s="268" t="s">
        <v>2712</v>
      </c>
      <c r="C936" s="268" t="s">
        <v>2713</v>
      </c>
      <c r="D936" s="268">
        <v>241</v>
      </c>
      <c r="E936" s="268">
        <v>0</v>
      </c>
      <c r="F936" s="83">
        <f t="shared" si="90"/>
        <v>241</v>
      </c>
      <c r="G936" s="268">
        <v>66</v>
      </c>
      <c r="H936" s="268">
        <v>0</v>
      </c>
      <c r="I936" s="83">
        <f t="shared" si="91"/>
        <v>66</v>
      </c>
      <c r="J936" s="171">
        <f t="shared" si="92"/>
        <v>0.27389999999999998</v>
      </c>
      <c r="K936" s="177">
        <f t="shared" si="87"/>
        <v>0</v>
      </c>
      <c r="L936" s="177">
        <f t="shared" si="88"/>
        <v>0</v>
      </c>
      <c r="M936" s="177">
        <f t="shared" si="89"/>
        <v>0</v>
      </c>
    </row>
    <row r="937" spans="1:13" ht="12.75" customHeight="1">
      <c r="A937" s="268" t="s">
        <v>419</v>
      </c>
      <c r="B937" s="268" t="s">
        <v>2714</v>
      </c>
      <c r="C937" s="268" t="s">
        <v>2715</v>
      </c>
      <c r="D937" s="268">
        <v>217</v>
      </c>
      <c r="E937" s="268">
        <v>0</v>
      </c>
      <c r="F937" s="83">
        <f t="shared" si="90"/>
        <v>217</v>
      </c>
      <c r="G937" s="268">
        <v>45</v>
      </c>
      <c r="H937" s="268">
        <v>0</v>
      </c>
      <c r="I937" s="83">
        <f t="shared" si="91"/>
        <v>45</v>
      </c>
      <c r="J937" s="171">
        <f t="shared" si="92"/>
        <v>0.2074</v>
      </c>
      <c r="K937" s="177">
        <f t="shared" si="87"/>
        <v>0</v>
      </c>
      <c r="L937" s="177">
        <f t="shared" si="88"/>
        <v>0</v>
      </c>
      <c r="M937" s="177">
        <f t="shared" si="89"/>
        <v>0</v>
      </c>
    </row>
    <row r="938" spans="1:13" ht="12.75" customHeight="1">
      <c r="A938" s="268" t="s">
        <v>420</v>
      </c>
      <c r="B938" s="268" t="s">
        <v>2716</v>
      </c>
      <c r="C938" s="268" t="s">
        <v>2717</v>
      </c>
      <c r="D938" s="268">
        <v>248</v>
      </c>
      <c r="E938" s="268">
        <v>0</v>
      </c>
      <c r="F938" s="83">
        <f t="shared" si="90"/>
        <v>248</v>
      </c>
      <c r="G938" s="268">
        <v>78</v>
      </c>
      <c r="H938" s="268">
        <v>0</v>
      </c>
      <c r="I938" s="83">
        <f t="shared" si="91"/>
        <v>78</v>
      </c>
      <c r="J938" s="171">
        <f t="shared" si="92"/>
        <v>0.3145</v>
      </c>
      <c r="K938" s="177">
        <f t="shared" si="87"/>
        <v>0</v>
      </c>
      <c r="L938" s="177">
        <f t="shared" si="88"/>
        <v>0</v>
      </c>
      <c r="M938" s="177">
        <f t="shared" si="89"/>
        <v>0</v>
      </c>
    </row>
    <row r="939" spans="1:13" ht="12.75" customHeight="1">
      <c r="A939" s="268" t="s">
        <v>420</v>
      </c>
      <c r="B939" s="268" t="s">
        <v>2718</v>
      </c>
      <c r="C939" s="268" t="s">
        <v>2719</v>
      </c>
      <c r="D939" s="268">
        <v>315</v>
      </c>
      <c r="E939" s="268">
        <v>0</v>
      </c>
      <c r="F939" s="83">
        <f t="shared" si="90"/>
        <v>315</v>
      </c>
      <c r="G939" s="268">
        <v>103</v>
      </c>
      <c r="H939" s="268">
        <v>0</v>
      </c>
      <c r="I939" s="83">
        <f t="shared" si="91"/>
        <v>103</v>
      </c>
      <c r="J939" s="171">
        <f t="shared" si="92"/>
        <v>0.32700000000000001</v>
      </c>
      <c r="K939" s="177">
        <f t="shared" si="87"/>
        <v>0</v>
      </c>
      <c r="L939" s="177">
        <f t="shared" si="88"/>
        <v>0</v>
      </c>
      <c r="M939" s="177">
        <f t="shared" si="89"/>
        <v>0</v>
      </c>
    </row>
    <row r="940" spans="1:13" ht="12.75" customHeight="1">
      <c r="A940" s="268" t="s">
        <v>420</v>
      </c>
      <c r="B940" s="268" t="s">
        <v>2720</v>
      </c>
      <c r="C940" s="268" t="s">
        <v>2721</v>
      </c>
      <c r="D940" s="268">
        <v>235</v>
      </c>
      <c r="E940" s="268">
        <v>0</v>
      </c>
      <c r="F940" s="83">
        <f t="shared" si="90"/>
        <v>235</v>
      </c>
      <c r="G940" s="268">
        <v>54</v>
      </c>
      <c r="H940" s="268">
        <v>0</v>
      </c>
      <c r="I940" s="83">
        <f t="shared" si="91"/>
        <v>54</v>
      </c>
      <c r="J940" s="171">
        <f t="shared" si="92"/>
        <v>0.2298</v>
      </c>
      <c r="K940" s="177">
        <f t="shared" si="87"/>
        <v>0</v>
      </c>
      <c r="L940" s="177">
        <f t="shared" si="88"/>
        <v>0</v>
      </c>
      <c r="M940" s="177">
        <f t="shared" si="89"/>
        <v>0</v>
      </c>
    </row>
    <row r="941" spans="1:13" ht="12.75" customHeight="1">
      <c r="A941" s="268" t="s">
        <v>421</v>
      </c>
      <c r="B941" s="268" t="s">
        <v>2722</v>
      </c>
      <c r="C941" s="268" t="s">
        <v>1267</v>
      </c>
      <c r="D941" s="268">
        <v>281</v>
      </c>
      <c r="E941" s="268">
        <v>0</v>
      </c>
      <c r="F941" s="83">
        <f t="shared" si="90"/>
        <v>281</v>
      </c>
      <c r="G941" s="268">
        <v>235</v>
      </c>
      <c r="H941" s="268">
        <v>0</v>
      </c>
      <c r="I941" s="83">
        <f t="shared" si="91"/>
        <v>235</v>
      </c>
      <c r="J941" s="171">
        <f t="shared" si="92"/>
        <v>0.83630000000000004</v>
      </c>
      <c r="K941" s="177">
        <f t="shared" si="87"/>
        <v>0</v>
      </c>
      <c r="L941" s="177">
        <f t="shared" si="88"/>
        <v>24.7</v>
      </c>
      <c r="M941" s="177">
        <f t="shared" si="89"/>
        <v>24.7</v>
      </c>
    </row>
    <row r="942" spans="1:13" ht="12.75" customHeight="1">
      <c r="A942" s="268" t="s">
        <v>421</v>
      </c>
      <c r="B942" s="268" t="s">
        <v>2723</v>
      </c>
      <c r="C942" s="268" t="s">
        <v>2724</v>
      </c>
      <c r="D942" s="268">
        <v>630</v>
      </c>
      <c r="E942" s="268">
        <v>0</v>
      </c>
      <c r="F942" s="83">
        <f t="shared" si="90"/>
        <v>630</v>
      </c>
      <c r="G942" s="268">
        <v>458</v>
      </c>
      <c r="H942" s="268">
        <v>0</v>
      </c>
      <c r="I942" s="83">
        <f t="shared" si="91"/>
        <v>458</v>
      </c>
      <c r="J942" s="171">
        <f t="shared" si="92"/>
        <v>0.72699999999999998</v>
      </c>
      <c r="K942" s="177">
        <f t="shared" si="87"/>
        <v>0</v>
      </c>
      <c r="L942" s="177">
        <f t="shared" si="88"/>
        <v>48.1</v>
      </c>
      <c r="M942" s="177">
        <f t="shared" si="89"/>
        <v>48.1</v>
      </c>
    </row>
    <row r="943" spans="1:13" ht="12.75" customHeight="1">
      <c r="A943" s="268" t="s">
        <v>421</v>
      </c>
      <c r="B943" s="268" t="s">
        <v>2725</v>
      </c>
      <c r="C943" s="268" t="s">
        <v>2726</v>
      </c>
      <c r="D943" s="268">
        <v>404</v>
      </c>
      <c r="E943" s="268">
        <v>0</v>
      </c>
      <c r="F943" s="83">
        <f t="shared" si="90"/>
        <v>404</v>
      </c>
      <c r="G943" s="268">
        <v>229</v>
      </c>
      <c r="H943" s="268">
        <v>0</v>
      </c>
      <c r="I943" s="83">
        <f t="shared" si="91"/>
        <v>229</v>
      </c>
      <c r="J943" s="171">
        <f t="shared" si="92"/>
        <v>0.56679999999999997</v>
      </c>
      <c r="K943" s="177">
        <f t="shared" si="87"/>
        <v>0</v>
      </c>
      <c r="L943" s="177">
        <f t="shared" si="88"/>
        <v>24</v>
      </c>
      <c r="M943" s="177">
        <f t="shared" si="89"/>
        <v>24</v>
      </c>
    </row>
    <row r="944" spans="1:13" ht="12.75" customHeight="1">
      <c r="A944" s="268" t="s">
        <v>421</v>
      </c>
      <c r="B944" s="268" t="s">
        <v>2727</v>
      </c>
      <c r="C944" s="268" t="s">
        <v>2728</v>
      </c>
      <c r="D944" s="268">
        <v>272</v>
      </c>
      <c r="E944" s="268">
        <v>0</v>
      </c>
      <c r="F944" s="83">
        <f t="shared" si="90"/>
        <v>272</v>
      </c>
      <c r="G944" s="268">
        <v>224</v>
      </c>
      <c r="H944" s="268">
        <v>0</v>
      </c>
      <c r="I944" s="83">
        <f t="shared" si="91"/>
        <v>224</v>
      </c>
      <c r="J944" s="171">
        <f t="shared" si="92"/>
        <v>0.82350000000000001</v>
      </c>
      <c r="K944" s="177">
        <f t="shared" si="87"/>
        <v>0</v>
      </c>
      <c r="L944" s="177">
        <f t="shared" si="88"/>
        <v>23.5</v>
      </c>
      <c r="M944" s="177">
        <f t="shared" si="89"/>
        <v>23.5</v>
      </c>
    </row>
    <row r="945" spans="1:13" ht="12.75" customHeight="1">
      <c r="A945" s="268" t="s">
        <v>421</v>
      </c>
      <c r="B945" s="268" t="s">
        <v>2729</v>
      </c>
      <c r="C945" s="268" t="s">
        <v>2730</v>
      </c>
      <c r="D945" s="268">
        <v>782</v>
      </c>
      <c r="E945" s="268">
        <v>0</v>
      </c>
      <c r="F945" s="83">
        <f t="shared" si="90"/>
        <v>782</v>
      </c>
      <c r="G945" s="268">
        <v>571</v>
      </c>
      <c r="H945" s="268">
        <v>0</v>
      </c>
      <c r="I945" s="83">
        <f t="shared" si="91"/>
        <v>571</v>
      </c>
      <c r="J945" s="171">
        <f t="shared" si="92"/>
        <v>0.73019999999999996</v>
      </c>
      <c r="K945" s="177">
        <f t="shared" si="87"/>
        <v>0</v>
      </c>
      <c r="L945" s="177">
        <f t="shared" si="88"/>
        <v>60</v>
      </c>
      <c r="M945" s="177">
        <f t="shared" si="89"/>
        <v>60</v>
      </c>
    </row>
    <row r="946" spans="1:13" ht="12.75" customHeight="1">
      <c r="A946" s="268" t="s">
        <v>421</v>
      </c>
      <c r="B946" s="268" t="s">
        <v>2731</v>
      </c>
      <c r="C946" s="268" t="s">
        <v>2732</v>
      </c>
      <c r="D946" s="268">
        <v>524</v>
      </c>
      <c r="E946" s="268">
        <v>0</v>
      </c>
      <c r="F946" s="83">
        <f t="shared" si="90"/>
        <v>524</v>
      </c>
      <c r="G946" s="268">
        <v>282</v>
      </c>
      <c r="H946" s="268">
        <v>0</v>
      </c>
      <c r="I946" s="83">
        <f t="shared" si="91"/>
        <v>282</v>
      </c>
      <c r="J946" s="171">
        <f t="shared" si="92"/>
        <v>0.53820000000000001</v>
      </c>
      <c r="K946" s="177">
        <f t="shared" si="87"/>
        <v>0</v>
      </c>
      <c r="L946" s="177">
        <f t="shared" si="88"/>
        <v>29.6</v>
      </c>
      <c r="M946" s="177">
        <f t="shared" si="89"/>
        <v>29.6</v>
      </c>
    </row>
    <row r="947" spans="1:13" ht="12.75" customHeight="1">
      <c r="A947" s="268" t="s">
        <v>421</v>
      </c>
      <c r="B947" s="268" t="s">
        <v>2733</v>
      </c>
      <c r="C947" s="268" t="s">
        <v>2734</v>
      </c>
      <c r="D947" s="268">
        <v>1954</v>
      </c>
      <c r="E947" s="268">
        <v>0</v>
      </c>
      <c r="F947" s="83">
        <f t="shared" si="90"/>
        <v>1954</v>
      </c>
      <c r="G947" s="268">
        <v>1227</v>
      </c>
      <c r="H947" s="268">
        <v>0</v>
      </c>
      <c r="I947" s="83">
        <f t="shared" si="91"/>
        <v>1227</v>
      </c>
      <c r="J947" s="171">
        <f t="shared" si="92"/>
        <v>0.62790000000000001</v>
      </c>
      <c r="K947" s="177">
        <f t="shared" si="87"/>
        <v>0</v>
      </c>
      <c r="L947" s="177">
        <f t="shared" si="88"/>
        <v>128.80000000000001</v>
      </c>
      <c r="M947" s="177">
        <f t="shared" si="89"/>
        <v>128.80000000000001</v>
      </c>
    </row>
    <row r="948" spans="1:13" ht="12.75" customHeight="1">
      <c r="A948" s="268" t="s">
        <v>421</v>
      </c>
      <c r="B948" s="268" t="s">
        <v>2735</v>
      </c>
      <c r="C948" s="268" t="s">
        <v>2736</v>
      </c>
      <c r="D948" s="268">
        <v>357</v>
      </c>
      <c r="E948" s="268">
        <v>0</v>
      </c>
      <c r="F948" s="83">
        <f t="shared" si="90"/>
        <v>357</v>
      </c>
      <c r="G948" s="268">
        <v>290</v>
      </c>
      <c r="H948" s="268">
        <v>0</v>
      </c>
      <c r="I948" s="83">
        <f t="shared" si="91"/>
        <v>290</v>
      </c>
      <c r="J948" s="171">
        <f t="shared" si="92"/>
        <v>0.81230000000000002</v>
      </c>
      <c r="K948" s="177">
        <f t="shared" si="87"/>
        <v>0</v>
      </c>
      <c r="L948" s="177">
        <f t="shared" si="88"/>
        <v>30.5</v>
      </c>
      <c r="M948" s="177">
        <f t="shared" si="89"/>
        <v>30.5</v>
      </c>
    </row>
    <row r="949" spans="1:13" ht="12.75" customHeight="1">
      <c r="A949" s="268" t="s">
        <v>421</v>
      </c>
      <c r="B949" s="268" t="s">
        <v>2737</v>
      </c>
      <c r="C949" s="268" t="s">
        <v>2738</v>
      </c>
      <c r="D949" s="268">
        <v>429</v>
      </c>
      <c r="E949" s="268">
        <v>0</v>
      </c>
      <c r="F949" s="83">
        <f t="shared" si="90"/>
        <v>429</v>
      </c>
      <c r="G949" s="268">
        <v>307</v>
      </c>
      <c r="H949" s="268">
        <v>0</v>
      </c>
      <c r="I949" s="83">
        <f t="shared" si="91"/>
        <v>307</v>
      </c>
      <c r="J949" s="171">
        <f t="shared" si="92"/>
        <v>0.71560000000000001</v>
      </c>
      <c r="K949" s="177">
        <f t="shared" si="87"/>
        <v>0</v>
      </c>
      <c r="L949" s="177">
        <f t="shared" si="88"/>
        <v>32.200000000000003</v>
      </c>
      <c r="M949" s="177">
        <f t="shared" si="89"/>
        <v>32.200000000000003</v>
      </c>
    </row>
    <row r="950" spans="1:13" ht="12.75" customHeight="1">
      <c r="A950" s="268" t="s">
        <v>421</v>
      </c>
      <c r="B950" s="268" t="s">
        <v>2739</v>
      </c>
      <c r="C950" s="268" t="s">
        <v>2740</v>
      </c>
      <c r="D950" s="268">
        <v>414</v>
      </c>
      <c r="E950" s="268">
        <v>0</v>
      </c>
      <c r="F950" s="83">
        <f t="shared" si="90"/>
        <v>414</v>
      </c>
      <c r="G950" s="268">
        <v>282</v>
      </c>
      <c r="H950" s="268">
        <v>0</v>
      </c>
      <c r="I950" s="83">
        <f t="shared" si="91"/>
        <v>282</v>
      </c>
      <c r="J950" s="171">
        <f t="shared" si="92"/>
        <v>0.68120000000000003</v>
      </c>
      <c r="K950" s="177">
        <f t="shared" si="87"/>
        <v>0</v>
      </c>
      <c r="L950" s="177">
        <f t="shared" si="88"/>
        <v>29.6</v>
      </c>
      <c r="M950" s="177">
        <f t="shared" si="89"/>
        <v>29.6</v>
      </c>
    </row>
    <row r="951" spans="1:13" ht="12.75" customHeight="1">
      <c r="A951" s="268" t="s">
        <v>421</v>
      </c>
      <c r="B951" s="268" t="s">
        <v>2741</v>
      </c>
      <c r="C951" s="268" t="s">
        <v>2742</v>
      </c>
      <c r="D951" s="268">
        <v>117</v>
      </c>
      <c r="E951" s="268">
        <v>0</v>
      </c>
      <c r="F951" s="83">
        <f t="shared" si="90"/>
        <v>117</v>
      </c>
      <c r="G951" s="268">
        <v>83</v>
      </c>
      <c r="H951" s="268">
        <v>0</v>
      </c>
      <c r="I951" s="83">
        <f t="shared" si="91"/>
        <v>83</v>
      </c>
      <c r="J951" s="171">
        <f t="shared" si="92"/>
        <v>0.70940000000000003</v>
      </c>
      <c r="K951" s="177">
        <f t="shared" si="87"/>
        <v>0</v>
      </c>
      <c r="L951" s="177">
        <f t="shared" si="88"/>
        <v>8.6999999999999993</v>
      </c>
      <c r="M951" s="177">
        <f t="shared" si="89"/>
        <v>8.6999999999999993</v>
      </c>
    </row>
    <row r="952" spans="1:13" ht="12.75" customHeight="1">
      <c r="A952" s="268" t="s">
        <v>421</v>
      </c>
      <c r="B952" s="268" t="s">
        <v>2743</v>
      </c>
      <c r="C952" s="268" t="s">
        <v>2744</v>
      </c>
      <c r="D952" s="268">
        <v>741</v>
      </c>
      <c r="E952" s="268">
        <v>0</v>
      </c>
      <c r="F952" s="83">
        <f t="shared" si="90"/>
        <v>741</v>
      </c>
      <c r="G952" s="268">
        <v>497</v>
      </c>
      <c r="H952" s="268">
        <v>0</v>
      </c>
      <c r="I952" s="83">
        <f t="shared" si="91"/>
        <v>497</v>
      </c>
      <c r="J952" s="171">
        <f t="shared" si="92"/>
        <v>0.67069999999999996</v>
      </c>
      <c r="K952" s="177">
        <f t="shared" si="87"/>
        <v>0</v>
      </c>
      <c r="L952" s="177">
        <f t="shared" si="88"/>
        <v>52.2</v>
      </c>
      <c r="M952" s="177">
        <f t="shared" si="89"/>
        <v>52.2</v>
      </c>
    </row>
    <row r="953" spans="1:13" ht="12.75" customHeight="1">
      <c r="A953" s="268" t="s">
        <v>422</v>
      </c>
      <c r="B953" s="268" t="s">
        <v>2745</v>
      </c>
      <c r="C953" s="268" t="s">
        <v>2746</v>
      </c>
      <c r="D953" s="268">
        <v>47</v>
      </c>
      <c r="E953" s="268">
        <v>0</v>
      </c>
      <c r="F953" s="83">
        <f t="shared" si="90"/>
        <v>47</v>
      </c>
      <c r="G953" s="268">
        <v>10</v>
      </c>
      <c r="H953" s="268">
        <v>0</v>
      </c>
      <c r="I953" s="83">
        <f t="shared" si="91"/>
        <v>10</v>
      </c>
      <c r="J953" s="171">
        <f t="shared" si="92"/>
        <v>0.21279999999999999</v>
      </c>
      <c r="K953" s="177">
        <f t="shared" si="87"/>
        <v>0</v>
      </c>
      <c r="L953" s="177">
        <f t="shared" si="88"/>
        <v>0</v>
      </c>
      <c r="M953" s="177">
        <f t="shared" si="89"/>
        <v>0</v>
      </c>
    </row>
    <row r="954" spans="1:13" ht="12.75" customHeight="1">
      <c r="A954" s="268" t="s">
        <v>422</v>
      </c>
      <c r="B954" s="268" t="s">
        <v>2747</v>
      </c>
      <c r="C954" s="268" t="s">
        <v>2748</v>
      </c>
      <c r="D954" s="268">
        <v>98</v>
      </c>
      <c r="E954" s="268">
        <v>0</v>
      </c>
      <c r="F954" s="83">
        <f t="shared" si="90"/>
        <v>98</v>
      </c>
      <c r="G954" s="268">
        <v>13</v>
      </c>
      <c r="H954" s="268">
        <v>0</v>
      </c>
      <c r="I954" s="83">
        <f t="shared" si="91"/>
        <v>13</v>
      </c>
      <c r="J954" s="171">
        <f t="shared" si="92"/>
        <v>0.13270000000000001</v>
      </c>
      <c r="K954" s="177">
        <f t="shared" si="87"/>
        <v>0</v>
      </c>
      <c r="L954" s="177">
        <f t="shared" si="88"/>
        <v>0</v>
      </c>
      <c r="M954" s="177">
        <f t="shared" si="89"/>
        <v>0</v>
      </c>
    </row>
    <row r="955" spans="1:13" ht="12.75" customHeight="1">
      <c r="A955" s="268" t="s">
        <v>422</v>
      </c>
      <c r="B955" s="268" t="s">
        <v>2749</v>
      </c>
      <c r="C955" s="268" t="s">
        <v>2750</v>
      </c>
      <c r="D955" s="268">
        <v>157</v>
      </c>
      <c r="E955" s="268">
        <v>0</v>
      </c>
      <c r="F955" s="83">
        <f t="shared" si="90"/>
        <v>157</v>
      </c>
      <c r="G955" s="268">
        <v>44</v>
      </c>
      <c r="H955" s="268">
        <v>0</v>
      </c>
      <c r="I955" s="83">
        <f t="shared" si="91"/>
        <v>44</v>
      </c>
      <c r="J955" s="171">
        <f t="shared" si="92"/>
        <v>0.28029999999999999</v>
      </c>
      <c r="K955" s="177">
        <f t="shared" si="87"/>
        <v>0</v>
      </c>
      <c r="L955" s="177">
        <f t="shared" si="88"/>
        <v>0</v>
      </c>
      <c r="M955" s="177">
        <f t="shared" si="89"/>
        <v>0</v>
      </c>
    </row>
    <row r="956" spans="1:13" ht="12.75" customHeight="1">
      <c r="A956" s="268" t="s">
        <v>423</v>
      </c>
      <c r="B956" s="268" t="s">
        <v>2751</v>
      </c>
      <c r="C956" s="268" t="s">
        <v>2752</v>
      </c>
      <c r="D956" s="268">
        <v>1053</v>
      </c>
      <c r="E956" s="268">
        <v>0</v>
      </c>
      <c r="F956" s="83">
        <f t="shared" si="90"/>
        <v>1053</v>
      </c>
      <c r="G956" s="268">
        <v>761</v>
      </c>
      <c r="H956" s="268">
        <v>0</v>
      </c>
      <c r="I956" s="83">
        <f t="shared" si="91"/>
        <v>761</v>
      </c>
      <c r="J956" s="171">
        <f t="shared" si="92"/>
        <v>0.72270000000000001</v>
      </c>
      <c r="K956" s="177">
        <f t="shared" si="87"/>
        <v>0</v>
      </c>
      <c r="L956" s="177">
        <f t="shared" si="88"/>
        <v>79.900000000000006</v>
      </c>
      <c r="M956" s="177">
        <f t="shared" si="89"/>
        <v>79.900000000000006</v>
      </c>
    </row>
    <row r="957" spans="1:13" ht="12.75" customHeight="1">
      <c r="A957" s="268" t="s">
        <v>423</v>
      </c>
      <c r="B957" s="268" t="s">
        <v>2753</v>
      </c>
      <c r="C957" s="268" t="s">
        <v>2754</v>
      </c>
      <c r="D957" s="268">
        <v>250</v>
      </c>
      <c r="E957" s="268">
        <v>0</v>
      </c>
      <c r="F957" s="83">
        <f t="shared" si="90"/>
        <v>250</v>
      </c>
      <c r="G957" s="268">
        <v>164</v>
      </c>
      <c r="H957" s="268">
        <v>0</v>
      </c>
      <c r="I957" s="83">
        <f t="shared" si="91"/>
        <v>164</v>
      </c>
      <c r="J957" s="171">
        <f t="shared" si="92"/>
        <v>0.65600000000000003</v>
      </c>
      <c r="K957" s="177">
        <f t="shared" si="87"/>
        <v>0</v>
      </c>
      <c r="L957" s="177">
        <f t="shared" si="88"/>
        <v>17.2</v>
      </c>
      <c r="M957" s="177">
        <f t="shared" si="89"/>
        <v>17.2</v>
      </c>
    </row>
    <row r="958" spans="1:13" ht="12.75" customHeight="1">
      <c r="A958" s="268" t="s">
        <v>423</v>
      </c>
      <c r="B958" s="268" t="s">
        <v>2755</v>
      </c>
      <c r="C958" s="268" t="s">
        <v>2756</v>
      </c>
      <c r="D958" s="268">
        <v>484</v>
      </c>
      <c r="E958" s="268">
        <v>0</v>
      </c>
      <c r="F958" s="83">
        <f t="shared" si="90"/>
        <v>484</v>
      </c>
      <c r="G958" s="268">
        <v>305</v>
      </c>
      <c r="H958" s="268">
        <v>0</v>
      </c>
      <c r="I958" s="83">
        <f t="shared" si="91"/>
        <v>305</v>
      </c>
      <c r="J958" s="171">
        <f t="shared" si="92"/>
        <v>0.63019999999999998</v>
      </c>
      <c r="K958" s="177">
        <f t="shared" si="87"/>
        <v>0</v>
      </c>
      <c r="L958" s="177">
        <f t="shared" si="88"/>
        <v>32</v>
      </c>
      <c r="M958" s="177">
        <f t="shared" si="89"/>
        <v>32</v>
      </c>
    </row>
    <row r="959" spans="1:13" ht="12.75" customHeight="1">
      <c r="A959" s="268" t="s">
        <v>424</v>
      </c>
      <c r="B959" s="268" t="s">
        <v>2757</v>
      </c>
      <c r="C959" s="268" t="s">
        <v>1026</v>
      </c>
      <c r="D959" s="268">
        <v>421</v>
      </c>
      <c r="E959" s="268">
        <v>0</v>
      </c>
      <c r="F959" s="83">
        <f t="shared" si="90"/>
        <v>421</v>
      </c>
      <c r="G959" s="268">
        <v>274</v>
      </c>
      <c r="H959" s="268">
        <v>0</v>
      </c>
      <c r="I959" s="83">
        <f t="shared" si="91"/>
        <v>274</v>
      </c>
      <c r="J959" s="171">
        <f t="shared" si="92"/>
        <v>0.65080000000000005</v>
      </c>
      <c r="K959" s="177">
        <f t="shared" si="87"/>
        <v>0</v>
      </c>
      <c r="L959" s="177">
        <f t="shared" si="88"/>
        <v>28.8</v>
      </c>
      <c r="M959" s="177">
        <f t="shared" si="89"/>
        <v>28.8</v>
      </c>
    </row>
    <row r="960" spans="1:13" ht="12.75" customHeight="1">
      <c r="A960" s="268" t="s">
        <v>424</v>
      </c>
      <c r="B960" s="268" t="s">
        <v>2758</v>
      </c>
      <c r="C960" s="268" t="s">
        <v>2759</v>
      </c>
      <c r="D960" s="268">
        <v>647</v>
      </c>
      <c r="E960" s="268">
        <v>0</v>
      </c>
      <c r="F960" s="83">
        <f t="shared" si="90"/>
        <v>647</v>
      </c>
      <c r="G960" s="268">
        <v>343</v>
      </c>
      <c r="H960" s="268">
        <v>0</v>
      </c>
      <c r="I960" s="83">
        <f t="shared" si="91"/>
        <v>343</v>
      </c>
      <c r="J960" s="171">
        <f t="shared" si="92"/>
        <v>0.53010000000000002</v>
      </c>
      <c r="K960" s="177">
        <f t="shared" si="87"/>
        <v>0</v>
      </c>
      <c r="L960" s="177">
        <f t="shared" si="88"/>
        <v>36</v>
      </c>
      <c r="M960" s="177">
        <f t="shared" si="89"/>
        <v>36</v>
      </c>
    </row>
    <row r="961" spans="1:13" ht="12.75" customHeight="1">
      <c r="A961" s="268" t="s">
        <v>424</v>
      </c>
      <c r="B961" s="268" t="s">
        <v>2760</v>
      </c>
      <c r="C961" s="268" t="s">
        <v>2761</v>
      </c>
      <c r="D961" s="268">
        <v>488</v>
      </c>
      <c r="E961" s="268">
        <v>0</v>
      </c>
      <c r="F961" s="83">
        <f t="shared" si="90"/>
        <v>488</v>
      </c>
      <c r="G961" s="268">
        <v>259</v>
      </c>
      <c r="H961" s="268">
        <v>0</v>
      </c>
      <c r="I961" s="83">
        <f t="shared" si="91"/>
        <v>259</v>
      </c>
      <c r="J961" s="171">
        <f t="shared" si="92"/>
        <v>0.53069999999999995</v>
      </c>
      <c r="K961" s="177">
        <f t="shared" si="87"/>
        <v>0</v>
      </c>
      <c r="L961" s="177">
        <f t="shared" si="88"/>
        <v>27.2</v>
      </c>
      <c r="M961" s="177">
        <f t="shared" si="89"/>
        <v>27.2</v>
      </c>
    </row>
    <row r="962" spans="1:13" ht="12.75" customHeight="1">
      <c r="A962" s="268" t="s">
        <v>424</v>
      </c>
      <c r="B962" s="268" t="s">
        <v>2762</v>
      </c>
      <c r="C962" s="268" t="s">
        <v>2763</v>
      </c>
      <c r="D962" s="268">
        <v>616</v>
      </c>
      <c r="E962" s="268">
        <v>0</v>
      </c>
      <c r="F962" s="83">
        <f t="shared" si="90"/>
        <v>616</v>
      </c>
      <c r="G962" s="268">
        <v>239</v>
      </c>
      <c r="H962" s="268">
        <v>0</v>
      </c>
      <c r="I962" s="83">
        <f t="shared" si="91"/>
        <v>239</v>
      </c>
      <c r="J962" s="171">
        <f t="shared" si="92"/>
        <v>0.38800000000000001</v>
      </c>
      <c r="K962" s="177">
        <f t="shared" si="87"/>
        <v>6.4</v>
      </c>
      <c r="L962" s="177">
        <f t="shared" si="88"/>
        <v>0</v>
      </c>
      <c r="M962" s="177">
        <f t="shared" si="89"/>
        <v>6.4</v>
      </c>
    </row>
    <row r="963" spans="1:13" ht="12.75" customHeight="1">
      <c r="A963" s="268" t="s">
        <v>425</v>
      </c>
      <c r="B963" s="268" t="s">
        <v>2764</v>
      </c>
      <c r="C963" s="268" t="s">
        <v>2765</v>
      </c>
      <c r="D963" s="268">
        <v>354</v>
      </c>
      <c r="E963" s="268">
        <v>0</v>
      </c>
      <c r="F963" s="83">
        <f t="shared" si="90"/>
        <v>354</v>
      </c>
      <c r="G963" s="268">
        <v>224</v>
      </c>
      <c r="H963" s="268">
        <v>0</v>
      </c>
      <c r="I963" s="83">
        <f t="shared" si="91"/>
        <v>224</v>
      </c>
      <c r="J963" s="171">
        <f t="shared" si="92"/>
        <v>0.63280000000000003</v>
      </c>
      <c r="K963" s="177">
        <f t="shared" si="87"/>
        <v>0</v>
      </c>
      <c r="L963" s="177">
        <f t="shared" si="88"/>
        <v>23.5</v>
      </c>
      <c r="M963" s="177">
        <f t="shared" si="89"/>
        <v>23.5</v>
      </c>
    </row>
    <row r="964" spans="1:13" ht="12.75" customHeight="1">
      <c r="A964" s="268" t="s">
        <v>425</v>
      </c>
      <c r="B964" s="268" t="s">
        <v>2766</v>
      </c>
      <c r="C964" s="268" t="s">
        <v>2767</v>
      </c>
      <c r="D964" s="268">
        <v>115</v>
      </c>
      <c r="E964" s="268">
        <v>0</v>
      </c>
      <c r="F964" s="83">
        <f t="shared" si="90"/>
        <v>115</v>
      </c>
      <c r="G964" s="268">
        <v>47</v>
      </c>
      <c r="H964" s="268">
        <v>0</v>
      </c>
      <c r="I964" s="83">
        <f t="shared" si="91"/>
        <v>47</v>
      </c>
      <c r="J964" s="171">
        <f t="shared" si="92"/>
        <v>0.40870000000000001</v>
      </c>
      <c r="K964" s="177">
        <f t="shared" si="87"/>
        <v>1.9</v>
      </c>
      <c r="L964" s="177">
        <f t="shared" si="88"/>
        <v>0</v>
      </c>
      <c r="M964" s="177">
        <f t="shared" si="89"/>
        <v>1.9</v>
      </c>
    </row>
    <row r="965" spans="1:13" ht="12.75" customHeight="1">
      <c r="A965" s="268" t="s">
        <v>425</v>
      </c>
      <c r="B965" s="268" t="s">
        <v>2768</v>
      </c>
      <c r="C965" s="268" t="s">
        <v>2769</v>
      </c>
      <c r="D965" s="268">
        <v>333</v>
      </c>
      <c r="E965" s="268">
        <v>0</v>
      </c>
      <c r="F965" s="83">
        <f t="shared" si="90"/>
        <v>333</v>
      </c>
      <c r="G965" s="268">
        <v>167</v>
      </c>
      <c r="H965" s="268">
        <v>0</v>
      </c>
      <c r="I965" s="83">
        <f t="shared" si="91"/>
        <v>167</v>
      </c>
      <c r="J965" s="171">
        <f t="shared" si="92"/>
        <v>0.50149999999999995</v>
      </c>
      <c r="K965" s="177">
        <f t="shared" ref="K965:K1028" si="93">IF(AND((J965-35%)&gt;0,J965&lt;50%),I965*(J965-35%)*0.7,0)</f>
        <v>0</v>
      </c>
      <c r="L965" s="177">
        <f t="shared" ref="L965:L1028" si="94">IF(J965&gt;=50%,I965*10.5%,0)</f>
        <v>17.5</v>
      </c>
      <c r="M965" s="177">
        <f t="shared" ref="M965:M1028" si="95">MAX(K965,L965)</f>
        <v>17.5</v>
      </c>
    </row>
    <row r="966" spans="1:13" ht="12.75" customHeight="1">
      <c r="A966" s="268" t="s">
        <v>426</v>
      </c>
      <c r="B966" s="268" t="s">
        <v>2770</v>
      </c>
      <c r="C966" s="268" t="s">
        <v>2771</v>
      </c>
      <c r="D966" s="268">
        <v>210</v>
      </c>
      <c r="E966" s="268">
        <v>0</v>
      </c>
      <c r="F966" s="83">
        <f t="shared" ref="F966:F1029" si="96">SUM(D966+E966)</f>
        <v>210</v>
      </c>
      <c r="G966" s="268">
        <v>51</v>
      </c>
      <c r="H966" s="268">
        <v>0</v>
      </c>
      <c r="I966" s="83">
        <f t="shared" si="91"/>
        <v>51</v>
      </c>
      <c r="J966" s="171">
        <f t="shared" si="92"/>
        <v>0.2429</v>
      </c>
      <c r="K966" s="177">
        <f t="shared" si="93"/>
        <v>0</v>
      </c>
      <c r="L966" s="177">
        <f t="shared" si="94"/>
        <v>0</v>
      </c>
      <c r="M966" s="177">
        <f t="shared" si="95"/>
        <v>0</v>
      </c>
    </row>
    <row r="967" spans="1:13" ht="12.75" customHeight="1">
      <c r="A967" s="268" t="s">
        <v>426</v>
      </c>
      <c r="B967" s="268" t="s">
        <v>2772</v>
      </c>
      <c r="C967" s="268" t="s">
        <v>2773</v>
      </c>
      <c r="D967" s="268">
        <v>205</v>
      </c>
      <c r="E967" s="268">
        <v>0</v>
      </c>
      <c r="F967" s="83">
        <f t="shared" si="96"/>
        <v>205</v>
      </c>
      <c r="G967" s="268">
        <v>35</v>
      </c>
      <c r="H967" s="268">
        <v>0</v>
      </c>
      <c r="I967" s="83">
        <f t="shared" si="91"/>
        <v>35</v>
      </c>
      <c r="J967" s="171">
        <f t="shared" si="92"/>
        <v>0.17069999999999999</v>
      </c>
      <c r="K967" s="177">
        <f t="shared" si="93"/>
        <v>0</v>
      </c>
      <c r="L967" s="177">
        <f t="shared" si="94"/>
        <v>0</v>
      </c>
      <c r="M967" s="177">
        <f t="shared" si="95"/>
        <v>0</v>
      </c>
    </row>
    <row r="968" spans="1:13" ht="12.75" customHeight="1">
      <c r="A968" s="268" t="s">
        <v>427</v>
      </c>
      <c r="B968" s="268" t="s">
        <v>2774</v>
      </c>
      <c r="C968" s="268" t="s">
        <v>1193</v>
      </c>
      <c r="D968" s="268">
        <v>142</v>
      </c>
      <c r="E968" s="268">
        <v>0</v>
      </c>
      <c r="F968" s="83">
        <f t="shared" si="96"/>
        <v>142</v>
      </c>
      <c r="G968" s="268">
        <v>29</v>
      </c>
      <c r="H968" s="268">
        <v>0</v>
      </c>
      <c r="I968" s="83">
        <f t="shared" si="91"/>
        <v>29</v>
      </c>
      <c r="J968" s="171">
        <f t="shared" si="92"/>
        <v>0.20419999999999999</v>
      </c>
      <c r="K968" s="177">
        <f t="shared" si="93"/>
        <v>0</v>
      </c>
      <c r="L968" s="177">
        <f t="shared" si="94"/>
        <v>0</v>
      </c>
      <c r="M968" s="177">
        <f t="shared" si="95"/>
        <v>0</v>
      </c>
    </row>
    <row r="969" spans="1:13" ht="12.75" customHeight="1">
      <c r="A969" s="268" t="s">
        <v>427</v>
      </c>
      <c r="B969" s="268" t="s">
        <v>2775</v>
      </c>
      <c r="C969" s="268" t="s">
        <v>2776</v>
      </c>
      <c r="D969" s="268">
        <v>231</v>
      </c>
      <c r="E969" s="268">
        <v>0</v>
      </c>
      <c r="F969" s="83">
        <f t="shared" si="96"/>
        <v>231</v>
      </c>
      <c r="G969" s="268">
        <v>44</v>
      </c>
      <c r="H969" s="268">
        <v>0</v>
      </c>
      <c r="I969" s="83">
        <f t="shared" si="91"/>
        <v>44</v>
      </c>
      <c r="J969" s="171">
        <f t="shared" si="92"/>
        <v>0.1905</v>
      </c>
      <c r="K969" s="177">
        <f t="shared" si="93"/>
        <v>0</v>
      </c>
      <c r="L969" s="177">
        <f t="shared" si="94"/>
        <v>0</v>
      </c>
      <c r="M969" s="177">
        <f t="shared" si="95"/>
        <v>0</v>
      </c>
    </row>
    <row r="970" spans="1:13" ht="12.75" customHeight="1">
      <c r="A970" s="268" t="s">
        <v>427</v>
      </c>
      <c r="B970" s="268" t="s">
        <v>2777</v>
      </c>
      <c r="C970" s="268" t="s">
        <v>2778</v>
      </c>
      <c r="D970" s="268">
        <v>284</v>
      </c>
      <c r="E970" s="268">
        <v>0</v>
      </c>
      <c r="F970" s="83">
        <f t="shared" si="96"/>
        <v>284</v>
      </c>
      <c r="G970" s="268">
        <v>67</v>
      </c>
      <c r="H970" s="268">
        <v>0</v>
      </c>
      <c r="I970" s="83">
        <f t="shared" si="91"/>
        <v>67</v>
      </c>
      <c r="J970" s="171">
        <f t="shared" si="92"/>
        <v>0.2359</v>
      </c>
      <c r="K970" s="177">
        <f t="shared" si="93"/>
        <v>0</v>
      </c>
      <c r="L970" s="177">
        <f t="shared" si="94"/>
        <v>0</v>
      </c>
      <c r="M970" s="177">
        <f t="shared" si="95"/>
        <v>0</v>
      </c>
    </row>
    <row r="971" spans="1:13" ht="12.75" customHeight="1">
      <c r="A971" s="268" t="s">
        <v>428</v>
      </c>
      <c r="B971" s="268" t="s">
        <v>2779</v>
      </c>
      <c r="C971" s="268" t="s">
        <v>2780</v>
      </c>
      <c r="D971" s="268">
        <v>463</v>
      </c>
      <c r="E971" s="268">
        <v>0</v>
      </c>
      <c r="F971" s="83">
        <f t="shared" si="96"/>
        <v>463</v>
      </c>
      <c r="G971" s="268">
        <v>107</v>
      </c>
      <c r="H971" s="268">
        <v>0</v>
      </c>
      <c r="I971" s="83">
        <f t="shared" si="91"/>
        <v>107</v>
      </c>
      <c r="J971" s="171">
        <f t="shared" si="92"/>
        <v>0.2311</v>
      </c>
      <c r="K971" s="177">
        <f t="shared" si="93"/>
        <v>0</v>
      </c>
      <c r="L971" s="177">
        <f t="shared" si="94"/>
        <v>0</v>
      </c>
      <c r="M971" s="177">
        <f t="shared" si="95"/>
        <v>0</v>
      </c>
    </row>
    <row r="972" spans="1:13" ht="12.75" customHeight="1">
      <c r="A972" s="268" t="s">
        <v>428</v>
      </c>
      <c r="B972" s="268" t="s">
        <v>2781</v>
      </c>
      <c r="C972" s="268" t="s">
        <v>2782</v>
      </c>
      <c r="D972" s="268">
        <v>437</v>
      </c>
      <c r="E972" s="268">
        <v>0</v>
      </c>
      <c r="F972" s="83">
        <f t="shared" si="96"/>
        <v>437</v>
      </c>
      <c r="G972" s="268">
        <v>98</v>
      </c>
      <c r="H972" s="268">
        <v>0</v>
      </c>
      <c r="I972" s="83">
        <f t="shared" si="91"/>
        <v>98</v>
      </c>
      <c r="J972" s="171">
        <f t="shared" si="92"/>
        <v>0.2243</v>
      </c>
      <c r="K972" s="177">
        <f t="shared" si="93"/>
        <v>0</v>
      </c>
      <c r="L972" s="177">
        <f t="shared" si="94"/>
        <v>0</v>
      </c>
      <c r="M972" s="177">
        <f t="shared" si="95"/>
        <v>0</v>
      </c>
    </row>
    <row r="973" spans="1:13" ht="12.75" customHeight="1">
      <c r="A973" s="268" t="s">
        <v>428</v>
      </c>
      <c r="B973" s="268" t="s">
        <v>2783</v>
      </c>
      <c r="C973" s="268" t="s">
        <v>2784</v>
      </c>
      <c r="D973" s="268">
        <v>1046</v>
      </c>
      <c r="E973" s="268">
        <v>0</v>
      </c>
      <c r="F973" s="83">
        <f t="shared" si="96"/>
        <v>1046</v>
      </c>
      <c r="G973" s="268">
        <v>250</v>
      </c>
      <c r="H973" s="268">
        <v>0</v>
      </c>
      <c r="I973" s="83">
        <f t="shared" si="91"/>
        <v>250</v>
      </c>
      <c r="J973" s="171">
        <f t="shared" si="92"/>
        <v>0.23899999999999999</v>
      </c>
      <c r="K973" s="177">
        <f t="shared" si="93"/>
        <v>0</v>
      </c>
      <c r="L973" s="177">
        <f t="shared" si="94"/>
        <v>0</v>
      </c>
      <c r="M973" s="177">
        <f t="shared" si="95"/>
        <v>0</v>
      </c>
    </row>
    <row r="974" spans="1:13" ht="12.75" customHeight="1">
      <c r="A974" s="268" t="s">
        <v>428</v>
      </c>
      <c r="B974" s="268" t="s">
        <v>2785</v>
      </c>
      <c r="C974" s="268" t="s">
        <v>2786</v>
      </c>
      <c r="D974" s="268">
        <v>594</v>
      </c>
      <c r="E974" s="268">
        <v>0</v>
      </c>
      <c r="F974" s="83">
        <f t="shared" si="96"/>
        <v>594</v>
      </c>
      <c r="G974" s="268">
        <v>171</v>
      </c>
      <c r="H974" s="268">
        <v>0</v>
      </c>
      <c r="I974" s="83">
        <f t="shared" si="91"/>
        <v>171</v>
      </c>
      <c r="J974" s="171">
        <f t="shared" si="92"/>
        <v>0.28789999999999999</v>
      </c>
      <c r="K974" s="177">
        <f t="shared" si="93"/>
        <v>0</v>
      </c>
      <c r="L974" s="177">
        <f t="shared" si="94"/>
        <v>0</v>
      </c>
      <c r="M974" s="177">
        <f t="shared" si="95"/>
        <v>0</v>
      </c>
    </row>
    <row r="975" spans="1:13" ht="12.75" customHeight="1">
      <c r="A975" s="268" t="s">
        <v>428</v>
      </c>
      <c r="B975" s="268" t="s">
        <v>2787</v>
      </c>
      <c r="C975" s="268" t="s">
        <v>2788</v>
      </c>
      <c r="D975" s="268">
        <v>432</v>
      </c>
      <c r="E975" s="268">
        <v>0</v>
      </c>
      <c r="F975" s="83">
        <f t="shared" si="96"/>
        <v>432</v>
      </c>
      <c r="G975" s="268">
        <v>179</v>
      </c>
      <c r="H975" s="268">
        <v>0</v>
      </c>
      <c r="I975" s="83">
        <f t="shared" si="91"/>
        <v>179</v>
      </c>
      <c r="J975" s="171">
        <f t="shared" si="92"/>
        <v>0.41439999999999999</v>
      </c>
      <c r="K975" s="177">
        <f t="shared" si="93"/>
        <v>8.1</v>
      </c>
      <c r="L975" s="177">
        <f t="shared" si="94"/>
        <v>0</v>
      </c>
      <c r="M975" s="177">
        <f t="shared" si="95"/>
        <v>8.1</v>
      </c>
    </row>
    <row r="976" spans="1:13" ht="12.75" customHeight="1">
      <c r="A976" s="268" t="s">
        <v>428</v>
      </c>
      <c r="B976" s="268" t="s">
        <v>2789</v>
      </c>
      <c r="C976" s="268" t="s">
        <v>2790</v>
      </c>
      <c r="D976" s="268">
        <v>476</v>
      </c>
      <c r="E976" s="268">
        <v>0</v>
      </c>
      <c r="F976" s="83">
        <f t="shared" si="96"/>
        <v>476</v>
      </c>
      <c r="G976" s="268">
        <v>141</v>
      </c>
      <c r="H976" s="268">
        <v>0</v>
      </c>
      <c r="I976" s="83">
        <f t="shared" si="91"/>
        <v>141</v>
      </c>
      <c r="J976" s="171">
        <f t="shared" si="92"/>
        <v>0.29620000000000002</v>
      </c>
      <c r="K976" s="177">
        <f t="shared" si="93"/>
        <v>0</v>
      </c>
      <c r="L976" s="177">
        <f t="shared" si="94"/>
        <v>0</v>
      </c>
      <c r="M976" s="177">
        <f t="shared" si="95"/>
        <v>0</v>
      </c>
    </row>
    <row r="977" spans="1:13" ht="12.75" customHeight="1">
      <c r="A977" s="268" t="s">
        <v>429</v>
      </c>
      <c r="B977" s="268" t="s">
        <v>2791</v>
      </c>
      <c r="C977" s="268" t="s">
        <v>2792</v>
      </c>
      <c r="D977" s="268">
        <v>243</v>
      </c>
      <c r="E977" s="268">
        <v>0</v>
      </c>
      <c r="F977" s="83">
        <f t="shared" si="96"/>
        <v>243</v>
      </c>
      <c r="G977" s="268">
        <v>101</v>
      </c>
      <c r="H977" s="268">
        <v>0</v>
      </c>
      <c r="I977" s="83">
        <f t="shared" si="91"/>
        <v>101</v>
      </c>
      <c r="J977" s="171">
        <f t="shared" si="92"/>
        <v>0.41560000000000002</v>
      </c>
      <c r="K977" s="177">
        <f t="shared" si="93"/>
        <v>4.5999999999999996</v>
      </c>
      <c r="L977" s="177">
        <f t="shared" si="94"/>
        <v>0</v>
      </c>
      <c r="M977" s="177">
        <f t="shared" si="95"/>
        <v>4.5999999999999996</v>
      </c>
    </row>
    <row r="978" spans="1:13" ht="12.75" customHeight="1">
      <c r="A978" s="268" t="s">
        <v>429</v>
      </c>
      <c r="B978" s="268" t="s">
        <v>2793</v>
      </c>
      <c r="C978" s="268" t="s">
        <v>2794</v>
      </c>
      <c r="D978" s="268">
        <v>197</v>
      </c>
      <c r="E978" s="268">
        <v>0</v>
      </c>
      <c r="F978" s="83">
        <f t="shared" si="96"/>
        <v>197</v>
      </c>
      <c r="G978" s="268">
        <v>69</v>
      </c>
      <c r="H978" s="268">
        <v>0</v>
      </c>
      <c r="I978" s="83">
        <f t="shared" si="91"/>
        <v>69</v>
      </c>
      <c r="J978" s="171">
        <f t="shared" si="92"/>
        <v>0.3503</v>
      </c>
      <c r="K978" s="177">
        <f t="shared" si="93"/>
        <v>0</v>
      </c>
      <c r="L978" s="177">
        <f t="shared" si="94"/>
        <v>0</v>
      </c>
      <c r="M978" s="177">
        <f t="shared" si="95"/>
        <v>0</v>
      </c>
    </row>
    <row r="979" spans="1:13" ht="12.75" customHeight="1">
      <c r="A979" s="268" t="s">
        <v>430</v>
      </c>
      <c r="B979" s="268" t="s">
        <v>2795</v>
      </c>
      <c r="C979" s="268" t="s">
        <v>2796</v>
      </c>
      <c r="D979" s="268">
        <v>1332</v>
      </c>
      <c r="E979" s="268">
        <v>0</v>
      </c>
      <c r="F979" s="83">
        <f t="shared" si="96"/>
        <v>1332</v>
      </c>
      <c r="G979" s="268">
        <v>421</v>
      </c>
      <c r="H979" s="268">
        <v>0</v>
      </c>
      <c r="I979" s="83">
        <f t="shared" si="91"/>
        <v>421</v>
      </c>
      <c r="J979" s="171">
        <f t="shared" si="92"/>
        <v>0.31609999999999999</v>
      </c>
      <c r="K979" s="177">
        <f t="shared" si="93"/>
        <v>0</v>
      </c>
      <c r="L979" s="177">
        <f t="shared" si="94"/>
        <v>0</v>
      </c>
      <c r="M979" s="177">
        <f t="shared" si="95"/>
        <v>0</v>
      </c>
    </row>
    <row r="980" spans="1:13" ht="12.75" customHeight="1">
      <c r="A980" s="268" t="s">
        <v>430</v>
      </c>
      <c r="B980" s="268" t="s">
        <v>2797</v>
      </c>
      <c r="C980" s="268" t="s">
        <v>2798</v>
      </c>
      <c r="D980" s="268">
        <v>0</v>
      </c>
      <c r="E980" s="268">
        <v>0</v>
      </c>
      <c r="F980" s="83">
        <f t="shared" si="96"/>
        <v>0</v>
      </c>
      <c r="G980" s="268">
        <v>0</v>
      </c>
      <c r="H980" s="268">
        <v>0</v>
      </c>
      <c r="I980" s="83">
        <f t="shared" si="91"/>
        <v>0</v>
      </c>
      <c r="J980" s="171">
        <f t="shared" si="92"/>
        <v>0</v>
      </c>
      <c r="K980" s="177">
        <f t="shared" si="93"/>
        <v>0</v>
      </c>
      <c r="L980" s="177">
        <f t="shared" si="94"/>
        <v>0</v>
      </c>
      <c r="M980" s="177">
        <f t="shared" si="95"/>
        <v>0</v>
      </c>
    </row>
    <row r="981" spans="1:13" ht="12.75" customHeight="1">
      <c r="A981" s="268" t="s">
        <v>430</v>
      </c>
      <c r="B981" s="268" t="s">
        <v>2799</v>
      </c>
      <c r="C981" s="268" t="s">
        <v>2800</v>
      </c>
      <c r="D981" s="268">
        <v>568</v>
      </c>
      <c r="E981" s="268">
        <v>0</v>
      </c>
      <c r="F981" s="83">
        <f t="shared" si="96"/>
        <v>568</v>
      </c>
      <c r="G981" s="268">
        <v>202</v>
      </c>
      <c r="H981" s="268">
        <v>0</v>
      </c>
      <c r="I981" s="83">
        <f t="shared" si="91"/>
        <v>202</v>
      </c>
      <c r="J981" s="171">
        <f t="shared" si="92"/>
        <v>0.35560000000000003</v>
      </c>
      <c r="K981" s="177">
        <f t="shared" si="93"/>
        <v>0.8</v>
      </c>
      <c r="L981" s="177">
        <f t="shared" si="94"/>
        <v>0</v>
      </c>
      <c r="M981" s="177">
        <f t="shared" si="95"/>
        <v>0.8</v>
      </c>
    </row>
    <row r="982" spans="1:13" ht="12.75" customHeight="1">
      <c r="A982" s="268" t="s">
        <v>430</v>
      </c>
      <c r="B982" s="268" t="s">
        <v>2801</v>
      </c>
      <c r="C982" s="268" t="s">
        <v>2802</v>
      </c>
      <c r="D982" s="268">
        <v>434</v>
      </c>
      <c r="E982" s="268">
        <v>0</v>
      </c>
      <c r="F982" s="83">
        <f t="shared" si="96"/>
        <v>434</v>
      </c>
      <c r="G982" s="268">
        <v>301</v>
      </c>
      <c r="H982" s="268">
        <v>0</v>
      </c>
      <c r="I982" s="83">
        <f t="shared" si="91"/>
        <v>301</v>
      </c>
      <c r="J982" s="171">
        <f t="shared" si="92"/>
        <v>0.69350000000000001</v>
      </c>
      <c r="K982" s="177">
        <f t="shared" si="93"/>
        <v>0</v>
      </c>
      <c r="L982" s="177">
        <f t="shared" si="94"/>
        <v>31.6</v>
      </c>
      <c r="M982" s="177">
        <f t="shared" si="95"/>
        <v>31.6</v>
      </c>
    </row>
    <row r="983" spans="1:13" ht="12.75" customHeight="1">
      <c r="A983" s="268" t="s">
        <v>430</v>
      </c>
      <c r="B983" s="268" t="s">
        <v>2803</v>
      </c>
      <c r="C983" s="268" t="s">
        <v>2804</v>
      </c>
      <c r="D983" s="268">
        <v>432</v>
      </c>
      <c r="E983" s="268">
        <v>0</v>
      </c>
      <c r="F983" s="83">
        <f t="shared" si="96"/>
        <v>432</v>
      </c>
      <c r="G983" s="268">
        <v>237</v>
      </c>
      <c r="H983" s="268">
        <v>0</v>
      </c>
      <c r="I983" s="83">
        <f t="shared" si="91"/>
        <v>237</v>
      </c>
      <c r="J983" s="171">
        <f t="shared" si="92"/>
        <v>0.54859999999999998</v>
      </c>
      <c r="K983" s="177">
        <f t="shared" si="93"/>
        <v>0</v>
      </c>
      <c r="L983" s="177">
        <f t="shared" si="94"/>
        <v>24.9</v>
      </c>
      <c r="M983" s="177">
        <f t="shared" si="95"/>
        <v>24.9</v>
      </c>
    </row>
    <row r="984" spans="1:13" ht="12.75" customHeight="1">
      <c r="A984" s="268" t="s">
        <v>430</v>
      </c>
      <c r="B984" s="268" t="s">
        <v>2805</v>
      </c>
      <c r="C984" s="268" t="s">
        <v>2806</v>
      </c>
      <c r="D984" s="268">
        <v>735</v>
      </c>
      <c r="E984" s="268">
        <v>0</v>
      </c>
      <c r="F984" s="83">
        <f t="shared" si="96"/>
        <v>735</v>
      </c>
      <c r="G984" s="268">
        <v>384</v>
      </c>
      <c r="H984" s="268">
        <v>0</v>
      </c>
      <c r="I984" s="83">
        <f t="shared" si="91"/>
        <v>384</v>
      </c>
      <c r="J984" s="171">
        <f t="shared" si="92"/>
        <v>0.52239999999999998</v>
      </c>
      <c r="K984" s="177">
        <f t="shared" si="93"/>
        <v>0</v>
      </c>
      <c r="L984" s="177">
        <f t="shared" si="94"/>
        <v>40.299999999999997</v>
      </c>
      <c r="M984" s="177">
        <f t="shared" si="95"/>
        <v>40.299999999999997</v>
      </c>
    </row>
    <row r="985" spans="1:13" ht="12.75" customHeight="1">
      <c r="A985" s="268" t="s">
        <v>430</v>
      </c>
      <c r="B985" s="268" t="s">
        <v>2807</v>
      </c>
      <c r="C985" s="268" t="s">
        <v>2808</v>
      </c>
      <c r="D985" s="268">
        <v>256</v>
      </c>
      <c r="E985" s="268">
        <v>0</v>
      </c>
      <c r="F985" s="83">
        <f t="shared" si="96"/>
        <v>256</v>
      </c>
      <c r="G985" s="268">
        <v>174</v>
      </c>
      <c r="H985" s="268">
        <v>0</v>
      </c>
      <c r="I985" s="83">
        <f t="shared" si="91"/>
        <v>174</v>
      </c>
      <c r="J985" s="171">
        <f t="shared" si="92"/>
        <v>0.67969999999999997</v>
      </c>
      <c r="K985" s="177">
        <f t="shared" si="93"/>
        <v>0</v>
      </c>
      <c r="L985" s="177">
        <f t="shared" si="94"/>
        <v>18.3</v>
      </c>
      <c r="M985" s="177">
        <f t="shared" si="95"/>
        <v>18.3</v>
      </c>
    </row>
    <row r="986" spans="1:13" ht="12.75" customHeight="1">
      <c r="A986" s="268" t="s">
        <v>431</v>
      </c>
      <c r="B986" s="268" t="s">
        <v>2809</v>
      </c>
      <c r="C986" s="268" t="s">
        <v>2810</v>
      </c>
      <c r="D986" s="268">
        <v>160</v>
      </c>
      <c r="E986" s="268">
        <v>0</v>
      </c>
      <c r="F986" s="83">
        <f t="shared" si="96"/>
        <v>160</v>
      </c>
      <c r="G986" s="268">
        <v>56</v>
      </c>
      <c r="H986" s="268">
        <v>0</v>
      </c>
      <c r="I986" s="83">
        <f t="shared" si="91"/>
        <v>56</v>
      </c>
      <c r="J986" s="171">
        <f t="shared" si="92"/>
        <v>0.35</v>
      </c>
      <c r="K986" s="177">
        <f t="shared" si="93"/>
        <v>0</v>
      </c>
      <c r="L986" s="177">
        <f t="shared" si="94"/>
        <v>0</v>
      </c>
      <c r="M986" s="177">
        <f t="shared" si="95"/>
        <v>0</v>
      </c>
    </row>
    <row r="987" spans="1:13" ht="12.75" customHeight="1">
      <c r="A987" s="268" t="s">
        <v>431</v>
      </c>
      <c r="B987" s="268" t="s">
        <v>2811</v>
      </c>
      <c r="C987" s="268" t="s">
        <v>2812</v>
      </c>
      <c r="D987" s="268">
        <v>139</v>
      </c>
      <c r="E987" s="268">
        <v>0</v>
      </c>
      <c r="F987" s="83">
        <f t="shared" si="96"/>
        <v>139</v>
      </c>
      <c r="G987" s="268">
        <v>45</v>
      </c>
      <c r="H987" s="268">
        <v>0</v>
      </c>
      <c r="I987" s="83">
        <f t="shared" si="91"/>
        <v>45</v>
      </c>
      <c r="J987" s="171">
        <f t="shared" si="92"/>
        <v>0.32369999999999999</v>
      </c>
      <c r="K987" s="177">
        <f t="shared" si="93"/>
        <v>0</v>
      </c>
      <c r="L987" s="177">
        <f t="shared" si="94"/>
        <v>0</v>
      </c>
      <c r="M987" s="177">
        <f t="shared" si="95"/>
        <v>0</v>
      </c>
    </row>
    <row r="988" spans="1:13" ht="12.75" customHeight="1">
      <c r="A988" s="268" t="s">
        <v>432</v>
      </c>
      <c r="B988" s="268" t="s">
        <v>2813</v>
      </c>
      <c r="C988" s="268" t="s">
        <v>2814</v>
      </c>
      <c r="D988" s="268">
        <v>105</v>
      </c>
      <c r="E988" s="268">
        <v>0</v>
      </c>
      <c r="F988" s="83">
        <f t="shared" si="96"/>
        <v>105</v>
      </c>
      <c r="G988" s="268">
        <v>53</v>
      </c>
      <c r="H988" s="268">
        <v>0</v>
      </c>
      <c r="I988" s="83">
        <f t="shared" si="91"/>
        <v>53</v>
      </c>
      <c r="J988" s="171">
        <f t="shared" si="92"/>
        <v>0.50480000000000003</v>
      </c>
      <c r="K988" s="177">
        <f t="shared" si="93"/>
        <v>0</v>
      </c>
      <c r="L988" s="177">
        <f t="shared" si="94"/>
        <v>5.6</v>
      </c>
      <c r="M988" s="177">
        <f t="shared" si="95"/>
        <v>5.6</v>
      </c>
    </row>
    <row r="989" spans="1:13" ht="12.75" customHeight="1">
      <c r="A989" s="268" t="s">
        <v>432</v>
      </c>
      <c r="B989" s="268" t="s">
        <v>2815</v>
      </c>
      <c r="C989" s="268" t="s">
        <v>2816</v>
      </c>
      <c r="D989" s="268">
        <v>58</v>
      </c>
      <c r="E989" s="268">
        <v>0</v>
      </c>
      <c r="F989" s="83">
        <f t="shared" si="96"/>
        <v>58</v>
      </c>
      <c r="G989" s="268">
        <v>23</v>
      </c>
      <c r="H989" s="268">
        <v>0</v>
      </c>
      <c r="I989" s="83">
        <f t="shared" si="91"/>
        <v>23</v>
      </c>
      <c r="J989" s="171">
        <f t="shared" si="92"/>
        <v>0.39660000000000001</v>
      </c>
      <c r="K989" s="177">
        <f t="shared" si="93"/>
        <v>0.8</v>
      </c>
      <c r="L989" s="177">
        <f t="shared" si="94"/>
        <v>0</v>
      </c>
      <c r="M989" s="177">
        <f t="shared" si="95"/>
        <v>0.8</v>
      </c>
    </row>
    <row r="990" spans="1:13" ht="12.75" customHeight="1">
      <c r="A990" s="268" t="s">
        <v>432</v>
      </c>
      <c r="B990" s="268" t="s">
        <v>2817</v>
      </c>
      <c r="C990" s="268" t="s">
        <v>2818</v>
      </c>
      <c r="D990" s="268">
        <v>50</v>
      </c>
      <c r="E990" s="268">
        <v>0</v>
      </c>
      <c r="F990" s="83">
        <f t="shared" si="96"/>
        <v>50</v>
      </c>
      <c r="G990" s="268">
        <v>23</v>
      </c>
      <c r="H990" s="268">
        <v>0</v>
      </c>
      <c r="I990" s="83">
        <f t="shared" si="91"/>
        <v>23</v>
      </c>
      <c r="J990" s="171">
        <f t="shared" si="92"/>
        <v>0.46</v>
      </c>
      <c r="K990" s="177">
        <f t="shared" si="93"/>
        <v>1.8</v>
      </c>
      <c r="L990" s="177">
        <f t="shared" si="94"/>
        <v>0</v>
      </c>
      <c r="M990" s="177">
        <f t="shared" si="95"/>
        <v>1.8</v>
      </c>
    </row>
    <row r="991" spans="1:13" ht="12.75" customHeight="1">
      <c r="A991" s="268" t="s">
        <v>433</v>
      </c>
      <c r="B991" s="268" t="s">
        <v>2819</v>
      </c>
      <c r="C991" s="268" t="s">
        <v>2820</v>
      </c>
      <c r="D991" s="268">
        <v>202</v>
      </c>
      <c r="E991" s="268">
        <v>0</v>
      </c>
      <c r="F991" s="83">
        <f t="shared" si="96"/>
        <v>202</v>
      </c>
      <c r="G991" s="268">
        <v>133</v>
      </c>
      <c r="H991" s="268">
        <v>0</v>
      </c>
      <c r="I991" s="83">
        <f t="shared" si="91"/>
        <v>133</v>
      </c>
      <c r="J991" s="171">
        <f t="shared" si="92"/>
        <v>0.65839999999999999</v>
      </c>
      <c r="K991" s="177">
        <f t="shared" si="93"/>
        <v>0</v>
      </c>
      <c r="L991" s="177">
        <f t="shared" si="94"/>
        <v>14</v>
      </c>
      <c r="M991" s="177">
        <f t="shared" si="95"/>
        <v>14</v>
      </c>
    </row>
    <row r="992" spans="1:13" ht="12.75" customHeight="1">
      <c r="A992" s="268" t="s">
        <v>433</v>
      </c>
      <c r="B992" s="268" t="s">
        <v>2821</v>
      </c>
      <c r="C992" s="268" t="s">
        <v>2822</v>
      </c>
      <c r="D992" s="268">
        <v>325</v>
      </c>
      <c r="E992" s="268">
        <v>0</v>
      </c>
      <c r="F992" s="83">
        <f t="shared" si="96"/>
        <v>325</v>
      </c>
      <c r="G992" s="268">
        <v>218</v>
      </c>
      <c r="H992" s="268">
        <v>0</v>
      </c>
      <c r="I992" s="83">
        <f t="shared" si="91"/>
        <v>218</v>
      </c>
      <c r="J992" s="171">
        <f t="shared" si="92"/>
        <v>0.67079999999999995</v>
      </c>
      <c r="K992" s="177">
        <f t="shared" si="93"/>
        <v>0</v>
      </c>
      <c r="L992" s="177">
        <f t="shared" si="94"/>
        <v>22.9</v>
      </c>
      <c r="M992" s="177">
        <f t="shared" si="95"/>
        <v>22.9</v>
      </c>
    </row>
    <row r="993" spans="1:13" ht="12.75" customHeight="1">
      <c r="A993" s="268" t="s">
        <v>433</v>
      </c>
      <c r="B993" s="268" t="s">
        <v>2823</v>
      </c>
      <c r="C993" s="268" t="s">
        <v>2824</v>
      </c>
      <c r="D993" s="268">
        <v>354</v>
      </c>
      <c r="E993" s="268">
        <v>0</v>
      </c>
      <c r="F993" s="83">
        <f t="shared" si="96"/>
        <v>354</v>
      </c>
      <c r="G993" s="268">
        <v>178</v>
      </c>
      <c r="H993" s="268">
        <v>0</v>
      </c>
      <c r="I993" s="83">
        <f t="shared" si="91"/>
        <v>178</v>
      </c>
      <c r="J993" s="171">
        <f t="shared" si="92"/>
        <v>0.50280000000000002</v>
      </c>
      <c r="K993" s="177">
        <f t="shared" si="93"/>
        <v>0</v>
      </c>
      <c r="L993" s="177">
        <f t="shared" si="94"/>
        <v>18.7</v>
      </c>
      <c r="M993" s="177">
        <f t="shared" si="95"/>
        <v>18.7</v>
      </c>
    </row>
    <row r="994" spans="1:13" ht="12.75" customHeight="1">
      <c r="A994" s="268" t="s">
        <v>433</v>
      </c>
      <c r="B994" s="268" t="s">
        <v>2825</v>
      </c>
      <c r="C994" s="268" t="s">
        <v>2826</v>
      </c>
      <c r="D994" s="268">
        <v>337</v>
      </c>
      <c r="E994" s="268">
        <v>0</v>
      </c>
      <c r="F994" s="83">
        <f t="shared" si="96"/>
        <v>337</v>
      </c>
      <c r="G994" s="268">
        <v>242</v>
      </c>
      <c r="H994" s="268">
        <v>0</v>
      </c>
      <c r="I994" s="83">
        <f t="shared" si="91"/>
        <v>242</v>
      </c>
      <c r="J994" s="171">
        <f t="shared" si="92"/>
        <v>0.71809999999999996</v>
      </c>
      <c r="K994" s="177">
        <f t="shared" si="93"/>
        <v>0</v>
      </c>
      <c r="L994" s="177">
        <f t="shared" si="94"/>
        <v>25.4</v>
      </c>
      <c r="M994" s="177">
        <f t="shared" si="95"/>
        <v>25.4</v>
      </c>
    </row>
    <row r="995" spans="1:13" ht="12.75" customHeight="1">
      <c r="A995" s="268" t="s">
        <v>433</v>
      </c>
      <c r="B995" s="268" t="s">
        <v>2827</v>
      </c>
      <c r="C995" s="268" t="s">
        <v>2828</v>
      </c>
      <c r="D995" s="268">
        <v>277</v>
      </c>
      <c r="E995" s="268">
        <v>0</v>
      </c>
      <c r="F995" s="83">
        <f t="shared" si="96"/>
        <v>277</v>
      </c>
      <c r="G995" s="268">
        <v>210</v>
      </c>
      <c r="H995" s="268">
        <v>0</v>
      </c>
      <c r="I995" s="83">
        <f t="shared" ref="I995:I1058" si="97">SUM(G995+H995)</f>
        <v>210</v>
      </c>
      <c r="J995" s="171">
        <f t="shared" ref="J995:J1058" si="98">IF(ISERROR(I995/F995),0,I995/F995)</f>
        <v>0.7581</v>
      </c>
      <c r="K995" s="177">
        <f t="shared" si="93"/>
        <v>0</v>
      </c>
      <c r="L995" s="177">
        <f t="shared" si="94"/>
        <v>22.1</v>
      </c>
      <c r="M995" s="177">
        <f t="shared" si="95"/>
        <v>22.1</v>
      </c>
    </row>
    <row r="996" spans="1:13" ht="12.75" customHeight="1">
      <c r="A996" s="268" t="s">
        <v>433</v>
      </c>
      <c r="B996" s="268" t="s">
        <v>2829</v>
      </c>
      <c r="C996" s="268" t="s">
        <v>2830</v>
      </c>
      <c r="D996" s="268">
        <v>172</v>
      </c>
      <c r="E996" s="268">
        <v>0</v>
      </c>
      <c r="F996" s="83">
        <f t="shared" si="96"/>
        <v>172</v>
      </c>
      <c r="G996" s="268">
        <v>106</v>
      </c>
      <c r="H996" s="268">
        <v>0</v>
      </c>
      <c r="I996" s="83">
        <f t="shared" si="97"/>
        <v>106</v>
      </c>
      <c r="J996" s="171">
        <f t="shared" si="98"/>
        <v>0.61629999999999996</v>
      </c>
      <c r="K996" s="177">
        <f t="shared" si="93"/>
        <v>0</v>
      </c>
      <c r="L996" s="177">
        <f t="shared" si="94"/>
        <v>11.1</v>
      </c>
      <c r="M996" s="177">
        <f t="shared" si="95"/>
        <v>11.1</v>
      </c>
    </row>
    <row r="997" spans="1:13" ht="12.75" customHeight="1">
      <c r="A997" s="268" t="s">
        <v>433</v>
      </c>
      <c r="B997" s="268" t="s">
        <v>2831</v>
      </c>
      <c r="C997" s="268" t="s">
        <v>2832</v>
      </c>
      <c r="D997" s="268">
        <v>753</v>
      </c>
      <c r="E997" s="268">
        <v>0</v>
      </c>
      <c r="F997" s="83">
        <f t="shared" si="96"/>
        <v>753</v>
      </c>
      <c r="G997" s="268">
        <v>418</v>
      </c>
      <c r="H997" s="268">
        <v>0</v>
      </c>
      <c r="I997" s="83">
        <f t="shared" si="97"/>
        <v>418</v>
      </c>
      <c r="J997" s="171">
        <f t="shared" si="98"/>
        <v>0.55510000000000004</v>
      </c>
      <c r="K997" s="177">
        <f t="shared" si="93"/>
        <v>0</v>
      </c>
      <c r="L997" s="177">
        <f t="shared" si="94"/>
        <v>43.9</v>
      </c>
      <c r="M997" s="177">
        <f t="shared" si="95"/>
        <v>43.9</v>
      </c>
    </row>
    <row r="998" spans="1:13" ht="12.75" customHeight="1">
      <c r="A998" s="268" t="s">
        <v>433</v>
      </c>
      <c r="B998" s="268" t="s">
        <v>2833</v>
      </c>
      <c r="C998" s="268" t="s">
        <v>2834</v>
      </c>
      <c r="D998" s="268">
        <v>2041</v>
      </c>
      <c r="E998" s="268">
        <v>0</v>
      </c>
      <c r="F998" s="83">
        <f t="shared" si="96"/>
        <v>2041</v>
      </c>
      <c r="G998" s="268">
        <v>949</v>
      </c>
      <c r="H998" s="268">
        <v>0</v>
      </c>
      <c r="I998" s="83">
        <f t="shared" si="97"/>
        <v>949</v>
      </c>
      <c r="J998" s="171">
        <f t="shared" si="98"/>
        <v>0.46500000000000002</v>
      </c>
      <c r="K998" s="177">
        <f t="shared" si="93"/>
        <v>76.400000000000006</v>
      </c>
      <c r="L998" s="177">
        <f t="shared" si="94"/>
        <v>0</v>
      </c>
      <c r="M998" s="177">
        <f t="shared" si="95"/>
        <v>76.400000000000006</v>
      </c>
    </row>
    <row r="999" spans="1:13" ht="12.75" customHeight="1">
      <c r="A999" s="268" t="s">
        <v>433</v>
      </c>
      <c r="B999" s="268" t="s">
        <v>2835</v>
      </c>
      <c r="C999" s="268" t="s">
        <v>2836</v>
      </c>
      <c r="D999" s="268">
        <v>231</v>
      </c>
      <c r="E999" s="268">
        <v>0</v>
      </c>
      <c r="F999" s="83">
        <f t="shared" si="96"/>
        <v>231</v>
      </c>
      <c r="G999" s="268">
        <v>144</v>
      </c>
      <c r="H999" s="268">
        <v>0</v>
      </c>
      <c r="I999" s="83">
        <f t="shared" si="97"/>
        <v>144</v>
      </c>
      <c r="J999" s="171">
        <f t="shared" si="98"/>
        <v>0.62339999999999995</v>
      </c>
      <c r="K999" s="177">
        <f t="shared" si="93"/>
        <v>0</v>
      </c>
      <c r="L999" s="177">
        <f t="shared" si="94"/>
        <v>15.1</v>
      </c>
      <c r="M999" s="177">
        <f t="shared" si="95"/>
        <v>15.1</v>
      </c>
    </row>
    <row r="1000" spans="1:13" ht="12.75" customHeight="1">
      <c r="A1000" s="268" t="s">
        <v>433</v>
      </c>
      <c r="B1000" s="268" t="s">
        <v>2837</v>
      </c>
      <c r="C1000" s="268" t="s">
        <v>2838</v>
      </c>
      <c r="D1000" s="268">
        <v>150</v>
      </c>
      <c r="E1000" s="268">
        <v>0</v>
      </c>
      <c r="F1000" s="83">
        <f t="shared" si="96"/>
        <v>150</v>
      </c>
      <c r="G1000" s="268">
        <v>45</v>
      </c>
      <c r="H1000" s="268">
        <v>0</v>
      </c>
      <c r="I1000" s="83">
        <f t="shared" si="97"/>
        <v>45</v>
      </c>
      <c r="J1000" s="171">
        <f t="shared" si="98"/>
        <v>0.3</v>
      </c>
      <c r="K1000" s="177">
        <f t="shared" si="93"/>
        <v>0</v>
      </c>
      <c r="L1000" s="177">
        <f t="shared" si="94"/>
        <v>0</v>
      </c>
      <c r="M1000" s="177">
        <f t="shared" si="95"/>
        <v>0</v>
      </c>
    </row>
    <row r="1001" spans="1:13" ht="12.75" customHeight="1">
      <c r="A1001" s="268" t="s">
        <v>433</v>
      </c>
      <c r="B1001" s="268" t="s">
        <v>2839</v>
      </c>
      <c r="C1001" s="268" t="s">
        <v>2840</v>
      </c>
      <c r="D1001" s="268">
        <v>662</v>
      </c>
      <c r="E1001" s="268">
        <v>0</v>
      </c>
      <c r="F1001" s="83">
        <f t="shared" si="96"/>
        <v>662</v>
      </c>
      <c r="G1001" s="268">
        <v>320</v>
      </c>
      <c r="H1001" s="268">
        <v>0</v>
      </c>
      <c r="I1001" s="83">
        <f t="shared" si="97"/>
        <v>320</v>
      </c>
      <c r="J1001" s="171">
        <f t="shared" si="98"/>
        <v>0.4834</v>
      </c>
      <c r="K1001" s="177">
        <f t="shared" si="93"/>
        <v>29.9</v>
      </c>
      <c r="L1001" s="177">
        <f t="shared" si="94"/>
        <v>0</v>
      </c>
      <c r="M1001" s="177">
        <f t="shared" si="95"/>
        <v>29.9</v>
      </c>
    </row>
    <row r="1002" spans="1:13" ht="12.75" customHeight="1">
      <c r="A1002" s="268" t="s">
        <v>433</v>
      </c>
      <c r="B1002" s="268" t="s">
        <v>2841</v>
      </c>
      <c r="C1002" s="268" t="s">
        <v>2842</v>
      </c>
      <c r="D1002" s="268">
        <v>357</v>
      </c>
      <c r="E1002" s="268">
        <v>0</v>
      </c>
      <c r="F1002" s="83">
        <f t="shared" si="96"/>
        <v>357</v>
      </c>
      <c r="G1002" s="268">
        <v>180</v>
      </c>
      <c r="H1002" s="268">
        <v>0</v>
      </c>
      <c r="I1002" s="83">
        <f t="shared" si="97"/>
        <v>180</v>
      </c>
      <c r="J1002" s="171">
        <f t="shared" si="98"/>
        <v>0.50419999999999998</v>
      </c>
      <c r="K1002" s="177">
        <f t="shared" si="93"/>
        <v>0</v>
      </c>
      <c r="L1002" s="177">
        <f t="shared" si="94"/>
        <v>18.899999999999999</v>
      </c>
      <c r="M1002" s="177">
        <f t="shared" si="95"/>
        <v>18.899999999999999</v>
      </c>
    </row>
    <row r="1003" spans="1:13" ht="12.75" customHeight="1">
      <c r="A1003" s="268" t="s">
        <v>433</v>
      </c>
      <c r="B1003" s="268" t="s">
        <v>2843</v>
      </c>
      <c r="C1003" s="268" t="s">
        <v>2844</v>
      </c>
      <c r="D1003" s="268">
        <v>145</v>
      </c>
      <c r="E1003" s="268">
        <v>0</v>
      </c>
      <c r="F1003" s="83">
        <f t="shared" si="96"/>
        <v>145</v>
      </c>
      <c r="G1003" s="268">
        <v>31</v>
      </c>
      <c r="H1003" s="268">
        <v>0</v>
      </c>
      <c r="I1003" s="83">
        <f t="shared" si="97"/>
        <v>31</v>
      </c>
      <c r="J1003" s="171">
        <f t="shared" si="98"/>
        <v>0.21379999999999999</v>
      </c>
      <c r="K1003" s="177">
        <f t="shared" si="93"/>
        <v>0</v>
      </c>
      <c r="L1003" s="177">
        <f t="shared" si="94"/>
        <v>0</v>
      </c>
      <c r="M1003" s="177">
        <f t="shared" si="95"/>
        <v>0</v>
      </c>
    </row>
    <row r="1004" spans="1:13" ht="12.75" customHeight="1">
      <c r="A1004" s="268" t="s">
        <v>433</v>
      </c>
      <c r="B1004" s="268" t="s">
        <v>2845</v>
      </c>
      <c r="C1004" s="268" t="s">
        <v>2846</v>
      </c>
      <c r="D1004" s="268">
        <v>432</v>
      </c>
      <c r="E1004" s="268">
        <v>0</v>
      </c>
      <c r="F1004" s="83">
        <f t="shared" si="96"/>
        <v>432</v>
      </c>
      <c r="G1004" s="268">
        <v>288</v>
      </c>
      <c r="H1004" s="268">
        <v>0</v>
      </c>
      <c r="I1004" s="83">
        <f t="shared" si="97"/>
        <v>288</v>
      </c>
      <c r="J1004" s="171">
        <f t="shared" si="98"/>
        <v>0.66669999999999996</v>
      </c>
      <c r="K1004" s="177">
        <f t="shared" si="93"/>
        <v>0</v>
      </c>
      <c r="L1004" s="177">
        <f t="shared" si="94"/>
        <v>30.2</v>
      </c>
      <c r="M1004" s="177">
        <f t="shared" si="95"/>
        <v>30.2</v>
      </c>
    </row>
    <row r="1005" spans="1:13" ht="12.75" customHeight="1">
      <c r="A1005" s="268" t="s">
        <v>433</v>
      </c>
      <c r="B1005" s="268" t="s">
        <v>2847</v>
      </c>
      <c r="C1005" s="268" t="s">
        <v>2848</v>
      </c>
      <c r="D1005" s="268">
        <v>504</v>
      </c>
      <c r="E1005" s="268">
        <v>0</v>
      </c>
      <c r="F1005" s="83">
        <f t="shared" si="96"/>
        <v>504</v>
      </c>
      <c r="G1005" s="268">
        <v>306</v>
      </c>
      <c r="H1005" s="268">
        <v>0</v>
      </c>
      <c r="I1005" s="83">
        <f t="shared" si="97"/>
        <v>306</v>
      </c>
      <c r="J1005" s="171">
        <f t="shared" si="98"/>
        <v>0.60709999999999997</v>
      </c>
      <c r="K1005" s="177">
        <f t="shared" si="93"/>
        <v>0</v>
      </c>
      <c r="L1005" s="177">
        <f t="shared" si="94"/>
        <v>32.1</v>
      </c>
      <c r="M1005" s="177">
        <f t="shared" si="95"/>
        <v>32.1</v>
      </c>
    </row>
    <row r="1006" spans="1:13" ht="12.75" customHeight="1">
      <c r="A1006" s="268" t="s">
        <v>433</v>
      </c>
      <c r="B1006" s="268" t="s">
        <v>2849</v>
      </c>
      <c r="C1006" s="268" t="s">
        <v>2850</v>
      </c>
      <c r="D1006" s="268">
        <v>441</v>
      </c>
      <c r="E1006" s="268">
        <v>0</v>
      </c>
      <c r="F1006" s="83">
        <f t="shared" si="96"/>
        <v>441</v>
      </c>
      <c r="G1006" s="268">
        <v>249</v>
      </c>
      <c r="H1006" s="268">
        <v>0</v>
      </c>
      <c r="I1006" s="83">
        <f t="shared" si="97"/>
        <v>249</v>
      </c>
      <c r="J1006" s="171">
        <f t="shared" si="98"/>
        <v>0.56459999999999999</v>
      </c>
      <c r="K1006" s="177">
        <f t="shared" si="93"/>
        <v>0</v>
      </c>
      <c r="L1006" s="177">
        <f t="shared" si="94"/>
        <v>26.1</v>
      </c>
      <c r="M1006" s="177">
        <f t="shared" si="95"/>
        <v>26.1</v>
      </c>
    </row>
    <row r="1007" spans="1:13" ht="12.75" customHeight="1">
      <c r="A1007" s="268" t="s">
        <v>433</v>
      </c>
      <c r="B1007" s="268" t="s">
        <v>2851</v>
      </c>
      <c r="C1007" s="268" t="s">
        <v>2852</v>
      </c>
      <c r="D1007" s="268">
        <v>73</v>
      </c>
      <c r="E1007" s="268">
        <v>0</v>
      </c>
      <c r="F1007" s="83">
        <f t="shared" si="96"/>
        <v>73</v>
      </c>
      <c r="G1007" s="268">
        <v>53</v>
      </c>
      <c r="H1007" s="268">
        <v>0</v>
      </c>
      <c r="I1007" s="83">
        <f t="shared" si="97"/>
        <v>53</v>
      </c>
      <c r="J1007" s="171">
        <f t="shared" si="98"/>
        <v>0.72599999999999998</v>
      </c>
      <c r="K1007" s="177">
        <f t="shared" si="93"/>
        <v>0</v>
      </c>
      <c r="L1007" s="177">
        <f t="shared" si="94"/>
        <v>5.6</v>
      </c>
      <c r="M1007" s="177">
        <f t="shared" si="95"/>
        <v>5.6</v>
      </c>
    </row>
    <row r="1008" spans="1:13" ht="12.75" customHeight="1">
      <c r="A1008" s="268" t="s">
        <v>434</v>
      </c>
      <c r="B1008" s="268" t="s">
        <v>2853</v>
      </c>
      <c r="C1008" s="268" t="s">
        <v>2854</v>
      </c>
      <c r="D1008" s="268">
        <v>656</v>
      </c>
      <c r="E1008" s="268">
        <v>0</v>
      </c>
      <c r="F1008" s="83">
        <f t="shared" si="96"/>
        <v>656</v>
      </c>
      <c r="G1008" s="268">
        <v>73</v>
      </c>
      <c r="H1008" s="268">
        <v>0</v>
      </c>
      <c r="I1008" s="83">
        <f t="shared" si="97"/>
        <v>73</v>
      </c>
      <c r="J1008" s="171">
        <f t="shared" si="98"/>
        <v>0.1113</v>
      </c>
      <c r="K1008" s="177">
        <f t="shared" si="93"/>
        <v>0</v>
      </c>
      <c r="L1008" s="177">
        <f t="shared" si="94"/>
        <v>0</v>
      </c>
      <c r="M1008" s="177">
        <f t="shared" si="95"/>
        <v>0</v>
      </c>
    </row>
    <row r="1009" spans="1:13" ht="12.75" customHeight="1">
      <c r="A1009" s="268" t="s">
        <v>434</v>
      </c>
      <c r="B1009" s="268" t="s">
        <v>2855</v>
      </c>
      <c r="C1009" s="268" t="s">
        <v>2856</v>
      </c>
      <c r="D1009" s="268">
        <v>767</v>
      </c>
      <c r="E1009" s="268">
        <v>0</v>
      </c>
      <c r="F1009" s="83">
        <f t="shared" si="96"/>
        <v>767</v>
      </c>
      <c r="G1009" s="268">
        <v>82</v>
      </c>
      <c r="H1009" s="268">
        <v>0</v>
      </c>
      <c r="I1009" s="83">
        <f t="shared" si="97"/>
        <v>82</v>
      </c>
      <c r="J1009" s="171">
        <f t="shared" si="98"/>
        <v>0.1069</v>
      </c>
      <c r="K1009" s="177">
        <f t="shared" si="93"/>
        <v>0</v>
      </c>
      <c r="L1009" s="177">
        <f t="shared" si="94"/>
        <v>0</v>
      </c>
      <c r="M1009" s="177">
        <f t="shared" si="95"/>
        <v>0</v>
      </c>
    </row>
    <row r="1010" spans="1:13" ht="12.75" customHeight="1">
      <c r="A1010" s="268" t="s">
        <v>434</v>
      </c>
      <c r="B1010" s="268" t="s">
        <v>2857</v>
      </c>
      <c r="C1010" s="268" t="s">
        <v>2858</v>
      </c>
      <c r="D1010" s="268">
        <v>115</v>
      </c>
      <c r="E1010" s="268">
        <v>0</v>
      </c>
      <c r="F1010" s="83">
        <f t="shared" si="96"/>
        <v>115</v>
      </c>
      <c r="G1010" s="268">
        <v>16</v>
      </c>
      <c r="H1010" s="268">
        <v>0</v>
      </c>
      <c r="I1010" s="83">
        <f t="shared" si="97"/>
        <v>16</v>
      </c>
      <c r="J1010" s="171">
        <f t="shared" si="98"/>
        <v>0.1391</v>
      </c>
      <c r="K1010" s="177">
        <f t="shared" si="93"/>
        <v>0</v>
      </c>
      <c r="L1010" s="177">
        <f t="shared" si="94"/>
        <v>0</v>
      </c>
      <c r="M1010" s="177">
        <f t="shared" si="95"/>
        <v>0</v>
      </c>
    </row>
    <row r="1011" spans="1:13" ht="12.75" customHeight="1">
      <c r="A1011" s="268" t="s">
        <v>434</v>
      </c>
      <c r="B1011" s="268" t="s">
        <v>2859</v>
      </c>
      <c r="C1011" s="268" t="s">
        <v>2860</v>
      </c>
      <c r="D1011" s="268">
        <v>624</v>
      </c>
      <c r="E1011" s="268">
        <v>0</v>
      </c>
      <c r="F1011" s="83">
        <f t="shared" si="96"/>
        <v>624</v>
      </c>
      <c r="G1011" s="268">
        <v>76</v>
      </c>
      <c r="H1011" s="268">
        <v>0</v>
      </c>
      <c r="I1011" s="83">
        <f t="shared" si="97"/>
        <v>76</v>
      </c>
      <c r="J1011" s="171">
        <f t="shared" si="98"/>
        <v>0.12180000000000001</v>
      </c>
      <c r="K1011" s="177">
        <f t="shared" si="93"/>
        <v>0</v>
      </c>
      <c r="L1011" s="177">
        <f t="shared" si="94"/>
        <v>0</v>
      </c>
      <c r="M1011" s="177">
        <f t="shared" si="95"/>
        <v>0</v>
      </c>
    </row>
    <row r="1012" spans="1:13" ht="12.75" customHeight="1">
      <c r="A1012" s="268" t="s">
        <v>434</v>
      </c>
      <c r="B1012" s="268" t="s">
        <v>2861</v>
      </c>
      <c r="C1012" s="268" t="s">
        <v>2862</v>
      </c>
      <c r="D1012" s="268">
        <v>359</v>
      </c>
      <c r="E1012" s="268">
        <v>0</v>
      </c>
      <c r="F1012" s="83">
        <f t="shared" si="96"/>
        <v>359</v>
      </c>
      <c r="G1012" s="268">
        <v>22</v>
      </c>
      <c r="H1012" s="268">
        <v>0</v>
      </c>
      <c r="I1012" s="83">
        <f t="shared" si="97"/>
        <v>22</v>
      </c>
      <c r="J1012" s="171">
        <f t="shared" si="98"/>
        <v>6.13E-2</v>
      </c>
      <c r="K1012" s="177">
        <f t="shared" si="93"/>
        <v>0</v>
      </c>
      <c r="L1012" s="177">
        <f t="shared" si="94"/>
        <v>0</v>
      </c>
      <c r="M1012" s="177">
        <f t="shared" si="95"/>
        <v>0</v>
      </c>
    </row>
    <row r="1013" spans="1:13" ht="12.75" customHeight="1">
      <c r="A1013" s="268" t="s">
        <v>435</v>
      </c>
      <c r="B1013" s="268" t="s">
        <v>2863</v>
      </c>
      <c r="C1013" s="268" t="s">
        <v>2864</v>
      </c>
      <c r="D1013" s="268">
        <v>169</v>
      </c>
      <c r="E1013" s="268">
        <v>0</v>
      </c>
      <c r="F1013" s="83">
        <f t="shared" si="96"/>
        <v>169</v>
      </c>
      <c r="G1013" s="268">
        <v>81</v>
      </c>
      <c r="H1013" s="268">
        <v>0</v>
      </c>
      <c r="I1013" s="83">
        <f t="shared" si="97"/>
        <v>81</v>
      </c>
      <c r="J1013" s="171">
        <f t="shared" si="98"/>
        <v>0.4793</v>
      </c>
      <c r="K1013" s="177">
        <f t="shared" si="93"/>
        <v>7.3</v>
      </c>
      <c r="L1013" s="177">
        <f t="shared" si="94"/>
        <v>0</v>
      </c>
      <c r="M1013" s="177">
        <f t="shared" si="95"/>
        <v>7.3</v>
      </c>
    </row>
    <row r="1014" spans="1:13" ht="12.75" customHeight="1">
      <c r="A1014" s="268" t="s">
        <v>435</v>
      </c>
      <c r="B1014" s="268" t="s">
        <v>2865</v>
      </c>
      <c r="C1014" s="268" t="s">
        <v>2866</v>
      </c>
      <c r="D1014" s="268">
        <v>67</v>
      </c>
      <c r="E1014" s="268">
        <v>0</v>
      </c>
      <c r="F1014" s="83">
        <f t="shared" si="96"/>
        <v>67</v>
      </c>
      <c r="G1014" s="268">
        <v>29</v>
      </c>
      <c r="H1014" s="268">
        <v>0</v>
      </c>
      <c r="I1014" s="83">
        <f t="shared" si="97"/>
        <v>29</v>
      </c>
      <c r="J1014" s="171">
        <f t="shared" si="98"/>
        <v>0.43280000000000002</v>
      </c>
      <c r="K1014" s="177">
        <f t="shared" si="93"/>
        <v>1.7</v>
      </c>
      <c r="L1014" s="177">
        <f t="shared" si="94"/>
        <v>0</v>
      </c>
      <c r="M1014" s="177">
        <f t="shared" si="95"/>
        <v>1.7</v>
      </c>
    </row>
    <row r="1015" spans="1:13" ht="12.75" customHeight="1">
      <c r="A1015" s="268" t="s">
        <v>436</v>
      </c>
      <c r="B1015" s="268" t="s">
        <v>2867</v>
      </c>
      <c r="C1015" s="268" t="s">
        <v>2868</v>
      </c>
      <c r="D1015" s="268">
        <v>326</v>
      </c>
      <c r="E1015" s="268">
        <v>0</v>
      </c>
      <c r="F1015" s="83">
        <f t="shared" si="96"/>
        <v>326</v>
      </c>
      <c r="G1015" s="268">
        <v>48</v>
      </c>
      <c r="H1015" s="268">
        <v>0</v>
      </c>
      <c r="I1015" s="83">
        <f t="shared" si="97"/>
        <v>48</v>
      </c>
      <c r="J1015" s="171">
        <f t="shared" si="98"/>
        <v>0.1472</v>
      </c>
      <c r="K1015" s="177">
        <f t="shared" si="93"/>
        <v>0</v>
      </c>
      <c r="L1015" s="177">
        <f t="shared" si="94"/>
        <v>0</v>
      </c>
      <c r="M1015" s="177">
        <f t="shared" si="95"/>
        <v>0</v>
      </c>
    </row>
    <row r="1016" spans="1:13" ht="12.75" customHeight="1">
      <c r="A1016" s="268" t="s">
        <v>436</v>
      </c>
      <c r="B1016" s="268" t="s">
        <v>2869</v>
      </c>
      <c r="C1016" s="268" t="s">
        <v>2870</v>
      </c>
      <c r="D1016" s="268">
        <v>253</v>
      </c>
      <c r="E1016" s="268">
        <v>0</v>
      </c>
      <c r="F1016" s="83">
        <f t="shared" si="96"/>
        <v>253</v>
      </c>
      <c r="G1016" s="268">
        <v>51</v>
      </c>
      <c r="H1016" s="268">
        <v>0</v>
      </c>
      <c r="I1016" s="83">
        <f t="shared" si="97"/>
        <v>51</v>
      </c>
      <c r="J1016" s="171">
        <f t="shared" si="98"/>
        <v>0.2016</v>
      </c>
      <c r="K1016" s="177">
        <f t="shared" si="93"/>
        <v>0</v>
      </c>
      <c r="L1016" s="177">
        <f t="shared" si="94"/>
        <v>0</v>
      </c>
      <c r="M1016" s="177">
        <f t="shared" si="95"/>
        <v>0</v>
      </c>
    </row>
    <row r="1017" spans="1:13" ht="12.75" customHeight="1">
      <c r="A1017" s="268" t="s">
        <v>436</v>
      </c>
      <c r="B1017" s="268" t="s">
        <v>2871</v>
      </c>
      <c r="C1017" s="268" t="s">
        <v>2872</v>
      </c>
      <c r="D1017" s="268">
        <v>263</v>
      </c>
      <c r="E1017" s="268">
        <v>0</v>
      </c>
      <c r="F1017" s="83">
        <f t="shared" si="96"/>
        <v>263</v>
      </c>
      <c r="G1017" s="268">
        <v>39</v>
      </c>
      <c r="H1017" s="268">
        <v>0</v>
      </c>
      <c r="I1017" s="83">
        <f t="shared" si="97"/>
        <v>39</v>
      </c>
      <c r="J1017" s="171">
        <f t="shared" si="98"/>
        <v>0.14829999999999999</v>
      </c>
      <c r="K1017" s="177">
        <f t="shared" si="93"/>
        <v>0</v>
      </c>
      <c r="L1017" s="177">
        <f t="shared" si="94"/>
        <v>0</v>
      </c>
      <c r="M1017" s="177">
        <f t="shared" si="95"/>
        <v>0</v>
      </c>
    </row>
    <row r="1018" spans="1:13" ht="12.75" customHeight="1">
      <c r="A1018" s="268" t="s">
        <v>437</v>
      </c>
      <c r="B1018" s="268" t="s">
        <v>2873</v>
      </c>
      <c r="C1018" s="268" t="s">
        <v>2874</v>
      </c>
      <c r="D1018" s="268">
        <v>241</v>
      </c>
      <c r="E1018" s="268">
        <v>0</v>
      </c>
      <c r="F1018" s="83">
        <f t="shared" si="96"/>
        <v>241</v>
      </c>
      <c r="G1018" s="268">
        <v>132</v>
      </c>
      <c r="H1018" s="268">
        <v>0</v>
      </c>
      <c r="I1018" s="83">
        <f t="shared" si="97"/>
        <v>132</v>
      </c>
      <c r="J1018" s="171">
        <f t="shared" si="98"/>
        <v>0.54769999999999996</v>
      </c>
      <c r="K1018" s="177">
        <f t="shared" si="93"/>
        <v>0</v>
      </c>
      <c r="L1018" s="177">
        <f t="shared" si="94"/>
        <v>13.9</v>
      </c>
      <c r="M1018" s="177">
        <f t="shared" si="95"/>
        <v>13.9</v>
      </c>
    </row>
    <row r="1019" spans="1:13" ht="12.75" customHeight="1">
      <c r="A1019" s="268" t="s">
        <v>437</v>
      </c>
      <c r="B1019" s="268" t="s">
        <v>2875</v>
      </c>
      <c r="C1019" s="268" t="s">
        <v>2876</v>
      </c>
      <c r="D1019" s="268">
        <v>169</v>
      </c>
      <c r="E1019" s="268">
        <v>0</v>
      </c>
      <c r="F1019" s="83">
        <f t="shared" si="96"/>
        <v>169</v>
      </c>
      <c r="G1019" s="268">
        <v>76</v>
      </c>
      <c r="H1019" s="268">
        <v>0</v>
      </c>
      <c r="I1019" s="83">
        <f t="shared" si="97"/>
        <v>76</v>
      </c>
      <c r="J1019" s="171">
        <f t="shared" si="98"/>
        <v>0.44969999999999999</v>
      </c>
      <c r="K1019" s="177">
        <f t="shared" si="93"/>
        <v>5.3</v>
      </c>
      <c r="L1019" s="177">
        <f t="shared" si="94"/>
        <v>0</v>
      </c>
      <c r="M1019" s="177">
        <f t="shared" si="95"/>
        <v>5.3</v>
      </c>
    </row>
    <row r="1020" spans="1:13" ht="12.75" customHeight="1">
      <c r="A1020" s="268" t="s">
        <v>437</v>
      </c>
      <c r="B1020" s="268" t="s">
        <v>2877</v>
      </c>
      <c r="C1020" s="268" t="s">
        <v>2878</v>
      </c>
      <c r="D1020" s="268">
        <v>306</v>
      </c>
      <c r="E1020" s="268">
        <v>0</v>
      </c>
      <c r="F1020" s="83">
        <f t="shared" si="96"/>
        <v>306</v>
      </c>
      <c r="G1020" s="268">
        <v>132</v>
      </c>
      <c r="H1020" s="268">
        <v>0</v>
      </c>
      <c r="I1020" s="83">
        <f t="shared" si="97"/>
        <v>132</v>
      </c>
      <c r="J1020" s="171">
        <f t="shared" si="98"/>
        <v>0.43140000000000001</v>
      </c>
      <c r="K1020" s="177">
        <f t="shared" si="93"/>
        <v>7.5</v>
      </c>
      <c r="L1020" s="177">
        <f t="shared" si="94"/>
        <v>0</v>
      </c>
      <c r="M1020" s="177">
        <f t="shared" si="95"/>
        <v>7.5</v>
      </c>
    </row>
    <row r="1021" spans="1:13" ht="12.75" customHeight="1">
      <c r="A1021" s="268" t="s">
        <v>438</v>
      </c>
      <c r="B1021" s="268" t="s">
        <v>2879</v>
      </c>
      <c r="C1021" s="268" t="s">
        <v>1267</v>
      </c>
      <c r="D1021" s="268">
        <v>146</v>
      </c>
      <c r="E1021" s="268">
        <v>0</v>
      </c>
      <c r="F1021" s="83">
        <f t="shared" si="96"/>
        <v>146</v>
      </c>
      <c r="G1021" s="268">
        <v>65</v>
      </c>
      <c r="H1021" s="268">
        <v>0</v>
      </c>
      <c r="I1021" s="83">
        <f t="shared" si="97"/>
        <v>65</v>
      </c>
      <c r="J1021" s="171">
        <f t="shared" si="98"/>
        <v>0.44519999999999998</v>
      </c>
      <c r="K1021" s="177">
        <f t="shared" si="93"/>
        <v>4.3</v>
      </c>
      <c r="L1021" s="177">
        <f t="shared" si="94"/>
        <v>0</v>
      </c>
      <c r="M1021" s="177">
        <f t="shared" si="95"/>
        <v>4.3</v>
      </c>
    </row>
    <row r="1022" spans="1:13" ht="12.75" customHeight="1">
      <c r="A1022" s="268" t="s">
        <v>438</v>
      </c>
      <c r="B1022" s="268" t="s">
        <v>2880</v>
      </c>
      <c r="C1022" s="268" t="s">
        <v>2881</v>
      </c>
      <c r="D1022" s="268">
        <v>156</v>
      </c>
      <c r="E1022" s="268">
        <v>0</v>
      </c>
      <c r="F1022" s="83">
        <f t="shared" si="96"/>
        <v>156</v>
      </c>
      <c r="G1022" s="268">
        <v>72</v>
      </c>
      <c r="H1022" s="268">
        <v>0</v>
      </c>
      <c r="I1022" s="83">
        <f t="shared" si="97"/>
        <v>72</v>
      </c>
      <c r="J1022" s="171">
        <f t="shared" si="98"/>
        <v>0.46150000000000002</v>
      </c>
      <c r="K1022" s="177">
        <f t="shared" si="93"/>
        <v>5.6</v>
      </c>
      <c r="L1022" s="177">
        <f t="shared" si="94"/>
        <v>0</v>
      </c>
      <c r="M1022" s="177">
        <f t="shared" si="95"/>
        <v>5.6</v>
      </c>
    </row>
    <row r="1023" spans="1:13" ht="12.75" customHeight="1">
      <c r="A1023" s="268" t="s">
        <v>439</v>
      </c>
      <c r="B1023" s="268" t="s">
        <v>2882</v>
      </c>
      <c r="C1023" s="268" t="s">
        <v>2883</v>
      </c>
      <c r="D1023" s="268">
        <v>156</v>
      </c>
      <c r="E1023" s="268">
        <v>0</v>
      </c>
      <c r="F1023" s="83">
        <f t="shared" si="96"/>
        <v>156</v>
      </c>
      <c r="G1023" s="268">
        <v>62</v>
      </c>
      <c r="H1023" s="268">
        <v>0</v>
      </c>
      <c r="I1023" s="83">
        <f t="shared" si="97"/>
        <v>62</v>
      </c>
      <c r="J1023" s="171">
        <f t="shared" si="98"/>
        <v>0.39739999999999998</v>
      </c>
      <c r="K1023" s="177">
        <f t="shared" si="93"/>
        <v>2.1</v>
      </c>
      <c r="L1023" s="177">
        <f t="shared" si="94"/>
        <v>0</v>
      </c>
      <c r="M1023" s="177">
        <f t="shared" si="95"/>
        <v>2.1</v>
      </c>
    </row>
    <row r="1024" spans="1:13" ht="12.75" customHeight="1">
      <c r="A1024" s="268" t="s">
        <v>439</v>
      </c>
      <c r="B1024" s="268" t="s">
        <v>2884</v>
      </c>
      <c r="C1024" s="268" t="s">
        <v>2885</v>
      </c>
      <c r="D1024" s="268">
        <v>72</v>
      </c>
      <c r="E1024" s="268">
        <v>0</v>
      </c>
      <c r="F1024" s="83">
        <f t="shared" si="96"/>
        <v>72</v>
      </c>
      <c r="G1024" s="268">
        <v>25</v>
      </c>
      <c r="H1024" s="268">
        <v>0</v>
      </c>
      <c r="I1024" s="83">
        <f t="shared" si="97"/>
        <v>25</v>
      </c>
      <c r="J1024" s="171">
        <f t="shared" si="98"/>
        <v>0.34720000000000001</v>
      </c>
      <c r="K1024" s="177">
        <f t="shared" si="93"/>
        <v>0</v>
      </c>
      <c r="L1024" s="177">
        <f t="shared" si="94"/>
        <v>0</v>
      </c>
      <c r="M1024" s="177">
        <f t="shared" si="95"/>
        <v>0</v>
      </c>
    </row>
    <row r="1025" spans="1:13" ht="12.75" customHeight="1">
      <c r="A1025" s="268" t="s">
        <v>439</v>
      </c>
      <c r="B1025" s="268" t="s">
        <v>2886</v>
      </c>
      <c r="C1025" s="268" t="s">
        <v>2887</v>
      </c>
      <c r="D1025" s="268">
        <v>95</v>
      </c>
      <c r="E1025" s="268">
        <v>0</v>
      </c>
      <c r="F1025" s="83">
        <f t="shared" si="96"/>
        <v>95</v>
      </c>
      <c r="G1025" s="268">
        <v>24</v>
      </c>
      <c r="H1025" s="268">
        <v>0</v>
      </c>
      <c r="I1025" s="83">
        <f t="shared" si="97"/>
        <v>24</v>
      </c>
      <c r="J1025" s="171">
        <f t="shared" si="98"/>
        <v>0.25259999999999999</v>
      </c>
      <c r="K1025" s="177">
        <f t="shared" si="93"/>
        <v>0</v>
      </c>
      <c r="L1025" s="177">
        <f t="shared" si="94"/>
        <v>0</v>
      </c>
      <c r="M1025" s="177">
        <f t="shared" si="95"/>
        <v>0</v>
      </c>
    </row>
    <row r="1026" spans="1:13" ht="12.75" customHeight="1">
      <c r="A1026" s="268" t="s">
        <v>440</v>
      </c>
      <c r="B1026" s="268" t="s">
        <v>2888</v>
      </c>
      <c r="C1026" s="268" t="s">
        <v>2889</v>
      </c>
      <c r="D1026" s="268">
        <v>634</v>
      </c>
      <c r="E1026" s="268">
        <v>0</v>
      </c>
      <c r="F1026" s="83">
        <f t="shared" si="96"/>
        <v>634</v>
      </c>
      <c r="G1026" s="268">
        <v>117</v>
      </c>
      <c r="H1026" s="268">
        <v>0</v>
      </c>
      <c r="I1026" s="83">
        <f t="shared" si="97"/>
        <v>117</v>
      </c>
      <c r="J1026" s="171">
        <f t="shared" si="98"/>
        <v>0.1845</v>
      </c>
      <c r="K1026" s="177">
        <f t="shared" si="93"/>
        <v>0</v>
      </c>
      <c r="L1026" s="177">
        <f t="shared" si="94"/>
        <v>0</v>
      </c>
      <c r="M1026" s="177">
        <f t="shared" si="95"/>
        <v>0</v>
      </c>
    </row>
    <row r="1027" spans="1:13" ht="12.75" customHeight="1">
      <c r="A1027" s="268" t="s">
        <v>440</v>
      </c>
      <c r="B1027" s="268" t="s">
        <v>2890</v>
      </c>
      <c r="C1027" s="268" t="s">
        <v>2891</v>
      </c>
      <c r="D1027" s="268">
        <v>458</v>
      </c>
      <c r="E1027" s="268">
        <v>0</v>
      </c>
      <c r="F1027" s="83">
        <f t="shared" si="96"/>
        <v>458</v>
      </c>
      <c r="G1027" s="268">
        <v>85</v>
      </c>
      <c r="H1027" s="268">
        <v>0</v>
      </c>
      <c r="I1027" s="83">
        <f t="shared" si="97"/>
        <v>85</v>
      </c>
      <c r="J1027" s="171">
        <f t="shared" si="98"/>
        <v>0.18559999999999999</v>
      </c>
      <c r="K1027" s="177">
        <f t="shared" si="93"/>
        <v>0</v>
      </c>
      <c r="L1027" s="177">
        <f t="shared" si="94"/>
        <v>0</v>
      </c>
      <c r="M1027" s="177">
        <f t="shared" si="95"/>
        <v>0</v>
      </c>
    </row>
    <row r="1028" spans="1:13" ht="12.75" customHeight="1">
      <c r="A1028" s="268" t="s">
        <v>440</v>
      </c>
      <c r="B1028" s="268" t="s">
        <v>2892</v>
      </c>
      <c r="C1028" s="268" t="s">
        <v>2893</v>
      </c>
      <c r="D1028" s="268">
        <v>853</v>
      </c>
      <c r="E1028" s="268">
        <v>0</v>
      </c>
      <c r="F1028" s="83">
        <f t="shared" si="96"/>
        <v>853</v>
      </c>
      <c r="G1028" s="268">
        <v>194</v>
      </c>
      <c r="H1028" s="268">
        <v>0</v>
      </c>
      <c r="I1028" s="83">
        <f t="shared" si="97"/>
        <v>194</v>
      </c>
      <c r="J1028" s="171">
        <f t="shared" si="98"/>
        <v>0.22739999999999999</v>
      </c>
      <c r="K1028" s="177">
        <f t="shared" si="93"/>
        <v>0</v>
      </c>
      <c r="L1028" s="177">
        <f t="shared" si="94"/>
        <v>0</v>
      </c>
      <c r="M1028" s="177">
        <f t="shared" si="95"/>
        <v>0</v>
      </c>
    </row>
    <row r="1029" spans="1:13" ht="12.75" customHeight="1">
      <c r="A1029" s="268" t="s">
        <v>441</v>
      </c>
      <c r="B1029" s="268" t="s">
        <v>2894</v>
      </c>
      <c r="C1029" s="268" t="s">
        <v>2895</v>
      </c>
      <c r="D1029" s="268">
        <v>116</v>
      </c>
      <c r="E1029" s="268">
        <v>0</v>
      </c>
      <c r="F1029" s="83">
        <f t="shared" si="96"/>
        <v>116</v>
      </c>
      <c r="G1029" s="268">
        <v>44</v>
      </c>
      <c r="H1029" s="268">
        <v>0</v>
      </c>
      <c r="I1029" s="83">
        <f t="shared" si="97"/>
        <v>44</v>
      </c>
      <c r="J1029" s="171">
        <f t="shared" si="98"/>
        <v>0.37930000000000003</v>
      </c>
      <c r="K1029" s="177">
        <f t="shared" ref="K1029:K1092" si="99">IF(AND((J1029-35%)&gt;0,J1029&lt;50%),I1029*(J1029-35%)*0.7,0)</f>
        <v>0.9</v>
      </c>
      <c r="L1029" s="177">
        <f t="shared" ref="L1029:L1092" si="100">IF(J1029&gt;=50%,I1029*10.5%,0)</f>
        <v>0</v>
      </c>
      <c r="M1029" s="177">
        <f t="shared" ref="M1029:M1092" si="101">MAX(K1029,L1029)</f>
        <v>0.9</v>
      </c>
    </row>
    <row r="1030" spans="1:13" ht="12.75" customHeight="1">
      <c r="A1030" s="268" t="s">
        <v>441</v>
      </c>
      <c r="B1030" s="268" t="s">
        <v>2896</v>
      </c>
      <c r="C1030" s="268" t="s">
        <v>2897</v>
      </c>
      <c r="D1030" s="268">
        <v>308</v>
      </c>
      <c r="E1030" s="268">
        <v>0</v>
      </c>
      <c r="F1030" s="83">
        <f t="shared" ref="F1030:F1093" si="102">SUM(D1030+E1030)</f>
        <v>308</v>
      </c>
      <c r="G1030" s="268">
        <v>193</v>
      </c>
      <c r="H1030" s="268">
        <v>0</v>
      </c>
      <c r="I1030" s="83">
        <f t="shared" si="97"/>
        <v>193</v>
      </c>
      <c r="J1030" s="171">
        <f t="shared" si="98"/>
        <v>0.62660000000000005</v>
      </c>
      <c r="K1030" s="177">
        <f t="shared" si="99"/>
        <v>0</v>
      </c>
      <c r="L1030" s="177">
        <f t="shared" si="100"/>
        <v>20.3</v>
      </c>
      <c r="M1030" s="177">
        <f t="shared" si="101"/>
        <v>20.3</v>
      </c>
    </row>
    <row r="1031" spans="1:13" ht="12.75" customHeight="1">
      <c r="A1031" s="268" t="s">
        <v>441</v>
      </c>
      <c r="B1031" s="268" t="s">
        <v>2898</v>
      </c>
      <c r="C1031" s="268" t="s">
        <v>2899</v>
      </c>
      <c r="D1031" s="268">
        <v>262</v>
      </c>
      <c r="E1031" s="268">
        <v>0</v>
      </c>
      <c r="F1031" s="83">
        <f t="shared" si="102"/>
        <v>262</v>
      </c>
      <c r="G1031" s="268">
        <v>123</v>
      </c>
      <c r="H1031" s="268">
        <v>0</v>
      </c>
      <c r="I1031" s="83">
        <f t="shared" si="97"/>
        <v>123</v>
      </c>
      <c r="J1031" s="171">
        <f t="shared" si="98"/>
        <v>0.46949999999999997</v>
      </c>
      <c r="K1031" s="177">
        <f t="shared" si="99"/>
        <v>10.3</v>
      </c>
      <c r="L1031" s="177">
        <f t="shared" si="100"/>
        <v>0</v>
      </c>
      <c r="M1031" s="177">
        <f t="shared" si="101"/>
        <v>10.3</v>
      </c>
    </row>
    <row r="1032" spans="1:13" ht="12.75" customHeight="1">
      <c r="A1032" s="268" t="s">
        <v>441</v>
      </c>
      <c r="B1032" s="268" t="s">
        <v>2900</v>
      </c>
      <c r="C1032" s="268" t="s">
        <v>2901</v>
      </c>
      <c r="D1032" s="268">
        <v>292</v>
      </c>
      <c r="E1032" s="268">
        <v>0</v>
      </c>
      <c r="F1032" s="83">
        <f t="shared" si="102"/>
        <v>292</v>
      </c>
      <c r="G1032" s="268">
        <v>91</v>
      </c>
      <c r="H1032" s="268">
        <v>0</v>
      </c>
      <c r="I1032" s="83">
        <f t="shared" si="97"/>
        <v>91</v>
      </c>
      <c r="J1032" s="171">
        <f t="shared" si="98"/>
        <v>0.31159999999999999</v>
      </c>
      <c r="K1032" s="177">
        <f t="shared" si="99"/>
        <v>0</v>
      </c>
      <c r="L1032" s="177">
        <f t="shared" si="100"/>
        <v>0</v>
      </c>
      <c r="M1032" s="177">
        <f t="shared" si="101"/>
        <v>0</v>
      </c>
    </row>
    <row r="1033" spans="1:13" ht="12.75" customHeight="1">
      <c r="A1033" s="268" t="s">
        <v>441</v>
      </c>
      <c r="B1033" s="268" t="s">
        <v>2902</v>
      </c>
      <c r="C1033" s="268" t="s">
        <v>2903</v>
      </c>
      <c r="D1033" s="268">
        <v>669</v>
      </c>
      <c r="E1033" s="268">
        <v>0</v>
      </c>
      <c r="F1033" s="83">
        <f t="shared" si="102"/>
        <v>669</v>
      </c>
      <c r="G1033" s="268">
        <v>228</v>
      </c>
      <c r="H1033" s="268">
        <v>0</v>
      </c>
      <c r="I1033" s="83">
        <f t="shared" si="97"/>
        <v>228</v>
      </c>
      <c r="J1033" s="171">
        <f t="shared" si="98"/>
        <v>0.34079999999999999</v>
      </c>
      <c r="K1033" s="177">
        <f t="shared" si="99"/>
        <v>0</v>
      </c>
      <c r="L1033" s="177">
        <f t="shared" si="100"/>
        <v>0</v>
      </c>
      <c r="M1033" s="177">
        <f t="shared" si="101"/>
        <v>0</v>
      </c>
    </row>
    <row r="1034" spans="1:13" ht="12.75" customHeight="1">
      <c r="A1034" s="268" t="s">
        <v>441</v>
      </c>
      <c r="B1034" s="268" t="s">
        <v>2904</v>
      </c>
      <c r="C1034" s="268" t="s">
        <v>2905</v>
      </c>
      <c r="D1034" s="268">
        <v>499</v>
      </c>
      <c r="E1034" s="268">
        <v>0</v>
      </c>
      <c r="F1034" s="83">
        <f t="shared" si="102"/>
        <v>499</v>
      </c>
      <c r="G1034" s="268">
        <v>222</v>
      </c>
      <c r="H1034" s="268">
        <v>0</v>
      </c>
      <c r="I1034" s="83">
        <f t="shared" si="97"/>
        <v>222</v>
      </c>
      <c r="J1034" s="171">
        <f t="shared" si="98"/>
        <v>0.44490000000000002</v>
      </c>
      <c r="K1034" s="177">
        <f t="shared" si="99"/>
        <v>14.7</v>
      </c>
      <c r="L1034" s="177">
        <f t="shared" si="100"/>
        <v>0</v>
      </c>
      <c r="M1034" s="177">
        <f t="shared" si="101"/>
        <v>14.7</v>
      </c>
    </row>
    <row r="1035" spans="1:13" ht="12.75" customHeight="1">
      <c r="A1035" s="268" t="s">
        <v>442</v>
      </c>
      <c r="B1035" s="268" t="s">
        <v>2906</v>
      </c>
      <c r="C1035" s="268" t="s">
        <v>2907</v>
      </c>
      <c r="D1035" s="268">
        <v>419</v>
      </c>
      <c r="E1035" s="268">
        <v>0</v>
      </c>
      <c r="F1035" s="83">
        <f t="shared" si="102"/>
        <v>419</v>
      </c>
      <c r="G1035" s="268">
        <v>165</v>
      </c>
      <c r="H1035" s="268">
        <v>0</v>
      </c>
      <c r="I1035" s="83">
        <f t="shared" si="97"/>
        <v>165</v>
      </c>
      <c r="J1035" s="171">
        <f t="shared" si="98"/>
        <v>0.39379999999999998</v>
      </c>
      <c r="K1035" s="177">
        <f t="shared" si="99"/>
        <v>5.0999999999999996</v>
      </c>
      <c r="L1035" s="177">
        <f t="shared" si="100"/>
        <v>0</v>
      </c>
      <c r="M1035" s="177">
        <f t="shared" si="101"/>
        <v>5.0999999999999996</v>
      </c>
    </row>
    <row r="1036" spans="1:13" ht="12.75" customHeight="1">
      <c r="A1036" s="268" t="s">
        <v>442</v>
      </c>
      <c r="B1036" s="268" t="s">
        <v>2908</v>
      </c>
      <c r="C1036" s="268" t="s">
        <v>2909</v>
      </c>
      <c r="D1036" s="268">
        <v>326</v>
      </c>
      <c r="E1036" s="268">
        <v>0</v>
      </c>
      <c r="F1036" s="83">
        <f t="shared" si="102"/>
        <v>326</v>
      </c>
      <c r="G1036" s="268">
        <v>128</v>
      </c>
      <c r="H1036" s="268">
        <v>0</v>
      </c>
      <c r="I1036" s="83">
        <f t="shared" si="97"/>
        <v>128</v>
      </c>
      <c r="J1036" s="171">
        <f t="shared" si="98"/>
        <v>0.3926</v>
      </c>
      <c r="K1036" s="177">
        <f t="shared" si="99"/>
        <v>3.8</v>
      </c>
      <c r="L1036" s="177">
        <f t="shared" si="100"/>
        <v>0</v>
      </c>
      <c r="M1036" s="177">
        <f t="shared" si="101"/>
        <v>3.8</v>
      </c>
    </row>
    <row r="1037" spans="1:13" ht="12.75" customHeight="1">
      <c r="A1037" s="268" t="s">
        <v>442</v>
      </c>
      <c r="B1037" s="268" t="s">
        <v>2910</v>
      </c>
      <c r="C1037" s="268" t="s">
        <v>2911</v>
      </c>
      <c r="D1037" s="268">
        <v>254</v>
      </c>
      <c r="E1037" s="268">
        <v>0</v>
      </c>
      <c r="F1037" s="83">
        <f t="shared" si="102"/>
        <v>254</v>
      </c>
      <c r="G1037" s="268">
        <v>70</v>
      </c>
      <c r="H1037" s="268">
        <v>0</v>
      </c>
      <c r="I1037" s="83">
        <f t="shared" si="97"/>
        <v>70</v>
      </c>
      <c r="J1037" s="171">
        <f t="shared" si="98"/>
        <v>0.27560000000000001</v>
      </c>
      <c r="K1037" s="177">
        <f t="shared" si="99"/>
        <v>0</v>
      </c>
      <c r="L1037" s="177">
        <f t="shared" si="100"/>
        <v>0</v>
      </c>
      <c r="M1037" s="177">
        <f t="shared" si="101"/>
        <v>0</v>
      </c>
    </row>
    <row r="1038" spans="1:13" ht="12.75" customHeight="1">
      <c r="A1038" s="268" t="s">
        <v>443</v>
      </c>
      <c r="B1038" s="268" t="s">
        <v>2912</v>
      </c>
      <c r="C1038" s="268" t="s">
        <v>2913</v>
      </c>
      <c r="D1038" s="268">
        <v>240</v>
      </c>
      <c r="E1038" s="268">
        <v>0</v>
      </c>
      <c r="F1038" s="83">
        <f t="shared" si="102"/>
        <v>240</v>
      </c>
      <c r="G1038" s="268">
        <v>96</v>
      </c>
      <c r="H1038" s="268">
        <v>0</v>
      </c>
      <c r="I1038" s="83">
        <f t="shared" si="97"/>
        <v>96</v>
      </c>
      <c r="J1038" s="171">
        <f t="shared" si="98"/>
        <v>0.4</v>
      </c>
      <c r="K1038" s="177">
        <f t="shared" si="99"/>
        <v>3.4</v>
      </c>
      <c r="L1038" s="177">
        <f t="shared" si="100"/>
        <v>0</v>
      </c>
      <c r="M1038" s="177">
        <f t="shared" si="101"/>
        <v>3.4</v>
      </c>
    </row>
    <row r="1039" spans="1:13" ht="12.75" customHeight="1">
      <c r="A1039" s="268" t="s">
        <v>443</v>
      </c>
      <c r="B1039" s="268" t="s">
        <v>2914</v>
      </c>
      <c r="C1039" s="268" t="s">
        <v>2915</v>
      </c>
      <c r="D1039" s="268">
        <v>162</v>
      </c>
      <c r="E1039" s="268">
        <v>0</v>
      </c>
      <c r="F1039" s="83">
        <f t="shared" si="102"/>
        <v>162</v>
      </c>
      <c r="G1039" s="268">
        <v>53</v>
      </c>
      <c r="H1039" s="268">
        <v>0</v>
      </c>
      <c r="I1039" s="83">
        <f t="shared" si="97"/>
        <v>53</v>
      </c>
      <c r="J1039" s="171">
        <f t="shared" si="98"/>
        <v>0.32719999999999999</v>
      </c>
      <c r="K1039" s="177">
        <f t="shared" si="99"/>
        <v>0</v>
      </c>
      <c r="L1039" s="177">
        <f t="shared" si="100"/>
        <v>0</v>
      </c>
      <c r="M1039" s="177">
        <f t="shared" si="101"/>
        <v>0</v>
      </c>
    </row>
    <row r="1040" spans="1:13" ht="12.75" customHeight="1">
      <c r="A1040" s="268" t="s">
        <v>444</v>
      </c>
      <c r="B1040" s="268" t="s">
        <v>2916</v>
      </c>
      <c r="C1040" s="268" t="s">
        <v>2917</v>
      </c>
      <c r="D1040" s="268">
        <v>28</v>
      </c>
      <c r="E1040" s="268">
        <v>0</v>
      </c>
      <c r="F1040" s="83">
        <f t="shared" si="102"/>
        <v>28</v>
      </c>
      <c r="G1040" s="268">
        <v>21</v>
      </c>
      <c r="H1040" s="268">
        <v>0</v>
      </c>
      <c r="I1040" s="83">
        <f t="shared" si="97"/>
        <v>21</v>
      </c>
      <c r="J1040" s="171">
        <f t="shared" si="98"/>
        <v>0.75</v>
      </c>
      <c r="K1040" s="177">
        <f t="shared" si="99"/>
        <v>0</v>
      </c>
      <c r="L1040" s="177">
        <f t="shared" si="100"/>
        <v>2.2000000000000002</v>
      </c>
      <c r="M1040" s="177">
        <f t="shared" si="101"/>
        <v>2.2000000000000002</v>
      </c>
    </row>
    <row r="1041" spans="1:13" ht="12.75" customHeight="1">
      <c r="A1041" s="268" t="s">
        <v>444</v>
      </c>
      <c r="B1041" s="268" t="s">
        <v>2918</v>
      </c>
      <c r="C1041" s="268" t="s">
        <v>2919</v>
      </c>
      <c r="D1041" s="268">
        <v>25</v>
      </c>
      <c r="E1041" s="268">
        <v>0</v>
      </c>
      <c r="F1041" s="83">
        <f t="shared" si="102"/>
        <v>25</v>
      </c>
      <c r="G1041" s="268">
        <v>19</v>
      </c>
      <c r="H1041" s="268">
        <v>0</v>
      </c>
      <c r="I1041" s="83">
        <f t="shared" si="97"/>
        <v>19</v>
      </c>
      <c r="J1041" s="171">
        <f t="shared" si="98"/>
        <v>0.76</v>
      </c>
      <c r="K1041" s="177">
        <f t="shared" si="99"/>
        <v>0</v>
      </c>
      <c r="L1041" s="177">
        <f t="shared" si="100"/>
        <v>2</v>
      </c>
      <c r="M1041" s="177">
        <f t="shared" si="101"/>
        <v>2</v>
      </c>
    </row>
    <row r="1042" spans="1:13" ht="12.75" customHeight="1">
      <c r="A1042" s="268" t="s">
        <v>445</v>
      </c>
      <c r="B1042" s="268" t="s">
        <v>2920</v>
      </c>
      <c r="C1042" s="268" t="s">
        <v>2921</v>
      </c>
      <c r="D1042" s="268">
        <v>644</v>
      </c>
      <c r="E1042" s="268">
        <v>0</v>
      </c>
      <c r="F1042" s="83">
        <f t="shared" si="102"/>
        <v>644</v>
      </c>
      <c r="G1042" s="268">
        <v>125</v>
      </c>
      <c r="H1042" s="268">
        <v>0</v>
      </c>
      <c r="I1042" s="83">
        <f t="shared" si="97"/>
        <v>125</v>
      </c>
      <c r="J1042" s="171">
        <f t="shared" si="98"/>
        <v>0.19409999999999999</v>
      </c>
      <c r="K1042" s="177">
        <f t="shared" si="99"/>
        <v>0</v>
      </c>
      <c r="L1042" s="177">
        <f t="shared" si="100"/>
        <v>0</v>
      </c>
      <c r="M1042" s="177">
        <f t="shared" si="101"/>
        <v>0</v>
      </c>
    </row>
    <row r="1043" spans="1:13" ht="12.75" customHeight="1">
      <c r="A1043" s="268" t="s">
        <v>445</v>
      </c>
      <c r="B1043" s="268" t="s">
        <v>2922</v>
      </c>
      <c r="C1043" s="268" t="s">
        <v>2923</v>
      </c>
      <c r="D1043" s="268">
        <v>681</v>
      </c>
      <c r="E1043" s="268">
        <v>0</v>
      </c>
      <c r="F1043" s="83">
        <f t="shared" si="102"/>
        <v>681</v>
      </c>
      <c r="G1043" s="268">
        <v>184</v>
      </c>
      <c r="H1043" s="268">
        <v>0</v>
      </c>
      <c r="I1043" s="83">
        <f t="shared" si="97"/>
        <v>184</v>
      </c>
      <c r="J1043" s="171">
        <f t="shared" si="98"/>
        <v>0.2702</v>
      </c>
      <c r="K1043" s="177">
        <f t="shared" si="99"/>
        <v>0</v>
      </c>
      <c r="L1043" s="177">
        <f t="shared" si="100"/>
        <v>0</v>
      </c>
      <c r="M1043" s="177">
        <f t="shared" si="101"/>
        <v>0</v>
      </c>
    </row>
    <row r="1044" spans="1:13" ht="12.75" customHeight="1">
      <c r="A1044" s="268" t="s">
        <v>445</v>
      </c>
      <c r="B1044" s="268" t="s">
        <v>2924</v>
      </c>
      <c r="C1044" s="268" t="s">
        <v>2925</v>
      </c>
      <c r="D1044" s="268">
        <v>859</v>
      </c>
      <c r="E1044" s="268">
        <v>0</v>
      </c>
      <c r="F1044" s="83">
        <f t="shared" si="102"/>
        <v>859</v>
      </c>
      <c r="G1044" s="268">
        <v>140</v>
      </c>
      <c r="H1044" s="268">
        <v>0</v>
      </c>
      <c r="I1044" s="83">
        <f t="shared" si="97"/>
        <v>140</v>
      </c>
      <c r="J1044" s="171">
        <f t="shared" si="98"/>
        <v>0.16300000000000001</v>
      </c>
      <c r="K1044" s="177">
        <f t="shared" si="99"/>
        <v>0</v>
      </c>
      <c r="L1044" s="177">
        <f t="shared" si="100"/>
        <v>0</v>
      </c>
      <c r="M1044" s="177">
        <f t="shared" si="101"/>
        <v>0</v>
      </c>
    </row>
    <row r="1045" spans="1:13" ht="12.75" customHeight="1">
      <c r="A1045" s="268" t="s">
        <v>445</v>
      </c>
      <c r="B1045" s="268" t="s">
        <v>3609</v>
      </c>
      <c r="C1045" s="268" t="s">
        <v>3610</v>
      </c>
      <c r="D1045" s="268">
        <v>387</v>
      </c>
      <c r="E1045" s="268">
        <v>0</v>
      </c>
      <c r="F1045" s="83">
        <f t="shared" si="102"/>
        <v>387</v>
      </c>
      <c r="G1045" s="268">
        <v>92</v>
      </c>
      <c r="H1045" s="268">
        <v>0</v>
      </c>
      <c r="I1045" s="83">
        <f t="shared" si="97"/>
        <v>92</v>
      </c>
      <c r="J1045" s="171">
        <f t="shared" si="98"/>
        <v>0.23769999999999999</v>
      </c>
      <c r="K1045" s="177">
        <f t="shared" si="99"/>
        <v>0</v>
      </c>
      <c r="L1045" s="177">
        <f t="shared" si="100"/>
        <v>0</v>
      </c>
      <c r="M1045" s="177">
        <f t="shared" si="101"/>
        <v>0</v>
      </c>
    </row>
    <row r="1046" spans="1:13" ht="12.75" customHeight="1">
      <c r="A1046" s="268" t="s">
        <v>446</v>
      </c>
      <c r="B1046" s="268" t="s">
        <v>2926</v>
      </c>
      <c r="C1046" s="268" t="s">
        <v>1506</v>
      </c>
      <c r="D1046" s="268">
        <v>281</v>
      </c>
      <c r="E1046" s="268">
        <v>0</v>
      </c>
      <c r="F1046" s="83">
        <f t="shared" si="102"/>
        <v>281</v>
      </c>
      <c r="G1046" s="268">
        <v>173</v>
      </c>
      <c r="H1046" s="268">
        <v>0</v>
      </c>
      <c r="I1046" s="83">
        <f t="shared" si="97"/>
        <v>173</v>
      </c>
      <c r="J1046" s="171">
        <f t="shared" si="98"/>
        <v>0.61570000000000003</v>
      </c>
      <c r="K1046" s="177">
        <f t="shared" si="99"/>
        <v>0</v>
      </c>
      <c r="L1046" s="177">
        <f t="shared" si="100"/>
        <v>18.2</v>
      </c>
      <c r="M1046" s="177">
        <f t="shared" si="101"/>
        <v>18.2</v>
      </c>
    </row>
    <row r="1047" spans="1:13" ht="12.75" customHeight="1">
      <c r="A1047" s="268" t="s">
        <v>446</v>
      </c>
      <c r="B1047" s="268" t="s">
        <v>2927</v>
      </c>
      <c r="C1047" s="268" t="s">
        <v>2928</v>
      </c>
      <c r="D1047" s="268">
        <v>264</v>
      </c>
      <c r="E1047" s="268">
        <v>0</v>
      </c>
      <c r="F1047" s="83">
        <f t="shared" si="102"/>
        <v>264</v>
      </c>
      <c r="G1047" s="268">
        <v>173</v>
      </c>
      <c r="H1047" s="268">
        <v>0</v>
      </c>
      <c r="I1047" s="83">
        <f t="shared" si="97"/>
        <v>173</v>
      </c>
      <c r="J1047" s="171">
        <f t="shared" si="98"/>
        <v>0.65529999999999999</v>
      </c>
      <c r="K1047" s="177">
        <f t="shared" si="99"/>
        <v>0</v>
      </c>
      <c r="L1047" s="177">
        <f t="shared" si="100"/>
        <v>18.2</v>
      </c>
      <c r="M1047" s="177">
        <f t="shared" si="101"/>
        <v>18.2</v>
      </c>
    </row>
    <row r="1048" spans="1:13" ht="12.75" customHeight="1">
      <c r="A1048" s="268" t="s">
        <v>446</v>
      </c>
      <c r="B1048" s="268" t="s">
        <v>2929</v>
      </c>
      <c r="C1048" s="268" t="s">
        <v>1488</v>
      </c>
      <c r="D1048" s="268">
        <v>295</v>
      </c>
      <c r="E1048" s="268">
        <v>0</v>
      </c>
      <c r="F1048" s="83">
        <f t="shared" si="102"/>
        <v>295</v>
      </c>
      <c r="G1048" s="268">
        <v>164</v>
      </c>
      <c r="H1048" s="268">
        <v>0</v>
      </c>
      <c r="I1048" s="83">
        <f t="shared" si="97"/>
        <v>164</v>
      </c>
      <c r="J1048" s="171">
        <f t="shared" si="98"/>
        <v>0.55589999999999995</v>
      </c>
      <c r="K1048" s="177">
        <f t="shared" si="99"/>
        <v>0</v>
      </c>
      <c r="L1048" s="177">
        <f t="shared" si="100"/>
        <v>17.2</v>
      </c>
      <c r="M1048" s="177">
        <f t="shared" si="101"/>
        <v>17.2</v>
      </c>
    </row>
    <row r="1049" spans="1:13" ht="12.75" customHeight="1">
      <c r="A1049" s="268" t="s">
        <v>446</v>
      </c>
      <c r="B1049" s="268" t="s">
        <v>2930</v>
      </c>
      <c r="C1049" s="268" t="s">
        <v>2599</v>
      </c>
      <c r="D1049" s="268">
        <v>237</v>
      </c>
      <c r="E1049" s="268">
        <v>0</v>
      </c>
      <c r="F1049" s="83">
        <f t="shared" si="102"/>
        <v>237</v>
      </c>
      <c r="G1049" s="268">
        <v>155</v>
      </c>
      <c r="H1049" s="268">
        <v>0</v>
      </c>
      <c r="I1049" s="83">
        <f t="shared" si="97"/>
        <v>155</v>
      </c>
      <c r="J1049" s="171">
        <f t="shared" si="98"/>
        <v>0.65400000000000003</v>
      </c>
      <c r="K1049" s="177">
        <f t="shared" si="99"/>
        <v>0</v>
      </c>
      <c r="L1049" s="177">
        <f t="shared" si="100"/>
        <v>16.3</v>
      </c>
      <c r="M1049" s="177">
        <f t="shared" si="101"/>
        <v>16.3</v>
      </c>
    </row>
    <row r="1050" spans="1:13" ht="12.75" customHeight="1">
      <c r="A1050" s="268" t="s">
        <v>446</v>
      </c>
      <c r="B1050" s="268" t="s">
        <v>2931</v>
      </c>
      <c r="C1050" s="268" t="s">
        <v>2932</v>
      </c>
      <c r="D1050" s="268">
        <v>641</v>
      </c>
      <c r="E1050" s="268">
        <v>0</v>
      </c>
      <c r="F1050" s="83">
        <f t="shared" si="102"/>
        <v>641</v>
      </c>
      <c r="G1050" s="268">
        <v>342</v>
      </c>
      <c r="H1050" s="268">
        <v>0</v>
      </c>
      <c r="I1050" s="83">
        <f t="shared" si="97"/>
        <v>342</v>
      </c>
      <c r="J1050" s="171">
        <f t="shared" si="98"/>
        <v>0.53349999999999997</v>
      </c>
      <c r="K1050" s="177">
        <f t="shared" si="99"/>
        <v>0</v>
      </c>
      <c r="L1050" s="177">
        <f t="shared" si="100"/>
        <v>35.9</v>
      </c>
      <c r="M1050" s="177">
        <f t="shared" si="101"/>
        <v>35.9</v>
      </c>
    </row>
    <row r="1051" spans="1:13" ht="12.75" customHeight="1">
      <c r="A1051" s="268" t="s">
        <v>446</v>
      </c>
      <c r="B1051" s="268" t="s">
        <v>2933</v>
      </c>
      <c r="C1051" s="268" t="s">
        <v>2934</v>
      </c>
      <c r="D1051" s="268">
        <v>782</v>
      </c>
      <c r="E1051" s="268">
        <v>0</v>
      </c>
      <c r="F1051" s="83">
        <f t="shared" si="102"/>
        <v>782</v>
      </c>
      <c r="G1051" s="268">
        <v>346</v>
      </c>
      <c r="H1051" s="268">
        <v>0</v>
      </c>
      <c r="I1051" s="83">
        <f t="shared" si="97"/>
        <v>346</v>
      </c>
      <c r="J1051" s="171">
        <f t="shared" si="98"/>
        <v>0.4425</v>
      </c>
      <c r="K1051" s="177">
        <f t="shared" si="99"/>
        <v>22.4</v>
      </c>
      <c r="L1051" s="177">
        <f t="shared" si="100"/>
        <v>0</v>
      </c>
      <c r="M1051" s="177">
        <f t="shared" si="101"/>
        <v>22.4</v>
      </c>
    </row>
    <row r="1052" spans="1:13" ht="12.75" customHeight="1">
      <c r="A1052" s="268" t="s">
        <v>446</v>
      </c>
      <c r="B1052" s="268" t="s">
        <v>2935</v>
      </c>
      <c r="C1052" s="268" t="s">
        <v>2936</v>
      </c>
      <c r="D1052" s="268">
        <v>149</v>
      </c>
      <c r="E1052" s="268">
        <v>0</v>
      </c>
      <c r="F1052" s="83">
        <f t="shared" si="102"/>
        <v>149</v>
      </c>
      <c r="G1052" s="268">
        <v>36</v>
      </c>
      <c r="H1052" s="268">
        <v>0</v>
      </c>
      <c r="I1052" s="83">
        <f t="shared" si="97"/>
        <v>36</v>
      </c>
      <c r="J1052" s="171">
        <f t="shared" si="98"/>
        <v>0.24160000000000001</v>
      </c>
      <c r="K1052" s="177">
        <f t="shared" si="99"/>
        <v>0</v>
      </c>
      <c r="L1052" s="177">
        <f t="shared" si="100"/>
        <v>0</v>
      </c>
      <c r="M1052" s="177">
        <f t="shared" si="101"/>
        <v>0</v>
      </c>
    </row>
    <row r="1053" spans="1:13" ht="12.75" customHeight="1">
      <c r="A1053" s="268" t="s">
        <v>446</v>
      </c>
      <c r="B1053" s="268" t="s">
        <v>2937</v>
      </c>
      <c r="C1053" s="268" t="s">
        <v>2938</v>
      </c>
      <c r="D1053" s="268">
        <v>259</v>
      </c>
      <c r="E1053" s="268">
        <v>0</v>
      </c>
      <c r="F1053" s="83">
        <f t="shared" si="102"/>
        <v>259</v>
      </c>
      <c r="G1053" s="268">
        <v>155</v>
      </c>
      <c r="H1053" s="268">
        <v>0</v>
      </c>
      <c r="I1053" s="83">
        <f t="shared" si="97"/>
        <v>155</v>
      </c>
      <c r="J1053" s="171">
        <f t="shared" si="98"/>
        <v>0.59850000000000003</v>
      </c>
      <c r="K1053" s="177">
        <f t="shared" si="99"/>
        <v>0</v>
      </c>
      <c r="L1053" s="177">
        <f t="shared" si="100"/>
        <v>16.3</v>
      </c>
      <c r="M1053" s="177">
        <f t="shared" si="101"/>
        <v>16.3</v>
      </c>
    </row>
    <row r="1054" spans="1:13" ht="12.75" customHeight="1">
      <c r="A1054" s="268" t="s">
        <v>447</v>
      </c>
      <c r="B1054" s="268" t="s">
        <v>2939</v>
      </c>
      <c r="C1054" s="268" t="s">
        <v>2940</v>
      </c>
      <c r="D1054" s="268">
        <v>85</v>
      </c>
      <c r="E1054" s="268">
        <v>0</v>
      </c>
      <c r="F1054" s="83">
        <f t="shared" si="102"/>
        <v>85</v>
      </c>
      <c r="G1054" s="268">
        <v>42</v>
      </c>
      <c r="H1054" s="268">
        <v>0</v>
      </c>
      <c r="I1054" s="83">
        <f t="shared" si="97"/>
        <v>42</v>
      </c>
      <c r="J1054" s="171">
        <f t="shared" si="98"/>
        <v>0.49409999999999998</v>
      </c>
      <c r="K1054" s="177">
        <f t="shared" si="99"/>
        <v>4.2</v>
      </c>
      <c r="L1054" s="177">
        <f t="shared" si="100"/>
        <v>0</v>
      </c>
      <c r="M1054" s="177">
        <f t="shared" si="101"/>
        <v>4.2</v>
      </c>
    </row>
    <row r="1055" spans="1:13" ht="12.75" customHeight="1">
      <c r="A1055" s="268" t="s">
        <v>447</v>
      </c>
      <c r="B1055" s="268" t="s">
        <v>2941</v>
      </c>
      <c r="C1055" s="268" t="s">
        <v>2942</v>
      </c>
      <c r="D1055" s="268">
        <v>107</v>
      </c>
      <c r="E1055" s="268">
        <v>0</v>
      </c>
      <c r="F1055" s="83">
        <f t="shared" si="102"/>
        <v>107</v>
      </c>
      <c r="G1055" s="268">
        <v>35</v>
      </c>
      <c r="H1055" s="268">
        <v>0</v>
      </c>
      <c r="I1055" s="83">
        <f t="shared" si="97"/>
        <v>35</v>
      </c>
      <c r="J1055" s="171">
        <f t="shared" si="98"/>
        <v>0.3271</v>
      </c>
      <c r="K1055" s="177">
        <f t="shared" si="99"/>
        <v>0</v>
      </c>
      <c r="L1055" s="177">
        <f t="shared" si="100"/>
        <v>0</v>
      </c>
      <c r="M1055" s="177">
        <f t="shared" si="101"/>
        <v>0</v>
      </c>
    </row>
    <row r="1056" spans="1:13" ht="12.75" customHeight="1">
      <c r="A1056" s="268" t="s">
        <v>448</v>
      </c>
      <c r="B1056" s="268" t="s">
        <v>2943</v>
      </c>
      <c r="C1056" s="268" t="s">
        <v>2944</v>
      </c>
      <c r="D1056" s="268">
        <v>77</v>
      </c>
      <c r="E1056" s="268">
        <v>0</v>
      </c>
      <c r="F1056" s="83">
        <f t="shared" si="102"/>
        <v>77</v>
      </c>
      <c r="G1056" s="268">
        <v>15</v>
      </c>
      <c r="H1056" s="268">
        <v>0</v>
      </c>
      <c r="I1056" s="83">
        <f t="shared" si="97"/>
        <v>15</v>
      </c>
      <c r="J1056" s="171">
        <f t="shared" si="98"/>
        <v>0.1948</v>
      </c>
      <c r="K1056" s="177">
        <f t="shared" si="99"/>
        <v>0</v>
      </c>
      <c r="L1056" s="177">
        <f t="shared" si="100"/>
        <v>0</v>
      </c>
      <c r="M1056" s="177">
        <f t="shared" si="101"/>
        <v>0</v>
      </c>
    </row>
    <row r="1057" spans="1:13" ht="12.75" customHeight="1">
      <c r="A1057" s="268" t="s">
        <v>448</v>
      </c>
      <c r="B1057" s="268" t="s">
        <v>2945</v>
      </c>
      <c r="C1057" s="268" t="s">
        <v>2946</v>
      </c>
      <c r="D1057" s="268">
        <v>292</v>
      </c>
      <c r="E1057" s="268">
        <v>0</v>
      </c>
      <c r="F1057" s="83">
        <f t="shared" si="102"/>
        <v>292</v>
      </c>
      <c r="G1057" s="268">
        <v>85</v>
      </c>
      <c r="H1057" s="268">
        <v>0</v>
      </c>
      <c r="I1057" s="83">
        <f t="shared" si="97"/>
        <v>85</v>
      </c>
      <c r="J1057" s="171">
        <f t="shared" si="98"/>
        <v>0.29110000000000003</v>
      </c>
      <c r="K1057" s="177">
        <f t="shared" si="99"/>
        <v>0</v>
      </c>
      <c r="L1057" s="177">
        <f t="shared" si="100"/>
        <v>0</v>
      </c>
      <c r="M1057" s="177">
        <f t="shared" si="101"/>
        <v>0</v>
      </c>
    </row>
    <row r="1058" spans="1:13" ht="12.75" customHeight="1">
      <c r="A1058" s="268" t="s">
        <v>448</v>
      </c>
      <c r="B1058" s="268" t="s">
        <v>2947</v>
      </c>
      <c r="C1058" s="268" t="s">
        <v>2948</v>
      </c>
      <c r="D1058" s="268">
        <v>244</v>
      </c>
      <c r="E1058" s="268">
        <v>0</v>
      </c>
      <c r="F1058" s="83">
        <f t="shared" si="102"/>
        <v>244</v>
      </c>
      <c r="G1058" s="268">
        <v>92</v>
      </c>
      <c r="H1058" s="268">
        <v>0</v>
      </c>
      <c r="I1058" s="83">
        <f t="shared" si="97"/>
        <v>92</v>
      </c>
      <c r="J1058" s="171">
        <f t="shared" si="98"/>
        <v>0.377</v>
      </c>
      <c r="K1058" s="177">
        <f t="shared" si="99"/>
        <v>1.7</v>
      </c>
      <c r="L1058" s="177">
        <f t="shared" si="100"/>
        <v>0</v>
      </c>
      <c r="M1058" s="177">
        <f t="shared" si="101"/>
        <v>1.7</v>
      </c>
    </row>
    <row r="1059" spans="1:13" ht="12.75" customHeight="1">
      <c r="A1059" s="268" t="s">
        <v>448</v>
      </c>
      <c r="B1059" s="268" t="s">
        <v>2949</v>
      </c>
      <c r="C1059" s="268" t="s">
        <v>2950</v>
      </c>
      <c r="D1059" s="268">
        <v>322</v>
      </c>
      <c r="E1059" s="268">
        <v>0</v>
      </c>
      <c r="F1059" s="83">
        <f t="shared" si="102"/>
        <v>322</v>
      </c>
      <c r="G1059" s="268">
        <v>95</v>
      </c>
      <c r="H1059" s="268">
        <v>0</v>
      </c>
      <c r="I1059" s="83">
        <f t="shared" ref="I1059:I1122" si="103">SUM(G1059+H1059)</f>
        <v>95</v>
      </c>
      <c r="J1059" s="171">
        <f t="shared" ref="J1059:J1122" si="104">IF(ISERROR(I1059/F1059),0,I1059/F1059)</f>
        <v>0.29499999999999998</v>
      </c>
      <c r="K1059" s="177">
        <f t="shared" si="99"/>
        <v>0</v>
      </c>
      <c r="L1059" s="177">
        <f t="shared" si="100"/>
        <v>0</v>
      </c>
      <c r="M1059" s="177">
        <f t="shared" si="101"/>
        <v>0</v>
      </c>
    </row>
    <row r="1060" spans="1:13" ht="12.75" customHeight="1">
      <c r="A1060" s="268" t="s">
        <v>448</v>
      </c>
      <c r="B1060" s="268" t="s">
        <v>2951</v>
      </c>
      <c r="C1060" s="268" t="s">
        <v>1546</v>
      </c>
      <c r="D1060" s="268">
        <v>77</v>
      </c>
      <c r="E1060" s="268">
        <v>0</v>
      </c>
      <c r="F1060" s="83">
        <f t="shared" si="102"/>
        <v>77</v>
      </c>
      <c r="G1060" s="268">
        <v>41</v>
      </c>
      <c r="H1060" s="268">
        <v>0</v>
      </c>
      <c r="I1060" s="83">
        <f t="shared" si="103"/>
        <v>41</v>
      </c>
      <c r="J1060" s="171">
        <f t="shared" si="104"/>
        <v>0.53249999999999997</v>
      </c>
      <c r="K1060" s="177">
        <f t="shared" si="99"/>
        <v>0</v>
      </c>
      <c r="L1060" s="177">
        <f t="shared" si="100"/>
        <v>4.3</v>
      </c>
      <c r="M1060" s="177">
        <f t="shared" si="101"/>
        <v>4.3</v>
      </c>
    </row>
    <row r="1061" spans="1:13" ht="12.75" customHeight="1">
      <c r="A1061" s="268" t="s">
        <v>448</v>
      </c>
      <c r="B1061" s="268" t="s">
        <v>2952</v>
      </c>
      <c r="C1061" s="268" t="s">
        <v>2953</v>
      </c>
      <c r="D1061" s="268">
        <v>43</v>
      </c>
      <c r="E1061" s="268">
        <v>0</v>
      </c>
      <c r="F1061" s="83">
        <f t="shared" si="102"/>
        <v>43</v>
      </c>
      <c r="G1061" s="268">
        <v>16</v>
      </c>
      <c r="H1061" s="268">
        <v>0</v>
      </c>
      <c r="I1061" s="83">
        <f t="shared" si="103"/>
        <v>16</v>
      </c>
      <c r="J1061" s="171">
        <f t="shared" si="104"/>
        <v>0.37209999999999999</v>
      </c>
      <c r="K1061" s="177">
        <f t="shared" si="99"/>
        <v>0.2</v>
      </c>
      <c r="L1061" s="177">
        <f t="shared" si="100"/>
        <v>0</v>
      </c>
      <c r="M1061" s="177">
        <f t="shared" si="101"/>
        <v>0.2</v>
      </c>
    </row>
    <row r="1062" spans="1:13" ht="12.75" customHeight="1">
      <c r="A1062" s="268" t="s">
        <v>449</v>
      </c>
      <c r="B1062" s="268" t="s">
        <v>2954</v>
      </c>
      <c r="C1062" s="268" t="s">
        <v>2955</v>
      </c>
      <c r="D1062" s="268">
        <v>79</v>
      </c>
      <c r="E1062" s="268">
        <v>0</v>
      </c>
      <c r="F1062" s="83">
        <f t="shared" si="102"/>
        <v>79</v>
      </c>
      <c r="G1062" s="268">
        <v>25</v>
      </c>
      <c r="H1062" s="268">
        <v>0</v>
      </c>
      <c r="I1062" s="83">
        <f t="shared" si="103"/>
        <v>25</v>
      </c>
      <c r="J1062" s="171">
        <f t="shared" si="104"/>
        <v>0.3165</v>
      </c>
      <c r="K1062" s="177">
        <f t="shared" si="99"/>
        <v>0</v>
      </c>
      <c r="L1062" s="177">
        <f t="shared" si="100"/>
        <v>0</v>
      </c>
      <c r="M1062" s="177">
        <f t="shared" si="101"/>
        <v>0</v>
      </c>
    </row>
    <row r="1063" spans="1:13" ht="12.75" customHeight="1">
      <c r="A1063" s="268" t="s">
        <v>450</v>
      </c>
      <c r="B1063" s="268" t="s">
        <v>2956</v>
      </c>
      <c r="C1063" s="268" t="s">
        <v>2957</v>
      </c>
      <c r="D1063" s="268">
        <v>118</v>
      </c>
      <c r="E1063" s="268">
        <v>1</v>
      </c>
      <c r="F1063" s="83">
        <f t="shared" si="102"/>
        <v>119</v>
      </c>
      <c r="G1063" s="268">
        <v>70</v>
      </c>
      <c r="H1063" s="268">
        <v>1</v>
      </c>
      <c r="I1063" s="83">
        <f t="shared" si="103"/>
        <v>71</v>
      </c>
      <c r="J1063" s="171">
        <f t="shared" si="104"/>
        <v>0.59660000000000002</v>
      </c>
      <c r="K1063" s="177">
        <f t="shared" si="99"/>
        <v>0</v>
      </c>
      <c r="L1063" s="177">
        <f t="shared" si="100"/>
        <v>7.5</v>
      </c>
      <c r="M1063" s="177">
        <f t="shared" si="101"/>
        <v>7.5</v>
      </c>
    </row>
    <row r="1064" spans="1:13" ht="12.75" customHeight="1">
      <c r="A1064" s="268" t="s">
        <v>450</v>
      </c>
      <c r="B1064" s="268" t="s">
        <v>2958</v>
      </c>
      <c r="C1064" s="268" t="s">
        <v>2959</v>
      </c>
      <c r="D1064" s="268">
        <v>379</v>
      </c>
      <c r="E1064" s="268">
        <v>12</v>
      </c>
      <c r="F1064" s="83">
        <f t="shared" si="102"/>
        <v>391</v>
      </c>
      <c r="G1064" s="268">
        <v>105</v>
      </c>
      <c r="H1064" s="268">
        <v>5</v>
      </c>
      <c r="I1064" s="83">
        <f t="shared" si="103"/>
        <v>110</v>
      </c>
      <c r="J1064" s="171">
        <f t="shared" si="104"/>
        <v>0.28129999999999999</v>
      </c>
      <c r="K1064" s="177">
        <f t="shared" si="99"/>
        <v>0</v>
      </c>
      <c r="L1064" s="177">
        <f t="shared" si="100"/>
        <v>0</v>
      </c>
      <c r="M1064" s="177">
        <f t="shared" si="101"/>
        <v>0</v>
      </c>
    </row>
    <row r="1065" spans="1:13" ht="12.75" customHeight="1">
      <c r="A1065" s="268" t="s">
        <v>450</v>
      </c>
      <c r="B1065" s="268" t="s">
        <v>2960</v>
      </c>
      <c r="C1065" s="268" t="s">
        <v>1026</v>
      </c>
      <c r="D1065" s="268">
        <v>337</v>
      </c>
      <c r="E1065" s="268">
        <v>16</v>
      </c>
      <c r="F1065" s="83">
        <f t="shared" si="102"/>
        <v>353</v>
      </c>
      <c r="G1065" s="268">
        <v>128</v>
      </c>
      <c r="H1065" s="268">
        <v>9</v>
      </c>
      <c r="I1065" s="83">
        <f t="shared" si="103"/>
        <v>137</v>
      </c>
      <c r="J1065" s="171">
        <f t="shared" si="104"/>
        <v>0.3881</v>
      </c>
      <c r="K1065" s="177">
        <f t="shared" si="99"/>
        <v>3.7</v>
      </c>
      <c r="L1065" s="177">
        <f t="shared" si="100"/>
        <v>0</v>
      </c>
      <c r="M1065" s="177">
        <f t="shared" si="101"/>
        <v>3.7</v>
      </c>
    </row>
    <row r="1066" spans="1:13" ht="12.75" customHeight="1">
      <c r="A1066" s="268" t="s">
        <v>450</v>
      </c>
      <c r="B1066" s="268" t="s">
        <v>2961</v>
      </c>
      <c r="C1066" s="268" t="s">
        <v>2962</v>
      </c>
      <c r="D1066" s="268">
        <v>359</v>
      </c>
      <c r="E1066" s="268">
        <v>42</v>
      </c>
      <c r="F1066" s="83">
        <f t="shared" si="102"/>
        <v>401</v>
      </c>
      <c r="G1066" s="268">
        <v>63</v>
      </c>
      <c r="H1066" s="268">
        <v>16</v>
      </c>
      <c r="I1066" s="83">
        <f t="shared" si="103"/>
        <v>79</v>
      </c>
      <c r="J1066" s="171">
        <f t="shared" si="104"/>
        <v>0.19700000000000001</v>
      </c>
      <c r="K1066" s="177">
        <f t="shared" si="99"/>
        <v>0</v>
      </c>
      <c r="L1066" s="177">
        <f t="shared" si="100"/>
        <v>0</v>
      </c>
      <c r="M1066" s="177">
        <f t="shared" si="101"/>
        <v>0</v>
      </c>
    </row>
    <row r="1067" spans="1:13" ht="12.75" customHeight="1">
      <c r="A1067" s="268" t="s">
        <v>450</v>
      </c>
      <c r="B1067" s="268" t="s">
        <v>2963</v>
      </c>
      <c r="C1067" s="268" t="s">
        <v>2964</v>
      </c>
      <c r="D1067" s="268">
        <v>657</v>
      </c>
      <c r="E1067" s="268">
        <v>90</v>
      </c>
      <c r="F1067" s="83">
        <f t="shared" si="102"/>
        <v>747</v>
      </c>
      <c r="G1067" s="268">
        <v>230</v>
      </c>
      <c r="H1067" s="268">
        <v>58</v>
      </c>
      <c r="I1067" s="83">
        <f t="shared" si="103"/>
        <v>288</v>
      </c>
      <c r="J1067" s="171">
        <f t="shared" si="104"/>
        <v>0.38550000000000001</v>
      </c>
      <c r="K1067" s="177">
        <f t="shared" si="99"/>
        <v>7.2</v>
      </c>
      <c r="L1067" s="177">
        <f t="shared" si="100"/>
        <v>0</v>
      </c>
      <c r="M1067" s="177">
        <f t="shared" si="101"/>
        <v>7.2</v>
      </c>
    </row>
    <row r="1068" spans="1:13" ht="12.75" customHeight="1">
      <c r="A1068" s="268" t="s">
        <v>450</v>
      </c>
      <c r="B1068" s="268" t="s">
        <v>2965</v>
      </c>
      <c r="C1068" s="268" t="s">
        <v>1554</v>
      </c>
      <c r="D1068" s="268">
        <v>182</v>
      </c>
      <c r="E1068" s="268">
        <v>1</v>
      </c>
      <c r="F1068" s="83">
        <f t="shared" si="102"/>
        <v>183</v>
      </c>
      <c r="G1068" s="268">
        <v>123</v>
      </c>
      <c r="H1068" s="268">
        <v>1</v>
      </c>
      <c r="I1068" s="83">
        <f t="shared" si="103"/>
        <v>124</v>
      </c>
      <c r="J1068" s="171">
        <f t="shared" si="104"/>
        <v>0.67759999999999998</v>
      </c>
      <c r="K1068" s="177">
        <f t="shared" si="99"/>
        <v>0</v>
      </c>
      <c r="L1068" s="177">
        <f t="shared" si="100"/>
        <v>13</v>
      </c>
      <c r="M1068" s="177">
        <f t="shared" si="101"/>
        <v>13</v>
      </c>
    </row>
    <row r="1069" spans="1:13" ht="12.75" customHeight="1">
      <c r="A1069" s="268" t="s">
        <v>450</v>
      </c>
      <c r="B1069" s="268" t="s">
        <v>2966</v>
      </c>
      <c r="C1069" s="268" t="s">
        <v>1488</v>
      </c>
      <c r="D1069" s="268">
        <v>199</v>
      </c>
      <c r="E1069" s="268">
        <v>27</v>
      </c>
      <c r="F1069" s="83">
        <f t="shared" si="102"/>
        <v>226</v>
      </c>
      <c r="G1069" s="268">
        <v>56</v>
      </c>
      <c r="H1069" s="268">
        <v>16</v>
      </c>
      <c r="I1069" s="83">
        <f t="shared" si="103"/>
        <v>72</v>
      </c>
      <c r="J1069" s="171">
        <f t="shared" si="104"/>
        <v>0.31859999999999999</v>
      </c>
      <c r="K1069" s="177">
        <f t="shared" si="99"/>
        <v>0</v>
      </c>
      <c r="L1069" s="177">
        <f t="shared" si="100"/>
        <v>0</v>
      </c>
      <c r="M1069" s="177">
        <f t="shared" si="101"/>
        <v>0</v>
      </c>
    </row>
    <row r="1070" spans="1:13" ht="12.75" customHeight="1">
      <c r="A1070" s="268" t="s">
        <v>450</v>
      </c>
      <c r="B1070" s="268" t="s">
        <v>2967</v>
      </c>
      <c r="C1070" s="268" t="s">
        <v>1490</v>
      </c>
      <c r="D1070" s="268">
        <v>258</v>
      </c>
      <c r="E1070" s="268">
        <v>3</v>
      </c>
      <c r="F1070" s="83">
        <f t="shared" si="102"/>
        <v>261</v>
      </c>
      <c r="G1070" s="268">
        <v>110</v>
      </c>
      <c r="H1070" s="268">
        <v>2</v>
      </c>
      <c r="I1070" s="83">
        <f t="shared" si="103"/>
        <v>112</v>
      </c>
      <c r="J1070" s="171">
        <f t="shared" si="104"/>
        <v>0.42909999999999998</v>
      </c>
      <c r="K1070" s="177">
        <f t="shared" si="99"/>
        <v>6.2</v>
      </c>
      <c r="L1070" s="177">
        <f t="shared" si="100"/>
        <v>0</v>
      </c>
      <c r="M1070" s="177">
        <f t="shared" si="101"/>
        <v>6.2</v>
      </c>
    </row>
    <row r="1071" spans="1:13" ht="12.75" customHeight="1">
      <c r="A1071" s="268" t="s">
        <v>450</v>
      </c>
      <c r="B1071" s="268" t="s">
        <v>2968</v>
      </c>
      <c r="C1071" s="268" t="s">
        <v>2969</v>
      </c>
      <c r="D1071" s="268">
        <v>210</v>
      </c>
      <c r="E1071" s="268">
        <v>13</v>
      </c>
      <c r="F1071" s="83">
        <f t="shared" si="102"/>
        <v>223</v>
      </c>
      <c r="G1071" s="268">
        <v>48</v>
      </c>
      <c r="H1071" s="268">
        <v>7</v>
      </c>
      <c r="I1071" s="83">
        <f t="shared" si="103"/>
        <v>55</v>
      </c>
      <c r="J1071" s="171">
        <f t="shared" si="104"/>
        <v>0.24660000000000001</v>
      </c>
      <c r="K1071" s="177">
        <f t="shared" si="99"/>
        <v>0</v>
      </c>
      <c r="L1071" s="177">
        <f t="shared" si="100"/>
        <v>0</v>
      </c>
      <c r="M1071" s="177">
        <f t="shared" si="101"/>
        <v>0</v>
      </c>
    </row>
    <row r="1072" spans="1:13" ht="12.75" customHeight="1">
      <c r="A1072" s="268" t="s">
        <v>450</v>
      </c>
      <c r="B1072" s="268" t="s">
        <v>2970</v>
      </c>
      <c r="C1072" s="268" t="s">
        <v>2971</v>
      </c>
      <c r="D1072" s="268">
        <v>249</v>
      </c>
      <c r="E1072" s="268">
        <v>5</v>
      </c>
      <c r="F1072" s="83">
        <f t="shared" si="102"/>
        <v>254</v>
      </c>
      <c r="G1072" s="268">
        <v>95</v>
      </c>
      <c r="H1072" s="268">
        <v>3</v>
      </c>
      <c r="I1072" s="83">
        <f t="shared" si="103"/>
        <v>98</v>
      </c>
      <c r="J1072" s="171">
        <f t="shared" si="104"/>
        <v>0.38579999999999998</v>
      </c>
      <c r="K1072" s="177">
        <f t="shared" si="99"/>
        <v>2.5</v>
      </c>
      <c r="L1072" s="177">
        <f t="shared" si="100"/>
        <v>0</v>
      </c>
      <c r="M1072" s="177">
        <f t="shared" si="101"/>
        <v>2.5</v>
      </c>
    </row>
    <row r="1073" spans="1:13" ht="12.75" customHeight="1">
      <c r="A1073" s="268" t="s">
        <v>450</v>
      </c>
      <c r="B1073" s="268" t="s">
        <v>2972</v>
      </c>
      <c r="C1073" s="268" t="s">
        <v>1283</v>
      </c>
      <c r="D1073" s="268">
        <v>349</v>
      </c>
      <c r="E1073" s="268">
        <v>5</v>
      </c>
      <c r="F1073" s="83">
        <f t="shared" si="102"/>
        <v>354</v>
      </c>
      <c r="G1073" s="268">
        <v>332</v>
      </c>
      <c r="H1073" s="268">
        <v>5</v>
      </c>
      <c r="I1073" s="83">
        <f t="shared" si="103"/>
        <v>337</v>
      </c>
      <c r="J1073" s="171">
        <f t="shared" si="104"/>
        <v>0.95199999999999996</v>
      </c>
      <c r="K1073" s="177">
        <f t="shared" si="99"/>
        <v>0</v>
      </c>
      <c r="L1073" s="177">
        <f t="shared" si="100"/>
        <v>35.4</v>
      </c>
      <c r="M1073" s="177">
        <f t="shared" si="101"/>
        <v>35.4</v>
      </c>
    </row>
    <row r="1074" spans="1:13" ht="12.75" customHeight="1">
      <c r="A1074" s="268" t="s">
        <v>450</v>
      </c>
      <c r="B1074" s="268" t="s">
        <v>2973</v>
      </c>
      <c r="C1074" s="268" t="s">
        <v>2974</v>
      </c>
      <c r="D1074" s="268">
        <v>283</v>
      </c>
      <c r="E1074" s="268">
        <v>2</v>
      </c>
      <c r="F1074" s="83">
        <f t="shared" si="102"/>
        <v>285</v>
      </c>
      <c r="G1074" s="268">
        <v>172</v>
      </c>
      <c r="H1074" s="268">
        <v>2</v>
      </c>
      <c r="I1074" s="83">
        <f t="shared" si="103"/>
        <v>174</v>
      </c>
      <c r="J1074" s="171">
        <f t="shared" si="104"/>
        <v>0.61050000000000004</v>
      </c>
      <c r="K1074" s="177">
        <f t="shared" si="99"/>
        <v>0</v>
      </c>
      <c r="L1074" s="177">
        <f t="shared" si="100"/>
        <v>18.3</v>
      </c>
      <c r="M1074" s="177">
        <f t="shared" si="101"/>
        <v>18.3</v>
      </c>
    </row>
    <row r="1075" spans="1:13" ht="12.75" customHeight="1">
      <c r="A1075" s="268" t="s">
        <v>450</v>
      </c>
      <c r="B1075" s="268" t="s">
        <v>2975</v>
      </c>
      <c r="C1075" s="268" t="s">
        <v>2976</v>
      </c>
      <c r="D1075" s="268">
        <v>588</v>
      </c>
      <c r="E1075" s="268">
        <v>80</v>
      </c>
      <c r="F1075" s="83">
        <f t="shared" si="102"/>
        <v>668</v>
      </c>
      <c r="G1075" s="268">
        <v>109</v>
      </c>
      <c r="H1075" s="268">
        <v>15</v>
      </c>
      <c r="I1075" s="83">
        <f t="shared" si="103"/>
        <v>124</v>
      </c>
      <c r="J1075" s="171">
        <f t="shared" si="104"/>
        <v>0.18559999999999999</v>
      </c>
      <c r="K1075" s="177">
        <f t="shared" si="99"/>
        <v>0</v>
      </c>
      <c r="L1075" s="177">
        <f t="shared" si="100"/>
        <v>0</v>
      </c>
      <c r="M1075" s="177">
        <f t="shared" si="101"/>
        <v>0</v>
      </c>
    </row>
    <row r="1076" spans="1:13" ht="12.75" customHeight="1">
      <c r="A1076" s="268" t="s">
        <v>450</v>
      </c>
      <c r="B1076" s="268" t="s">
        <v>2977</v>
      </c>
      <c r="C1076" s="268" t="s">
        <v>2978</v>
      </c>
      <c r="D1076" s="268">
        <v>954</v>
      </c>
      <c r="E1076" s="268">
        <v>9</v>
      </c>
      <c r="F1076" s="83">
        <f t="shared" si="102"/>
        <v>963</v>
      </c>
      <c r="G1076" s="268">
        <v>441</v>
      </c>
      <c r="H1076" s="268">
        <v>6</v>
      </c>
      <c r="I1076" s="83">
        <f t="shared" si="103"/>
        <v>447</v>
      </c>
      <c r="J1076" s="171">
        <f t="shared" si="104"/>
        <v>0.4642</v>
      </c>
      <c r="K1076" s="177">
        <f t="shared" si="99"/>
        <v>35.700000000000003</v>
      </c>
      <c r="L1076" s="177">
        <f t="shared" si="100"/>
        <v>0</v>
      </c>
      <c r="M1076" s="177">
        <f t="shared" si="101"/>
        <v>35.700000000000003</v>
      </c>
    </row>
    <row r="1077" spans="1:13" ht="12.75" customHeight="1">
      <c r="A1077" s="268" t="s">
        <v>450</v>
      </c>
      <c r="B1077" s="268" t="s">
        <v>2979</v>
      </c>
      <c r="C1077" s="268" t="s">
        <v>2980</v>
      </c>
      <c r="D1077" s="268">
        <v>1424</v>
      </c>
      <c r="E1077" s="268">
        <v>53</v>
      </c>
      <c r="F1077" s="83">
        <f t="shared" si="102"/>
        <v>1477</v>
      </c>
      <c r="G1077" s="268">
        <v>508</v>
      </c>
      <c r="H1077" s="268">
        <v>12</v>
      </c>
      <c r="I1077" s="83">
        <f t="shared" si="103"/>
        <v>520</v>
      </c>
      <c r="J1077" s="171">
        <f t="shared" si="104"/>
        <v>0.35210000000000002</v>
      </c>
      <c r="K1077" s="177">
        <f t="shared" si="99"/>
        <v>0.8</v>
      </c>
      <c r="L1077" s="177">
        <f t="shared" si="100"/>
        <v>0</v>
      </c>
      <c r="M1077" s="177">
        <f t="shared" si="101"/>
        <v>0.8</v>
      </c>
    </row>
    <row r="1078" spans="1:13" ht="12.75" customHeight="1">
      <c r="A1078" s="268" t="s">
        <v>450</v>
      </c>
      <c r="B1078" s="268" t="s">
        <v>2981</v>
      </c>
      <c r="C1078" s="268" t="s">
        <v>2982</v>
      </c>
      <c r="D1078" s="268">
        <v>90</v>
      </c>
      <c r="E1078" s="268">
        <v>6</v>
      </c>
      <c r="F1078" s="83">
        <f t="shared" si="102"/>
        <v>96</v>
      </c>
      <c r="G1078" s="268">
        <v>25</v>
      </c>
      <c r="H1078" s="268">
        <v>2</v>
      </c>
      <c r="I1078" s="83">
        <f t="shared" si="103"/>
        <v>27</v>
      </c>
      <c r="J1078" s="171">
        <f t="shared" si="104"/>
        <v>0.28129999999999999</v>
      </c>
      <c r="K1078" s="177">
        <f t="shared" si="99"/>
        <v>0</v>
      </c>
      <c r="L1078" s="177">
        <f t="shared" si="100"/>
        <v>0</v>
      </c>
      <c r="M1078" s="177">
        <f t="shared" si="101"/>
        <v>0</v>
      </c>
    </row>
    <row r="1079" spans="1:13" ht="12.75" customHeight="1">
      <c r="A1079" s="268" t="s">
        <v>450</v>
      </c>
      <c r="B1079" s="268" t="s">
        <v>2983</v>
      </c>
      <c r="C1079" s="268" t="s">
        <v>2984</v>
      </c>
      <c r="D1079" s="268">
        <v>572</v>
      </c>
      <c r="E1079" s="268">
        <v>85</v>
      </c>
      <c r="F1079" s="83">
        <f t="shared" si="102"/>
        <v>657</v>
      </c>
      <c r="G1079" s="268">
        <v>165</v>
      </c>
      <c r="H1079" s="268">
        <v>35</v>
      </c>
      <c r="I1079" s="83">
        <f t="shared" si="103"/>
        <v>200</v>
      </c>
      <c r="J1079" s="171">
        <f t="shared" si="104"/>
        <v>0.3044</v>
      </c>
      <c r="K1079" s="177">
        <f t="shared" si="99"/>
        <v>0</v>
      </c>
      <c r="L1079" s="177">
        <f t="shared" si="100"/>
        <v>0</v>
      </c>
      <c r="M1079" s="177">
        <f t="shared" si="101"/>
        <v>0</v>
      </c>
    </row>
    <row r="1080" spans="1:13" ht="12.75" customHeight="1">
      <c r="A1080" s="268" t="s">
        <v>451</v>
      </c>
      <c r="B1080" s="268" t="s">
        <v>2985</v>
      </c>
      <c r="C1080" s="268" t="s">
        <v>2986</v>
      </c>
      <c r="D1080" s="268">
        <v>52</v>
      </c>
      <c r="E1080" s="268">
        <v>0</v>
      </c>
      <c r="F1080" s="83">
        <f t="shared" si="102"/>
        <v>52</v>
      </c>
      <c r="G1080" s="268">
        <v>18</v>
      </c>
      <c r="H1080" s="268">
        <v>0</v>
      </c>
      <c r="I1080" s="83">
        <f t="shared" si="103"/>
        <v>18</v>
      </c>
      <c r="J1080" s="171">
        <f t="shared" si="104"/>
        <v>0.34620000000000001</v>
      </c>
      <c r="K1080" s="177">
        <f t="shared" si="99"/>
        <v>0</v>
      </c>
      <c r="L1080" s="177">
        <f t="shared" si="100"/>
        <v>0</v>
      </c>
      <c r="M1080" s="177">
        <f t="shared" si="101"/>
        <v>0</v>
      </c>
    </row>
    <row r="1081" spans="1:13" ht="12.75" customHeight="1">
      <c r="A1081" s="268" t="s">
        <v>451</v>
      </c>
      <c r="B1081" s="268" t="s">
        <v>2987</v>
      </c>
      <c r="C1081" s="268" t="s">
        <v>2988</v>
      </c>
      <c r="D1081" s="268">
        <v>24</v>
      </c>
      <c r="E1081" s="268">
        <v>0</v>
      </c>
      <c r="F1081" s="83">
        <f t="shared" si="102"/>
        <v>24</v>
      </c>
      <c r="G1081" s="268">
        <v>11</v>
      </c>
      <c r="H1081" s="268">
        <v>0</v>
      </c>
      <c r="I1081" s="83">
        <f t="shared" si="103"/>
        <v>11</v>
      </c>
      <c r="J1081" s="171">
        <f t="shared" si="104"/>
        <v>0.45829999999999999</v>
      </c>
      <c r="K1081" s="177">
        <f t="shared" si="99"/>
        <v>0.8</v>
      </c>
      <c r="L1081" s="177">
        <f t="shared" si="100"/>
        <v>0</v>
      </c>
      <c r="M1081" s="177">
        <f t="shared" si="101"/>
        <v>0.8</v>
      </c>
    </row>
    <row r="1082" spans="1:13" ht="12.75" customHeight="1">
      <c r="A1082" s="268" t="s">
        <v>452</v>
      </c>
      <c r="B1082" s="268" t="s">
        <v>2989</v>
      </c>
      <c r="C1082" s="268" t="s">
        <v>2990</v>
      </c>
      <c r="D1082" s="268">
        <v>100</v>
      </c>
      <c r="E1082" s="268">
        <v>0</v>
      </c>
      <c r="F1082" s="83">
        <f t="shared" si="102"/>
        <v>100</v>
      </c>
      <c r="G1082" s="268">
        <v>30</v>
      </c>
      <c r="H1082" s="268">
        <v>0</v>
      </c>
      <c r="I1082" s="83">
        <f t="shared" si="103"/>
        <v>30</v>
      </c>
      <c r="J1082" s="171">
        <f t="shared" si="104"/>
        <v>0.3</v>
      </c>
      <c r="K1082" s="177">
        <f t="shared" si="99"/>
        <v>0</v>
      </c>
      <c r="L1082" s="177">
        <f t="shared" si="100"/>
        <v>0</v>
      </c>
      <c r="M1082" s="177">
        <f t="shared" si="101"/>
        <v>0</v>
      </c>
    </row>
    <row r="1083" spans="1:13" ht="12.75" customHeight="1">
      <c r="A1083" s="268" t="s">
        <v>452</v>
      </c>
      <c r="B1083" s="268" t="s">
        <v>2991</v>
      </c>
      <c r="C1083" s="268" t="s">
        <v>2992</v>
      </c>
      <c r="D1083" s="268">
        <v>124</v>
      </c>
      <c r="E1083" s="268">
        <v>0</v>
      </c>
      <c r="F1083" s="83">
        <f t="shared" si="102"/>
        <v>124</v>
      </c>
      <c r="G1083" s="268">
        <v>27</v>
      </c>
      <c r="H1083" s="268">
        <v>0</v>
      </c>
      <c r="I1083" s="83">
        <f t="shared" si="103"/>
        <v>27</v>
      </c>
      <c r="J1083" s="171">
        <f t="shared" si="104"/>
        <v>0.2177</v>
      </c>
      <c r="K1083" s="177">
        <f t="shared" si="99"/>
        <v>0</v>
      </c>
      <c r="L1083" s="177">
        <f t="shared" si="100"/>
        <v>0</v>
      </c>
      <c r="M1083" s="177">
        <f t="shared" si="101"/>
        <v>0</v>
      </c>
    </row>
    <row r="1084" spans="1:13" ht="12.75" customHeight="1">
      <c r="A1084" s="268" t="s">
        <v>453</v>
      </c>
      <c r="B1084" s="268" t="s">
        <v>2993</v>
      </c>
      <c r="C1084" s="268" t="s">
        <v>2994</v>
      </c>
      <c r="D1084" s="268">
        <v>161</v>
      </c>
      <c r="E1084" s="268">
        <v>0</v>
      </c>
      <c r="F1084" s="83">
        <f t="shared" si="102"/>
        <v>161</v>
      </c>
      <c r="G1084" s="268">
        <v>61</v>
      </c>
      <c r="H1084" s="268">
        <v>0</v>
      </c>
      <c r="I1084" s="83">
        <f t="shared" si="103"/>
        <v>61</v>
      </c>
      <c r="J1084" s="171">
        <f t="shared" si="104"/>
        <v>0.37890000000000001</v>
      </c>
      <c r="K1084" s="177">
        <f t="shared" si="99"/>
        <v>1.2</v>
      </c>
      <c r="L1084" s="177">
        <f t="shared" si="100"/>
        <v>0</v>
      </c>
      <c r="M1084" s="177">
        <f t="shared" si="101"/>
        <v>1.2</v>
      </c>
    </row>
    <row r="1085" spans="1:13" ht="12.75" customHeight="1">
      <c r="A1085" s="268" t="s">
        <v>453</v>
      </c>
      <c r="B1085" s="268" t="s">
        <v>2995</v>
      </c>
      <c r="C1085" s="268" t="s">
        <v>2996</v>
      </c>
      <c r="D1085" s="268">
        <v>57</v>
      </c>
      <c r="E1085" s="268">
        <v>0</v>
      </c>
      <c r="F1085" s="83">
        <f t="shared" si="102"/>
        <v>57</v>
      </c>
      <c r="G1085" s="268">
        <v>20</v>
      </c>
      <c r="H1085" s="268">
        <v>0</v>
      </c>
      <c r="I1085" s="83">
        <f t="shared" si="103"/>
        <v>20</v>
      </c>
      <c r="J1085" s="171">
        <f t="shared" si="104"/>
        <v>0.35089999999999999</v>
      </c>
      <c r="K1085" s="177">
        <f t="shared" si="99"/>
        <v>0</v>
      </c>
      <c r="L1085" s="177">
        <f t="shared" si="100"/>
        <v>0</v>
      </c>
      <c r="M1085" s="177">
        <f t="shared" si="101"/>
        <v>0</v>
      </c>
    </row>
    <row r="1086" spans="1:13" ht="12.75" customHeight="1">
      <c r="A1086" s="268" t="s">
        <v>454</v>
      </c>
      <c r="B1086" s="268" t="s">
        <v>2997</v>
      </c>
      <c r="C1086" s="268" t="s">
        <v>2998</v>
      </c>
      <c r="D1086" s="268">
        <v>515</v>
      </c>
      <c r="E1086" s="268">
        <v>0</v>
      </c>
      <c r="F1086" s="83">
        <f t="shared" si="102"/>
        <v>515</v>
      </c>
      <c r="G1086" s="268">
        <v>358</v>
      </c>
      <c r="H1086" s="268">
        <v>0</v>
      </c>
      <c r="I1086" s="83">
        <f t="shared" si="103"/>
        <v>358</v>
      </c>
      <c r="J1086" s="171">
        <f t="shared" si="104"/>
        <v>0.69510000000000005</v>
      </c>
      <c r="K1086" s="177">
        <f t="shared" si="99"/>
        <v>0</v>
      </c>
      <c r="L1086" s="177">
        <f t="shared" si="100"/>
        <v>37.6</v>
      </c>
      <c r="M1086" s="177">
        <f t="shared" si="101"/>
        <v>37.6</v>
      </c>
    </row>
    <row r="1087" spans="1:13" ht="12.75" customHeight="1">
      <c r="A1087" s="268" t="s">
        <v>454</v>
      </c>
      <c r="B1087" s="268" t="s">
        <v>2999</v>
      </c>
      <c r="C1087" s="268" t="s">
        <v>3000</v>
      </c>
      <c r="D1087" s="268">
        <v>428</v>
      </c>
      <c r="E1087" s="268">
        <v>0</v>
      </c>
      <c r="F1087" s="83">
        <f t="shared" si="102"/>
        <v>428</v>
      </c>
      <c r="G1087" s="268">
        <v>229</v>
      </c>
      <c r="H1087" s="268">
        <v>0</v>
      </c>
      <c r="I1087" s="83">
        <f t="shared" si="103"/>
        <v>229</v>
      </c>
      <c r="J1087" s="171">
        <f t="shared" si="104"/>
        <v>0.53500000000000003</v>
      </c>
      <c r="K1087" s="177">
        <f t="shared" si="99"/>
        <v>0</v>
      </c>
      <c r="L1087" s="177">
        <f t="shared" si="100"/>
        <v>24</v>
      </c>
      <c r="M1087" s="177">
        <f t="shared" si="101"/>
        <v>24</v>
      </c>
    </row>
    <row r="1088" spans="1:13" ht="12.75" customHeight="1">
      <c r="A1088" s="268" t="s">
        <v>454</v>
      </c>
      <c r="B1088" s="268" t="s">
        <v>3001</v>
      </c>
      <c r="C1088" s="268" t="s">
        <v>1888</v>
      </c>
      <c r="D1088" s="268">
        <v>684</v>
      </c>
      <c r="E1088" s="268">
        <v>0</v>
      </c>
      <c r="F1088" s="83">
        <f t="shared" si="102"/>
        <v>684</v>
      </c>
      <c r="G1088" s="268">
        <v>479</v>
      </c>
      <c r="H1088" s="268">
        <v>0</v>
      </c>
      <c r="I1088" s="83">
        <f t="shared" si="103"/>
        <v>479</v>
      </c>
      <c r="J1088" s="171">
        <f t="shared" si="104"/>
        <v>0.70030000000000003</v>
      </c>
      <c r="K1088" s="177">
        <f t="shared" si="99"/>
        <v>0</v>
      </c>
      <c r="L1088" s="177">
        <f t="shared" si="100"/>
        <v>50.3</v>
      </c>
      <c r="M1088" s="177">
        <f t="shared" si="101"/>
        <v>50.3</v>
      </c>
    </row>
    <row r="1089" spans="1:13" ht="12.75" customHeight="1">
      <c r="A1089" s="268" t="s">
        <v>454</v>
      </c>
      <c r="B1089" s="268" t="s">
        <v>3002</v>
      </c>
      <c r="C1089" s="268" t="s">
        <v>3003</v>
      </c>
      <c r="D1089" s="268">
        <v>1397</v>
      </c>
      <c r="E1089" s="268">
        <v>0</v>
      </c>
      <c r="F1089" s="83">
        <f t="shared" si="102"/>
        <v>1397</v>
      </c>
      <c r="G1089" s="268">
        <v>905</v>
      </c>
      <c r="H1089" s="268">
        <v>0</v>
      </c>
      <c r="I1089" s="83">
        <f t="shared" si="103"/>
        <v>905</v>
      </c>
      <c r="J1089" s="171">
        <f t="shared" si="104"/>
        <v>0.64780000000000004</v>
      </c>
      <c r="K1089" s="177">
        <f t="shared" si="99"/>
        <v>0</v>
      </c>
      <c r="L1089" s="177">
        <f t="shared" si="100"/>
        <v>95</v>
      </c>
      <c r="M1089" s="177">
        <f t="shared" si="101"/>
        <v>95</v>
      </c>
    </row>
    <row r="1090" spans="1:13" ht="12.75" customHeight="1">
      <c r="A1090" s="268" t="s">
        <v>454</v>
      </c>
      <c r="B1090" s="268" t="s">
        <v>3004</v>
      </c>
      <c r="C1090" s="268" t="s">
        <v>3005</v>
      </c>
      <c r="D1090" s="268">
        <v>567</v>
      </c>
      <c r="E1090" s="268">
        <v>0</v>
      </c>
      <c r="F1090" s="83">
        <f t="shared" si="102"/>
        <v>567</v>
      </c>
      <c r="G1090" s="268">
        <v>367</v>
      </c>
      <c r="H1090" s="268">
        <v>0</v>
      </c>
      <c r="I1090" s="83">
        <f t="shared" si="103"/>
        <v>367</v>
      </c>
      <c r="J1090" s="171">
        <f t="shared" si="104"/>
        <v>0.64729999999999999</v>
      </c>
      <c r="K1090" s="177">
        <f t="shared" si="99"/>
        <v>0</v>
      </c>
      <c r="L1090" s="177">
        <f t="shared" si="100"/>
        <v>38.5</v>
      </c>
      <c r="M1090" s="177">
        <f t="shared" si="101"/>
        <v>38.5</v>
      </c>
    </row>
    <row r="1091" spans="1:13" ht="12.75" customHeight="1">
      <c r="A1091" s="268" t="s">
        <v>454</v>
      </c>
      <c r="B1091" s="268" t="s">
        <v>3006</v>
      </c>
      <c r="C1091" s="268" t="s">
        <v>3007</v>
      </c>
      <c r="D1091" s="268">
        <v>441</v>
      </c>
      <c r="E1091" s="268">
        <v>0</v>
      </c>
      <c r="F1091" s="83">
        <f t="shared" si="102"/>
        <v>441</v>
      </c>
      <c r="G1091" s="268">
        <v>281</v>
      </c>
      <c r="H1091" s="268">
        <v>0</v>
      </c>
      <c r="I1091" s="83">
        <f t="shared" si="103"/>
        <v>281</v>
      </c>
      <c r="J1091" s="171">
        <f t="shared" si="104"/>
        <v>0.63719999999999999</v>
      </c>
      <c r="K1091" s="177">
        <f t="shared" si="99"/>
        <v>0</v>
      </c>
      <c r="L1091" s="177">
        <f t="shared" si="100"/>
        <v>29.5</v>
      </c>
      <c r="M1091" s="177">
        <f t="shared" si="101"/>
        <v>29.5</v>
      </c>
    </row>
    <row r="1092" spans="1:13" ht="12.75" customHeight="1">
      <c r="A1092" s="268" t="s">
        <v>454</v>
      </c>
      <c r="B1092" s="268" t="s">
        <v>3008</v>
      </c>
      <c r="C1092" s="268" t="s">
        <v>3009</v>
      </c>
      <c r="D1092" s="268">
        <v>372</v>
      </c>
      <c r="E1092" s="268">
        <v>0</v>
      </c>
      <c r="F1092" s="83">
        <f t="shared" si="102"/>
        <v>372</v>
      </c>
      <c r="G1092" s="268">
        <v>326</v>
      </c>
      <c r="H1092" s="268">
        <v>0</v>
      </c>
      <c r="I1092" s="83">
        <f t="shared" si="103"/>
        <v>326</v>
      </c>
      <c r="J1092" s="171">
        <f t="shared" si="104"/>
        <v>0.87629999999999997</v>
      </c>
      <c r="K1092" s="177">
        <f t="shared" si="99"/>
        <v>0</v>
      </c>
      <c r="L1092" s="177">
        <f t="shared" si="100"/>
        <v>34.200000000000003</v>
      </c>
      <c r="M1092" s="177">
        <f t="shared" si="101"/>
        <v>34.200000000000003</v>
      </c>
    </row>
    <row r="1093" spans="1:13" ht="12.75" customHeight="1">
      <c r="A1093" s="268" t="s">
        <v>454</v>
      </c>
      <c r="B1093" s="268" t="s">
        <v>3010</v>
      </c>
      <c r="C1093" s="268" t="s">
        <v>3011</v>
      </c>
      <c r="D1093" s="268">
        <v>474</v>
      </c>
      <c r="E1093" s="268">
        <v>0</v>
      </c>
      <c r="F1093" s="83">
        <f t="shared" si="102"/>
        <v>474</v>
      </c>
      <c r="G1093" s="268">
        <v>364</v>
      </c>
      <c r="H1093" s="268">
        <v>0</v>
      </c>
      <c r="I1093" s="83">
        <f t="shared" si="103"/>
        <v>364</v>
      </c>
      <c r="J1093" s="171">
        <f t="shared" si="104"/>
        <v>0.76790000000000003</v>
      </c>
      <c r="K1093" s="177">
        <f t="shared" ref="K1093:K1156" si="105">IF(AND((J1093-35%)&gt;0,J1093&lt;50%),I1093*(J1093-35%)*0.7,0)</f>
        <v>0</v>
      </c>
      <c r="L1093" s="177">
        <f t="shared" ref="L1093:L1156" si="106">IF(J1093&gt;=50%,I1093*10.5%,0)</f>
        <v>38.200000000000003</v>
      </c>
      <c r="M1093" s="177">
        <f t="shared" ref="M1093:M1156" si="107">MAX(K1093,L1093)</f>
        <v>38.200000000000003</v>
      </c>
    </row>
    <row r="1094" spans="1:13" ht="12.75" customHeight="1">
      <c r="A1094" s="268" t="s">
        <v>455</v>
      </c>
      <c r="B1094" s="268" t="s">
        <v>3012</v>
      </c>
      <c r="C1094" s="268" t="s">
        <v>3013</v>
      </c>
      <c r="D1094" s="268">
        <v>76</v>
      </c>
      <c r="E1094" s="268">
        <v>0</v>
      </c>
      <c r="F1094" s="83">
        <f t="shared" ref="F1094:F1157" si="108">SUM(D1094+E1094)</f>
        <v>76</v>
      </c>
      <c r="G1094" s="268">
        <v>29</v>
      </c>
      <c r="H1094" s="268">
        <v>0</v>
      </c>
      <c r="I1094" s="83">
        <f t="shared" si="103"/>
        <v>29</v>
      </c>
      <c r="J1094" s="171">
        <f t="shared" si="104"/>
        <v>0.38159999999999999</v>
      </c>
      <c r="K1094" s="177">
        <f t="shared" si="105"/>
        <v>0.6</v>
      </c>
      <c r="L1094" s="177">
        <f t="shared" si="106"/>
        <v>0</v>
      </c>
      <c r="M1094" s="177">
        <f t="shared" si="107"/>
        <v>0.6</v>
      </c>
    </row>
    <row r="1095" spans="1:13" ht="12.75" customHeight="1">
      <c r="A1095" s="268" t="s">
        <v>455</v>
      </c>
      <c r="B1095" s="268" t="s">
        <v>3014</v>
      </c>
      <c r="C1095" s="268" t="s">
        <v>3015</v>
      </c>
      <c r="D1095" s="268">
        <v>44</v>
      </c>
      <c r="E1095" s="268">
        <v>0</v>
      </c>
      <c r="F1095" s="83">
        <f t="shared" si="108"/>
        <v>44</v>
      </c>
      <c r="G1095" s="268">
        <v>16</v>
      </c>
      <c r="H1095" s="268">
        <v>0</v>
      </c>
      <c r="I1095" s="83">
        <f t="shared" si="103"/>
        <v>16</v>
      </c>
      <c r="J1095" s="171">
        <f t="shared" si="104"/>
        <v>0.36359999999999998</v>
      </c>
      <c r="K1095" s="177">
        <f t="shared" si="105"/>
        <v>0.2</v>
      </c>
      <c r="L1095" s="177">
        <f t="shared" si="106"/>
        <v>0</v>
      </c>
      <c r="M1095" s="177">
        <f t="shared" si="107"/>
        <v>0.2</v>
      </c>
    </row>
    <row r="1096" spans="1:13" ht="12.75" customHeight="1">
      <c r="A1096" s="268" t="s">
        <v>455</v>
      </c>
      <c r="B1096" s="268" t="s">
        <v>3016</v>
      </c>
      <c r="C1096" s="268" t="s">
        <v>3017</v>
      </c>
      <c r="D1096" s="268">
        <v>113</v>
      </c>
      <c r="E1096" s="268">
        <v>0</v>
      </c>
      <c r="F1096" s="83">
        <f t="shared" si="108"/>
        <v>113</v>
      </c>
      <c r="G1096" s="268">
        <v>49</v>
      </c>
      <c r="H1096" s="268">
        <v>0</v>
      </c>
      <c r="I1096" s="83">
        <f t="shared" si="103"/>
        <v>49</v>
      </c>
      <c r="J1096" s="171">
        <f t="shared" si="104"/>
        <v>0.43359999999999999</v>
      </c>
      <c r="K1096" s="177">
        <f t="shared" si="105"/>
        <v>2.9</v>
      </c>
      <c r="L1096" s="177">
        <f t="shared" si="106"/>
        <v>0</v>
      </c>
      <c r="M1096" s="177">
        <f t="shared" si="107"/>
        <v>2.9</v>
      </c>
    </row>
    <row r="1097" spans="1:13" ht="12.75" customHeight="1">
      <c r="A1097" s="268" t="s">
        <v>455</v>
      </c>
      <c r="B1097" s="268" t="s">
        <v>3018</v>
      </c>
      <c r="C1097" s="268" t="s">
        <v>3019</v>
      </c>
      <c r="D1097" s="268">
        <v>38</v>
      </c>
      <c r="E1097" s="268">
        <v>0</v>
      </c>
      <c r="F1097" s="83">
        <f t="shared" si="108"/>
        <v>38</v>
      </c>
      <c r="G1097" s="268">
        <v>12</v>
      </c>
      <c r="H1097" s="268">
        <v>0</v>
      </c>
      <c r="I1097" s="83">
        <f t="shared" si="103"/>
        <v>12</v>
      </c>
      <c r="J1097" s="171">
        <f t="shared" si="104"/>
        <v>0.31580000000000003</v>
      </c>
      <c r="K1097" s="177">
        <f t="shared" si="105"/>
        <v>0</v>
      </c>
      <c r="L1097" s="177">
        <f t="shared" si="106"/>
        <v>0</v>
      </c>
      <c r="M1097" s="177">
        <f t="shared" si="107"/>
        <v>0</v>
      </c>
    </row>
    <row r="1098" spans="1:13" ht="12.75" customHeight="1">
      <c r="A1098" s="268" t="s">
        <v>456</v>
      </c>
      <c r="B1098" s="268" t="s">
        <v>3020</v>
      </c>
      <c r="C1098" s="268" t="s">
        <v>3021</v>
      </c>
      <c r="D1098" s="268">
        <v>145</v>
      </c>
      <c r="E1098" s="268">
        <v>0</v>
      </c>
      <c r="F1098" s="83">
        <f t="shared" si="108"/>
        <v>145</v>
      </c>
      <c r="G1098" s="268">
        <v>49</v>
      </c>
      <c r="H1098" s="268">
        <v>0</v>
      </c>
      <c r="I1098" s="83">
        <f t="shared" si="103"/>
        <v>49</v>
      </c>
      <c r="J1098" s="171">
        <f t="shared" si="104"/>
        <v>0.33789999999999998</v>
      </c>
      <c r="K1098" s="177">
        <f t="shared" si="105"/>
        <v>0</v>
      </c>
      <c r="L1098" s="177">
        <f t="shared" si="106"/>
        <v>0</v>
      </c>
      <c r="M1098" s="177">
        <f t="shared" si="107"/>
        <v>0</v>
      </c>
    </row>
    <row r="1099" spans="1:13" ht="12.75" customHeight="1">
      <c r="A1099" s="268" t="s">
        <v>456</v>
      </c>
      <c r="B1099" s="268" t="s">
        <v>3022</v>
      </c>
      <c r="C1099" s="268" t="s">
        <v>3023</v>
      </c>
      <c r="D1099" s="268">
        <v>96</v>
      </c>
      <c r="E1099" s="268">
        <v>0</v>
      </c>
      <c r="F1099" s="83">
        <f t="shared" si="108"/>
        <v>96</v>
      </c>
      <c r="G1099" s="268">
        <v>34</v>
      </c>
      <c r="H1099" s="268">
        <v>0</v>
      </c>
      <c r="I1099" s="83">
        <f t="shared" si="103"/>
        <v>34</v>
      </c>
      <c r="J1099" s="171">
        <f t="shared" si="104"/>
        <v>0.35420000000000001</v>
      </c>
      <c r="K1099" s="177">
        <f t="shared" si="105"/>
        <v>0.1</v>
      </c>
      <c r="L1099" s="177">
        <f t="shared" si="106"/>
        <v>0</v>
      </c>
      <c r="M1099" s="177">
        <f t="shared" si="107"/>
        <v>0.1</v>
      </c>
    </row>
    <row r="1100" spans="1:13" ht="12.75" customHeight="1">
      <c r="A1100" s="268" t="s">
        <v>457</v>
      </c>
      <c r="B1100" s="268" t="s">
        <v>3024</v>
      </c>
      <c r="C1100" s="268" t="s">
        <v>3025</v>
      </c>
      <c r="D1100" s="268">
        <v>125</v>
      </c>
      <c r="E1100" s="268">
        <v>0</v>
      </c>
      <c r="F1100" s="83">
        <f t="shared" si="108"/>
        <v>125</v>
      </c>
      <c r="G1100" s="268">
        <v>75</v>
      </c>
      <c r="H1100" s="268">
        <v>0</v>
      </c>
      <c r="I1100" s="83">
        <f t="shared" si="103"/>
        <v>75</v>
      </c>
      <c r="J1100" s="171">
        <f t="shared" si="104"/>
        <v>0.6</v>
      </c>
      <c r="K1100" s="177">
        <f t="shared" si="105"/>
        <v>0</v>
      </c>
      <c r="L1100" s="177">
        <f t="shared" si="106"/>
        <v>7.9</v>
      </c>
      <c r="M1100" s="177">
        <f t="shared" si="107"/>
        <v>7.9</v>
      </c>
    </row>
    <row r="1101" spans="1:13" ht="12.75" customHeight="1">
      <c r="A1101" s="268" t="s">
        <v>457</v>
      </c>
      <c r="B1101" s="268" t="s">
        <v>3026</v>
      </c>
      <c r="C1101" s="268" t="s">
        <v>3027</v>
      </c>
      <c r="D1101" s="268">
        <v>182</v>
      </c>
      <c r="E1101" s="268">
        <v>0</v>
      </c>
      <c r="F1101" s="83">
        <f t="shared" si="108"/>
        <v>182</v>
      </c>
      <c r="G1101" s="268">
        <v>117</v>
      </c>
      <c r="H1101" s="268">
        <v>0</v>
      </c>
      <c r="I1101" s="83">
        <f t="shared" si="103"/>
        <v>117</v>
      </c>
      <c r="J1101" s="171">
        <f t="shared" si="104"/>
        <v>0.64290000000000003</v>
      </c>
      <c r="K1101" s="177">
        <f t="shared" si="105"/>
        <v>0</v>
      </c>
      <c r="L1101" s="177">
        <f t="shared" si="106"/>
        <v>12.3</v>
      </c>
      <c r="M1101" s="177">
        <f t="shared" si="107"/>
        <v>12.3</v>
      </c>
    </row>
    <row r="1102" spans="1:13" ht="12.75" customHeight="1">
      <c r="A1102" s="268" t="s">
        <v>457</v>
      </c>
      <c r="B1102" s="268" t="s">
        <v>3028</v>
      </c>
      <c r="C1102" s="268" t="s">
        <v>3029</v>
      </c>
      <c r="D1102" s="268">
        <v>336</v>
      </c>
      <c r="E1102" s="268">
        <v>0</v>
      </c>
      <c r="F1102" s="83">
        <f t="shared" si="108"/>
        <v>336</v>
      </c>
      <c r="G1102" s="268">
        <v>204</v>
      </c>
      <c r="H1102" s="268">
        <v>0</v>
      </c>
      <c r="I1102" s="83">
        <f t="shared" si="103"/>
        <v>204</v>
      </c>
      <c r="J1102" s="171">
        <f t="shared" si="104"/>
        <v>0.60709999999999997</v>
      </c>
      <c r="K1102" s="177">
        <f t="shared" si="105"/>
        <v>0</v>
      </c>
      <c r="L1102" s="177">
        <f t="shared" si="106"/>
        <v>21.4</v>
      </c>
      <c r="M1102" s="177">
        <f t="shared" si="107"/>
        <v>21.4</v>
      </c>
    </row>
    <row r="1103" spans="1:13" ht="12.75" customHeight="1">
      <c r="A1103" s="268" t="s">
        <v>458</v>
      </c>
      <c r="B1103" s="268" t="s">
        <v>3427</v>
      </c>
      <c r="C1103" s="268" t="s">
        <v>3428</v>
      </c>
      <c r="D1103" s="268">
        <v>68</v>
      </c>
      <c r="E1103" s="268">
        <v>0</v>
      </c>
      <c r="F1103" s="83">
        <f t="shared" si="108"/>
        <v>68</v>
      </c>
      <c r="G1103" s="268">
        <v>28</v>
      </c>
      <c r="H1103" s="268">
        <v>0</v>
      </c>
      <c r="I1103" s="83">
        <f t="shared" si="103"/>
        <v>28</v>
      </c>
      <c r="J1103" s="171">
        <f t="shared" si="104"/>
        <v>0.4118</v>
      </c>
      <c r="K1103" s="177">
        <f t="shared" si="105"/>
        <v>1.2</v>
      </c>
      <c r="L1103" s="177">
        <f t="shared" si="106"/>
        <v>0</v>
      </c>
      <c r="M1103" s="177">
        <f t="shared" si="107"/>
        <v>1.2</v>
      </c>
    </row>
    <row r="1104" spans="1:13" ht="12.75" customHeight="1">
      <c r="A1104" s="268" t="s">
        <v>458</v>
      </c>
      <c r="B1104" s="268" t="s">
        <v>3429</v>
      </c>
      <c r="C1104" s="268" t="s">
        <v>2659</v>
      </c>
      <c r="D1104" s="268">
        <v>320</v>
      </c>
      <c r="E1104" s="268">
        <v>0</v>
      </c>
      <c r="F1104" s="83">
        <f t="shared" si="108"/>
        <v>320</v>
      </c>
      <c r="G1104" s="268">
        <v>176</v>
      </c>
      <c r="H1104" s="268">
        <v>0</v>
      </c>
      <c r="I1104" s="83">
        <f t="shared" si="103"/>
        <v>176</v>
      </c>
      <c r="J1104" s="171">
        <f t="shared" si="104"/>
        <v>0.55000000000000004</v>
      </c>
      <c r="K1104" s="177">
        <f t="shared" si="105"/>
        <v>0</v>
      </c>
      <c r="L1104" s="177">
        <f t="shared" si="106"/>
        <v>18.5</v>
      </c>
      <c r="M1104" s="177">
        <f t="shared" si="107"/>
        <v>18.5</v>
      </c>
    </row>
    <row r="1105" spans="1:13" ht="12.75" customHeight="1">
      <c r="A1105" s="268" t="s">
        <v>458</v>
      </c>
      <c r="B1105" s="268" t="s">
        <v>3430</v>
      </c>
      <c r="C1105" s="268" t="s">
        <v>3431</v>
      </c>
      <c r="D1105" s="268">
        <v>325</v>
      </c>
      <c r="E1105" s="268">
        <v>0</v>
      </c>
      <c r="F1105" s="83">
        <f t="shared" si="108"/>
        <v>325</v>
      </c>
      <c r="G1105" s="268">
        <v>107</v>
      </c>
      <c r="H1105" s="268">
        <v>0</v>
      </c>
      <c r="I1105" s="83">
        <f t="shared" si="103"/>
        <v>107</v>
      </c>
      <c r="J1105" s="171">
        <f t="shared" si="104"/>
        <v>0.32919999999999999</v>
      </c>
      <c r="K1105" s="177">
        <f t="shared" si="105"/>
        <v>0</v>
      </c>
      <c r="L1105" s="177">
        <f t="shared" si="106"/>
        <v>0</v>
      </c>
      <c r="M1105" s="177">
        <f t="shared" si="107"/>
        <v>0</v>
      </c>
    </row>
    <row r="1106" spans="1:13" ht="12.75" customHeight="1">
      <c r="A1106" s="268" t="s">
        <v>459</v>
      </c>
      <c r="B1106" s="268" t="s">
        <v>3030</v>
      </c>
      <c r="C1106" s="268" t="s">
        <v>3031</v>
      </c>
      <c r="D1106" s="268">
        <v>200</v>
      </c>
      <c r="E1106" s="268">
        <v>0</v>
      </c>
      <c r="F1106" s="83">
        <f t="shared" si="108"/>
        <v>200</v>
      </c>
      <c r="G1106" s="268">
        <v>108</v>
      </c>
      <c r="H1106" s="268">
        <v>0</v>
      </c>
      <c r="I1106" s="83">
        <f t="shared" si="103"/>
        <v>108</v>
      </c>
      <c r="J1106" s="171">
        <f t="shared" si="104"/>
        <v>0.54</v>
      </c>
      <c r="K1106" s="177">
        <f t="shared" si="105"/>
        <v>0</v>
      </c>
      <c r="L1106" s="177">
        <f t="shared" si="106"/>
        <v>11.3</v>
      </c>
      <c r="M1106" s="177">
        <f t="shared" si="107"/>
        <v>11.3</v>
      </c>
    </row>
    <row r="1107" spans="1:13" ht="12.75" customHeight="1">
      <c r="A1107" s="268" t="s">
        <v>459</v>
      </c>
      <c r="B1107" s="268" t="s">
        <v>3032</v>
      </c>
      <c r="C1107" s="268" t="s">
        <v>3033</v>
      </c>
      <c r="D1107" s="268">
        <v>114</v>
      </c>
      <c r="E1107" s="268">
        <v>0</v>
      </c>
      <c r="F1107" s="83">
        <f t="shared" si="108"/>
        <v>114</v>
      </c>
      <c r="G1107" s="268">
        <v>60</v>
      </c>
      <c r="H1107" s="268">
        <v>0</v>
      </c>
      <c r="I1107" s="83">
        <f t="shared" si="103"/>
        <v>60</v>
      </c>
      <c r="J1107" s="171">
        <f t="shared" si="104"/>
        <v>0.52629999999999999</v>
      </c>
      <c r="K1107" s="177">
        <f t="shared" si="105"/>
        <v>0</v>
      </c>
      <c r="L1107" s="177">
        <f t="shared" si="106"/>
        <v>6.3</v>
      </c>
      <c r="M1107" s="177">
        <f t="shared" si="107"/>
        <v>6.3</v>
      </c>
    </row>
    <row r="1108" spans="1:13" ht="12.75" customHeight="1">
      <c r="A1108" s="268" t="s">
        <v>459</v>
      </c>
      <c r="B1108" s="268" t="s">
        <v>3034</v>
      </c>
      <c r="C1108" s="268" t="s">
        <v>3035</v>
      </c>
      <c r="D1108" s="268">
        <v>134</v>
      </c>
      <c r="E1108" s="268">
        <v>0</v>
      </c>
      <c r="F1108" s="83">
        <f t="shared" si="108"/>
        <v>134</v>
      </c>
      <c r="G1108" s="268">
        <v>56</v>
      </c>
      <c r="H1108" s="268">
        <v>0</v>
      </c>
      <c r="I1108" s="83">
        <f t="shared" si="103"/>
        <v>56</v>
      </c>
      <c r="J1108" s="171">
        <f t="shared" si="104"/>
        <v>0.41789999999999999</v>
      </c>
      <c r="K1108" s="177">
        <f t="shared" si="105"/>
        <v>2.7</v>
      </c>
      <c r="L1108" s="177">
        <f t="shared" si="106"/>
        <v>0</v>
      </c>
      <c r="M1108" s="177">
        <f t="shared" si="107"/>
        <v>2.7</v>
      </c>
    </row>
    <row r="1109" spans="1:13" ht="12.75" customHeight="1">
      <c r="A1109" s="268" t="s">
        <v>460</v>
      </c>
      <c r="B1109" s="268" t="s">
        <v>3036</v>
      </c>
      <c r="C1109" s="268" t="s">
        <v>1490</v>
      </c>
      <c r="D1109" s="268">
        <v>343</v>
      </c>
      <c r="E1109" s="268">
        <v>0</v>
      </c>
      <c r="F1109" s="83">
        <f t="shared" si="108"/>
        <v>343</v>
      </c>
      <c r="G1109" s="268">
        <v>155</v>
      </c>
      <c r="H1109" s="268">
        <v>0</v>
      </c>
      <c r="I1109" s="83">
        <f t="shared" si="103"/>
        <v>155</v>
      </c>
      <c r="J1109" s="171">
        <f t="shared" si="104"/>
        <v>0.45190000000000002</v>
      </c>
      <c r="K1109" s="177">
        <f t="shared" si="105"/>
        <v>11.1</v>
      </c>
      <c r="L1109" s="177">
        <f t="shared" si="106"/>
        <v>0</v>
      </c>
      <c r="M1109" s="177">
        <f t="shared" si="107"/>
        <v>11.1</v>
      </c>
    </row>
    <row r="1110" spans="1:13" ht="12.75" customHeight="1">
      <c r="A1110" s="268" t="s">
        <v>460</v>
      </c>
      <c r="B1110" s="268" t="s">
        <v>3037</v>
      </c>
      <c r="C1110" s="268" t="s">
        <v>2405</v>
      </c>
      <c r="D1110" s="268">
        <v>397</v>
      </c>
      <c r="E1110" s="268">
        <v>0</v>
      </c>
      <c r="F1110" s="83">
        <f t="shared" si="108"/>
        <v>397</v>
      </c>
      <c r="G1110" s="268">
        <v>100</v>
      </c>
      <c r="H1110" s="268">
        <v>0</v>
      </c>
      <c r="I1110" s="83">
        <f t="shared" si="103"/>
        <v>100</v>
      </c>
      <c r="J1110" s="171">
        <f t="shared" si="104"/>
        <v>0.25190000000000001</v>
      </c>
      <c r="K1110" s="177">
        <f t="shared" si="105"/>
        <v>0</v>
      </c>
      <c r="L1110" s="177">
        <f t="shared" si="106"/>
        <v>0</v>
      </c>
      <c r="M1110" s="177">
        <f t="shared" si="107"/>
        <v>0</v>
      </c>
    </row>
    <row r="1111" spans="1:13" ht="12.75" customHeight="1">
      <c r="A1111" s="268" t="s">
        <v>460</v>
      </c>
      <c r="B1111" s="268" t="s">
        <v>3432</v>
      </c>
      <c r="C1111" s="268" t="s">
        <v>3433</v>
      </c>
      <c r="D1111" s="268">
        <v>679</v>
      </c>
      <c r="E1111" s="268">
        <v>0</v>
      </c>
      <c r="F1111" s="83">
        <f t="shared" si="108"/>
        <v>679</v>
      </c>
      <c r="G1111" s="268">
        <v>198</v>
      </c>
      <c r="H1111" s="268">
        <v>0</v>
      </c>
      <c r="I1111" s="83">
        <f t="shared" si="103"/>
        <v>198</v>
      </c>
      <c r="J1111" s="171">
        <f t="shared" si="104"/>
        <v>0.29160000000000003</v>
      </c>
      <c r="K1111" s="177">
        <f t="shared" si="105"/>
        <v>0</v>
      </c>
      <c r="L1111" s="177">
        <f t="shared" si="106"/>
        <v>0</v>
      </c>
      <c r="M1111" s="177">
        <f t="shared" si="107"/>
        <v>0</v>
      </c>
    </row>
    <row r="1112" spans="1:13" ht="12.75" customHeight="1">
      <c r="A1112" s="268" t="s">
        <v>460</v>
      </c>
      <c r="B1112" s="268" t="s">
        <v>3038</v>
      </c>
      <c r="C1112" s="268" t="s">
        <v>3039</v>
      </c>
      <c r="D1112" s="268">
        <v>860</v>
      </c>
      <c r="E1112" s="268">
        <v>0</v>
      </c>
      <c r="F1112" s="83">
        <f t="shared" si="108"/>
        <v>860</v>
      </c>
      <c r="G1112" s="268">
        <v>235</v>
      </c>
      <c r="H1112" s="268">
        <v>0</v>
      </c>
      <c r="I1112" s="83">
        <f t="shared" si="103"/>
        <v>235</v>
      </c>
      <c r="J1112" s="171">
        <f t="shared" si="104"/>
        <v>0.27329999999999999</v>
      </c>
      <c r="K1112" s="177">
        <f t="shared" si="105"/>
        <v>0</v>
      </c>
      <c r="L1112" s="177">
        <f t="shared" si="106"/>
        <v>0</v>
      </c>
      <c r="M1112" s="177">
        <f t="shared" si="107"/>
        <v>0</v>
      </c>
    </row>
    <row r="1113" spans="1:13" ht="12.75" customHeight="1">
      <c r="A1113" s="268" t="s">
        <v>460</v>
      </c>
      <c r="B1113" s="268" t="s">
        <v>3040</v>
      </c>
      <c r="C1113" s="268" t="s">
        <v>3041</v>
      </c>
      <c r="D1113" s="268">
        <v>383</v>
      </c>
      <c r="E1113" s="268">
        <v>0</v>
      </c>
      <c r="F1113" s="83">
        <f t="shared" si="108"/>
        <v>383</v>
      </c>
      <c r="G1113" s="268">
        <v>120</v>
      </c>
      <c r="H1113" s="268">
        <v>0</v>
      </c>
      <c r="I1113" s="83">
        <f t="shared" si="103"/>
        <v>120</v>
      </c>
      <c r="J1113" s="171">
        <f t="shared" si="104"/>
        <v>0.31330000000000002</v>
      </c>
      <c r="K1113" s="177">
        <f t="shared" si="105"/>
        <v>0</v>
      </c>
      <c r="L1113" s="177">
        <f t="shared" si="106"/>
        <v>0</v>
      </c>
      <c r="M1113" s="177">
        <f t="shared" si="107"/>
        <v>0</v>
      </c>
    </row>
    <row r="1114" spans="1:13" ht="12.75" customHeight="1">
      <c r="A1114" s="268" t="s">
        <v>460</v>
      </c>
      <c r="B1114" s="268" t="s">
        <v>3042</v>
      </c>
      <c r="C1114" s="268" t="s">
        <v>2599</v>
      </c>
      <c r="D1114" s="268">
        <v>421</v>
      </c>
      <c r="E1114" s="268">
        <v>0</v>
      </c>
      <c r="F1114" s="83">
        <f t="shared" si="108"/>
        <v>421</v>
      </c>
      <c r="G1114" s="268">
        <v>118</v>
      </c>
      <c r="H1114" s="268">
        <v>0</v>
      </c>
      <c r="I1114" s="83">
        <f t="shared" si="103"/>
        <v>118</v>
      </c>
      <c r="J1114" s="171">
        <f t="shared" si="104"/>
        <v>0.28029999999999999</v>
      </c>
      <c r="K1114" s="177">
        <f t="shared" si="105"/>
        <v>0</v>
      </c>
      <c r="L1114" s="177">
        <f t="shared" si="106"/>
        <v>0</v>
      </c>
      <c r="M1114" s="177">
        <f t="shared" si="107"/>
        <v>0</v>
      </c>
    </row>
    <row r="1115" spans="1:13" ht="12.75" customHeight="1">
      <c r="A1115" s="268" t="s">
        <v>461</v>
      </c>
      <c r="B1115" s="268" t="s">
        <v>3043</v>
      </c>
      <c r="C1115" s="268" t="s">
        <v>2957</v>
      </c>
      <c r="D1115" s="268">
        <v>262</v>
      </c>
      <c r="E1115" s="268">
        <v>0</v>
      </c>
      <c r="F1115" s="83">
        <f t="shared" si="108"/>
        <v>262</v>
      </c>
      <c r="G1115" s="268">
        <v>74</v>
      </c>
      <c r="H1115" s="268">
        <v>0</v>
      </c>
      <c r="I1115" s="83">
        <f t="shared" si="103"/>
        <v>74</v>
      </c>
      <c r="J1115" s="171">
        <f t="shared" si="104"/>
        <v>0.28239999999999998</v>
      </c>
      <c r="K1115" s="177">
        <f t="shared" si="105"/>
        <v>0</v>
      </c>
      <c r="L1115" s="177">
        <f t="shared" si="106"/>
        <v>0</v>
      </c>
      <c r="M1115" s="177">
        <f t="shared" si="107"/>
        <v>0</v>
      </c>
    </row>
    <row r="1116" spans="1:13" ht="12.75" customHeight="1">
      <c r="A1116" s="268" t="s">
        <v>461</v>
      </c>
      <c r="B1116" s="268" t="s">
        <v>3044</v>
      </c>
      <c r="C1116" s="268" t="s">
        <v>3045</v>
      </c>
      <c r="D1116" s="268">
        <v>396</v>
      </c>
      <c r="E1116" s="268">
        <v>0</v>
      </c>
      <c r="F1116" s="83">
        <f t="shared" si="108"/>
        <v>396</v>
      </c>
      <c r="G1116" s="268">
        <v>177</v>
      </c>
      <c r="H1116" s="268">
        <v>0</v>
      </c>
      <c r="I1116" s="83">
        <f t="shared" si="103"/>
        <v>177</v>
      </c>
      <c r="J1116" s="171">
        <f t="shared" si="104"/>
        <v>0.44700000000000001</v>
      </c>
      <c r="K1116" s="177">
        <f t="shared" si="105"/>
        <v>12</v>
      </c>
      <c r="L1116" s="177">
        <f t="shared" si="106"/>
        <v>0</v>
      </c>
      <c r="M1116" s="177">
        <f t="shared" si="107"/>
        <v>12</v>
      </c>
    </row>
    <row r="1117" spans="1:13" ht="12.75" customHeight="1">
      <c r="A1117" s="268" t="s">
        <v>461</v>
      </c>
      <c r="B1117" s="268" t="s">
        <v>3046</v>
      </c>
      <c r="C1117" s="268" t="s">
        <v>3047</v>
      </c>
      <c r="D1117" s="268">
        <v>532</v>
      </c>
      <c r="E1117" s="268">
        <v>0</v>
      </c>
      <c r="F1117" s="83">
        <f t="shared" si="108"/>
        <v>532</v>
      </c>
      <c r="G1117" s="268">
        <v>179</v>
      </c>
      <c r="H1117" s="268">
        <v>0</v>
      </c>
      <c r="I1117" s="83">
        <f t="shared" si="103"/>
        <v>179</v>
      </c>
      <c r="J1117" s="171">
        <f t="shared" si="104"/>
        <v>0.33650000000000002</v>
      </c>
      <c r="K1117" s="177">
        <f t="shared" si="105"/>
        <v>0</v>
      </c>
      <c r="L1117" s="177">
        <f t="shared" si="106"/>
        <v>0</v>
      </c>
      <c r="M1117" s="177">
        <f t="shared" si="107"/>
        <v>0</v>
      </c>
    </row>
    <row r="1118" spans="1:13" ht="12.75" customHeight="1">
      <c r="A1118" s="268" t="s">
        <v>461</v>
      </c>
      <c r="B1118" s="268" t="s">
        <v>3048</v>
      </c>
      <c r="C1118" s="268" t="s">
        <v>3049</v>
      </c>
      <c r="D1118" s="268">
        <v>326</v>
      </c>
      <c r="E1118" s="268">
        <v>0</v>
      </c>
      <c r="F1118" s="83">
        <f t="shared" si="108"/>
        <v>326</v>
      </c>
      <c r="G1118" s="268">
        <v>187</v>
      </c>
      <c r="H1118" s="268">
        <v>0</v>
      </c>
      <c r="I1118" s="83">
        <f t="shared" si="103"/>
        <v>187</v>
      </c>
      <c r="J1118" s="171">
        <f t="shared" si="104"/>
        <v>0.5736</v>
      </c>
      <c r="K1118" s="177">
        <f t="shared" si="105"/>
        <v>0</v>
      </c>
      <c r="L1118" s="177">
        <f t="shared" si="106"/>
        <v>19.600000000000001</v>
      </c>
      <c r="M1118" s="177">
        <f t="shared" si="107"/>
        <v>19.600000000000001</v>
      </c>
    </row>
    <row r="1119" spans="1:13" ht="12.75" customHeight="1">
      <c r="A1119" s="268" t="s">
        <v>461</v>
      </c>
      <c r="B1119" s="268" t="s">
        <v>3611</v>
      </c>
      <c r="C1119" s="268" t="s">
        <v>3612</v>
      </c>
      <c r="D1119" s="268">
        <v>378</v>
      </c>
      <c r="E1119" s="268">
        <v>0</v>
      </c>
      <c r="F1119" s="83">
        <f t="shared" si="108"/>
        <v>378</v>
      </c>
      <c r="G1119" s="268">
        <v>243</v>
      </c>
      <c r="H1119" s="268">
        <v>0</v>
      </c>
      <c r="I1119" s="83">
        <f t="shared" si="103"/>
        <v>243</v>
      </c>
      <c r="J1119" s="171">
        <f t="shared" si="104"/>
        <v>0.64290000000000003</v>
      </c>
      <c r="K1119" s="177">
        <f t="shared" si="105"/>
        <v>0</v>
      </c>
      <c r="L1119" s="177">
        <f t="shared" si="106"/>
        <v>25.5</v>
      </c>
      <c r="M1119" s="177">
        <f t="shared" si="107"/>
        <v>25.5</v>
      </c>
    </row>
    <row r="1120" spans="1:13" ht="12.75" customHeight="1">
      <c r="A1120" s="268" t="s">
        <v>462</v>
      </c>
      <c r="B1120" s="268" t="s">
        <v>3050</v>
      </c>
      <c r="C1120" s="268" t="s">
        <v>3051</v>
      </c>
      <c r="D1120" s="268">
        <v>847</v>
      </c>
      <c r="E1120" s="268">
        <v>0</v>
      </c>
      <c r="F1120" s="83">
        <f t="shared" si="108"/>
        <v>847</v>
      </c>
      <c r="G1120" s="268">
        <v>218</v>
      </c>
      <c r="H1120" s="268">
        <v>0</v>
      </c>
      <c r="I1120" s="83">
        <f t="shared" si="103"/>
        <v>218</v>
      </c>
      <c r="J1120" s="171">
        <f t="shared" si="104"/>
        <v>0.25740000000000002</v>
      </c>
      <c r="K1120" s="177">
        <f t="shared" si="105"/>
        <v>0</v>
      </c>
      <c r="L1120" s="177">
        <f t="shared" si="106"/>
        <v>0</v>
      </c>
      <c r="M1120" s="177">
        <f t="shared" si="107"/>
        <v>0</v>
      </c>
    </row>
    <row r="1121" spans="1:13" ht="12.75" customHeight="1">
      <c r="A1121" s="268" t="s">
        <v>462</v>
      </c>
      <c r="B1121" s="268" t="s">
        <v>3052</v>
      </c>
      <c r="C1121" s="268" t="s">
        <v>3053</v>
      </c>
      <c r="D1121" s="268">
        <v>497</v>
      </c>
      <c r="E1121" s="268">
        <v>0</v>
      </c>
      <c r="F1121" s="83">
        <f t="shared" si="108"/>
        <v>497</v>
      </c>
      <c r="G1121" s="268">
        <v>93</v>
      </c>
      <c r="H1121" s="268">
        <v>0</v>
      </c>
      <c r="I1121" s="83">
        <f t="shared" si="103"/>
        <v>93</v>
      </c>
      <c r="J1121" s="171">
        <f t="shared" si="104"/>
        <v>0.18709999999999999</v>
      </c>
      <c r="K1121" s="177">
        <f t="shared" si="105"/>
        <v>0</v>
      </c>
      <c r="L1121" s="177">
        <f t="shared" si="106"/>
        <v>0</v>
      </c>
      <c r="M1121" s="177">
        <f t="shared" si="107"/>
        <v>0</v>
      </c>
    </row>
    <row r="1122" spans="1:13" ht="12.75" customHeight="1">
      <c r="A1122" s="268" t="s">
        <v>462</v>
      </c>
      <c r="B1122" s="268" t="s">
        <v>3054</v>
      </c>
      <c r="C1122" s="268" t="s">
        <v>3055</v>
      </c>
      <c r="D1122" s="268">
        <v>411</v>
      </c>
      <c r="E1122" s="268">
        <v>0</v>
      </c>
      <c r="F1122" s="83">
        <f t="shared" si="108"/>
        <v>411</v>
      </c>
      <c r="G1122" s="268">
        <v>96</v>
      </c>
      <c r="H1122" s="268">
        <v>0</v>
      </c>
      <c r="I1122" s="83">
        <f t="shared" si="103"/>
        <v>96</v>
      </c>
      <c r="J1122" s="171">
        <f t="shared" si="104"/>
        <v>0.2336</v>
      </c>
      <c r="K1122" s="177">
        <f t="shared" si="105"/>
        <v>0</v>
      </c>
      <c r="L1122" s="177">
        <f t="shared" si="106"/>
        <v>0</v>
      </c>
      <c r="M1122" s="177">
        <f t="shared" si="107"/>
        <v>0</v>
      </c>
    </row>
    <row r="1123" spans="1:13" ht="12.75" customHeight="1">
      <c r="A1123" s="268" t="s">
        <v>463</v>
      </c>
      <c r="B1123" s="268" t="s">
        <v>3056</v>
      </c>
      <c r="C1123" s="268" t="s">
        <v>3057</v>
      </c>
      <c r="D1123" s="268">
        <v>64</v>
      </c>
      <c r="E1123" s="268">
        <v>0</v>
      </c>
      <c r="F1123" s="83">
        <f t="shared" si="108"/>
        <v>64</v>
      </c>
      <c r="G1123" s="268">
        <v>24</v>
      </c>
      <c r="H1123" s="268">
        <v>0</v>
      </c>
      <c r="I1123" s="83">
        <f t="shared" ref="I1123:I1186" si="109">SUM(G1123+H1123)</f>
        <v>24</v>
      </c>
      <c r="J1123" s="171">
        <f t="shared" ref="J1123:J1186" si="110">IF(ISERROR(I1123/F1123),0,I1123/F1123)</f>
        <v>0.375</v>
      </c>
      <c r="K1123" s="177">
        <f t="shared" si="105"/>
        <v>0.4</v>
      </c>
      <c r="L1123" s="177">
        <f t="shared" si="106"/>
        <v>0</v>
      </c>
      <c r="M1123" s="177">
        <f t="shared" si="107"/>
        <v>0.4</v>
      </c>
    </row>
    <row r="1124" spans="1:13" ht="12.75" customHeight="1">
      <c r="A1124" s="268" t="s">
        <v>463</v>
      </c>
      <c r="B1124" s="268" t="s">
        <v>3058</v>
      </c>
      <c r="C1124" s="268" t="s">
        <v>3059</v>
      </c>
      <c r="D1124" s="268">
        <v>58</v>
      </c>
      <c r="E1124" s="268">
        <v>0</v>
      </c>
      <c r="F1124" s="83">
        <f t="shared" si="108"/>
        <v>58</v>
      </c>
      <c r="G1124" s="268">
        <v>22</v>
      </c>
      <c r="H1124" s="268">
        <v>0</v>
      </c>
      <c r="I1124" s="83">
        <f t="shared" si="109"/>
        <v>22</v>
      </c>
      <c r="J1124" s="171">
        <f t="shared" si="110"/>
        <v>0.37930000000000003</v>
      </c>
      <c r="K1124" s="177">
        <f t="shared" si="105"/>
        <v>0.5</v>
      </c>
      <c r="L1124" s="177">
        <f t="shared" si="106"/>
        <v>0</v>
      </c>
      <c r="M1124" s="177">
        <f t="shared" si="107"/>
        <v>0.5</v>
      </c>
    </row>
    <row r="1125" spans="1:13" ht="12.75" customHeight="1">
      <c r="A1125" s="268" t="s">
        <v>463</v>
      </c>
      <c r="B1125" s="268" t="s">
        <v>3060</v>
      </c>
      <c r="C1125" s="268" t="s">
        <v>3061</v>
      </c>
      <c r="D1125" s="268">
        <v>68</v>
      </c>
      <c r="E1125" s="268">
        <v>0</v>
      </c>
      <c r="F1125" s="83">
        <f t="shared" si="108"/>
        <v>68</v>
      </c>
      <c r="G1125" s="268">
        <v>24</v>
      </c>
      <c r="H1125" s="268">
        <v>0</v>
      </c>
      <c r="I1125" s="83">
        <f t="shared" si="109"/>
        <v>24</v>
      </c>
      <c r="J1125" s="171">
        <f t="shared" si="110"/>
        <v>0.35289999999999999</v>
      </c>
      <c r="K1125" s="177">
        <f t="shared" si="105"/>
        <v>0</v>
      </c>
      <c r="L1125" s="177">
        <f t="shared" si="106"/>
        <v>0</v>
      </c>
      <c r="M1125" s="177">
        <f t="shared" si="107"/>
        <v>0</v>
      </c>
    </row>
    <row r="1126" spans="1:13" ht="12.75" customHeight="1">
      <c r="A1126" s="268" t="s">
        <v>463</v>
      </c>
      <c r="B1126" s="268" t="s">
        <v>3062</v>
      </c>
      <c r="C1126" s="268" t="s">
        <v>3063</v>
      </c>
      <c r="D1126" s="268">
        <v>93</v>
      </c>
      <c r="E1126" s="268">
        <v>0</v>
      </c>
      <c r="F1126" s="83">
        <f t="shared" si="108"/>
        <v>93</v>
      </c>
      <c r="G1126" s="268">
        <v>28</v>
      </c>
      <c r="H1126" s="268">
        <v>0</v>
      </c>
      <c r="I1126" s="83">
        <f t="shared" si="109"/>
        <v>28</v>
      </c>
      <c r="J1126" s="171">
        <f t="shared" si="110"/>
        <v>0.30109999999999998</v>
      </c>
      <c r="K1126" s="177">
        <f t="shared" si="105"/>
        <v>0</v>
      </c>
      <c r="L1126" s="177">
        <f t="shared" si="106"/>
        <v>0</v>
      </c>
      <c r="M1126" s="177">
        <f t="shared" si="107"/>
        <v>0</v>
      </c>
    </row>
    <row r="1127" spans="1:13" ht="12.75" customHeight="1">
      <c r="A1127" s="268" t="s">
        <v>464</v>
      </c>
      <c r="B1127" s="268" t="s">
        <v>3064</v>
      </c>
      <c r="C1127" s="268" t="s">
        <v>3065</v>
      </c>
      <c r="D1127" s="268">
        <v>134</v>
      </c>
      <c r="E1127" s="268">
        <v>0</v>
      </c>
      <c r="F1127" s="83">
        <f t="shared" si="108"/>
        <v>134</v>
      </c>
      <c r="G1127" s="268">
        <v>73</v>
      </c>
      <c r="H1127" s="268">
        <v>0</v>
      </c>
      <c r="I1127" s="83">
        <f t="shared" si="109"/>
        <v>73</v>
      </c>
      <c r="J1127" s="171">
        <f t="shared" si="110"/>
        <v>0.54479999999999995</v>
      </c>
      <c r="K1127" s="177">
        <f t="shared" si="105"/>
        <v>0</v>
      </c>
      <c r="L1127" s="177">
        <f t="shared" si="106"/>
        <v>7.7</v>
      </c>
      <c r="M1127" s="177">
        <f t="shared" si="107"/>
        <v>7.7</v>
      </c>
    </row>
    <row r="1128" spans="1:13" ht="12.75" customHeight="1">
      <c r="A1128" s="268" t="s">
        <v>464</v>
      </c>
      <c r="B1128" s="268" t="s">
        <v>3066</v>
      </c>
      <c r="C1128" s="268" t="s">
        <v>2641</v>
      </c>
      <c r="D1128" s="268">
        <v>162</v>
      </c>
      <c r="E1128" s="268">
        <v>0</v>
      </c>
      <c r="F1128" s="83">
        <f t="shared" si="108"/>
        <v>162</v>
      </c>
      <c r="G1128" s="268">
        <v>81</v>
      </c>
      <c r="H1128" s="268">
        <v>0</v>
      </c>
      <c r="I1128" s="83">
        <f t="shared" si="109"/>
        <v>81</v>
      </c>
      <c r="J1128" s="171">
        <f t="shared" si="110"/>
        <v>0.5</v>
      </c>
      <c r="K1128" s="177">
        <f t="shared" si="105"/>
        <v>0</v>
      </c>
      <c r="L1128" s="177">
        <f t="shared" si="106"/>
        <v>8.5</v>
      </c>
      <c r="M1128" s="177">
        <f t="shared" si="107"/>
        <v>8.5</v>
      </c>
    </row>
    <row r="1129" spans="1:13" ht="12.75" customHeight="1">
      <c r="A1129" s="268" t="s">
        <v>464</v>
      </c>
      <c r="B1129" s="268" t="s">
        <v>3067</v>
      </c>
      <c r="C1129" s="268" t="s">
        <v>1267</v>
      </c>
      <c r="D1129" s="268">
        <v>365</v>
      </c>
      <c r="E1129" s="268">
        <v>0</v>
      </c>
      <c r="F1129" s="83">
        <f t="shared" si="108"/>
        <v>365</v>
      </c>
      <c r="G1129" s="268">
        <v>164</v>
      </c>
      <c r="H1129" s="268">
        <v>0</v>
      </c>
      <c r="I1129" s="83">
        <f t="shared" si="109"/>
        <v>164</v>
      </c>
      <c r="J1129" s="171">
        <f t="shared" si="110"/>
        <v>0.44929999999999998</v>
      </c>
      <c r="K1129" s="177">
        <f t="shared" si="105"/>
        <v>11.4</v>
      </c>
      <c r="L1129" s="177">
        <f t="shared" si="106"/>
        <v>0</v>
      </c>
      <c r="M1129" s="177">
        <f t="shared" si="107"/>
        <v>11.4</v>
      </c>
    </row>
    <row r="1130" spans="1:13" ht="12.75" customHeight="1">
      <c r="A1130" s="268" t="s">
        <v>464</v>
      </c>
      <c r="B1130" s="268" t="s">
        <v>3068</v>
      </c>
      <c r="C1130" s="268" t="s">
        <v>3069</v>
      </c>
      <c r="D1130" s="268">
        <v>293</v>
      </c>
      <c r="E1130" s="268">
        <v>0</v>
      </c>
      <c r="F1130" s="83">
        <f t="shared" si="108"/>
        <v>293</v>
      </c>
      <c r="G1130" s="268">
        <v>127</v>
      </c>
      <c r="H1130" s="268">
        <v>0</v>
      </c>
      <c r="I1130" s="83">
        <f t="shared" si="109"/>
        <v>127</v>
      </c>
      <c r="J1130" s="171">
        <f t="shared" si="110"/>
        <v>0.43340000000000001</v>
      </c>
      <c r="K1130" s="177">
        <f t="shared" si="105"/>
        <v>7.4</v>
      </c>
      <c r="L1130" s="177">
        <f t="shared" si="106"/>
        <v>0</v>
      </c>
      <c r="M1130" s="177">
        <f t="shared" si="107"/>
        <v>7.4</v>
      </c>
    </row>
    <row r="1131" spans="1:13" ht="12.75" customHeight="1">
      <c r="A1131" s="268" t="s">
        <v>465</v>
      </c>
      <c r="B1131" s="268" t="s">
        <v>3070</v>
      </c>
      <c r="C1131" s="268" t="s">
        <v>3071</v>
      </c>
      <c r="D1131" s="268">
        <v>344</v>
      </c>
      <c r="E1131" s="268">
        <v>0</v>
      </c>
      <c r="F1131" s="83">
        <f t="shared" si="108"/>
        <v>344</v>
      </c>
      <c r="G1131" s="268">
        <v>187</v>
      </c>
      <c r="H1131" s="268">
        <v>0</v>
      </c>
      <c r="I1131" s="83">
        <f t="shared" si="109"/>
        <v>187</v>
      </c>
      <c r="J1131" s="171">
        <f t="shared" si="110"/>
        <v>0.54359999999999997</v>
      </c>
      <c r="K1131" s="177">
        <f t="shared" si="105"/>
        <v>0</v>
      </c>
      <c r="L1131" s="177">
        <f t="shared" si="106"/>
        <v>19.600000000000001</v>
      </c>
      <c r="M1131" s="177">
        <f t="shared" si="107"/>
        <v>19.600000000000001</v>
      </c>
    </row>
    <row r="1132" spans="1:13" ht="12.75" customHeight="1">
      <c r="A1132" s="268" t="s">
        <v>465</v>
      </c>
      <c r="B1132" s="268" t="s">
        <v>3072</v>
      </c>
      <c r="C1132" s="268" t="s">
        <v>3073</v>
      </c>
      <c r="D1132" s="268">
        <v>220</v>
      </c>
      <c r="E1132" s="268">
        <v>0</v>
      </c>
      <c r="F1132" s="83">
        <f t="shared" si="108"/>
        <v>220</v>
      </c>
      <c r="G1132" s="268">
        <v>114</v>
      </c>
      <c r="H1132" s="268">
        <v>0</v>
      </c>
      <c r="I1132" s="83">
        <f t="shared" si="109"/>
        <v>114</v>
      </c>
      <c r="J1132" s="171">
        <f t="shared" si="110"/>
        <v>0.51819999999999999</v>
      </c>
      <c r="K1132" s="177">
        <f t="shared" si="105"/>
        <v>0</v>
      </c>
      <c r="L1132" s="177">
        <f t="shared" si="106"/>
        <v>12</v>
      </c>
      <c r="M1132" s="177">
        <f t="shared" si="107"/>
        <v>12</v>
      </c>
    </row>
    <row r="1133" spans="1:13" ht="12.75" customHeight="1">
      <c r="A1133" s="268" t="s">
        <v>466</v>
      </c>
      <c r="B1133" s="268" t="s">
        <v>3074</v>
      </c>
      <c r="C1133" s="268" t="s">
        <v>3075</v>
      </c>
      <c r="D1133" s="268">
        <v>424</v>
      </c>
      <c r="E1133" s="268">
        <v>0</v>
      </c>
      <c r="F1133" s="83">
        <f t="shared" si="108"/>
        <v>424</v>
      </c>
      <c r="G1133" s="268">
        <v>182</v>
      </c>
      <c r="H1133" s="268">
        <v>0</v>
      </c>
      <c r="I1133" s="83">
        <f t="shared" si="109"/>
        <v>182</v>
      </c>
      <c r="J1133" s="171">
        <f t="shared" si="110"/>
        <v>0.42920000000000003</v>
      </c>
      <c r="K1133" s="177">
        <f t="shared" si="105"/>
        <v>10.1</v>
      </c>
      <c r="L1133" s="177">
        <f t="shared" si="106"/>
        <v>0</v>
      </c>
      <c r="M1133" s="177">
        <f t="shared" si="107"/>
        <v>10.1</v>
      </c>
    </row>
    <row r="1134" spans="1:13" ht="12.75" customHeight="1">
      <c r="A1134" s="268" t="s">
        <v>466</v>
      </c>
      <c r="B1134" s="268" t="s">
        <v>3076</v>
      </c>
      <c r="C1134" s="268" t="s">
        <v>3077</v>
      </c>
      <c r="D1134" s="268">
        <v>192</v>
      </c>
      <c r="E1134" s="268">
        <v>0</v>
      </c>
      <c r="F1134" s="83">
        <f t="shared" si="108"/>
        <v>192</v>
      </c>
      <c r="G1134" s="268">
        <v>71</v>
      </c>
      <c r="H1134" s="268">
        <v>0</v>
      </c>
      <c r="I1134" s="83">
        <f t="shared" si="109"/>
        <v>71</v>
      </c>
      <c r="J1134" s="171">
        <f t="shared" si="110"/>
        <v>0.36980000000000002</v>
      </c>
      <c r="K1134" s="177">
        <f t="shared" si="105"/>
        <v>1</v>
      </c>
      <c r="L1134" s="177">
        <f t="shared" si="106"/>
        <v>0</v>
      </c>
      <c r="M1134" s="177">
        <f t="shared" si="107"/>
        <v>1</v>
      </c>
    </row>
    <row r="1135" spans="1:13" ht="12.75" customHeight="1">
      <c r="A1135" s="268" t="s">
        <v>466</v>
      </c>
      <c r="B1135" s="268" t="s">
        <v>3078</v>
      </c>
      <c r="C1135" s="268" t="s">
        <v>3079</v>
      </c>
      <c r="D1135" s="268">
        <v>259</v>
      </c>
      <c r="E1135" s="268">
        <v>0</v>
      </c>
      <c r="F1135" s="83">
        <f t="shared" si="108"/>
        <v>259</v>
      </c>
      <c r="G1135" s="268">
        <v>101</v>
      </c>
      <c r="H1135" s="268">
        <v>0</v>
      </c>
      <c r="I1135" s="83">
        <f t="shared" si="109"/>
        <v>101</v>
      </c>
      <c r="J1135" s="171">
        <f t="shared" si="110"/>
        <v>0.39</v>
      </c>
      <c r="K1135" s="177">
        <f t="shared" si="105"/>
        <v>2.8</v>
      </c>
      <c r="L1135" s="177">
        <f t="shared" si="106"/>
        <v>0</v>
      </c>
      <c r="M1135" s="177">
        <f t="shared" si="107"/>
        <v>2.8</v>
      </c>
    </row>
    <row r="1136" spans="1:13" ht="12.75" customHeight="1">
      <c r="A1136" s="268" t="s">
        <v>467</v>
      </c>
      <c r="B1136" s="268" t="s">
        <v>3080</v>
      </c>
      <c r="C1136" s="268" t="s">
        <v>3081</v>
      </c>
      <c r="D1136" s="268">
        <v>133</v>
      </c>
      <c r="E1136" s="268">
        <v>0</v>
      </c>
      <c r="F1136" s="83">
        <f t="shared" si="108"/>
        <v>133</v>
      </c>
      <c r="G1136" s="268">
        <v>43</v>
      </c>
      <c r="H1136" s="268">
        <v>0</v>
      </c>
      <c r="I1136" s="83">
        <f t="shared" si="109"/>
        <v>43</v>
      </c>
      <c r="J1136" s="171">
        <f t="shared" si="110"/>
        <v>0.32329999999999998</v>
      </c>
      <c r="K1136" s="177">
        <f t="shared" si="105"/>
        <v>0</v>
      </c>
      <c r="L1136" s="177">
        <f t="shared" si="106"/>
        <v>0</v>
      </c>
      <c r="M1136" s="177">
        <f t="shared" si="107"/>
        <v>0</v>
      </c>
    </row>
    <row r="1137" spans="1:13" ht="12.75" customHeight="1">
      <c r="A1137" s="268" t="s">
        <v>468</v>
      </c>
      <c r="B1137" s="268" t="s">
        <v>3082</v>
      </c>
      <c r="C1137" s="268" t="s">
        <v>3083</v>
      </c>
      <c r="D1137" s="268">
        <v>0</v>
      </c>
      <c r="E1137" s="268">
        <v>0</v>
      </c>
      <c r="F1137" s="83">
        <f t="shared" si="108"/>
        <v>0</v>
      </c>
      <c r="G1137" s="268">
        <v>0</v>
      </c>
      <c r="H1137" s="268">
        <v>0</v>
      </c>
      <c r="I1137" s="83">
        <f t="shared" si="109"/>
        <v>0</v>
      </c>
      <c r="J1137" s="171">
        <f t="shared" si="110"/>
        <v>0</v>
      </c>
      <c r="K1137" s="177">
        <f t="shared" si="105"/>
        <v>0</v>
      </c>
      <c r="L1137" s="177">
        <f t="shared" si="106"/>
        <v>0</v>
      </c>
      <c r="M1137" s="177">
        <f t="shared" si="107"/>
        <v>0</v>
      </c>
    </row>
    <row r="1138" spans="1:13" ht="12.75" customHeight="1">
      <c r="A1138" s="268" t="s">
        <v>468</v>
      </c>
      <c r="B1138" s="268" t="s">
        <v>3084</v>
      </c>
      <c r="C1138" s="268" t="s">
        <v>1219</v>
      </c>
      <c r="D1138" s="268">
        <v>463</v>
      </c>
      <c r="E1138" s="268">
        <v>0</v>
      </c>
      <c r="F1138" s="83">
        <f t="shared" si="108"/>
        <v>463</v>
      </c>
      <c r="G1138" s="268">
        <v>173</v>
      </c>
      <c r="H1138" s="268">
        <v>0</v>
      </c>
      <c r="I1138" s="83">
        <f t="shared" si="109"/>
        <v>173</v>
      </c>
      <c r="J1138" s="171">
        <f t="shared" si="110"/>
        <v>0.37369999999999998</v>
      </c>
      <c r="K1138" s="177">
        <f t="shared" si="105"/>
        <v>2.9</v>
      </c>
      <c r="L1138" s="177">
        <f t="shared" si="106"/>
        <v>0</v>
      </c>
      <c r="M1138" s="177">
        <f t="shared" si="107"/>
        <v>2.9</v>
      </c>
    </row>
    <row r="1139" spans="1:13" ht="12.75" customHeight="1">
      <c r="A1139" s="268" t="s">
        <v>468</v>
      </c>
      <c r="B1139" s="268" t="s">
        <v>3085</v>
      </c>
      <c r="C1139" s="268" t="s">
        <v>3086</v>
      </c>
      <c r="D1139" s="268">
        <v>386</v>
      </c>
      <c r="E1139" s="268">
        <v>0</v>
      </c>
      <c r="F1139" s="83">
        <f t="shared" si="108"/>
        <v>386</v>
      </c>
      <c r="G1139" s="268">
        <v>151</v>
      </c>
      <c r="H1139" s="268">
        <v>0</v>
      </c>
      <c r="I1139" s="83">
        <f t="shared" si="109"/>
        <v>151</v>
      </c>
      <c r="J1139" s="171">
        <f t="shared" si="110"/>
        <v>0.39119999999999999</v>
      </c>
      <c r="K1139" s="177">
        <f t="shared" si="105"/>
        <v>4.4000000000000004</v>
      </c>
      <c r="L1139" s="177">
        <f t="shared" si="106"/>
        <v>0</v>
      </c>
      <c r="M1139" s="177">
        <f t="shared" si="107"/>
        <v>4.4000000000000004</v>
      </c>
    </row>
    <row r="1140" spans="1:13" ht="12.75" customHeight="1">
      <c r="A1140" s="268" t="s">
        <v>468</v>
      </c>
      <c r="B1140" s="268" t="s">
        <v>3087</v>
      </c>
      <c r="C1140" s="268" t="s">
        <v>3088</v>
      </c>
      <c r="D1140" s="268">
        <v>291</v>
      </c>
      <c r="E1140" s="268">
        <v>0</v>
      </c>
      <c r="F1140" s="83">
        <f t="shared" si="108"/>
        <v>291</v>
      </c>
      <c r="G1140" s="268">
        <v>87</v>
      </c>
      <c r="H1140" s="268">
        <v>0</v>
      </c>
      <c r="I1140" s="83">
        <f t="shared" si="109"/>
        <v>87</v>
      </c>
      <c r="J1140" s="171">
        <f t="shared" si="110"/>
        <v>0.29899999999999999</v>
      </c>
      <c r="K1140" s="177">
        <f t="shared" si="105"/>
        <v>0</v>
      </c>
      <c r="L1140" s="177">
        <f t="shared" si="106"/>
        <v>0</v>
      </c>
      <c r="M1140" s="177">
        <f t="shared" si="107"/>
        <v>0</v>
      </c>
    </row>
    <row r="1141" spans="1:13" ht="12.75" customHeight="1">
      <c r="A1141" s="268" t="s">
        <v>468</v>
      </c>
      <c r="B1141" s="268" t="s">
        <v>3089</v>
      </c>
      <c r="C1141" s="268" t="s">
        <v>3090</v>
      </c>
      <c r="D1141" s="268">
        <v>230</v>
      </c>
      <c r="E1141" s="268">
        <v>0</v>
      </c>
      <c r="F1141" s="83">
        <f t="shared" si="108"/>
        <v>230</v>
      </c>
      <c r="G1141" s="268">
        <v>86</v>
      </c>
      <c r="H1141" s="268">
        <v>0</v>
      </c>
      <c r="I1141" s="83">
        <f t="shared" si="109"/>
        <v>86</v>
      </c>
      <c r="J1141" s="171">
        <f t="shared" si="110"/>
        <v>0.37390000000000001</v>
      </c>
      <c r="K1141" s="177">
        <f t="shared" si="105"/>
        <v>1.4</v>
      </c>
      <c r="L1141" s="177">
        <f t="shared" si="106"/>
        <v>0</v>
      </c>
      <c r="M1141" s="177">
        <f t="shared" si="107"/>
        <v>1.4</v>
      </c>
    </row>
    <row r="1142" spans="1:13" ht="12.75" customHeight="1">
      <c r="A1142" s="268" t="s">
        <v>468</v>
      </c>
      <c r="B1142" s="268" t="s">
        <v>3091</v>
      </c>
      <c r="C1142" s="268" t="s">
        <v>1073</v>
      </c>
      <c r="D1142" s="268">
        <v>492</v>
      </c>
      <c r="E1142" s="268">
        <v>0</v>
      </c>
      <c r="F1142" s="83">
        <f t="shared" si="108"/>
        <v>492</v>
      </c>
      <c r="G1142" s="268">
        <v>84</v>
      </c>
      <c r="H1142" s="268">
        <v>0</v>
      </c>
      <c r="I1142" s="83">
        <f t="shared" si="109"/>
        <v>84</v>
      </c>
      <c r="J1142" s="171">
        <f t="shared" si="110"/>
        <v>0.17069999999999999</v>
      </c>
      <c r="K1142" s="177">
        <f t="shared" si="105"/>
        <v>0</v>
      </c>
      <c r="L1142" s="177">
        <f t="shared" si="106"/>
        <v>0</v>
      </c>
      <c r="M1142" s="177">
        <f t="shared" si="107"/>
        <v>0</v>
      </c>
    </row>
    <row r="1143" spans="1:13" ht="12.75" customHeight="1">
      <c r="A1143" s="268" t="s">
        <v>468</v>
      </c>
      <c r="B1143" s="268" t="s">
        <v>3092</v>
      </c>
      <c r="C1143" s="268" t="s">
        <v>3093</v>
      </c>
      <c r="D1143" s="268">
        <v>331</v>
      </c>
      <c r="E1143" s="268">
        <v>0</v>
      </c>
      <c r="F1143" s="83">
        <f t="shared" si="108"/>
        <v>331</v>
      </c>
      <c r="G1143" s="268">
        <v>162</v>
      </c>
      <c r="H1143" s="268">
        <v>0</v>
      </c>
      <c r="I1143" s="83">
        <f t="shared" si="109"/>
        <v>162</v>
      </c>
      <c r="J1143" s="171">
        <f t="shared" si="110"/>
        <v>0.4894</v>
      </c>
      <c r="K1143" s="177">
        <f t="shared" si="105"/>
        <v>15.8</v>
      </c>
      <c r="L1143" s="177">
        <f t="shared" si="106"/>
        <v>0</v>
      </c>
      <c r="M1143" s="177">
        <f t="shared" si="107"/>
        <v>15.8</v>
      </c>
    </row>
    <row r="1144" spans="1:13" ht="12.75" customHeight="1">
      <c r="A1144" s="268" t="s">
        <v>468</v>
      </c>
      <c r="B1144" s="268" t="s">
        <v>3094</v>
      </c>
      <c r="C1144" s="268" t="s">
        <v>2215</v>
      </c>
      <c r="D1144" s="268">
        <v>367</v>
      </c>
      <c r="E1144" s="268">
        <v>0</v>
      </c>
      <c r="F1144" s="83">
        <f t="shared" si="108"/>
        <v>367</v>
      </c>
      <c r="G1144" s="268">
        <v>204</v>
      </c>
      <c r="H1144" s="268">
        <v>0</v>
      </c>
      <c r="I1144" s="83">
        <f t="shared" si="109"/>
        <v>204</v>
      </c>
      <c r="J1144" s="171">
        <f t="shared" si="110"/>
        <v>0.55589999999999995</v>
      </c>
      <c r="K1144" s="177">
        <f t="shared" si="105"/>
        <v>0</v>
      </c>
      <c r="L1144" s="177">
        <f t="shared" si="106"/>
        <v>21.4</v>
      </c>
      <c r="M1144" s="177">
        <f t="shared" si="107"/>
        <v>21.4</v>
      </c>
    </row>
    <row r="1145" spans="1:13" ht="12.75" customHeight="1">
      <c r="A1145" s="268" t="s">
        <v>468</v>
      </c>
      <c r="B1145" s="268" t="s">
        <v>3095</v>
      </c>
      <c r="C1145" s="268" t="s">
        <v>3096</v>
      </c>
      <c r="D1145" s="268">
        <v>477</v>
      </c>
      <c r="E1145" s="268">
        <v>0</v>
      </c>
      <c r="F1145" s="83">
        <f t="shared" si="108"/>
        <v>477</v>
      </c>
      <c r="G1145" s="268">
        <v>71</v>
      </c>
      <c r="H1145" s="268">
        <v>0</v>
      </c>
      <c r="I1145" s="83">
        <f t="shared" si="109"/>
        <v>71</v>
      </c>
      <c r="J1145" s="171">
        <f t="shared" si="110"/>
        <v>0.14879999999999999</v>
      </c>
      <c r="K1145" s="177">
        <f t="shared" si="105"/>
        <v>0</v>
      </c>
      <c r="L1145" s="177">
        <f t="shared" si="106"/>
        <v>0</v>
      </c>
      <c r="M1145" s="177">
        <f t="shared" si="107"/>
        <v>0</v>
      </c>
    </row>
    <row r="1146" spans="1:13" ht="12.75" customHeight="1">
      <c r="A1146" s="268" t="s">
        <v>468</v>
      </c>
      <c r="B1146" s="268" t="s">
        <v>3097</v>
      </c>
      <c r="C1146" s="268" t="s">
        <v>3098</v>
      </c>
      <c r="D1146" s="268">
        <v>245</v>
      </c>
      <c r="E1146" s="268">
        <v>0</v>
      </c>
      <c r="F1146" s="83">
        <f t="shared" si="108"/>
        <v>245</v>
      </c>
      <c r="G1146" s="268">
        <v>129</v>
      </c>
      <c r="H1146" s="268">
        <v>0</v>
      </c>
      <c r="I1146" s="83">
        <f t="shared" si="109"/>
        <v>129</v>
      </c>
      <c r="J1146" s="171">
        <f t="shared" si="110"/>
        <v>0.52649999999999997</v>
      </c>
      <c r="K1146" s="177">
        <f t="shared" si="105"/>
        <v>0</v>
      </c>
      <c r="L1146" s="177">
        <f t="shared" si="106"/>
        <v>13.5</v>
      </c>
      <c r="M1146" s="177">
        <f t="shared" si="107"/>
        <v>13.5</v>
      </c>
    </row>
    <row r="1147" spans="1:13" ht="12.75" customHeight="1">
      <c r="A1147" s="268" t="s">
        <v>468</v>
      </c>
      <c r="B1147" s="268" t="s">
        <v>3099</v>
      </c>
      <c r="C1147" s="268" t="s">
        <v>3100</v>
      </c>
      <c r="D1147" s="268">
        <v>233</v>
      </c>
      <c r="E1147" s="268">
        <v>0</v>
      </c>
      <c r="F1147" s="83">
        <f t="shared" si="108"/>
        <v>233</v>
      </c>
      <c r="G1147" s="268">
        <v>121</v>
      </c>
      <c r="H1147" s="268">
        <v>0</v>
      </c>
      <c r="I1147" s="83">
        <f t="shared" si="109"/>
        <v>121</v>
      </c>
      <c r="J1147" s="171">
        <f t="shared" si="110"/>
        <v>0.51929999999999998</v>
      </c>
      <c r="K1147" s="177">
        <f t="shared" si="105"/>
        <v>0</v>
      </c>
      <c r="L1147" s="177">
        <f t="shared" si="106"/>
        <v>12.7</v>
      </c>
      <c r="M1147" s="177">
        <f t="shared" si="107"/>
        <v>12.7</v>
      </c>
    </row>
    <row r="1148" spans="1:13" ht="12.75" customHeight="1">
      <c r="A1148" s="268" t="s">
        <v>468</v>
      </c>
      <c r="B1148" s="268" t="s">
        <v>3101</v>
      </c>
      <c r="C1148" s="268" t="s">
        <v>3102</v>
      </c>
      <c r="D1148" s="268">
        <v>393</v>
      </c>
      <c r="E1148" s="268">
        <v>0</v>
      </c>
      <c r="F1148" s="83">
        <f t="shared" si="108"/>
        <v>393</v>
      </c>
      <c r="G1148" s="268">
        <v>211</v>
      </c>
      <c r="H1148" s="268">
        <v>0</v>
      </c>
      <c r="I1148" s="83">
        <f t="shared" si="109"/>
        <v>211</v>
      </c>
      <c r="J1148" s="171">
        <f t="shared" si="110"/>
        <v>0.53690000000000004</v>
      </c>
      <c r="K1148" s="177">
        <f t="shared" si="105"/>
        <v>0</v>
      </c>
      <c r="L1148" s="177">
        <f t="shared" si="106"/>
        <v>22.2</v>
      </c>
      <c r="M1148" s="177">
        <f t="shared" si="107"/>
        <v>22.2</v>
      </c>
    </row>
    <row r="1149" spans="1:13" ht="12.75" customHeight="1">
      <c r="A1149" s="268" t="s">
        <v>468</v>
      </c>
      <c r="B1149" s="268" t="s">
        <v>3103</v>
      </c>
      <c r="C1149" s="268" t="s">
        <v>3104</v>
      </c>
      <c r="D1149" s="268">
        <v>388</v>
      </c>
      <c r="E1149" s="268">
        <v>0</v>
      </c>
      <c r="F1149" s="83">
        <f t="shared" si="108"/>
        <v>388</v>
      </c>
      <c r="G1149" s="268">
        <v>125</v>
      </c>
      <c r="H1149" s="268">
        <v>0</v>
      </c>
      <c r="I1149" s="83">
        <f t="shared" si="109"/>
        <v>125</v>
      </c>
      <c r="J1149" s="171">
        <f t="shared" si="110"/>
        <v>0.32219999999999999</v>
      </c>
      <c r="K1149" s="177">
        <f t="shared" si="105"/>
        <v>0</v>
      </c>
      <c r="L1149" s="177">
        <f t="shared" si="106"/>
        <v>0</v>
      </c>
      <c r="M1149" s="177">
        <f t="shared" si="107"/>
        <v>0</v>
      </c>
    </row>
    <row r="1150" spans="1:13" ht="12.75" customHeight="1">
      <c r="A1150" s="268" t="s">
        <v>468</v>
      </c>
      <c r="B1150" s="268" t="s">
        <v>3105</v>
      </c>
      <c r="C1150" s="268" t="s">
        <v>3106</v>
      </c>
      <c r="D1150" s="268">
        <v>208</v>
      </c>
      <c r="E1150" s="268">
        <v>0</v>
      </c>
      <c r="F1150" s="83">
        <f t="shared" si="108"/>
        <v>208</v>
      </c>
      <c r="G1150" s="268">
        <v>85</v>
      </c>
      <c r="H1150" s="268">
        <v>0</v>
      </c>
      <c r="I1150" s="83">
        <f t="shared" si="109"/>
        <v>85</v>
      </c>
      <c r="J1150" s="171">
        <f t="shared" si="110"/>
        <v>0.40870000000000001</v>
      </c>
      <c r="K1150" s="177">
        <f t="shared" si="105"/>
        <v>3.5</v>
      </c>
      <c r="L1150" s="177">
        <f t="shared" si="106"/>
        <v>0</v>
      </c>
      <c r="M1150" s="177">
        <f t="shared" si="107"/>
        <v>3.5</v>
      </c>
    </row>
    <row r="1151" spans="1:13" ht="12.75" customHeight="1">
      <c r="A1151" s="268" t="s">
        <v>468</v>
      </c>
      <c r="B1151" s="268" t="s">
        <v>3107</v>
      </c>
      <c r="C1151" s="268" t="s">
        <v>3108</v>
      </c>
      <c r="D1151" s="268">
        <v>522</v>
      </c>
      <c r="E1151" s="268">
        <v>0</v>
      </c>
      <c r="F1151" s="83">
        <f t="shared" si="108"/>
        <v>522</v>
      </c>
      <c r="G1151" s="268">
        <v>46</v>
      </c>
      <c r="H1151" s="268">
        <v>0</v>
      </c>
      <c r="I1151" s="83">
        <f t="shared" si="109"/>
        <v>46</v>
      </c>
      <c r="J1151" s="171">
        <f t="shared" si="110"/>
        <v>8.8099999999999998E-2</v>
      </c>
      <c r="K1151" s="177">
        <f t="shared" si="105"/>
        <v>0</v>
      </c>
      <c r="L1151" s="177">
        <f t="shared" si="106"/>
        <v>0</v>
      </c>
      <c r="M1151" s="177">
        <f t="shared" si="107"/>
        <v>0</v>
      </c>
    </row>
    <row r="1152" spans="1:13" ht="12.75" customHeight="1">
      <c r="A1152" s="268" t="s">
        <v>468</v>
      </c>
      <c r="B1152" s="268" t="s">
        <v>3109</v>
      </c>
      <c r="C1152" s="268" t="s">
        <v>3110</v>
      </c>
      <c r="D1152" s="268">
        <v>480</v>
      </c>
      <c r="E1152" s="268">
        <v>0</v>
      </c>
      <c r="F1152" s="83">
        <f t="shared" si="108"/>
        <v>480</v>
      </c>
      <c r="G1152" s="268">
        <v>225</v>
      </c>
      <c r="H1152" s="268">
        <v>0</v>
      </c>
      <c r="I1152" s="83">
        <f t="shared" si="109"/>
        <v>225</v>
      </c>
      <c r="J1152" s="171">
        <f t="shared" si="110"/>
        <v>0.46879999999999999</v>
      </c>
      <c r="K1152" s="177">
        <f t="shared" si="105"/>
        <v>18.7</v>
      </c>
      <c r="L1152" s="177">
        <f t="shared" si="106"/>
        <v>0</v>
      </c>
      <c r="M1152" s="177">
        <f t="shared" si="107"/>
        <v>18.7</v>
      </c>
    </row>
    <row r="1153" spans="1:13" ht="12.75" customHeight="1">
      <c r="A1153" s="268" t="s">
        <v>468</v>
      </c>
      <c r="B1153" s="268" t="s">
        <v>3111</v>
      </c>
      <c r="C1153" s="268" t="s">
        <v>3613</v>
      </c>
      <c r="D1153" s="268">
        <v>601</v>
      </c>
      <c r="E1153" s="268">
        <v>0</v>
      </c>
      <c r="F1153" s="83">
        <f t="shared" si="108"/>
        <v>601</v>
      </c>
      <c r="G1153" s="268">
        <v>279</v>
      </c>
      <c r="H1153" s="268">
        <v>0</v>
      </c>
      <c r="I1153" s="83">
        <f t="shared" si="109"/>
        <v>279</v>
      </c>
      <c r="J1153" s="171">
        <f t="shared" si="110"/>
        <v>0.4642</v>
      </c>
      <c r="K1153" s="177">
        <f t="shared" si="105"/>
        <v>22.3</v>
      </c>
      <c r="L1153" s="177">
        <f t="shared" si="106"/>
        <v>0</v>
      </c>
      <c r="M1153" s="177">
        <f t="shared" si="107"/>
        <v>22.3</v>
      </c>
    </row>
    <row r="1154" spans="1:13" ht="12.75" customHeight="1">
      <c r="A1154" s="268" t="s">
        <v>468</v>
      </c>
      <c r="B1154" s="268" t="s">
        <v>3112</v>
      </c>
      <c r="C1154" s="268" t="s">
        <v>3113</v>
      </c>
      <c r="D1154" s="268">
        <v>642</v>
      </c>
      <c r="E1154" s="268">
        <v>0</v>
      </c>
      <c r="F1154" s="83">
        <f t="shared" si="108"/>
        <v>642</v>
      </c>
      <c r="G1154" s="268">
        <v>167</v>
      </c>
      <c r="H1154" s="268">
        <v>0</v>
      </c>
      <c r="I1154" s="83">
        <f t="shared" si="109"/>
        <v>167</v>
      </c>
      <c r="J1154" s="171">
        <f t="shared" si="110"/>
        <v>0.2601</v>
      </c>
      <c r="K1154" s="177">
        <f t="shared" si="105"/>
        <v>0</v>
      </c>
      <c r="L1154" s="177">
        <f t="shared" si="106"/>
        <v>0</v>
      </c>
      <c r="M1154" s="177">
        <f t="shared" si="107"/>
        <v>0</v>
      </c>
    </row>
    <row r="1155" spans="1:13" ht="12.75" customHeight="1">
      <c r="A1155" s="268" t="s">
        <v>468</v>
      </c>
      <c r="B1155" s="268" t="s">
        <v>3114</v>
      </c>
      <c r="C1155" s="268" t="s">
        <v>3115</v>
      </c>
      <c r="D1155" s="268">
        <v>668</v>
      </c>
      <c r="E1155" s="268">
        <v>0</v>
      </c>
      <c r="F1155" s="83">
        <f t="shared" si="108"/>
        <v>668</v>
      </c>
      <c r="G1155" s="268">
        <v>130</v>
      </c>
      <c r="H1155" s="268">
        <v>0</v>
      </c>
      <c r="I1155" s="83">
        <f t="shared" si="109"/>
        <v>130</v>
      </c>
      <c r="J1155" s="171">
        <f t="shared" si="110"/>
        <v>0.1946</v>
      </c>
      <c r="K1155" s="177">
        <f t="shared" si="105"/>
        <v>0</v>
      </c>
      <c r="L1155" s="177">
        <f t="shared" si="106"/>
        <v>0</v>
      </c>
      <c r="M1155" s="177">
        <f t="shared" si="107"/>
        <v>0</v>
      </c>
    </row>
    <row r="1156" spans="1:13" ht="12.75" customHeight="1">
      <c r="A1156" s="268" t="s">
        <v>468</v>
      </c>
      <c r="B1156" s="268" t="s">
        <v>3116</v>
      </c>
      <c r="C1156" s="268" t="s">
        <v>3117</v>
      </c>
      <c r="D1156" s="268">
        <v>1584</v>
      </c>
      <c r="E1156" s="268">
        <v>0</v>
      </c>
      <c r="F1156" s="83">
        <f t="shared" si="108"/>
        <v>1584</v>
      </c>
      <c r="G1156" s="268">
        <v>500</v>
      </c>
      <c r="H1156" s="268">
        <v>0</v>
      </c>
      <c r="I1156" s="83">
        <f t="shared" si="109"/>
        <v>500</v>
      </c>
      <c r="J1156" s="171">
        <f t="shared" si="110"/>
        <v>0.31569999999999998</v>
      </c>
      <c r="K1156" s="177">
        <f t="shared" si="105"/>
        <v>0</v>
      </c>
      <c r="L1156" s="177">
        <f t="shared" si="106"/>
        <v>0</v>
      </c>
      <c r="M1156" s="177">
        <f t="shared" si="107"/>
        <v>0</v>
      </c>
    </row>
    <row r="1157" spans="1:13" ht="12.75" customHeight="1">
      <c r="A1157" s="268" t="s">
        <v>468</v>
      </c>
      <c r="B1157" s="268" t="s">
        <v>3118</v>
      </c>
      <c r="C1157" s="268" t="s">
        <v>3119</v>
      </c>
      <c r="D1157" s="268">
        <v>1854</v>
      </c>
      <c r="E1157" s="268">
        <v>0</v>
      </c>
      <c r="F1157" s="83">
        <f t="shared" si="108"/>
        <v>1854</v>
      </c>
      <c r="G1157" s="268">
        <v>368</v>
      </c>
      <c r="H1157" s="268">
        <v>0</v>
      </c>
      <c r="I1157" s="83">
        <f t="shared" si="109"/>
        <v>368</v>
      </c>
      <c r="J1157" s="171">
        <f t="shared" si="110"/>
        <v>0.19850000000000001</v>
      </c>
      <c r="K1157" s="177">
        <f t="shared" ref="K1157:K1220" si="111">IF(AND((J1157-35%)&gt;0,J1157&lt;50%),I1157*(J1157-35%)*0.7,0)</f>
        <v>0</v>
      </c>
      <c r="L1157" s="177">
        <f t="shared" ref="L1157:L1220" si="112">IF(J1157&gt;=50%,I1157*10.5%,0)</f>
        <v>0</v>
      </c>
      <c r="M1157" s="177">
        <f t="shared" ref="M1157:M1220" si="113">MAX(K1157,L1157)</f>
        <v>0</v>
      </c>
    </row>
    <row r="1158" spans="1:13" ht="12.75" customHeight="1">
      <c r="A1158" s="268" t="s">
        <v>469</v>
      </c>
      <c r="B1158" s="268" t="s">
        <v>3120</v>
      </c>
      <c r="C1158" s="268" t="s">
        <v>3121</v>
      </c>
      <c r="D1158" s="268">
        <v>143</v>
      </c>
      <c r="E1158" s="268">
        <v>0</v>
      </c>
      <c r="F1158" s="83">
        <f t="shared" ref="F1158:F1221" si="114">SUM(D1158+E1158)</f>
        <v>143</v>
      </c>
      <c r="G1158" s="268">
        <v>49</v>
      </c>
      <c r="H1158" s="268">
        <v>0</v>
      </c>
      <c r="I1158" s="83">
        <f t="shared" si="109"/>
        <v>49</v>
      </c>
      <c r="J1158" s="171">
        <f t="shared" si="110"/>
        <v>0.3427</v>
      </c>
      <c r="K1158" s="177">
        <f t="shared" si="111"/>
        <v>0</v>
      </c>
      <c r="L1158" s="177">
        <f t="shared" si="112"/>
        <v>0</v>
      </c>
      <c r="M1158" s="177">
        <f t="shared" si="113"/>
        <v>0</v>
      </c>
    </row>
    <row r="1159" spans="1:13" ht="12.75" customHeight="1">
      <c r="A1159" s="268" t="s">
        <v>469</v>
      </c>
      <c r="B1159" s="268" t="s">
        <v>3122</v>
      </c>
      <c r="C1159" s="268" t="s">
        <v>3121</v>
      </c>
      <c r="D1159" s="268">
        <v>114</v>
      </c>
      <c r="E1159" s="268">
        <v>0</v>
      </c>
      <c r="F1159" s="83">
        <f t="shared" si="114"/>
        <v>114</v>
      </c>
      <c r="G1159" s="268">
        <v>33</v>
      </c>
      <c r="H1159" s="268">
        <v>0</v>
      </c>
      <c r="I1159" s="83">
        <f t="shared" si="109"/>
        <v>33</v>
      </c>
      <c r="J1159" s="171">
        <f t="shared" si="110"/>
        <v>0.28949999999999998</v>
      </c>
      <c r="K1159" s="177">
        <f t="shared" si="111"/>
        <v>0</v>
      </c>
      <c r="L1159" s="177">
        <f t="shared" si="112"/>
        <v>0</v>
      </c>
      <c r="M1159" s="177">
        <f t="shared" si="113"/>
        <v>0</v>
      </c>
    </row>
    <row r="1160" spans="1:13" ht="12.75" customHeight="1">
      <c r="A1160" s="268" t="s">
        <v>469</v>
      </c>
      <c r="B1160" s="268" t="s">
        <v>3123</v>
      </c>
      <c r="C1160" s="268" t="s">
        <v>3124</v>
      </c>
      <c r="D1160" s="268">
        <v>168</v>
      </c>
      <c r="E1160" s="268">
        <v>0</v>
      </c>
      <c r="F1160" s="83">
        <f t="shared" si="114"/>
        <v>168</v>
      </c>
      <c r="G1160" s="268">
        <v>58</v>
      </c>
      <c r="H1160" s="268">
        <v>0</v>
      </c>
      <c r="I1160" s="83">
        <f t="shared" si="109"/>
        <v>58</v>
      </c>
      <c r="J1160" s="171">
        <f t="shared" si="110"/>
        <v>0.34520000000000001</v>
      </c>
      <c r="K1160" s="177">
        <f t="shared" si="111"/>
        <v>0</v>
      </c>
      <c r="L1160" s="177">
        <f t="shared" si="112"/>
        <v>0</v>
      </c>
      <c r="M1160" s="177">
        <f t="shared" si="113"/>
        <v>0</v>
      </c>
    </row>
    <row r="1161" spans="1:13" ht="12.75" customHeight="1">
      <c r="A1161" s="268" t="s">
        <v>470</v>
      </c>
      <c r="B1161" s="268" t="s">
        <v>3125</v>
      </c>
      <c r="C1161" s="268" t="s">
        <v>3126</v>
      </c>
      <c r="D1161" s="268">
        <v>179</v>
      </c>
      <c r="E1161" s="268">
        <v>0</v>
      </c>
      <c r="F1161" s="83">
        <f t="shared" si="114"/>
        <v>179</v>
      </c>
      <c r="G1161" s="268">
        <v>88</v>
      </c>
      <c r="H1161" s="268">
        <v>0</v>
      </c>
      <c r="I1161" s="83">
        <f t="shared" si="109"/>
        <v>88</v>
      </c>
      <c r="J1161" s="171">
        <f t="shared" si="110"/>
        <v>0.49159999999999998</v>
      </c>
      <c r="K1161" s="177">
        <f t="shared" si="111"/>
        <v>8.6999999999999993</v>
      </c>
      <c r="L1161" s="177">
        <f t="shared" si="112"/>
        <v>0</v>
      </c>
      <c r="M1161" s="177">
        <f t="shared" si="113"/>
        <v>8.6999999999999993</v>
      </c>
    </row>
    <row r="1162" spans="1:13" ht="12.75" customHeight="1">
      <c r="A1162" s="268" t="s">
        <v>470</v>
      </c>
      <c r="B1162" s="268" t="s">
        <v>3127</v>
      </c>
      <c r="C1162" s="268" t="s">
        <v>3128</v>
      </c>
      <c r="D1162" s="268">
        <v>189</v>
      </c>
      <c r="E1162" s="268">
        <v>0</v>
      </c>
      <c r="F1162" s="83">
        <f t="shared" si="114"/>
        <v>189</v>
      </c>
      <c r="G1162" s="268">
        <v>93</v>
      </c>
      <c r="H1162" s="268">
        <v>0</v>
      </c>
      <c r="I1162" s="83">
        <f t="shared" si="109"/>
        <v>93</v>
      </c>
      <c r="J1162" s="171">
        <f t="shared" si="110"/>
        <v>0.49209999999999998</v>
      </c>
      <c r="K1162" s="177">
        <f t="shared" si="111"/>
        <v>9.3000000000000007</v>
      </c>
      <c r="L1162" s="177">
        <f t="shared" si="112"/>
        <v>0</v>
      </c>
      <c r="M1162" s="177">
        <f t="shared" si="113"/>
        <v>9.3000000000000007</v>
      </c>
    </row>
    <row r="1163" spans="1:13" ht="12.75" customHeight="1">
      <c r="A1163" s="268" t="s">
        <v>470</v>
      </c>
      <c r="B1163" s="268" t="s">
        <v>3129</v>
      </c>
      <c r="C1163" s="268" t="s">
        <v>3130</v>
      </c>
      <c r="D1163" s="268">
        <v>177</v>
      </c>
      <c r="E1163" s="268">
        <v>0</v>
      </c>
      <c r="F1163" s="83">
        <f t="shared" si="114"/>
        <v>177</v>
      </c>
      <c r="G1163" s="268">
        <v>100</v>
      </c>
      <c r="H1163" s="268">
        <v>0</v>
      </c>
      <c r="I1163" s="83">
        <f t="shared" si="109"/>
        <v>100</v>
      </c>
      <c r="J1163" s="171">
        <f t="shared" si="110"/>
        <v>0.56499999999999995</v>
      </c>
      <c r="K1163" s="177">
        <f t="shared" si="111"/>
        <v>0</v>
      </c>
      <c r="L1163" s="177">
        <f t="shared" si="112"/>
        <v>10.5</v>
      </c>
      <c r="M1163" s="177">
        <f t="shared" si="113"/>
        <v>10.5</v>
      </c>
    </row>
    <row r="1164" spans="1:13" ht="12.75" customHeight="1">
      <c r="A1164" s="268" t="s">
        <v>470</v>
      </c>
      <c r="B1164" s="268" t="s">
        <v>3131</v>
      </c>
      <c r="C1164" s="268" t="s">
        <v>3132</v>
      </c>
      <c r="D1164" s="268">
        <v>288</v>
      </c>
      <c r="E1164" s="268">
        <v>0</v>
      </c>
      <c r="F1164" s="83">
        <f t="shared" si="114"/>
        <v>288</v>
      </c>
      <c r="G1164" s="268">
        <v>127</v>
      </c>
      <c r="H1164" s="268">
        <v>0</v>
      </c>
      <c r="I1164" s="83">
        <f t="shared" si="109"/>
        <v>127</v>
      </c>
      <c r="J1164" s="171">
        <f t="shared" si="110"/>
        <v>0.441</v>
      </c>
      <c r="K1164" s="177">
        <f t="shared" si="111"/>
        <v>8.1</v>
      </c>
      <c r="L1164" s="177">
        <f t="shared" si="112"/>
        <v>0</v>
      </c>
      <c r="M1164" s="177">
        <f t="shared" si="113"/>
        <v>8.1</v>
      </c>
    </row>
    <row r="1165" spans="1:13" ht="12.75" customHeight="1">
      <c r="A1165" s="268" t="s">
        <v>471</v>
      </c>
      <c r="B1165" s="268" t="s">
        <v>3133</v>
      </c>
      <c r="C1165" s="268" t="s">
        <v>3134</v>
      </c>
      <c r="D1165" s="268">
        <v>369</v>
      </c>
      <c r="E1165" s="268">
        <v>0</v>
      </c>
      <c r="F1165" s="83">
        <f t="shared" si="114"/>
        <v>369</v>
      </c>
      <c r="G1165" s="268">
        <v>300</v>
      </c>
      <c r="H1165" s="268">
        <v>0</v>
      </c>
      <c r="I1165" s="83">
        <f t="shared" si="109"/>
        <v>300</v>
      </c>
      <c r="J1165" s="171">
        <f t="shared" si="110"/>
        <v>0.81299999999999994</v>
      </c>
      <c r="K1165" s="177">
        <f t="shared" si="111"/>
        <v>0</v>
      </c>
      <c r="L1165" s="177">
        <f t="shared" si="112"/>
        <v>31.5</v>
      </c>
      <c r="M1165" s="177">
        <f t="shared" si="113"/>
        <v>31.5</v>
      </c>
    </row>
    <row r="1166" spans="1:13" ht="12.75" customHeight="1">
      <c r="A1166" s="268" t="s">
        <v>471</v>
      </c>
      <c r="B1166" s="268" t="s">
        <v>3135</v>
      </c>
      <c r="C1166" s="268" t="s">
        <v>3136</v>
      </c>
      <c r="D1166" s="268">
        <v>344</v>
      </c>
      <c r="E1166" s="268">
        <v>0</v>
      </c>
      <c r="F1166" s="83">
        <f t="shared" si="114"/>
        <v>344</v>
      </c>
      <c r="G1166" s="268">
        <v>241</v>
      </c>
      <c r="H1166" s="268">
        <v>0</v>
      </c>
      <c r="I1166" s="83">
        <f t="shared" si="109"/>
        <v>241</v>
      </c>
      <c r="J1166" s="171">
        <f t="shared" si="110"/>
        <v>0.7006</v>
      </c>
      <c r="K1166" s="177">
        <f t="shared" si="111"/>
        <v>0</v>
      </c>
      <c r="L1166" s="177">
        <f t="shared" si="112"/>
        <v>25.3</v>
      </c>
      <c r="M1166" s="177">
        <f t="shared" si="113"/>
        <v>25.3</v>
      </c>
    </row>
    <row r="1167" spans="1:13" ht="12.75" customHeight="1">
      <c r="A1167" s="268" t="s">
        <v>471</v>
      </c>
      <c r="B1167" s="268" t="s">
        <v>3137</v>
      </c>
      <c r="C1167" s="268" t="s">
        <v>3138</v>
      </c>
      <c r="D1167" s="268">
        <v>278</v>
      </c>
      <c r="E1167" s="268">
        <v>0</v>
      </c>
      <c r="F1167" s="83">
        <f t="shared" si="114"/>
        <v>278</v>
      </c>
      <c r="G1167" s="268">
        <v>225</v>
      </c>
      <c r="H1167" s="268">
        <v>0</v>
      </c>
      <c r="I1167" s="83">
        <f t="shared" si="109"/>
        <v>225</v>
      </c>
      <c r="J1167" s="171">
        <f t="shared" si="110"/>
        <v>0.80940000000000001</v>
      </c>
      <c r="K1167" s="177">
        <f t="shared" si="111"/>
        <v>0</v>
      </c>
      <c r="L1167" s="177">
        <f t="shared" si="112"/>
        <v>23.6</v>
      </c>
      <c r="M1167" s="177">
        <f t="shared" si="113"/>
        <v>23.6</v>
      </c>
    </row>
    <row r="1168" spans="1:13" ht="12.75" customHeight="1">
      <c r="A1168" s="268" t="s">
        <v>471</v>
      </c>
      <c r="B1168" s="268" t="s">
        <v>3139</v>
      </c>
      <c r="C1168" s="268" t="s">
        <v>3140</v>
      </c>
      <c r="D1168" s="268">
        <v>710</v>
      </c>
      <c r="E1168" s="268">
        <v>0</v>
      </c>
      <c r="F1168" s="83">
        <f t="shared" si="114"/>
        <v>710</v>
      </c>
      <c r="G1168" s="268">
        <v>526</v>
      </c>
      <c r="H1168" s="268">
        <v>0</v>
      </c>
      <c r="I1168" s="83">
        <f t="shared" si="109"/>
        <v>526</v>
      </c>
      <c r="J1168" s="171">
        <f t="shared" si="110"/>
        <v>0.74080000000000001</v>
      </c>
      <c r="K1168" s="177">
        <f t="shared" si="111"/>
        <v>0</v>
      </c>
      <c r="L1168" s="177">
        <f t="shared" si="112"/>
        <v>55.2</v>
      </c>
      <c r="M1168" s="177">
        <f t="shared" si="113"/>
        <v>55.2</v>
      </c>
    </row>
    <row r="1169" spans="1:13" ht="12.75" customHeight="1">
      <c r="A1169" s="268" t="s">
        <v>471</v>
      </c>
      <c r="B1169" s="268" t="s">
        <v>3141</v>
      </c>
      <c r="C1169" s="268" t="s">
        <v>3142</v>
      </c>
      <c r="D1169" s="268">
        <v>271</v>
      </c>
      <c r="E1169" s="268">
        <v>0</v>
      </c>
      <c r="F1169" s="83">
        <f t="shared" si="114"/>
        <v>271</v>
      </c>
      <c r="G1169" s="268">
        <v>202</v>
      </c>
      <c r="H1169" s="268">
        <v>0</v>
      </c>
      <c r="I1169" s="83">
        <f t="shared" si="109"/>
        <v>202</v>
      </c>
      <c r="J1169" s="171">
        <f t="shared" si="110"/>
        <v>0.74539999999999995</v>
      </c>
      <c r="K1169" s="177">
        <f t="shared" si="111"/>
        <v>0</v>
      </c>
      <c r="L1169" s="177">
        <f t="shared" si="112"/>
        <v>21.2</v>
      </c>
      <c r="M1169" s="177">
        <f t="shared" si="113"/>
        <v>21.2</v>
      </c>
    </row>
    <row r="1170" spans="1:13" ht="12.75" customHeight="1">
      <c r="A1170" s="268" t="s">
        <v>471</v>
      </c>
      <c r="B1170" s="268" t="s">
        <v>3143</v>
      </c>
      <c r="C1170" s="268" t="s">
        <v>3144</v>
      </c>
      <c r="D1170" s="268">
        <v>322</v>
      </c>
      <c r="E1170" s="268">
        <v>0</v>
      </c>
      <c r="F1170" s="83">
        <f t="shared" si="114"/>
        <v>322</v>
      </c>
      <c r="G1170" s="268">
        <v>265</v>
      </c>
      <c r="H1170" s="268">
        <v>0</v>
      </c>
      <c r="I1170" s="83">
        <f t="shared" si="109"/>
        <v>265</v>
      </c>
      <c r="J1170" s="171">
        <f t="shared" si="110"/>
        <v>0.82299999999999995</v>
      </c>
      <c r="K1170" s="177">
        <f t="shared" si="111"/>
        <v>0</v>
      </c>
      <c r="L1170" s="177">
        <f t="shared" si="112"/>
        <v>27.8</v>
      </c>
      <c r="M1170" s="177">
        <f t="shared" si="113"/>
        <v>27.8</v>
      </c>
    </row>
    <row r="1171" spans="1:13" ht="12.75" customHeight="1">
      <c r="A1171" s="268" t="s">
        <v>471</v>
      </c>
      <c r="B1171" s="268" t="s">
        <v>3145</v>
      </c>
      <c r="C1171" s="268" t="s">
        <v>3146</v>
      </c>
      <c r="D1171" s="268">
        <v>197</v>
      </c>
      <c r="E1171" s="268">
        <v>0</v>
      </c>
      <c r="F1171" s="83">
        <f t="shared" si="114"/>
        <v>197</v>
      </c>
      <c r="G1171" s="268">
        <v>156</v>
      </c>
      <c r="H1171" s="268">
        <v>0</v>
      </c>
      <c r="I1171" s="83">
        <f t="shared" si="109"/>
        <v>156</v>
      </c>
      <c r="J1171" s="171">
        <f t="shared" si="110"/>
        <v>0.79190000000000005</v>
      </c>
      <c r="K1171" s="177">
        <f t="shared" si="111"/>
        <v>0</v>
      </c>
      <c r="L1171" s="177">
        <f t="shared" si="112"/>
        <v>16.399999999999999</v>
      </c>
      <c r="M1171" s="177">
        <f t="shared" si="113"/>
        <v>16.399999999999999</v>
      </c>
    </row>
    <row r="1172" spans="1:13" ht="12.75" customHeight="1">
      <c r="A1172" s="268" t="s">
        <v>471</v>
      </c>
      <c r="B1172" s="268" t="s">
        <v>3147</v>
      </c>
      <c r="C1172" s="268" t="s">
        <v>3148</v>
      </c>
      <c r="D1172" s="268">
        <v>584</v>
      </c>
      <c r="E1172" s="268">
        <v>0</v>
      </c>
      <c r="F1172" s="83">
        <f t="shared" si="114"/>
        <v>584</v>
      </c>
      <c r="G1172" s="268">
        <v>255</v>
      </c>
      <c r="H1172" s="268">
        <v>0</v>
      </c>
      <c r="I1172" s="83">
        <f t="shared" si="109"/>
        <v>255</v>
      </c>
      <c r="J1172" s="171">
        <f t="shared" si="110"/>
        <v>0.43659999999999999</v>
      </c>
      <c r="K1172" s="177">
        <f t="shared" si="111"/>
        <v>15.5</v>
      </c>
      <c r="L1172" s="177">
        <f t="shared" si="112"/>
        <v>0</v>
      </c>
      <c r="M1172" s="177">
        <f t="shared" si="113"/>
        <v>15.5</v>
      </c>
    </row>
    <row r="1173" spans="1:13" ht="12.75" customHeight="1">
      <c r="A1173" s="268" t="s">
        <v>471</v>
      </c>
      <c r="B1173" s="268" t="s">
        <v>3149</v>
      </c>
      <c r="C1173" s="268" t="s">
        <v>3150</v>
      </c>
      <c r="D1173" s="268">
        <v>366</v>
      </c>
      <c r="E1173" s="268">
        <v>0</v>
      </c>
      <c r="F1173" s="83">
        <f t="shared" si="114"/>
        <v>366</v>
      </c>
      <c r="G1173" s="268">
        <v>262</v>
      </c>
      <c r="H1173" s="268">
        <v>0</v>
      </c>
      <c r="I1173" s="83">
        <f t="shared" si="109"/>
        <v>262</v>
      </c>
      <c r="J1173" s="171">
        <f t="shared" si="110"/>
        <v>0.71579999999999999</v>
      </c>
      <c r="K1173" s="177">
        <f t="shared" si="111"/>
        <v>0</v>
      </c>
      <c r="L1173" s="177">
        <f t="shared" si="112"/>
        <v>27.5</v>
      </c>
      <c r="M1173" s="177">
        <f t="shared" si="113"/>
        <v>27.5</v>
      </c>
    </row>
    <row r="1174" spans="1:13" ht="12.75" customHeight="1">
      <c r="A1174" s="268" t="s">
        <v>471</v>
      </c>
      <c r="B1174" s="268" t="s">
        <v>3151</v>
      </c>
      <c r="C1174" s="268" t="s">
        <v>3152</v>
      </c>
      <c r="D1174" s="268">
        <v>366</v>
      </c>
      <c r="E1174" s="268">
        <v>0</v>
      </c>
      <c r="F1174" s="83">
        <f t="shared" si="114"/>
        <v>366</v>
      </c>
      <c r="G1174" s="268">
        <v>323</v>
      </c>
      <c r="H1174" s="268">
        <v>0</v>
      </c>
      <c r="I1174" s="83">
        <f t="shared" si="109"/>
        <v>323</v>
      </c>
      <c r="J1174" s="171">
        <f t="shared" si="110"/>
        <v>0.88249999999999995</v>
      </c>
      <c r="K1174" s="177">
        <f t="shared" si="111"/>
        <v>0</v>
      </c>
      <c r="L1174" s="177">
        <f t="shared" si="112"/>
        <v>33.9</v>
      </c>
      <c r="M1174" s="177">
        <f t="shared" si="113"/>
        <v>33.9</v>
      </c>
    </row>
    <row r="1175" spans="1:13" ht="12.75" customHeight="1">
      <c r="A1175" s="268" t="s">
        <v>471</v>
      </c>
      <c r="B1175" s="268" t="s">
        <v>3153</v>
      </c>
      <c r="C1175" s="268" t="s">
        <v>3154</v>
      </c>
      <c r="D1175" s="268">
        <v>270</v>
      </c>
      <c r="E1175" s="268">
        <v>0</v>
      </c>
      <c r="F1175" s="83">
        <f t="shared" si="114"/>
        <v>270</v>
      </c>
      <c r="G1175" s="268">
        <v>195</v>
      </c>
      <c r="H1175" s="268">
        <v>0</v>
      </c>
      <c r="I1175" s="83">
        <f t="shared" si="109"/>
        <v>195</v>
      </c>
      <c r="J1175" s="171">
        <f t="shared" si="110"/>
        <v>0.72219999999999995</v>
      </c>
      <c r="K1175" s="177">
        <f t="shared" si="111"/>
        <v>0</v>
      </c>
      <c r="L1175" s="177">
        <f t="shared" si="112"/>
        <v>20.5</v>
      </c>
      <c r="M1175" s="177">
        <f t="shared" si="113"/>
        <v>20.5</v>
      </c>
    </row>
    <row r="1176" spans="1:13" ht="12.75" customHeight="1">
      <c r="A1176" s="268" t="s">
        <v>471</v>
      </c>
      <c r="B1176" s="268" t="s">
        <v>3155</v>
      </c>
      <c r="C1176" s="268" t="s">
        <v>3156</v>
      </c>
      <c r="D1176" s="268">
        <v>259</v>
      </c>
      <c r="E1176" s="268">
        <v>0</v>
      </c>
      <c r="F1176" s="83">
        <f t="shared" si="114"/>
        <v>259</v>
      </c>
      <c r="G1176" s="268">
        <v>156</v>
      </c>
      <c r="H1176" s="268">
        <v>0</v>
      </c>
      <c r="I1176" s="83">
        <f t="shared" si="109"/>
        <v>156</v>
      </c>
      <c r="J1176" s="171">
        <f t="shared" si="110"/>
        <v>0.60229999999999995</v>
      </c>
      <c r="K1176" s="177">
        <f t="shared" si="111"/>
        <v>0</v>
      </c>
      <c r="L1176" s="177">
        <f t="shared" si="112"/>
        <v>16.399999999999999</v>
      </c>
      <c r="M1176" s="177">
        <f t="shared" si="113"/>
        <v>16.399999999999999</v>
      </c>
    </row>
    <row r="1177" spans="1:13" ht="12.75" customHeight="1">
      <c r="A1177" s="268" t="s">
        <v>471</v>
      </c>
      <c r="B1177" s="268" t="s">
        <v>3157</v>
      </c>
      <c r="C1177" s="268" t="s">
        <v>3158</v>
      </c>
      <c r="D1177" s="268">
        <v>347</v>
      </c>
      <c r="E1177" s="268">
        <v>0</v>
      </c>
      <c r="F1177" s="83">
        <f t="shared" si="114"/>
        <v>347</v>
      </c>
      <c r="G1177" s="268">
        <v>267</v>
      </c>
      <c r="H1177" s="268">
        <v>0</v>
      </c>
      <c r="I1177" s="83">
        <f t="shared" si="109"/>
        <v>267</v>
      </c>
      <c r="J1177" s="171">
        <f t="shared" si="110"/>
        <v>0.76949999999999996</v>
      </c>
      <c r="K1177" s="177">
        <f t="shared" si="111"/>
        <v>0</v>
      </c>
      <c r="L1177" s="177">
        <f t="shared" si="112"/>
        <v>28</v>
      </c>
      <c r="M1177" s="177">
        <f t="shared" si="113"/>
        <v>28</v>
      </c>
    </row>
    <row r="1178" spans="1:13" ht="12.75" customHeight="1">
      <c r="A1178" s="268" t="s">
        <v>471</v>
      </c>
      <c r="B1178" s="268" t="s">
        <v>3159</v>
      </c>
      <c r="C1178" s="268" t="s">
        <v>3160</v>
      </c>
      <c r="D1178" s="268">
        <v>337</v>
      </c>
      <c r="E1178" s="268">
        <v>0</v>
      </c>
      <c r="F1178" s="83">
        <f t="shared" si="114"/>
        <v>337</v>
      </c>
      <c r="G1178" s="268">
        <v>222</v>
      </c>
      <c r="H1178" s="268">
        <v>0</v>
      </c>
      <c r="I1178" s="83">
        <f t="shared" si="109"/>
        <v>222</v>
      </c>
      <c r="J1178" s="171">
        <f t="shared" si="110"/>
        <v>0.65880000000000005</v>
      </c>
      <c r="K1178" s="177">
        <f t="shared" si="111"/>
        <v>0</v>
      </c>
      <c r="L1178" s="177">
        <f t="shared" si="112"/>
        <v>23.3</v>
      </c>
      <c r="M1178" s="177">
        <f t="shared" si="113"/>
        <v>23.3</v>
      </c>
    </row>
    <row r="1179" spans="1:13" ht="12.75" customHeight="1">
      <c r="A1179" s="268" t="s">
        <v>471</v>
      </c>
      <c r="B1179" s="268" t="s">
        <v>3161</v>
      </c>
      <c r="C1179" s="268" t="s">
        <v>3162</v>
      </c>
      <c r="D1179" s="268">
        <v>339</v>
      </c>
      <c r="E1179" s="268">
        <v>0</v>
      </c>
      <c r="F1179" s="83">
        <f t="shared" si="114"/>
        <v>339</v>
      </c>
      <c r="G1179" s="268">
        <v>260</v>
      </c>
      <c r="H1179" s="268">
        <v>0</v>
      </c>
      <c r="I1179" s="83">
        <f t="shared" si="109"/>
        <v>260</v>
      </c>
      <c r="J1179" s="171">
        <f t="shared" si="110"/>
        <v>0.76700000000000002</v>
      </c>
      <c r="K1179" s="177">
        <f t="shared" si="111"/>
        <v>0</v>
      </c>
      <c r="L1179" s="177">
        <f t="shared" si="112"/>
        <v>27.3</v>
      </c>
      <c r="M1179" s="177">
        <f t="shared" si="113"/>
        <v>27.3</v>
      </c>
    </row>
    <row r="1180" spans="1:13" ht="12.75" customHeight="1">
      <c r="A1180" s="268" t="s">
        <v>471</v>
      </c>
      <c r="B1180" s="268" t="s">
        <v>3163</v>
      </c>
      <c r="C1180" s="268" t="s">
        <v>1357</v>
      </c>
      <c r="D1180" s="268">
        <v>293</v>
      </c>
      <c r="E1180" s="268">
        <v>0</v>
      </c>
      <c r="F1180" s="83">
        <f t="shared" si="114"/>
        <v>293</v>
      </c>
      <c r="G1180" s="268">
        <v>197</v>
      </c>
      <c r="H1180" s="268">
        <v>0</v>
      </c>
      <c r="I1180" s="83">
        <f t="shared" si="109"/>
        <v>197</v>
      </c>
      <c r="J1180" s="171">
        <f t="shared" si="110"/>
        <v>0.6724</v>
      </c>
      <c r="K1180" s="177">
        <f t="shared" si="111"/>
        <v>0</v>
      </c>
      <c r="L1180" s="177">
        <f t="shared" si="112"/>
        <v>20.7</v>
      </c>
      <c r="M1180" s="177">
        <f t="shared" si="113"/>
        <v>20.7</v>
      </c>
    </row>
    <row r="1181" spans="1:13" ht="12.75" customHeight="1">
      <c r="A1181" s="268" t="s">
        <v>471</v>
      </c>
      <c r="B1181" s="268" t="s">
        <v>3164</v>
      </c>
      <c r="C1181" s="268" t="s">
        <v>3165</v>
      </c>
      <c r="D1181" s="268">
        <v>268</v>
      </c>
      <c r="E1181" s="268">
        <v>0</v>
      </c>
      <c r="F1181" s="83">
        <f t="shared" si="114"/>
        <v>268</v>
      </c>
      <c r="G1181" s="268">
        <v>175</v>
      </c>
      <c r="H1181" s="268">
        <v>0</v>
      </c>
      <c r="I1181" s="83">
        <f t="shared" si="109"/>
        <v>175</v>
      </c>
      <c r="J1181" s="171">
        <f t="shared" si="110"/>
        <v>0.65300000000000002</v>
      </c>
      <c r="K1181" s="177">
        <f t="shared" si="111"/>
        <v>0</v>
      </c>
      <c r="L1181" s="177">
        <f t="shared" si="112"/>
        <v>18.399999999999999</v>
      </c>
      <c r="M1181" s="177">
        <f t="shared" si="113"/>
        <v>18.399999999999999</v>
      </c>
    </row>
    <row r="1182" spans="1:13" ht="12.75" customHeight="1">
      <c r="A1182" s="268" t="s">
        <v>471</v>
      </c>
      <c r="B1182" s="268" t="s">
        <v>3166</v>
      </c>
      <c r="C1182" s="268" t="s">
        <v>2901</v>
      </c>
      <c r="D1182" s="268">
        <v>580</v>
      </c>
      <c r="E1182" s="268">
        <v>0</v>
      </c>
      <c r="F1182" s="83">
        <f t="shared" si="114"/>
        <v>580</v>
      </c>
      <c r="G1182" s="268">
        <v>451</v>
      </c>
      <c r="H1182" s="268">
        <v>0</v>
      </c>
      <c r="I1182" s="83">
        <f t="shared" si="109"/>
        <v>451</v>
      </c>
      <c r="J1182" s="171">
        <f t="shared" si="110"/>
        <v>0.77759999999999996</v>
      </c>
      <c r="K1182" s="177">
        <f t="shared" si="111"/>
        <v>0</v>
      </c>
      <c r="L1182" s="177">
        <f t="shared" si="112"/>
        <v>47.4</v>
      </c>
      <c r="M1182" s="177">
        <f t="shared" si="113"/>
        <v>47.4</v>
      </c>
    </row>
    <row r="1183" spans="1:13" ht="12.75" customHeight="1">
      <c r="A1183" s="268" t="s">
        <v>471</v>
      </c>
      <c r="B1183" s="268" t="s">
        <v>3167</v>
      </c>
      <c r="C1183" s="268" t="s">
        <v>2928</v>
      </c>
      <c r="D1183" s="268">
        <v>484</v>
      </c>
      <c r="E1183" s="268">
        <v>0</v>
      </c>
      <c r="F1183" s="83">
        <f t="shared" si="114"/>
        <v>484</v>
      </c>
      <c r="G1183" s="268">
        <v>292</v>
      </c>
      <c r="H1183" s="268">
        <v>0</v>
      </c>
      <c r="I1183" s="83">
        <f t="shared" si="109"/>
        <v>292</v>
      </c>
      <c r="J1183" s="171">
        <f t="shared" si="110"/>
        <v>0.60329999999999995</v>
      </c>
      <c r="K1183" s="177">
        <f t="shared" si="111"/>
        <v>0</v>
      </c>
      <c r="L1183" s="177">
        <f t="shared" si="112"/>
        <v>30.7</v>
      </c>
      <c r="M1183" s="177">
        <f t="shared" si="113"/>
        <v>30.7</v>
      </c>
    </row>
    <row r="1184" spans="1:13" ht="12.75" customHeight="1">
      <c r="A1184" s="268" t="s">
        <v>471</v>
      </c>
      <c r="B1184" s="268" t="s">
        <v>3168</v>
      </c>
      <c r="C1184" s="268" t="s">
        <v>3169</v>
      </c>
      <c r="D1184" s="268">
        <v>741</v>
      </c>
      <c r="E1184" s="268">
        <v>0</v>
      </c>
      <c r="F1184" s="83">
        <f t="shared" si="114"/>
        <v>741</v>
      </c>
      <c r="G1184" s="268">
        <v>561</v>
      </c>
      <c r="H1184" s="268">
        <v>0</v>
      </c>
      <c r="I1184" s="83">
        <f t="shared" si="109"/>
        <v>561</v>
      </c>
      <c r="J1184" s="171">
        <f t="shared" si="110"/>
        <v>0.7571</v>
      </c>
      <c r="K1184" s="177">
        <f t="shared" si="111"/>
        <v>0</v>
      </c>
      <c r="L1184" s="177">
        <f t="shared" si="112"/>
        <v>58.9</v>
      </c>
      <c r="M1184" s="177">
        <f t="shared" si="113"/>
        <v>58.9</v>
      </c>
    </row>
    <row r="1185" spans="1:13" ht="12.75" customHeight="1">
      <c r="A1185" s="268" t="s">
        <v>471</v>
      </c>
      <c r="B1185" s="268" t="s">
        <v>3170</v>
      </c>
      <c r="C1185" s="268" t="s">
        <v>3171</v>
      </c>
      <c r="D1185" s="268">
        <v>759</v>
      </c>
      <c r="E1185" s="268">
        <v>0</v>
      </c>
      <c r="F1185" s="83">
        <f t="shared" si="114"/>
        <v>759</v>
      </c>
      <c r="G1185" s="268">
        <v>511</v>
      </c>
      <c r="H1185" s="268">
        <v>0</v>
      </c>
      <c r="I1185" s="83">
        <f t="shared" si="109"/>
        <v>511</v>
      </c>
      <c r="J1185" s="171">
        <f t="shared" si="110"/>
        <v>0.67330000000000001</v>
      </c>
      <c r="K1185" s="177">
        <f t="shared" si="111"/>
        <v>0</v>
      </c>
      <c r="L1185" s="177">
        <f t="shared" si="112"/>
        <v>53.7</v>
      </c>
      <c r="M1185" s="177">
        <f t="shared" si="113"/>
        <v>53.7</v>
      </c>
    </row>
    <row r="1186" spans="1:13" ht="12.75" customHeight="1">
      <c r="A1186" s="268" t="s">
        <v>471</v>
      </c>
      <c r="B1186" s="268" t="s">
        <v>3172</v>
      </c>
      <c r="C1186" s="268" t="s">
        <v>3173</v>
      </c>
      <c r="D1186" s="268">
        <v>88</v>
      </c>
      <c r="E1186" s="268">
        <v>0</v>
      </c>
      <c r="F1186" s="83">
        <f t="shared" si="114"/>
        <v>88</v>
      </c>
      <c r="G1186" s="268">
        <v>56</v>
      </c>
      <c r="H1186" s="268">
        <v>0</v>
      </c>
      <c r="I1186" s="83">
        <f t="shared" si="109"/>
        <v>56</v>
      </c>
      <c r="J1186" s="171">
        <f t="shared" si="110"/>
        <v>0.63639999999999997</v>
      </c>
      <c r="K1186" s="177">
        <f t="shared" si="111"/>
        <v>0</v>
      </c>
      <c r="L1186" s="177">
        <f t="shared" si="112"/>
        <v>5.9</v>
      </c>
      <c r="M1186" s="177">
        <f t="shared" si="113"/>
        <v>5.9</v>
      </c>
    </row>
    <row r="1187" spans="1:13" ht="12.75" customHeight="1">
      <c r="A1187" s="268" t="s">
        <v>471</v>
      </c>
      <c r="B1187" s="268" t="s">
        <v>3174</v>
      </c>
      <c r="C1187" s="268" t="s">
        <v>3175</v>
      </c>
      <c r="D1187" s="268">
        <v>321</v>
      </c>
      <c r="E1187" s="268">
        <v>0</v>
      </c>
      <c r="F1187" s="83">
        <f t="shared" si="114"/>
        <v>321</v>
      </c>
      <c r="G1187" s="268">
        <v>225</v>
      </c>
      <c r="H1187" s="268">
        <v>0</v>
      </c>
      <c r="I1187" s="83">
        <f t="shared" ref="I1187:I1250" si="115">SUM(G1187+H1187)</f>
        <v>225</v>
      </c>
      <c r="J1187" s="171">
        <f t="shared" ref="J1187:J1250" si="116">IF(ISERROR(I1187/F1187),0,I1187/F1187)</f>
        <v>0.70089999999999997</v>
      </c>
      <c r="K1187" s="177">
        <f t="shared" si="111"/>
        <v>0</v>
      </c>
      <c r="L1187" s="177">
        <f t="shared" si="112"/>
        <v>23.6</v>
      </c>
      <c r="M1187" s="177">
        <f t="shared" si="113"/>
        <v>23.6</v>
      </c>
    </row>
    <row r="1188" spans="1:13" ht="12.75" customHeight="1">
      <c r="A1188" s="268" t="s">
        <v>471</v>
      </c>
      <c r="B1188" s="268" t="s">
        <v>3176</v>
      </c>
      <c r="C1188" s="268" t="s">
        <v>3177</v>
      </c>
      <c r="D1188" s="268">
        <v>718</v>
      </c>
      <c r="E1188" s="268">
        <v>0</v>
      </c>
      <c r="F1188" s="83">
        <f t="shared" si="114"/>
        <v>718</v>
      </c>
      <c r="G1188" s="268">
        <v>529</v>
      </c>
      <c r="H1188" s="268">
        <v>0</v>
      </c>
      <c r="I1188" s="83">
        <f t="shared" si="115"/>
        <v>529</v>
      </c>
      <c r="J1188" s="171">
        <f t="shared" si="116"/>
        <v>0.73680000000000001</v>
      </c>
      <c r="K1188" s="177">
        <f t="shared" si="111"/>
        <v>0</v>
      </c>
      <c r="L1188" s="177">
        <f t="shared" si="112"/>
        <v>55.5</v>
      </c>
      <c r="M1188" s="177">
        <f t="shared" si="113"/>
        <v>55.5</v>
      </c>
    </row>
    <row r="1189" spans="1:13" ht="12.75" customHeight="1">
      <c r="A1189" s="268" t="s">
        <v>471</v>
      </c>
      <c r="B1189" s="268" t="s">
        <v>3178</v>
      </c>
      <c r="C1189" s="268" t="s">
        <v>3179</v>
      </c>
      <c r="D1189" s="268">
        <v>654</v>
      </c>
      <c r="E1189" s="268">
        <v>0</v>
      </c>
      <c r="F1189" s="83">
        <f t="shared" si="114"/>
        <v>654</v>
      </c>
      <c r="G1189" s="268">
        <v>374</v>
      </c>
      <c r="H1189" s="268">
        <v>0</v>
      </c>
      <c r="I1189" s="83">
        <f t="shared" si="115"/>
        <v>374</v>
      </c>
      <c r="J1189" s="171">
        <f t="shared" si="116"/>
        <v>0.57189999999999996</v>
      </c>
      <c r="K1189" s="177">
        <f t="shared" si="111"/>
        <v>0</v>
      </c>
      <c r="L1189" s="177">
        <f t="shared" si="112"/>
        <v>39.299999999999997</v>
      </c>
      <c r="M1189" s="177">
        <f t="shared" si="113"/>
        <v>39.299999999999997</v>
      </c>
    </row>
    <row r="1190" spans="1:13" ht="12.75" customHeight="1">
      <c r="A1190" s="268" t="s">
        <v>471</v>
      </c>
      <c r="B1190" s="268" t="s">
        <v>3180</v>
      </c>
      <c r="C1190" s="268" t="s">
        <v>3181</v>
      </c>
      <c r="D1190" s="268">
        <v>1095</v>
      </c>
      <c r="E1190" s="268">
        <v>0</v>
      </c>
      <c r="F1190" s="83">
        <f t="shared" si="114"/>
        <v>1095</v>
      </c>
      <c r="G1190" s="268">
        <v>583</v>
      </c>
      <c r="H1190" s="268">
        <v>0</v>
      </c>
      <c r="I1190" s="83">
        <f t="shared" si="115"/>
        <v>583</v>
      </c>
      <c r="J1190" s="171">
        <f t="shared" si="116"/>
        <v>0.53239999999999998</v>
      </c>
      <c r="K1190" s="177">
        <f t="shared" si="111"/>
        <v>0</v>
      </c>
      <c r="L1190" s="177">
        <f t="shared" si="112"/>
        <v>61.2</v>
      </c>
      <c r="M1190" s="177">
        <f t="shared" si="113"/>
        <v>61.2</v>
      </c>
    </row>
    <row r="1191" spans="1:13" ht="12.75" customHeight="1">
      <c r="A1191" s="268" t="s">
        <v>471</v>
      </c>
      <c r="B1191" s="268" t="s">
        <v>3182</v>
      </c>
      <c r="C1191" s="268" t="s">
        <v>3183</v>
      </c>
      <c r="D1191" s="268">
        <v>1478</v>
      </c>
      <c r="E1191" s="268">
        <v>0</v>
      </c>
      <c r="F1191" s="83">
        <f t="shared" si="114"/>
        <v>1478</v>
      </c>
      <c r="G1191" s="268">
        <v>1135</v>
      </c>
      <c r="H1191" s="268">
        <v>0</v>
      </c>
      <c r="I1191" s="83">
        <f t="shared" si="115"/>
        <v>1135</v>
      </c>
      <c r="J1191" s="171">
        <f t="shared" si="116"/>
        <v>0.76790000000000003</v>
      </c>
      <c r="K1191" s="177">
        <f t="shared" si="111"/>
        <v>0</v>
      </c>
      <c r="L1191" s="177">
        <f t="shared" si="112"/>
        <v>119.2</v>
      </c>
      <c r="M1191" s="177">
        <f t="shared" si="113"/>
        <v>119.2</v>
      </c>
    </row>
    <row r="1192" spans="1:13" ht="12.75" customHeight="1">
      <c r="A1192" s="268" t="s">
        <v>471</v>
      </c>
      <c r="B1192" s="268" t="s">
        <v>3184</v>
      </c>
      <c r="C1192" s="268" t="s">
        <v>3185</v>
      </c>
      <c r="D1192" s="268">
        <v>470</v>
      </c>
      <c r="E1192" s="268">
        <v>0</v>
      </c>
      <c r="F1192" s="83">
        <f t="shared" si="114"/>
        <v>470</v>
      </c>
      <c r="G1192" s="268">
        <v>256</v>
      </c>
      <c r="H1192" s="268">
        <v>0</v>
      </c>
      <c r="I1192" s="83">
        <f t="shared" si="115"/>
        <v>256</v>
      </c>
      <c r="J1192" s="171">
        <f t="shared" si="116"/>
        <v>0.54469999999999996</v>
      </c>
      <c r="K1192" s="177">
        <f t="shared" si="111"/>
        <v>0</v>
      </c>
      <c r="L1192" s="177">
        <f t="shared" si="112"/>
        <v>26.9</v>
      </c>
      <c r="M1192" s="177">
        <f t="shared" si="113"/>
        <v>26.9</v>
      </c>
    </row>
    <row r="1193" spans="1:13" ht="12.75" customHeight="1">
      <c r="A1193" s="268" t="s">
        <v>471</v>
      </c>
      <c r="B1193" s="268" t="s">
        <v>3186</v>
      </c>
      <c r="C1193" s="268" t="s">
        <v>3187</v>
      </c>
      <c r="D1193" s="268">
        <v>204</v>
      </c>
      <c r="E1193" s="268">
        <v>0</v>
      </c>
      <c r="F1193" s="83">
        <f t="shared" si="114"/>
        <v>204</v>
      </c>
      <c r="G1193" s="268">
        <v>128</v>
      </c>
      <c r="H1193" s="268">
        <v>0</v>
      </c>
      <c r="I1193" s="83">
        <f t="shared" si="115"/>
        <v>128</v>
      </c>
      <c r="J1193" s="171">
        <f t="shared" si="116"/>
        <v>0.62749999999999995</v>
      </c>
      <c r="K1193" s="177">
        <f t="shared" si="111"/>
        <v>0</v>
      </c>
      <c r="L1193" s="177">
        <f t="shared" si="112"/>
        <v>13.4</v>
      </c>
      <c r="M1193" s="177">
        <f t="shared" si="113"/>
        <v>13.4</v>
      </c>
    </row>
    <row r="1194" spans="1:13" ht="12.75" customHeight="1">
      <c r="A1194" s="268" t="s">
        <v>471</v>
      </c>
      <c r="B1194" s="268" t="s">
        <v>3188</v>
      </c>
      <c r="C1194" s="268" t="s">
        <v>3189</v>
      </c>
      <c r="D1194" s="268">
        <v>1351</v>
      </c>
      <c r="E1194" s="268">
        <v>0</v>
      </c>
      <c r="F1194" s="83">
        <f t="shared" si="114"/>
        <v>1351</v>
      </c>
      <c r="G1194" s="268">
        <v>865</v>
      </c>
      <c r="H1194" s="268">
        <v>0</v>
      </c>
      <c r="I1194" s="83">
        <f t="shared" si="115"/>
        <v>865</v>
      </c>
      <c r="J1194" s="171">
        <f t="shared" si="116"/>
        <v>0.64029999999999998</v>
      </c>
      <c r="K1194" s="177">
        <f t="shared" si="111"/>
        <v>0</v>
      </c>
      <c r="L1194" s="177">
        <f t="shared" si="112"/>
        <v>90.8</v>
      </c>
      <c r="M1194" s="177">
        <f t="shared" si="113"/>
        <v>90.8</v>
      </c>
    </row>
    <row r="1195" spans="1:13" ht="12.75" customHeight="1">
      <c r="A1195" s="268" t="s">
        <v>471</v>
      </c>
      <c r="B1195" s="268" t="s">
        <v>3190</v>
      </c>
      <c r="C1195" s="268" t="s">
        <v>3191</v>
      </c>
      <c r="D1195" s="268">
        <v>509</v>
      </c>
      <c r="E1195" s="268">
        <v>0</v>
      </c>
      <c r="F1195" s="83">
        <f t="shared" si="114"/>
        <v>509</v>
      </c>
      <c r="G1195" s="268">
        <v>290</v>
      </c>
      <c r="H1195" s="268">
        <v>0</v>
      </c>
      <c r="I1195" s="83">
        <f t="shared" si="115"/>
        <v>290</v>
      </c>
      <c r="J1195" s="171">
        <f t="shared" si="116"/>
        <v>0.56969999999999998</v>
      </c>
      <c r="K1195" s="177">
        <f t="shared" si="111"/>
        <v>0</v>
      </c>
      <c r="L1195" s="177">
        <f t="shared" si="112"/>
        <v>30.5</v>
      </c>
      <c r="M1195" s="177">
        <f t="shared" si="113"/>
        <v>30.5</v>
      </c>
    </row>
    <row r="1196" spans="1:13" ht="12.75" customHeight="1">
      <c r="A1196" s="268" t="s">
        <v>471</v>
      </c>
      <c r="B1196" s="268" t="s">
        <v>3192</v>
      </c>
      <c r="C1196" s="268" t="s">
        <v>3193</v>
      </c>
      <c r="D1196" s="268">
        <v>1043</v>
      </c>
      <c r="E1196" s="268">
        <v>0</v>
      </c>
      <c r="F1196" s="83">
        <f t="shared" si="114"/>
        <v>1043</v>
      </c>
      <c r="G1196" s="268">
        <v>633</v>
      </c>
      <c r="H1196" s="268">
        <v>0</v>
      </c>
      <c r="I1196" s="83">
        <f t="shared" si="115"/>
        <v>633</v>
      </c>
      <c r="J1196" s="171">
        <f t="shared" si="116"/>
        <v>0.6069</v>
      </c>
      <c r="K1196" s="177">
        <f t="shared" si="111"/>
        <v>0</v>
      </c>
      <c r="L1196" s="177">
        <f t="shared" si="112"/>
        <v>66.5</v>
      </c>
      <c r="M1196" s="177">
        <f t="shared" si="113"/>
        <v>66.5</v>
      </c>
    </row>
    <row r="1197" spans="1:13" ht="12.75" customHeight="1">
      <c r="A1197" s="268" t="s">
        <v>471</v>
      </c>
      <c r="B1197" s="268" t="s">
        <v>3194</v>
      </c>
      <c r="C1197" s="268" t="s">
        <v>3195</v>
      </c>
      <c r="D1197" s="268">
        <v>290</v>
      </c>
      <c r="E1197" s="268">
        <v>0</v>
      </c>
      <c r="F1197" s="83">
        <f t="shared" si="114"/>
        <v>290</v>
      </c>
      <c r="G1197" s="268">
        <v>195</v>
      </c>
      <c r="H1197" s="268">
        <v>0</v>
      </c>
      <c r="I1197" s="83">
        <f t="shared" si="115"/>
        <v>195</v>
      </c>
      <c r="J1197" s="171">
        <f t="shared" si="116"/>
        <v>0.6724</v>
      </c>
      <c r="K1197" s="177">
        <f t="shared" si="111"/>
        <v>0</v>
      </c>
      <c r="L1197" s="177">
        <f t="shared" si="112"/>
        <v>20.5</v>
      </c>
      <c r="M1197" s="177">
        <f t="shared" si="113"/>
        <v>20.5</v>
      </c>
    </row>
    <row r="1198" spans="1:13" ht="12.75" customHeight="1">
      <c r="A1198" s="268" t="s">
        <v>471</v>
      </c>
      <c r="B1198" s="268" t="s">
        <v>3196</v>
      </c>
      <c r="C1198" s="268" t="s">
        <v>3197</v>
      </c>
      <c r="D1198" s="268">
        <v>689</v>
      </c>
      <c r="E1198" s="268">
        <v>0</v>
      </c>
      <c r="F1198" s="83">
        <f t="shared" si="114"/>
        <v>689</v>
      </c>
      <c r="G1198" s="268">
        <v>416</v>
      </c>
      <c r="H1198" s="268">
        <v>0</v>
      </c>
      <c r="I1198" s="83">
        <f t="shared" si="115"/>
        <v>416</v>
      </c>
      <c r="J1198" s="171">
        <f t="shared" si="116"/>
        <v>0.6038</v>
      </c>
      <c r="K1198" s="177">
        <f t="shared" si="111"/>
        <v>0</v>
      </c>
      <c r="L1198" s="177">
        <f t="shared" si="112"/>
        <v>43.7</v>
      </c>
      <c r="M1198" s="177">
        <f t="shared" si="113"/>
        <v>43.7</v>
      </c>
    </row>
    <row r="1199" spans="1:13" ht="12.75" customHeight="1">
      <c r="A1199" s="268" t="s">
        <v>471</v>
      </c>
      <c r="B1199" s="268" t="s">
        <v>3198</v>
      </c>
      <c r="C1199" s="268" t="s">
        <v>3199</v>
      </c>
      <c r="D1199" s="268">
        <v>558</v>
      </c>
      <c r="E1199" s="268">
        <v>0</v>
      </c>
      <c r="F1199" s="83">
        <f t="shared" si="114"/>
        <v>558</v>
      </c>
      <c r="G1199" s="268">
        <v>304</v>
      </c>
      <c r="H1199" s="268">
        <v>0</v>
      </c>
      <c r="I1199" s="83">
        <f t="shared" si="115"/>
        <v>304</v>
      </c>
      <c r="J1199" s="171">
        <f t="shared" si="116"/>
        <v>0.54479999999999995</v>
      </c>
      <c r="K1199" s="177">
        <f t="shared" si="111"/>
        <v>0</v>
      </c>
      <c r="L1199" s="177">
        <f t="shared" si="112"/>
        <v>31.9</v>
      </c>
      <c r="M1199" s="177">
        <f t="shared" si="113"/>
        <v>31.9</v>
      </c>
    </row>
    <row r="1200" spans="1:13" ht="12.75" customHeight="1">
      <c r="A1200" s="268" t="s">
        <v>471</v>
      </c>
      <c r="B1200" s="268" t="s">
        <v>3200</v>
      </c>
      <c r="C1200" s="268" t="s">
        <v>3201</v>
      </c>
      <c r="D1200" s="268">
        <v>445</v>
      </c>
      <c r="E1200" s="268">
        <v>0</v>
      </c>
      <c r="F1200" s="83">
        <f t="shared" si="114"/>
        <v>445</v>
      </c>
      <c r="G1200" s="268">
        <v>278</v>
      </c>
      <c r="H1200" s="268">
        <v>0</v>
      </c>
      <c r="I1200" s="83">
        <f t="shared" si="115"/>
        <v>278</v>
      </c>
      <c r="J1200" s="171">
        <f t="shared" si="116"/>
        <v>0.62470000000000003</v>
      </c>
      <c r="K1200" s="177">
        <f t="shared" si="111"/>
        <v>0</v>
      </c>
      <c r="L1200" s="177">
        <f t="shared" si="112"/>
        <v>29.2</v>
      </c>
      <c r="M1200" s="177">
        <f t="shared" si="113"/>
        <v>29.2</v>
      </c>
    </row>
    <row r="1201" spans="1:13" ht="12.75" customHeight="1">
      <c r="A1201" s="268" t="s">
        <v>471</v>
      </c>
      <c r="B1201" s="268" t="s">
        <v>3202</v>
      </c>
      <c r="C1201" s="268" t="s">
        <v>3203</v>
      </c>
      <c r="D1201" s="268">
        <v>231</v>
      </c>
      <c r="E1201" s="268">
        <v>0</v>
      </c>
      <c r="F1201" s="83">
        <f t="shared" si="114"/>
        <v>231</v>
      </c>
      <c r="G1201" s="268">
        <v>140</v>
      </c>
      <c r="H1201" s="268">
        <v>0</v>
      </c>
      <c r="I1201" s="83">
        <f t="shared" si="115"/>
        <v>140</v>
      </c>
      <c r="J1201" s="171">
        <f t="shared" si="116"/>
        <v>0.60609999999999997</v>
      </c>
      <c r="K1201" s="177">
        <f t="shared" si="111"/>
        <v>0</v>
      </c>
      <c r="L1201" s="177">
        <f t="shared" si="112"/>
        <v>14.7</v>
      </c>
      <c r="M1201" s="177">
        <f t="shared" si="113"/>
        <v>14.7</v>
      </c>
    </row>
    <row r="1202" spans="1:13" ht="12.75" customHeight="1">
      <c r="A1202" s="268" t="s">
        <v>471</v>
      </c>
      <c r="B1202" s="268" t="s">
        <v>3204</v>
      </c>
      <c r="C1202" s="268" t="s">
        <v>3205</v>
      </c>
      <c r="D1202" s="268">
        <v>324</v>
      </c>
      <c r="E1202" s="268">
        <v>0</v>
      </c>
      <c r="F1202" s="83">
        <f t="shared" si="114"/>
        <v>324</v>
      </c>
      <c r="G1202" s="268">
        <v>202</v>
      </c>
      <c r="H1202" s="268">
        <v>0</v>
      </c>
      <c r="I1202" s="83">
        <f t="shared" si="115"/>
        <v>202</v>
      </c>
      <c r="J1202" s="171">
        <f t="shared" si="116"/>
        <v>0.62350000000000005</v>
      </c>
      <c r="K1202" s="177">
        <f t="shared" si="111"/>
        <v>0</v>
      </c>
      <c r="L1202" s="177">
        <f t="shared" si="112"/>
        <v>21.2</v>
      </c>
      <c r="M1202" s="177">
        <f t="shared" si="113"/>
        <v>21.2</v>
      </c>
    </row>
    <row r="1203" spans="1:13" ht="12.75" customHeight="1">
      <c r="A1203" s="268" t="s">
        <v>471</v>
      </c>
      <c r="B1203" s="268" t="s">
        <v>3206</v>
      </c>
      <c r="C1203" s="268" t="s">
        <v>3207</v>
      </c>
      <c r="D1203" s="268">
        <v>341</v>
      </c>
      <c r="E1203" s="268">
        <v>0</v>
      </c>
      <c r="F1203" s="83">
        <f t="shared" si="114"/>
        <v>341</v>
      </c>
      <c r="G1203" s="268">
        <v>176</v>
      </c>
      <c r="H1203" s="268">
        <v>0</v>
      </c>
      <c r="I1203" s="83">
        <f t="shared" si="115"/>
        <v>176</v>
      </c>
      <c r="J1203" s="171">
        <f t="shared" si="116"/>
        <v>0.5161</v>
      </c>
      <c r="K1203" s="177">
        <f t="shared" si="111"/>
        <v>0</v>
      </c>
      <c r="L1203" s="177">
        <f t="shared" si="112"/>
        <v>18.5</v>
      </c>
      <c r="M1203" s="177">
        <f t="shared" si="113"/>
        <v>18.5</v>
      </c>
    </row>
    <row r="1204" spans="1:13" ht="12.75" customHeight="1">
      <c r="A1204" s="268" t="s">
        <v>471</v>
      </c>
      <c r="B1204" s="268" t="s">
        <v>3208</v>
      </c>
      <c r="C1204" s="268" t="s">
        <v>3209</v>
      </c>
      <c r="D1204" s="268">
        <v>1084</v>
      </c>
      <c r="E1204" s="268">
        <v>0</v>
      </c>
      <c r="F1204" s="83">
        <f t="shared" si="114"/>
        <v>1084</v>
      </c>
      <c r="G1204" s="268">
        <v>586</v>
      </c>
      <c r="H1204" s="268">
        <v>0</v>
      </c>
      <c r="I1204" s="83">
        <f t="shared" si="115"/>
        <v>586</v>
      </c>
      <c r="J1204" s="171">
        <f t="shared" si="116"/>
        <v>0.54059999999999997</v>
      </c>
      <c r="K1204" s="177">
        <f t="shared" si="111"/>
        <v>0</v>
      </c>
      <c r="L1204" s="177">
        <f t="shared" si="112"/>
        <v>61.5</v>
      </c>
      <c r="M1204" s="177">
        <f t="shared" si="113"/>
        <v>61.5</v>
      </c>
    </row>
    <row r="1205" spans="1:13" ht="12.75" customHeight="1">
      <c r="A1205" s="268" t="s">
        <v>471</v>
      </c>
      <c r="B1205" s="268" t="s">
        <v>3210</v>
      </c>
      <c r="C1205" s="268" t="s">
        <v>3211</v>
      </c>
      <c r="D1205" s="268">
        <v>500</v>
      </c>
      <c r="E1205" s="268">
        <v>0</v>
      </c>
      <c r="F1205" s="83">
        <f t="shared" si="114"/>
        <v>500</v>
      </c>
      <c r="G1205" s="268">
        <v>356</v>
      </c>
      <c r="H1205" s="268">
        <v>0</v>
      </c>
      <c r="I1205" s="83">
        <f t="shared" si="115"/>
        <v>356</v>
      </c>
      <c r="J1205" s="171">
        <f t="shared" si="116"/>
        <v>0.71199999999999997</v>
      </c>
      <c r="K1205" s="177">
        <f t="shared" si="111"/>
        <v>0</v>
      </c>
      <c r="L1205" s="177">
        <f t="shared" si="112"/>
        <v>37.4</v>
      </c>
      <c r="M1205" s="177">
        <f t="shared" si="113"/>
        <v>37.4</v>
      </c>
    </row>
    <row r="1206" spans="1:13" ht="12.75" customHeight="1">
      <c r="A1206" s="268" t="s">
        <v>471</v>
      </c>
      <c r="B1206" s="268" t="s">
        <v>3212</v>
      </c>
      <c r="C1206" s="268" t="s">
        <v>3213</v>
      </c>
      <c r="D1206" s="268">
        <v>261</v>
      </c>
      <c r="E1206" s="268">
        <v>0</v>
      </c>
      <c r="F1206" s="83">
        <f t="shared" si="114"/>
        <v>261</v>
      </c>
      <c r="G1206" s="268">
        <v>119</v>
      </c>
      <c r="H1206" s="268">
        <v>0</v>
      </c>
      <c r="I1206" s="83">
        <f t="shared" si="115"/>
        <v>119</v>
      </c>
      <c r="J1206" s="171">
        <f t="shared" si="116"/>
        <v>0.45590000000000003</v>
      </c>
      <c r="K1206" s="177">
        <f t="shared" si="111"/>
        <v>8.8000000000000007</v>
      </c>
      <c r="L1206" s="177">
        <f t="shared" si="112"/>
        <v>0</v>
      </c>
      <c r="M1206" s="177">
        <f t="shared" si="113"/>
        <v>8.8000000000000007</v>
      </c>
    </row>
    <row r="1207" spans="1:13" ht="12.75" customHeight="1">
      <c r="A1207" s="268" t="s">
        <v>471</v>
      </c>
      <c r="B1207" s="268" t="s">
        <v>3214</v>
      </c>
      <c r="C1207" s="268" t="s">
        <v>3215</v>
      </c>
      <c r="D1207" s="268">
        <v>625</v>
      </c>
      <c r="E1207" s="268">
        <v>0</v>
      </c>
      <c r="F1207" s="83">
        <f t="shared" si="114"/>
        <v>625</v>
      </c>
      <c r="G1207" s="268">
        <v>468</v>
      </c>
      <c r="H1207" s="268">
        <v>0</v>
      </c>
      <c r="I1207" s="83">
        <f t="shared" si="115"/>
        <v>468</v>
      </c>
      <c r="J1207" s="171">
        <f t="shared" si="116"/>
        <v>0.74880000000000002</v>
      </c>
      <c r="K1207" s="177">
        <f t="shared" si="111"/>
        <v>0</v>
      </c>
      <c r="L1207" s="177">
        <f t="shared" si="112"/>
        <v>49.1</v>
      </c>
      <c r="M1207" s="177">
        <f t="shared" si="113"/>
        <v>49.1</v>
      </c>
    </row>
    <row r="1208" spans="1:13" ht="12.75" customHeight="1">
      <c r="A1208" s="268" t="s">
        <v>471</v>
      </c>
      <c r="B1208" s="268" t="s">
        <v>3216</v>
      </c>
      <c r="C1208" s="268" t="s">
        <v>3217</v>
      </c>
      <c r="D1208" s="268">
        <v>73</v>
      </c>
      <c r="E1208" s="268">
        <v>0</v>
      </c>
      <c r="F1208" s="83">
        <f t="shared" si="114"/>
        <v>73</v>
      </c>
      <c r="G1208" s="268">
        <v>9</v>
      </c>
      <c r="H1208" s="268">
        <v>0</v>
      </c>
      <c r="I1208" s="83">
        <f t="shared" si="115"/>
        <v>9</v>
      </c>
      <c r="J1208" s="171">
        <f t="shared" si="116"/>
        <v>0.12330000000000001</v>
      </c>
      <c r="K1208" s="177">
        <f t="shared" si="111"/>
        <v>0</v>
      </c>
      <c r="L1208" s="177">
        <f t="shared" si="112"/>
        <v>0</v>
      </c>
      <c r="M1208" s="177">
        <f t="shared" si="113"/>
        <v>0</v>
      </c>
    </row>
    <row r="1209" spans="1:13" ht="12.75" customHeight="1">
      <c r="A1209" s="268" t="s">
        <v>471</v>
      </c>
      <c r="B1209" s="268" t="s">
        <v>3218</v>
      </c>
      <c r="C1209" s="268" t="s">
        <v>3219</v>
      </c>
      <c r="D1209" s="268">
        <v>11</v>
      </c>
      <c r="E1209" s="268">
        <v>0</v>
      </c>
      <c r="F1209" s="83">
        <f t="shared" si="114"/>
        <v>11</v>
      </c>
      <c r="G1209" s="268">
        <v>0</v>
      </c>
      <c r="H1209" s="268">
        <v>0</v>
      </c>
      <c r="I1209" s="83">
        <f t="shared" si="115"/>
        <v>0</v>
      </c>
      <c r="J1209" s="171">
        <f t="shared" si="116"/>
        <v>0</v>
      </c>
      <c r="K1209" s="177">
        <f t="shared" si="111"/>
        <v>0</v>
      </c>
      <c r="L1209" s="177">
        <f t="shared" si="112"/>
        <v>0</v>
      </c>
      <c r="M1209" s="177">
        <f t="shared" si="113"/>
        <v>0</v>
      </c>
    </row>
    <row r="1210" spans="1:13" ht="12.75" customHeight="1">
      <c r="A1210" s="268" t="s">
        <v>471</v>
      </c>
      <c r="B1210" s="268" t="s">
        <v>3220</v>
      </c>
      <c r="C1210" s="268" t="s">
        <v>3221</v>
      </c>
      <c r="D1210" s="268">
        <v>52</v>
      </c>
      <c r="E1210" s="268">
        <v>0</v>
      </c>
      <c r="F1210" s="83">
        <f t="shared" si="114"/>
        <v>52</v>
      </c>
      <c r="G1210" s="268">
        <v>0</v>
      </c>
      <c r="H1210" s="268">
        <v>0</v>
      </c>
      <c r="I1210" s="83">
        <f t="shared" si="115"/>
        <v>0</v>
      </c>
      <c r="J1210" s="171">
        <f t="shared" si="116"/>
        <v>0</v>
      </c>
      <c r="K1210" s="177">
        <f t="shared" si="111"/>
        <v>0</v>
      </c>
      <c r="L1210" s="177">
        <f t="shared" si="112"/>
        <v>0</v>
      </c>
      <c r="M1210" s="177">
        <f t="shared" si="113"/>
        <v>0</v>
      </c>
    </row>
    <row r="1211" spans="1:13" ht="12.75" customHeight="1">
      <c r="A1211" s="268" t="s">
        <v>471</v>
      </c>
      <c r="B1211" s="268" t="s">
        <v>3222</v>
      </c>
      <c r="C1211" s="268" t="s">
        <v>3223</v>
      </c>
      <c r="D1211" s="268">
        <v>37</v>
      </c>
      <c r="E1211" s="268">
        <v>0</v>
      </c>
      <c r="F1211" s="83">
        <f t="shared" si="114"/>
        <v>37</v>
      </c>
      <c r="G1211" s="268">
        <v>26</v>
      </c>
      <c r="H1211" s="268">
        <v>0</v>
      </c>
      <c r="I1211" s="83">
        <f t="shared" si="115"/>
        <v>26</v>
      </c>
      <c r="J1211" s="171">
        <f t="shared" si="116"/>
        <v>0.70269999999999999</v>
      </c>
      <c r="K1211" s="177">
        <f t="shared" si="111"/>
        <v>0</v>
      </c>
      <c r="L1211" s="177">
        <f t="shared" si="112"/>
        <v>2.7</v>
      </c>
      <c r="M1211" s="177">
        <f t="shared" si="113"/>
        <v>2.7</v>
      </c>
    </row>
    <row r="1212" spans="1:13" ht="12.75" customHeight="1">
      <c r="A1212" s="268" t="s">
        <v>472</v>
      </c>
      <c r="B1212" s="268" t="s">
        <v>3224</v>
      </c>
      <c r="C1212" s="268" t="s">
        <v>3225</v>
      </c>
      <c r="D1212" s="268">
        <v>26</v>
      </c>
      <c r="E1212" s="268">
        <v>0</v>
      </c>
      <c r="F1212" s="83">
        <f t="shared" si="114"/>
        <v>26</v>
      </c>
      <c r="G1212" s="268">
        <v>20</v>
      </c>
      <c r="H1212" s="268">
        <v>0</v>
      </c>
      <c r="I1212" s="83">
        <f t="shared" si="115"/>
        <v>20</v>
      </c>
      <c r="J1212" s="171">
        <f t="shared" si="116"/>
        <v>0.76919999999999999</v>
      </c>
      <c r="K1212" s="177">
        <f t="shared" si="111"/>
        <v>0</v>
      </c>
      <c r="L1212" s="177">
        <f t="shared" si="112"/>
        <v>2.1</v>
      </c>
      <c r="M1212" s="177">
        <f t="shared" si="113"/>
        <v>2.1</v>
      </c>
    </row>
    <row r="1213" spans="1:13" ht="12.75" customHeight="1">
      <c r="A1213" s="268" t="s">
        <v>472</v>
      </c>
      <c r="B1213" s="268" t="s">
        <v>3226</v>
      </c>
      <c r="C1213" s="268" t="s">
        <v>3227</v>
      </c>
      <c r="D1213" s="268">
        <v>457</v>
      </c>
      <c r="E1213" s="268">
        <v>0</v>
      </c>
      <c r="F1213" s="83">
        <f t="shared" si="114"/>
        <v>457</v>
      </c>
      <c r="G1213" s="268">
        <v>345</v>
      </c>
      <c r="H1213" s="268">
        <v>0</v>
      </c>
      <c r="I1213" s="83">
        <f t="shared" si="115"/>
        <v>345</v>
      </c>
      <c r="J1213" s="171">
        <f t="shared" si="116"/>
        <v>0.75490000000000002</v>
      </c>
      <c r="K1213" s="177">
        <f t="shared" si="111"/>
        <v>0</v>
      </c>
      <c r="L1213" s="177">
        <f t="shared" si="112"/>
        <v>36.200000000000003</v>
      </c>
      <c r="M1213" s="177">
        <f t="shared" si="113"/>
        <v>36.200000000000003</v>
      </c>
    </row>
    <row r="1214" spans="1:13" ht="12.75" customHeight="1">
      <c r="A1214" s="268" t="s">
        <v>472</v>
      </c>
      <c r="B1214" s="268" t="s">
        <v>3228</v>
      </c>
      <c r="C1214" s="268" t="s">
        <v>3229</v>
      </c>
      <c r="D1214" s="268">
        <v>683</v>
      </c>
      <c r="E1214" s="268">
        <v>0</v>
      </c>
      <c r="F1214" s="83">
        <f t="shared" si="114"/>
        <v>683</v>
      </c>
      <c r="G1214" s="268">
        <v>410</v>
      </c>
      <c r="H1214" s="268">
        <v>0</v>
      </c>
      <c r="I1214" s="83">
        <f t="shared" si="115"/>
        <v>410</v>
      </c>
      <c r="J1214" s="171">
        <f t="shared" si="116"/>
        <v>0.60029999999999994</v>
      </c>
      <c r="K1214" s="177">
        <f t="shared" si="111"/>
        <v>0</v>
      </c>
      <c r="L1214" s="177">
        <f t="shared" si="112"/>
        <v>43.1</v>
      </c>
      <c r="M1214" s="177">
        <f t="shared" si="113"/>
        <v>43.1</v>
      </c>
    </row>
    <row r="1215" spans="1:13" ht="12.75" customHeight="1">
      <c r="A1215" s="268" t="s">
        <v>472</v>
      </c>
      <c r="B1215" s="268" t="s">
        <v>3230</v>
      </c>
      <c r="C1215" s="268" t="s">
        <v>3231</v>
      </c>
      <c r="D1215" s="268">
        <v>364</v>
      </c>
      <c r="E1215" s="268">
        <v>0</v>
      </c>
      <c r="F1215" s="83">
        <f t="shared" si="114"/>
        <v>364</v>
      </c>
      <c r="G1215" s="268">
        <v>299</v>
      </c>
      <c r="H1215" s="268">
        <v>0</v>
      </c>
      <c r="I1215" s="83">
        <f t="shared" si="115"/>
        <v>299</v>
      </c>
      <c r="J1215" s="171">
        <f t="shared" si="116"/>
        <v>0.82140000000000002</v>
      </c>
      <c r="K1215" s="177">
        <f t="shared" si="111"/>
        <v>0</v>
      </c>
      <c r="L1215" s="177">
        <f t="shared" si="112"/>
        <v>31.4</v>
      </c>
      <c r="M1215" s="177">
        <f t="shared" si="113"/>
        <v>31.4</v>
      </c>
    </row>
    <row r="1216" spans="1:13" ht="12.75" customHeight="1">
      <c r="A1216" s="268" t="s">
        <v>472</v>
      </c>
      <c r="B1216" s="268" t="s">
        <v>3232</v>
      </c>
      <c r="C1216" s="268" t="s">
        <v>3233</v>
      </c>
      <c r="D1216" s="268">
        <v>580</v>
      </c>
      <c r="E1216" s="268">
        <v>0</v>
      </c>
      <c r="F1216" s="83">
        <f t="shared" si="114"/>
        <v>580</v>
      </c>
      <c r="G1216" s="268">
        <v>426</v>
      </c>
      <c r="H1216" s="268">
        <v>0</v>
      </c>
      <c r="I1216" s="83">
        <f t="shared" si="115"/>
        <v>426</v>
      </c>
      <c r="J1216" s="171">
        <f t="shared" si="116"/>
        <v>0.73450000000000004</v>
      </c>
      <c r="K1216" s="177">
        <f t="shared" si="111"/>
        <v>0</v>
      </c>
      <c r="L1216" s="177">
        <f t="shared" si="112"/>
        <v>44.7</v>
      </c>
      <c r="M1216" s="177">
        <f t="shared" si="113"/>
        <v>44.7</v>
      </c>
    </row>
    <row r="1217" spans="1:13" ht="12.75" customHeight="1">
      <c r="A1217" s="268" t="s">
        <v>472</v>
      </c>
      <c r="B1217" s="268" t="s">
        <v>3234</v>
      </c>
      <c r="C1217" s="268" t="s">
        <v>3235</v>
      </c>
      <c r="D1217" s="268">
        <v>116</v>
      </c>
      <c r="E1217" s="268">
        <v>0</v>
      </c>
      <c r="F1217" s="83">
        <f t="shared" si="114"/>
        <v>116</v>
      </c>
      <c r="G1217" s="268">
        <v>81</v>
      </c>
      <c r="H1217" s="268">
        <v>0</v>
      </c>
      <c r="I1217" s="83">
        <f t="shared" si="115"/>
        <v>81</v>
      </c>
      <c r="J1217" s="171">
        <f t="shared" si="116"/>
        <v>0.69830000000000003</v>
      </c>
      <c r="K1217" s="177">
        <f t="shared" si="111"/>
        <v>0</v>
      </c>
      <c r="L1217" s="177">
        <f t="shared" si="112"/>
        <v>8.5</v>
      </c>
      <c r="M1217" s="177">
        <f t="shared" si="113"/>
        <v>8.5</v>
      </c>
    </row>
    <row r="1218" spans="1:13" ht="12.75" customHeight="1">
      <c r="A1218" s="268" t="s">
        <v>472</v>
      </c>
      <c r="B1218" s="268" t="s">
        <v>3236</v>
      </c>
      <c r="C1218" s="268" t="s">
        <v>3237</v>
      </c>
      <c r="D1218" s="268">
        <v>289</v>
      </c>
      <c r="E1218" s="268">
        <v>0</v>
      </c>
      <c r="F1218" s="83">
        <f t="shared" si="114"/>
        <v>289</v>
      </c>
      <c r="G1218" s="268">
        <v>211</v>
      </c>
      <c r="H1218" s="268">
        <v>0</v>
      </c>
      <c r="I1218" s="83">
        <f t="shared" si="115"/>
        <v>211</v>
      </c>
      <c r="J1218" s="171">
        <f t="shared" si="116"/>
        <v>0.73009999999999997</v>
      </c>
      <c r="K1218" s="177">
        <f t="shared" si="111"/>
        <v>0</v>
      </c>
      <c r="L1218" s="177">
        <f t="shared" si="112"/>
        <v>22.2</v>
      </c>
      <c r="M1218" s="177">
        <f t="shared" si="113"/>
        <v>22.2</v>
      </c>
    </row>
    <row r="1219" spans="1:13" ht="12.75" customHeight="1">
      <c r="A1219" s="268" t="s">
        <v>472</v>
      </c>
      <c r="B1219" s="268" t="s">
        <v>3238</v>
      </c>
      <c r="C1219" s="268" t="s">
        <v>3239</v>
      </c>
      <c r="D1219" s="268">
        <v>374</v>
      </c>
      <c r="E1219" s="268">
        <v>0</v>
      </c>
      <c r="F1219" s="83">
        <f t="shared" si="114"/>
        <v>374</v>
      </c>
      <c r="G1219" s="268">
        <v>198</v>
      </c>
      <c r="H1219" s="268">
        <v>0</v>
      </c>
      <c r="I1219" s="83">
        <f t="shared" si="115"/>
        <v>198</v>
      </c>
      <c r="J1219" s="171">
        <f t="shared" si="116"/>
        <v>0.52939999999999998</v>
      </c>
      <c r="K1219" s="177">
        <f t="shared" si="111"/>
        <v>0</v>
      </c>
      <c r="L1219" s="177">
        <f t="shared" si="112"/>
        <v>20.8</v>
      </c>
      <c r="M1219" s="177">
        <f t="shared" si="113"/>
        <v>20.8</v>
      </c>
    </row>
    <row r="1220" spans="1:13" ht="12.75" customHeight="1">
      <c r="A1220" s="268" t="s">
        <v>472</v>
      </c>
      <c r="B1220" s="268" t="s">
        <v>3240</v>
      </c>
      <c r="C1220" s="268" t="s">
        <v>3241</v>
      </c>
      <c r="D1220" s="268">
        <v>326</v>
      </c>
      <c r="E1220" s="268">
        <v>0</v>
      </c>
      <c r="F1220" s="83">
        <f t="shared" si="114"/>
        <v>326</v>
      </c>
      <c r="G1220" s="268">
        <v>181</v>
      </c>
      <c r="H1220" s="268">
        <v>0</v>
      </c>
      <c r="I1220" s="83">
        <f t="shared" si="115"/>
        <v>181</v>
      </c>
      <c r="J1220" s="171">
        <f t="shared" si="116"/>
        <v>0.55520000000000003</v>
      </c>
      <c r="K1220" s="177">
        <f t="shared" si="111"/>
        <v>0</v>
      </c>
      <c r="L1220" s="177">
        <f t="shared" si="112"/>
        <v>19</v>
      </c>
      <c r="M1220" s="177">
        <f t="shared" si="113"/>
        <v>19</v>
      </c>
    </row>
    <row r="1221" spans="1:13" ht="12.75" customHeight="1">
      <c r="A1221" s="268" t="s">
        <v>472</v>
      </c>
      <c r="B1221" s="268" t="s">
        <v>3242</v>
      </c>
      <c r="C1221" s="268" t="s">
        <v>3243</v>
      </c>
      <c r="D1221" s="268">
        <v>385</v>
      </c>
      <c r="E1221" s="268">
        <v>0</v>
      </c>
      <c r="F1221" s="83">
        <f t="shared" si="114"/>
        <v>385</v>
      </c>
      <c r="G1221" s="268">
        <v>213</v>
      </c>
      <c r="H1221" s="268">
        <v>0</v>
      </c>
      <c r="I1221" s="83">
        <f t="shared" si="115"/>
        <v>213</v>
      </c>
      <c r="J1221" s="171">
        <f t="shared" si="116"/>
        <v>0.55320000000000003</v>
      </c>
      <c r="K1221" s="177">
        <f t="shared" ref="K1221:K1284" si="117">IF(AND((J1221-35%)&gt;0,J1221&lt;50%),I1221*(J1221-35%)*0.7,0)</f>
        <v>0</v>
      </c>
      <c r="L1221" s="177">
        <f t="shared" ref="L1221:L1284" si="118">IF(J1221&gt;=50%,I1221*10.5%,0)</f>
        <v>22.4</v>
      </c>
      <c r="M1221" s="177">
        <f t="shared" ref="M1221:M1284" si="119">MAX(K1221,L1221)</f>
        <v>22.4</v>
      </c>
    </row>
    <row r="1222" spans="1:13" ht="12.75" customHeight="1">
      <c r="A1222" s="268" t="s">
        <v>472</v>
      </c>
      <c r="B1222" s="268" t="s">
        <v>3244</v>
      </c>
      <c r="C1222" s="268" t="s">
        <v>3245</v>
      </c>
      <c r="D1222" s="268">
        <v>501</v>
      </c>
      <c r="E1222" s="268">
        <v>0</v>
      </c>
      <c r="F1222" s="83">
        <f t="shared" ref="F1222:F1285" si="120">SUM(D1222+E1222)</f>
        <v>501</v>
      </c>
      <c r="G1222" s="268">
        <v>348</v>
      </c>
      <c r="H1222" s="268">
        <v>0</v>
      </c>
      <c r="I1222" s="83">
        <f t="shared" si="115"/>
        <v>348</v>
      </c>
      <c r="J1222" s="171">
        <f t="shared" si="116"/>
        <v>0.6946</v>
      </c>
      <c r="K1222" s="177">
        <f t="shared" si="117"/>
        <v>0</v>
      </c>
      <c r="L1222" s="177">
        <f t="shared" si="118"/>
        <v>36.5</v>
      </c>
      <c r="M1222" s="177">
        <f t="shared" si="119"/>
        <v>36.5</v>
      </c>
    </row>
    <row r="1223" spans="1:13" ht="12.75" customHeight="1">
      <c r="A1223" s="268" t="s">
        <v>472</v>
      </c>
      <c r="B1223" s="268" t="s">
        <v>3246</v>
      </c>
      <c r="C1223" s="268" t="s">
        <v>3247</v>
      </c>
      <c r="D1223" s="268">
        <v>242</v>
      </c>
      <c r="E1223" s="268">
        <v>0</v>
      </c>
      <c r="F1223" s="83">
        <f t="shared" si="120"/>
        <v>242</v>
      </c>
      <c r="G1223" s="268">
        <v>205</v>
      </c>
      <c r="H1223" s="268">
        <v>0</v>
      </c>
      <c r="I1223" s="83">
        <f t="shared" si="115"/>
        <v>205</v>
      </c>
      <c r="J1223" s="171">
        <f t="shared" si="116"/>
        <v>0.84709999999999996</v>
      </c>
      <c r="K1223" s="177">
        <f t="shared" si="117"/>
        <v>0</v>
      </c>
      <c r="L1223" s="177">
        <f t="shared" si="118"/>
        <v>21.5</v>
      </c>
      <c r="M1223" s="177">
        <f t="shared" si="119"/>
        <v>21.5</v>
      </c>
    </row>
    <row r="1224" spans="1:13" ht="12.75" customHeight="1">
      <c r="A1224" s="268" t="s">
        <v>472</v>
      </c>
      <c r="B1224" s="268" t="s">
        <v>3248</v>
      </c>
      <c r="C1224" s="268" t="s">
        <v>3249</v>
      </c>
      <c r="D1224" s="268">
        <v>376</v>
      </c>
      <c r="E1224" s="268">
        <v>0</v>
      </c>
      <c r="F1224" s="83">
        <f t="shared" si="120"/>
        <v>376</v>
      </c>
      <c r="G1224" s="268">
        <v>216</v>
      </c>
      <c r="H1224" s="268">
        <v>0</v>
      </c>
      <c r="I1224" s="83">
        <f t="shared" si="115"/>
        <v>216</v>
      </c>
      <c r="J1224" s="171">
        <f t="shared" si="116"/>
        <v>0.57450000000000001</v>
      </c>
      <c r="K1224" s="177">
        <f t="shared" si="117"/>
        <v>0</v>
      </c>
      <c r="L1224" s="177">
        <f t="shared" si="118"/>
        <v>22.7</v>
      </c>
      <c r="M1224" s="177">
        <f t="shared" si="119"/>
        <v>22.7</v>
      </c>
    </row>
    <row r="1225" spans="1:13" ht="12.75" customHeight="1">
      <c r="A1225" s="268" t="s">
        <v>472</v>
      </c>
      <c r="B1225" s="268" t="s">
        <v>3250</v>
      </c>
      <c r="C1225" s="268" t="s">
        <v>3251</v>
      </c>
      <c r="D1225" s="268">
        <v>505</v>
      </c>
      <c r="E1225" s="268">
        <v>0</v>
      </c>
      <c r="F1225" s="83">
        <f t="shared" si="120"/>
        <v>505</v>
      </c>
      <c r="G1225" s="268">
        <v>322</v>
      </c>
      <c r="H1225" s="268">
        <v>0</v>
      </c>
      <c r="I1225" s="83">
        <f t="shared" si="115"/>
        <v>322</v>
      </c>
      <c r="J1225" s="171">
        <f t="shared" si="116"/>
        <v>0.63759999999999994</v>
      </c>
      <c r="K1225" s="177">
        <f t="shared" si="117"/>
        <v>0</v>
      </c>
      <c r="L1225" s="177">
        <f t="shared" si="118"/>
        <v>33.799999999999997</v>
      </c>
      <c r="M1225" s="177">
        <f t="shared" si="119"/>
        <v>33.799999999999997</v>
      </c>
    </row>
    <row r="1226" spans="1:13" ht="12.75" customHeight="1">
      <c r="A1226" s="268" t="s">
        <v>472</v>
      </c>
      <c r="B1226" s="268" t="s">
        <v>3252</v>
      </c>
      <c r="C1226" s="268" t="s">
        <v>1655</v>
      </c>
      <c r="D1226" s="268">
        <v>401</v>
      </c>
      <c r="E1226" s="268">
        <v>0</v>
      </c>
      <c r="F1226" s="83">
        <f t="shared" si="120"/>
        <v>401</v>
      </c>
      <c r="G1226" s="268">
        <v>264</v>
      </c>
      <c r="H1226" s="268">
        <v>0</v>
      </c>
      <c r="I1226" s="83">
        <f t="shared" si="115"/>
        <v>264</v>
      </c>
      <c r="J1226" s="171">
        <f t="shared" si="116"/>
        <v>0.65839999999999999</v>
      </c>
      <c r="K1226" s="177">
        <f t="shared" si="117"/>
        <v>0</v>
      </c>
      <c r="L1226" s="177">
        <f t="shared" si="118"/>
        <v>27.7</v>
      </c>
      <c r="M1226" s="177">
        <f t="shared" si="119"/>
        <v>27.7</v>
      </c>
    </row>
    <row r="1227" spans="1:13" ht="12.75" customHeight="1">
      <c r="A1227" s="268" t="s">
        <v>472</v>
      </c>
      <c r="B1227" s="268" t="s">
        <v>3253</v>
      </c>
      <c r="C1227" s="268" t="s">
        <v>3254</v>
      </c>
      <c r="D1227" s="268">
        <v>499</v>
      </c>
      <c r="E1227" s="268">
        <v>0</v>
      </c>
      <c r="F1227" s="83">
        <f t="shared" si="120"/>
        <v>499</v>
      </c>
      <c r="G1227" s="268">
        <v>361</v>
      </c>
      <c r="H1227" s="268">
        <v>0</v>
      </c>
      <c r="I1227" s="83">
        <f t="shared" si="115"/>
        <v>361</v>
      </c>
      <c r="J1227" s="171">
        <f t="shared" si="116"/>
        <v>0.72340000000000004</v>
      </c>
      <c r="K1227" s="177">
        <f t="shared" si="117"/>
        <v>0</v>
      </c>
      <c r="L1227" s="177">
        <f t="shared" si="118"/>
        <v>37.9</v>
      </c>
      <c r="M1227" s="177">
        <f t="shared" si="119"/>
        <v>37.9</v>
      </c>
    </row>
    <row r="1228" spans="1:13" ht="12.75" customHeight="1">
      <c r="A1228" s="268" t="s">
        <v>472</v>
      </c>
      <c r="B1228" s="268" t="s">
        <v>3255</v>
      </c>
      <c r="C1228" s="268" t="s">
        <v>3256</v>
      </c>
      <c r="D1228" s="268">
        <v>253</v>
      </c>
      <c r="E1228" s="268">
        <v>0</v>
      </c>
      <c r="F1228" s="83">
        <f t="shared" si="120"/>
        <v>253</v>
      </c>
      <c r="G1228" s="268">
        <v>157</v>
      </c>
      <c r="H1228" s="268">
        <v>0</v>
      </c>
      <c r="I1228" s="83">
        <f t="shared" si="115"/>
        <v>157</v>
      </c>
      <c r="J1228" s="171">
        <f t="shared" si="116"/>
        <v>0.62060000000000004</v>
      </c>
      <c r="K1228" s="177">
        <f t="shared" si="117"/>
        <v>0</v>
      </c>
      <c r="L1228" s="177">
        <f t="shared" si="118"/>
        <v>16.5</v>
      </c>
      <c r="M1228" s="177">
        <f t="shared" si="119"/>
        <v>16.5</v>
      </c>
    </row>
    <row r="1229" spans="1:13" ht="12.75" customHeight="1">
      <c r="A1229" s="268" t="s">
        <v>472</v>
      </c>
      <c r="B1229" s="268" t="s">
        <v>3257</v>
      </c>
      <c r="C1229" s="268" t="s">
        <v>3258</v>
      </c>
      <c r="D1229" s="268">
        <v>390</v>
      </c>
      <c r="E1229" s="268">
        <v>0</v>
      </c>
      <c r="F1229" s="83">
        <f t="shared" si="120"/>
        <v>390</v>
      </c>
      <c r="G1229" s="268">
        <v>200</v>
      </c>
      <c r="H1229" s="268">
        <v>0</v>
      </c>
      <c r="I1229" s="83">
        <f t="shared" si="115"/>
        <v>200</v>
      </c>
      <c r="J1229" s="171">
        <f t="shared" si="116"/>
        <v>0.51280000000000003</v>
      </c>
      <c r="K1229" s="177">
        <f t="shared" si="117"/>
        <v>0</v>
      </c>
      <c r="L1229" s="177">
        <f t="shared" si="118"/>
        <v>21</v>
      </c>
      <c r="M1229" s="177">
        <f t="shared" si="119"/>
        <v>21</v>
      </c>
    </row>
    <row r="1230" spans="1:13" ht="12.75" customHeight="1">
      <c r="A1230" s="268" t="s">
        <v>472</v>
      </c>
      <c r="B1230" s="268" t="s">
        <v>3259</v>
      </c>
      <c r="C1230" s="268" t="s">
        <v>3260</v>
      </c>
      <c r="D1230" s="268">
        <v>543</v>
      </c>
      <c r="E1230" s="268">
        <v>0</v>
      </c>
      <c r="F1230" s="83">
        <f t="shared" si="120"/>
        <v>543</v>
      </c>
      <c r="G1230" s="268">
        <v>422</v>
      </c>
      <c r="H1230" s="268">
        <v>0</v>
      </c>
      <c r="I1230" s="83">
        <f t="shared" si="115"/>
        <v>422</v>
      </c>
      <c r="J1230" s="171">
        <f t="shared" si="116"/>
        <v>0.7772</v>
      </c>
      <c r="K1230" s="177">
        <f t="shared" si="117"/>
        <v>0</v>
      </c>
      <c r="L1230" s="177">
        <f t="shared" si="118"/>
        <v>44.3</v>
      </c>
      <c r="M1230" s="177">
        <f t="shared" si="119"/>
        <v>44.3</v>
      </c>
    </row>
    <row r="1231" spans="1:13" ht="12.75" customHeight="1">
      <c r="A1231" s="268" t="s">
        <v>472</v>
      </c>
      <c r="B1231" s="268" t="s">
        <v>3261</v>
      </c>
      <c r="C1231" s="268" t="s">
        <v>3005</v>
      </c>
      <c r="D1231" s="268">
        <v>534</v>
      </c>
      <c r="E1231" s="268">
        <v>0</v>
      </c>
      <c r="F1231" s="83">
        <f t="shared" si="120"/>
        <v>534</v>
      </c>
      <c r="G1231" s="268">
        <v>402</v>
      </c>
      <c r="H1231" s="268">
        <v>0</v>
      </c>
      <c r="I1231" s="83">
        <f t="shared" si="115"/>
        <v>402</v>
      </c>
      <c r="J1231" s="171">
        <f t="shared" si="116"/>
        <v>0.75280000000000002</v>
      </c>
      <c r="K1231" s="177">
        <f t="shared" si="117"/>
        <v>0</v>
      </c>
      <c r="L1231" s="177">
        <f t="shared" si="118"/>
        <v>42.2</v>
      </c>
      <c r="M1231" s="177">
        <f t="shared" si="119"/>
        <v>42.2</v>
      </c>
    </row>
    <row r="1232" spans="1:13" ht="12.75" customHeight="1">
      <c r="A1232" s="268" t="s">
        <v>472</v>
      </c>
      <c r="B1232" s="268" t="s">
        <v>3262</v>
      </c>
      <c r="C1232" s="268" t="s">
        <v>3263</v>
      </c>
      <c r="D1232" s="268">
        <v>521</v>
      </c>
      <c r="E1232" s="268">
        <v>0</v>
      </c>
      <c r="F1232" s="83">
        <f t="shared" si="120"/>
        <v>521</v>
      </c>
      <c r="G1232" s="268">
        <v>334</v>
      </c>
      <c r="H1232" s="268">
        <v>0</v>
      </c>
      <c r="I1232" s="83">
        <f t="shared" si="115"/>
        <v>334</v>
      </c>
      <c r="J1232" s="171">
        <f t="shared" si="116"/>
        <v>0.6411</v>
      </c>
      <c r="K1232" s="177">
        <f t="shared" si="117"/>
        <v>0</v>
      </c>
      <c r="L1232" s="177">
        <f t="shared" si="118"/>
        <v>35.1</v>
      </c>
      <c r="M1232" s="177">
        <f t="shared" si="119"/>
        <v>35.1</v>
      </c>
    </row>
    <row r="1233" spans="1:13" ht="12.75" customHeight="1">
      <c r="A1233" s="268" t="s">
        <v>472</v>
      </c>
      <c r="B1233" s="268" t="s">
        <v>3264</v>
      </c>
      <c r="C1233" s="268" t="s">
        <v>3265</v>
      </c>
      <c r="D1233" s="268">
        <v>445</v>
      </c>
      <c r="E1233" s="268">
        <v>0</v>
      </c>
      <c r="F1233" s="83">
        <f t="shared" si="120"/>
        <v>445</v>
      </c>
      <c r="G1233" s="268">
        <v>260</v>
      </c>
      <c r="H1233" s="268">
        <v>0</v>
      </c>
      <c r="I1233" s="83">
        <f t="shared" si="115"/>
        <v>260</v>
      </c>
      <c r="J1233" s="171">
        <f t="shared" si="116"/>
        <v>0.58430000000000004</v>
      </c>
      <c r="K1233" s="177">
        <f t="shared" si="117"/>
        <v>0</v>
      </c>
      <c r="L1233" s="177">
        <f t="shared" si="118"/>
        <v>27.3</v>
      </c>
      <c r="M1233" s="177">
        <f t="shared" si="119"/>
        <v>27.3</v>
      </c>
    </row>
    <row r="1234" spans="1:13" ht="12.75" customHeight="1">
      <c r="A1234" s="268" t="s">
        <v>472</v>
      </c>
      <c r="B1234" s="268" t="s">
        <v>3266</v>
      </c>
      <c r="C1234" s="268" t="s">
        <v>3267</v>
      </c>
      <c r="D1234" s="268">
        <v>469</v>
      </c>
      <c r="E1234" s="268">
        <v>0</v>
      </c>
      <c r="F1234" s="83">
        <f t="shared" si="120"/>
        <v>469</v>
      </c>
      <c r="G1234" s="268">
        <v>257</v>
      </c>
      <c r="H1234" s="268">
        <v>0</v>
      </c>
      <c r="I1234" s="83">
        <f t="shared" si="115"/>
        <v>257</v>
      </c>
      <c r="J1234" s="171">
        <f t="shared" si="116"/>
        <v>0.54800000000000004</v>
      </c>
      <c r="K1234" s="177">
        <f t="shared" si="117"/>
        <v>0</v>
      </c>
      <c r="L1234" s="177">
        <f t="shared" si="118"/>
        <v>27</v>
      </c>
      <c r="M1234" s="177">
        <f t="shared" si="119"/>
        <v>27</v>
      </c>
    </row>
    <row r="1235" spans="1:13" ht="12.75" customHeight="1">
      <c r="A1235" s="268" t="s">
        <v>472</v>
      </c>
      <c r="B1235" s="268" t="s">
        <v>3268</v>
      </c>
      <c r="C1235" s="268" t="s">
        <v>3269</v>
      </c>
      <c r="D1235" s="268">
        <v>837</v>
      </c>
      <c r="E1235" s="268">
        <v>0</v>
      </c>
      <c r="F1235" s="83">
        <f t="shared" si="120"/>
        <v>837</v>
      </c>
      <c r="G1235" s="268">
        <v>618</v>
      </c>
      <c r="H1235" s="268">
        <v>0</v>
      </c>
      <c r="I1235" s="83">
        <f t="shared" si="115"/>
        <v>618</v>
      </c>
      <c r="J1235" s="171">
        <f t="shared" si="116"/>
        <v>0.73839999999999995</v>
      </c>
      <c r="K1235" s="177">
        <f t="shared" si="117"/>
        <v>0</v>
      </c>
      <c r="L1235" s="177">
        <f t="shared" si="118"/>
        <v>64.900000000000006</v>
      </c>
      <c r="M1235" s="177">
        <f t="shared" si="119"/>
        <v>64.900000000000006</v>
      </c>
    </row>
    <row r="1236" spans="1:13" ht="12.75" customHeight="1">
      <c r="A1236" s="268" t="s">
        <v>472</v>
      </c>
      <c r="B1236" s="268" t="s">
        <v>3270</v>
      </c>
      <c r="C1236" s="268" t="s">
        <v>3271</v>
      </c>
      <c r="D1236" s="268">
        <v>1617</v>
      </c>
      <c r="E1236" s="268">
        <v>0</v>
      </c>
      <c r="F1236" s="83">
        <f t="shared" si="120"/>
        <v>1617</v>
      </c>
      <c r="G1236" s="268">
        <v>901</v>
      </c>
      <c r="H1236" s="268">
        <v>0</v>
      </c>
      <c r="I1236" s="83">
        <f t="shared" si="115"/>
        <v>901</v>
      </c>
      <c r="J1236" s="171">
        <f t="shared" si="116"/>
        <v>0.55720000000000003</v>
      </c>
      <c r="K1236" s="177">
        <f t="shared" si="117"/>
        <v>0</v>
      </c>
      <c r="L1236" s="177">
        <f t="shared" si="118"/>
        <v>94.6</v>
      </c>
      <c r="M1236" s="177">
        <f t="shared" si="119"/>
        <v>94.6</v>
      </c>
    </row>
    <row r="1237" spans="1:13" ht="12.75" customHeight="1">
      <c r="A1237" s="268" t="s">
        <v>472</v>
      </c>
      <c r="B1237" s="268" t="s">
        <v>3272</v>
      </c>
      <c r="C1237" s="268" t="s">
        <v>3273</v>
      </c>
      <c r="D1237" s="268">
        <v>1066</v>
      </c>
      <c r="E1237" s="268">
        <v>0</v>
      </c>
      <c r="F1237" s="83">
        <f t="shared" si="120"/>
        <v>1066</v>
      </c>
      <c r="G1237" s="268">
        <v>481</v>
      </c>
      <c r="H1237" s="268">
        <v>0</v>
      </c>
      <c r="I1237" s="83">
        <f t="shared" si="115"/>
        <v>481</v>
      </c>
      <c r="J1237" s="171">
        <f t="shared" si="116"/>
        <v>0.45119999999999999</v>
      </c>
      <c r="K1237" s="177">
        <f t="shared" si="117"/>
        <v>34.1</v>
      </c>
      <c r="L1237" s="177">
        <f t="shared" si="118"/>
        <v>0</v>
      </c>
      <c r="M1237" s="177">
        <f t="shared" si="119"/>
        <v>34.1</v>
      </c>
    </row>
    <row r="1238" spans="1:13" ht="12.75" customHeight="1">
      <c r="A1238" s="268" t="s">
        <v>472</v>
      </c>
      <c r="B1238" s="268" t="s">
        <v>3274</v>
      </c>
      <c r="C1238" s="268" t="s">
        <v>3275</v>
      </c>
      <c r="D1238" s="268">
        <v>99</v>
      </c>
      <c r="E1238" s="268">
        <v>0</v>
      </c>
      <c r="F1238" s="83">
        <f t="shared" si="120"/>
        <v>99</v>
      </c>
      <c r="G1238" s="268">
        <v>68</v>
      </c>
      <c r="H1238" s="268">
        <v>0</v>
      </c>
      <c r="I1238" s="83">
        <f t="shared" si="115"/>
        <v>68</v>
      </c>
      <c r="J1238" s="171">
        <f t="shared" si="116"/>
        <v>0.68689999999999996</v>
      </c>
      <c r="K1238" s="177">
        <f t="shared" si="117"/>
        <v>0</v>
      </c>
      <c r="L1238" s="177">
        <f t="shared" si="118"/>
        <v>7.1</v>
      </c>
      <c r="M1238" s="177">
        <f t="shared" si="119"/>
        <v>7.1</v>
      </c>
    </row>
    <row r="1239" spans="1:13" ht="12.75" customHeight="1">
      <c r="A1239" s="268" t="s">
        <v>473</v>
      </c>
      <c r="B1239" s="268" t="s">
        <v>3276</v>
      </c>
      <c r="C1239" s="268" t="s">
        <v>3277</v>
      </c>
      <c r="D1239" s="268">
        <v>68</v>
      </c>
      <c r="E1239" s="268">
        <v>0</v>
      </c>
      <c r="F1239" s="83">
        <f t="shared" si="120"/>
        <v>68</v>
      </c>
      <c r="G1239" s="268">
        <v>36</v>
      </c>
      <c r="H1239" s="268">
        <v>0</v>
      </c>
      <c r="I1239" s="83">
        <f t="shared" si="115"/>
        <v>36</v>
      </c>
      <c r="J1239" s="171">
        <f t="shared" si="116"/>
        <v>0.52939999999999998</v>
      </c>
      <c r="K1239" s="177">
        <f t="shared" si="117"/>
        <v>0</v>
      </c>
      <c r="L1239" s="177">
        <f t="shared" si="118"/>
        <v>3.8</v>
      </c>
      <c r="M1239" s="177">
        <f t="shared" si="119"/>
        <v>3.8</v>
      </c>
    </row>
    <row r="1240" spans="1:13" ht="12.75" customHeight="1">
      <c r="A1240" s="268" t="s">
        <v>474</v>
      </c>
      <c r="B1240" s="268" t="s">
        <v>3278</v>
      </c>
      <c r="C1240" s="268" t="s">
        <v>3279</v>
      </c>
      <c r="D1240" s="268">
        <v>300</v>
      </c>
      <c r="E1240" s="268">
        <v>0</v>
      </c>
      <c r="F1240" s="83">
        <f t="shared" si="120"/>
        <v>300</v>
      </c>
      <c r="G1240" s="268">
        <v>181</v>
      </c>
      <c r="H1240" s="268">
        <v>0</v>
      </c>
      <c r="I1240" s="83">
        <f t="shared" si="115"/>
        <v>181</v>
      </c>
      <c r="J1240" s="171">
        <f t="shared" si="116"/>
        <v>0.60329999999999995</v>
      </c>
      <c r="K1240" s="177">
        <f t="shared" si="117"/>
        <v>0</v>
      </c>
      <c r="L1240" s="177">
        <f t="shared" si="118"/>
        <v>19</v>
      </c>
      <c r="M1240" s="177">
        <f t="shared" si="119"/>
        <v>19</v>
      </c>
    </row>
    <row r="1241" spans="1:13" ht="12.75" customHeight="1">
      <c r="A1241" s="268" t="s">
        <v>474</v>
      </c>
      <c r="B1241" s="268" t="s">
        <v>3280</v>
      </c>
      <c r="C1241" s="268" t="s">
        <v>3281</v>
      </c>
      <c r="D1241" s="268">
        <v>339</v>
      </c>
      <c r="E1241" s="268">
        <v>0</v>
      </c>
      <c r="F1241" s="83">
        <f t="shared" si="120"/>
        <v>339</v>
      </c>
      <c r="G1241" s="268">
        <v>184</v>
      </c>
      <c r="H1241" s="268">
        <v>0</v>
      </c>
      <c r="I1241" s="83">
        <f t="shared" si="115"/>
        <v>184</v>
      </c>
      <c r="J1241" s="171">
        <f t="shared" si="116"/>
        <v>0.54279999999999995</v>
      </c>
      <c r="K1241" s="177">
        <f t="shared" si="117"/>
        <v>0</v>
      </c>
      <c r="L1241" s="177">
        <f t="shared" si="118"/>
        <v>19.3</v>
      </c>
      <c r="M1241" s="177">
        <f t="shared" si="119"/>
        <v>19.3</v>
      </c>
    </row>
    <row r="1242" spans="1:13" ht="12.75" customHeight="1">
      <c r="A1242" s="268" t="s">
        <v>474</v>
      </c>
      <c r="B1242" s="268" t="s">
        <v>3282</v>
      </c>
      <c r="C1242" s="268" t="s">
        <v>3283</v>
      </c>
      <c r="D1242" s="268">
        <v>186</v>
      </c>
      <c r="E1242" s="268">
        <v>0</v>
      </c>
      <c r="F1242" s="83">
        <f t="shared" si="120"/>
        <v>186</v>
      </c>
      <c r="G1242" s="268">
        <v>116</v>
      </c>
      <c r="H1242" s="268">
        <v>0</v>
      </c>
      <c r="I1242" s="83">
        <f t="shared" si="115"/>
        <v>116</v>
      </c>
      <c r="J1242" s="171">
        <f t="shared" si="116"/>
        <v>0.62370000000000003</v>
      </c>
      <c r="K1242" s="177">
        <f t="shared" si="117"/>
        <v>0</v>
      </c>
      <c r="L1242" s="177">
        <f t="shared" si="118"/>
        <v>12.2</v>
      </c>
      <c r="M1242" s="177">
        <f t="shared" si="119"/>
        <v>12.2</v>
      </c>
    </row>
    <row r="1243" spans="1:13" ht="12.75" customHeight="1">
      <c r="A1243" s="268" t="s">
        <v>474</v>
      </c>
      <c r="B1243" s="268" t="s">
        <v>3284</v>
      </c>
      <c r="C1243" s="268" t="s">
        <v>3285</v>
      </c>
      <c r="D1243" s="268">
        <v>211</v>
      </c>
      <c r="E1243" s="268">
        <v>0</v>
      </c>
      <c r="F1243" s="83">
        <f t="shared" si="120"/>
        <v>211</v>
      </c>
      <c r="G1243" s="268">
        <v>136</v>
      </c>
      <c r="H1243" s="268">
        <v>0</v>
      </c>
      <c r="I1243" s="83">
        <f t="shared" si="115"/>
        <v>136</v>
      </c>
      <c r="J1243" s="171">
        <f t="shared" si="116"/>
        <v>0.64449999999999996</v>
      </c>
      <c r="K1243" s="177">
        <f t="shared" si="117"/>
        <v>0</v>
      </c>
      <c r="L1243" s="177">
        <f t="shared" si="118"/>
        <v>14.3</v>
      </c>
      <c r="M1243" s="177">
        <f t="shared" si="119"/>
        <v>14.3</v>
      </c>
    </row>
    <row r="1244" spans="1:13" ht="12.75" customHeight="1">
      <c r="A1244" s="268" t="s">
        <v>474</v>
      </c>
      <c r="B1244" s="268" t="s">
        <v>3286</v>
      </c>
      <c r="C1244" s="268" t="s">
        <v>3287</v>
      </c>
      <c r="D1244" s="268">
        <v>268</v>
      </c>
      <c r="E1244" s="268">
        <v>0</v>
      </c>
      <c r="F1244" s="83">
        <f t="shared" si="120"/>
        <v>268</v>
      </c>
      <c r="G1244" s="268">
        <v>163</v>
      </c>
      <c r="H1244" s="268">
        <v>0</v>
      </c>
      <c r="I1244" s="83">
        <f t="shared" si="115"/>
        <v>163</v>
      </c>
      <c r="J1244" s="171">
        <f t="shared" si="116"/>
        <v>0.60819999999999996</v>
      </c>
      <c r="K1244" s="177">
        <f t="shared" si="117"/>
        <v>0</v>
      </c>
      <c r="L1244" s="177">
        <f t="shared" si="118"/>
        <v>17.100000000000001</v>
      </c>
      <c r="M1244" s="177">
        <f t="shared" si="119"/>
        <v>17.100000000000001</v>
      </c>
    </row>
    <row r="1245" spans="1:13" ht="12.75" customHeight="1">
      <c r="A1245" s="268" t="s">
        <v>475</v>
      </c>
      <c r="B1245" s="268" t="s">
        <v>3288</v>
      </c>
      <c r="C1245" s="268" t="s">
        <v>3289</v>
      </c>
      <c r="D1245" s="268">
        <v>232</v>
      </c>
      <c r="E1245" s="268">
        <v>0</v>
      </c>
      <c r="F1245" s="83">
        <f t="shared" si="120"/>
        <v>232</v>
      </c>
      <c r="G1245" s="268">
        <v>130</v>
      </c>
      <c r="H1245" s="268">
        <v>0</v>
      </c>
      <c r="I1245" s="83">
        <f t="shared" si="115"/>
        <v>130</v>
      </c>
      <c r="J1245" s="171">
        <f t="shared" si="116"/>
        <v>0.56030000000000002</v>
      </c>
      <c r="K1245" s="177">
        <f t="shared" si="117"/>
        <v>0</v>
      </c>
      <c r="L1245" s="177">
        <f t="shared" si="118"/>
        <v>13.7</v>
      </c>
      <c r="M1245" s="177">
        <f t="shared" si="119"/>
        <v>13.7</v>
      </c>
    </row>
    <row r="1246" spans="1:13" ht="12.75" customHeight="1">
      <c r="A1246" s="268" t="s">
        <v>475</v>
      </c>
      <c r="B1246" s="268" t="s">
        <v>3290</v>
      </c>
      <c r="C1246" s="268" t="s">
        <v>3291</v>
      </c>
      <c r="D1246" s="268">
        <v>133</v>
      </c>
      <c r="E1246" s="268">
        <v>0</v>
      </c>
      <c r="F1246" s="83">
        <f t="shared" si="120"/>
        <v>133</v>
      </c>
      <c r="G1246" s="268">
        <v>51</v>
      </c>
      <c r="H1246" s="268">
        <v>0</v>
      </c>
      <c r="I1246" s="83">
        <f t="shared" si="115"/>
        <v>51</v>
      </c>
      <c r="J1246" s="171">
        <f t="shared" si="116"/>
        <v>0.38350000000000001</v>
      </c>
      <c r="K1246" s="177">
        <f t="shared" si="117"/>
        <v>1.2</v>
      </c>
      <c r="L1246" s="177">
        <f t="shared" si="118"/>
        <v>0</v>
      </c>
      <c r="M1246" s="177">
        <f t="shared" si="119"/>
        <v>1.2</v>
      </c>
    </row>
    <row r="1247" spans="1:13" ht="12.75" customHeight="1">
      <c r="A1247" s="268" t="s">
        <v>475</v>
      </c>
      <c r="B1247" s="268" t="s">
        <v>3292</v>
      </c>
      <c r="C1247" s="268" t="s">
        <v>3293</v>
      </c>
      <c r="D1247" s="268">
        <v>150</v>
      </c>
      <c r="E1247" s="268">
        <v>0</v>
      </c>
      <c r="F1247" s="83">
        <f t="shared" si="120"/>
        <v>150</v>
      </c>
      <c r="G1247" s="268">
        <v>63</v>
      </c>
      <c r="H1247" s="268">
        <v>0</v>
      </c>
      <c r="I1247" s="83">
        <f t="shared" si="115"/>
        <v>63</v>
      </c>
      <c r="J1247" s="171">
        <f t="shared" si="116"/>
        <v>0.42</v>
      </c>
      <c r="K1247" s="177">
        <f t="shared" si="117"/>
        <v>3.1</v>
      </c>
      <c r="L1247" s="177">
        <f t="shared" si="118"/>
        <v>0</v>
      </c>
      <c r="M1247" s="177">
        <f t="shared" si="119"/>
        <v>3.1</v>
      </c>
    </row>
    <row r="1248" spans="1:13" ht="12.75" customHeight="1">
      <c r="A1248" s="268" t="s">
        <v>476</v>
      </c>
      <c r="B1248" s="268" t="s">
        <v>3294</v>
      </c>
      <c r="C1248" s="268" t="s">
        <v>3295</v>
      </c>
      <c r="D1248" s="268">
        <v>96</v>
      </c>
      <c r="E1248" s="268">
        <v>0</v>
      </c>
      <c r="F1248" s="83">
        <f t="shared" si="120"/>
        <v>96</v>
      </c>
      <c r="G1248" s="268">
        <v>33</v>
      </c>
      <c r="H1248" s="268">
        <v>0</v>
      </c>
      <c r="I1248" s="83">
        <f t="shared" si="115"/>
        <v>33</v>
      </c>
      <c r="J1248" s="171">
        <f t="shared" si="116"/>
        <v>0.34379999999999999</v>
      </c>
      <c r="K1248" s="177">
        <f t="shared" si="117"/>
        <v>0</v>
      </c>
      <c r="L1248" s="177">
        <f t="shared" si="118"/>
        <v>0</v>
      </c>
      <c r="M1248" s="177">
        <f t="shared" si="119"/>
        <v>0</v>
      </c>
    </row>
    <row r="1249" spans="1:13" ht="12.75" customHeight="1">
      <c r="A1249" s="268" t="s">
        <v>476</v>
      </c>
      <c r="B1249" s="268" t="s">
        <v>3296</v>
      </c>
      <c r="C1249" s="268" t="s">
        <v>3297</v>
      </c>
      <c r="D1249" s="268">
        <v>68</v>
      </c>
      <c r="E1249" s="268">
        <v>0</v>
      </c>
      <c r="F1249" s="83">
        <f t="shared" si="120"/>
        <v>68</v>
      </c>
      <c r="G1249" s="268">
        <v>22</v>
      </c>
      <c r="H1249" s="268">
        <v>0</v>
      </c>
      <c r="I1249" s="83">
        <f t="shared" si="115"/>
        <v>22</v>
      </c>
      <c r="J1249" s="171">
        <f t="shared" si="116"/>
        <v>0.32350000000000001</v>
      </c>
      <c r="K1249" s="177">
        <f t="shared" si="117"/>
        <v>0</v>
      </c>
      <c r="L1249" s="177">
        <f t="shared" si="118"/>
        <v>0</v>
      </c>
      <c r="M1249" s="177">
        <f t="shared" si="119"/>
        <v>0</v>
      </c>
    </row>
    <row r="1250" spans="1:13" ht="12.75" customHeight="1">
      <c r="A1250" s="268" t="s">
        <v>476</v>
      </c>
      <c r="B1250" s="268" t="s">
        <v>3298</v>
      </c>
      <c r="C1250" s="268" t="s">
        <v>3299</v>
      </c>
      <c r="D1250" s="268">
        <v>61</v>
      </c>
      <c r="E1250" s="268">
        <v>0</v>
      </c>
      <c r="F1250" s="83">
        <f t="shared" si="120"/>
        <v>61</v>
      </c>
      <c r="G1250" s="268">
        <v>20</v>
      </c>
      <c r="H1250" s="268">
        <v>0</v>
      </c>
      <c r="I1250" s="83">
        <f t="shared" si="115"/>
        <v>20</v>
      </c>
      <c r="J1250" s="171">
        <f t="shared" si="116"/>
        <v>0.32790000000000002</v>
      </c>
      <c r="K1250" s="177">
        <f t="shared" si="117"/>
        <v>0</v>
      </c>
      <c r="L1250" s="177">
        <f t="shared" si="118"/>
        <v>0</v>
      </c>
      <c r="M1250" s="177">
        <f t="shared" si="119"/>
        <v>0</v>
      </c>
    </row>
    <row r="1251" spans="1:13" ht="12.75" customHeight="1">
      <c r="A1251" s="268" t="s">
        <v>476</v>
      </c>
      <c r="B1251" s="268" t="s">
        <v>3300</v>
      </c>
      <c r="C1251" s="268" t="s">
        <v>3301</v>
      </c>
      <c r="D1251" s="268">
        <v>73</v>
      </c>
      <c r="E1251" s="268">
        <v>0</v>
      </c>
      <c r="F1251" s="83">
        <f t="shared" si="120"/>
        <v>73</v>
      </c>
      <c r="G1251" s="268">
        <v>44</v>
      </c>
      <c r="H1251" s="268">
        <v>0</v>
      </c>
      <c r="I1251" s="83">
        <f t="shared" ref="I1251:I1311" si="121">SUM(G1251+H1251)</f>
        <v>44</v>
      </c>
      <c r="J1251" s="171">
        <f t="shared" ref="J1251:J1311" si="122">IF(ISERROR(I1251/F1251),0,I1251/F1251)</f>
        <v>0.60270000000000001</v>
      </c>
      <c r="K1251" s="177">
        <f t="shared" si="117"/>
        <v>0</v>
      </c>
      <c r="L1251" s="177">
        <f t="shared" si="118"/>
        <v>4.5999999999999996</v>
      </c>
      <c r="M1251" s="177">
        <f t="shared" si="119"/>
        <v>4.5999999999999996</v>
      </c>
    </row>
    <row r="1252" spans="1:13" ht="12.75" customHeight="1">
      <c r="A1252" s="268" t="s">
        <v>476</v>
      </c>
      <c r="B1252" s="268" t="s">
        <v>3302</v>
      </c>
      <c r="C1252" s="268" t="s">
        <v>3303</v>
      </c>
      <c r="D1252" s="268">
        <v>103</v>
      </c>
      <c r="E1252" s="268">
        <v>0</v>
      </c>
      <c r="F1252" s="83">
        <f t="shared" si="120"/>
        <v>103</v>
      </c>
      <c r="G1252" s="268">
        <v>55</v>
      </c>
      <c r="H1252" s="268">
        <v>0</v>
      </c>
      <c r="I1252" s="83">
        <f t="shared" si="121"/>
        <v>55</v>
      </c>
      <c r="J1252" s="171">
        <f t="shared" si="122"/>
        <v>0.53400000000000003</v>
      </c>
      <c r="K1252" s="177">
        <f t="shared" si="117"/>
        <v>0</v>
      </c>
      <c r="L1252" s="177">
        <f t="shared" si="118"/>
        <v>5.8</v>
      </c>
      <c r="M1252" s="177">
        <f t="shared" si="119"/>
        <v>5.8</v>
      </c>
    </row>
    <row r="1253" spans="1:13" ht="12.75" customHeight="1">
      <c r="A1253" s="268" t="s">
        <v>477</v>
      </c>
      <c r="B1253" s="268" t="s">
        <v>3304</v>
      </c>
      <c r="C1253" s="268" t="s">
        <v>3305</v>
      </c>
      <c r="D1253" s="268">
        <v>221</v>
      </c>
      <c r="E1253" s="268">
        <v>0</v>
      </c>
      <c r="F1253" s="83">
        <f t="shared" si="120"/>
        <v>221</v>
      </c>
      <c r="G1253" s="268">
        <v>102</v>
      </c>
      <c r="H1253" s="268">
        <v>0</v>
      </c>
      <c r="I1253" s="83">
        <f t="shared" si="121"/>
        <v>102</v>
      </c>
      <c r="J1253" s="171">
        <f t="shared" si="122"/>
        <v>0.46150000000000002</v>
      </c>
      <c r="K1253" s="177">
        <f t="shared" si="117"/>
        <v>8</v>
      </c>
      <c r="L1253" s="177">
        <f t="shared" si="118"/>
        <v>0</v>
      </c>
      <c r="M1253" s="177">
        <f t="shared" si="119"/>
        <v>8</v>
      </c>
    </row>
    <row r="1254" spans="1:13" ht="12.75" customHeight="1">
      <c r="A1254" s="268" t="s">
        <v>477</v>
      </c>
      <c r="B1254" s="268" t="s">
        <v>3306</v>
      </c>
      <c r="C1254" s="268" t="s">
        <v>3307</v>
      </c>
      <c r="D1254" s="268">
        <v>487</v>
      </c>
      <c r="E1254" s="268">
        <v>0</v>
      </c>
      <c r="F1254" s="83">
        <f t="shared" si="120"/>
        <v>487</v>
      </c>
      <c r="G1254" s="268">
        <v>213</v>
      </c>
      <c r="H1254" s="268">
        <v>0</v>
      </c>
      <c r="I1254" s="83">
        <f t="shared" si="121"/>
        <v>213</v>
      </c>
      <c r="J1254" s="171">
        <f t="shared" si="122"/>
        <v>0.43740000000000001</v>
      </c>
      <c r="K1254" s="177">
        <f t="shared" si="117"/>
        <v>13</v>
      </c>
      <c r="L1254" s="177">
        <f t="shared" si="118"/>
        <v>0</v>
      </c>
      <c r="M1254" s="177">
        <f t="shared" si="119"/>
        <v>13</v>
      </c>
    </row>
    <row r="1255" spans="1:13" ht="12.75" customHeight="1">
      <c r="A1255" s="268" t="s">
        <v>477</v>
      </c>
      <c r="B1255" s="268" t="s">
        <v>3308</v>
      </c>
      <c r="C1255" s="268" t="s">
        <v>3309</v>
      </c>
      <c r="D1255" s="268">
        <v>130</v>
      </c>
      <c r="E1255" s="268">
        <v>0</v>
      </c>
      <c r="F1255" s="83">
        <f t="shared" si="120"/>
        <v>130</v>
      </c>
      <c r="G1255" s="268">
        <v>62</v>
      </c>
      <c r="H1255" s="268">
        <v>0</v>
      </c>
      <c r="I1255" s="83">
        <f t="shared" si="121"/>
        <v>62</v>
      </c>
      <c r="J1255" s="171">
        <f t="shared" si="122"/>
        <v>0.47689999999999999</v>
      </c>
      <c r="K1255" s="177">
        <f t="shared" si="117"/>
        <v>5.5</v>
      </c>
      <c r="L1255" s="177">
        <f t="shared" si="118"/>
        <v>0</v>
      </c>
      <c r="M1255" s="177">
        <f t="shared" si="119"/>
        <v>5.5</v>
      </c>
    </row>
    <row r="1256" spans="1:13" ht="12.75" customHeight="1">
      <c r="A1256" s="268" t="s">
        <v>477</v>
      </c>
      <c r="B1256" s="268" t="s">
        <v>3310</v>
      </c>
      <c r="C1256" s="268" t="s">
        <v>3311</v>
      </c>
      <c r="D1256" s="268">
        <v>168</v>
      </c>
      <c r="E1256" s="268">
        <v>0</v>
      </c>
      <c r="F1256" s="83">
        <f t="shared" si="120"/>
        <v>168</v>
      </c>
      <c r="G1256" s="268">
        <v>69</v>
      </c>
      <c r="H1256" s="268">
        <v>0</v>
      </c>
      <c r="I1256" s="83">
        <f t="shared" si="121"/>
        <v>69</v>
      </c>
      <c r="J1256" s="171">
        <f t="shared" si="122"/>
        <v>0.41070000000000001</v>
      </c>
      <c r="K1256" s="177">
        <f t="shared" si="117"/>
        <v>2.9</v>
      </c>
      <c r="L1256" s="177">
        <f t="shared" si="118"/>
        <v>0</v>
      </c>
      <c r="M1256" s="177">
        <f t="shared" si="119"/>
        <v>2.9</v>
      </c>
    </row>
    <row r="1257" spans="1:13" ht="12.75" customHeight="1">
      <c r="A1257" s="268" t="s">
        <v>477</v>
      </c>
      <c r="B1257" s="268" t="s">
        <v>3312</v>
      </c>
      <c r="C1257" s="268" t="s">
        <v>3313</v>
      </c>
      <c r="D1257" s="268">
        <v>377</v>
      </c>
      <c r="E1257" s="268">
        <v>0</v>
      </c>
      <c r="F1257" s="83">
        <f t="shared" si="120"/>
        <v>377</v>
      </c>
      <c r="G1257" s="268">
        <v>199</v>
      </c>
      <c r="H1257" s="268">
        <v>0</v>
      </c>
      <c r="I1257" s="83">
        <f t="shared" si="121"/>
        <v>199</v>
      </c>
      <c r="J1257" s="171">
        <f t="shared" si="122"/>
        <v>0.52790000000000004</v>
      </c>
      <c r="K1257" s="177">
        <f t="shared" si="117"/>
        <v>0</v>
      </c>
      <c r="L1257" s="177">
        <f t="shared" si="118"/>
        <v>20.9</v>
      </c>
      <c r="M1257" s="177">
        <f t="shared" si="119"/>
        <v>20.9</v>
      </c>
    </row>
    <row r="1258" spans="1:13" ht="12.75" customHeight="1">
      <c r="A1258" s="268" t="s">
        <v>477</v>
      </c>
      <c r="B1258" s="268" t="s">
        <v>3314</v>
      </c>
      <c r="C1258" s="268" t="s">
        <v>3315</v>
      </c>
      <c r="D1258" s="268">
        <v>162</v>
      </c>
      <c r="E1258" s="268">
        <v>0</v>
      </c>
      <c r="F1258" s="83">
        <f t="shared" si="120"/>
        <v>162</v>
      </c>
      <c r="G1258" s="268">
        <v>81</v>
      </c>
      <c r="H1258" s="268">
        <v>0</v>
      </c>
      <c r="I1258" s="83">
        <f t="shared" si="121"/>
        <v>81</v>
      </c>
      <c r="J1258" s="171">
        <f t="shared" si="122"/>
        <v>0.5</v>
      </c>
      <c r="K1258" s="177">
        <f t="shared" si="117"/>
        <v>0</v>
      </c>
      <c r="L1258" s="177">
        <f t="shared" si="118"/>
        <v>8.5</v>
      </c>
      <c r="M1258" s="177">
        <f t="shared" si="119"/>
        <v>8.5</v>
      </c>
    </row>
    <row r="1259" spans="1:13" ht="12.75" customHeight="1">
      <c r="A1259" s="268" t="s">
        <v>478</v>
      </c>
      <c r="B1259" s="268" t="s">
        <v>3316</v>
      </c>
      <c r="C1259" s="268" t="s">
        <v>3317</v>
      </c>
      <c r="D1259" s="268">
        <v>137</v>
      </c>
      <c r="E1259" s="268">
        <v>0</v>
      </c>
      <c r="F1259" s="83">
        <f t="shared" si="120"/>
        <v>137</v>
      </c>
      <c r="G1259" s="268">
        <v>61</v>
      </c>
      <c r="H1259" s="268">
        <v>0</v>
      </c>
      <c r="I1259" s="83">
        <f t="shared" si="121"/>
        <v>61</v>
      </c>
      <c r="J1259" s="171">
        <f t="shared" si="122"/>
        <v>0.44529999999999997</v>
      </c>
      <c r="K1259" s="177">
        <f t="shared" si="117"/>
        <v>4.0999999999999996</v>
      </c>
      <c r="L1259" s="177">
        <f t="shared" si="118"/>
        <v>0</v>
      </c>
      <c r="M1259" s="177">
        <f t="shared" si="119"/>
        <v>4.0999999999999996</v>
      </c>
    </row>
    <row r="1260" spans="1:13" ht="12.75" customHeight="1">
      <c r="A1260" s="268" t="s">
        <v>478</v>
      </c>
      <c r="B1260" s="268" t="s">
        <v>3318</v>
      </c>
      <c r="C1260" s="268" t="s">
        <v>3319</v>
      </c>
      <c r="D1260" s="268">
        <v>152</v>
      </c>
      <c r="E1260" s="268">
        <v>0</v>
      </c>
      <c r="F1260" s="83">
        <f t="shared" si="120"/>
        <v>152</v>
      </c>
      <c r="G1260" s="268">
        <v>78</v>
      </c>
      <c r="H1260" s="268">
        <v>0</v>
      </c>
      <c r="I1260" s="83">
        <f t="shared" si="121"/>
        <v>78</v>
      </c>
      <c r="J1260" s="171">
        <f t="shared" si="122"/>
        <v>0.51319999999999999</v>
      </c>
      <c r="K1260" s="177">
        <f t="shared" si="117"/>
        <v>0</v>
      </c>
      <c r="L1260" s="177">
        <f t="shared" si="118"/>
        <v>8.1999999999999993</v>
      </c>
      <c r="M1260" s="177">
        <f t="shared" si="119"/>
        <v>8.1999999999999993</v>
      </c>
    </row>
    <row r="1261" spans="1:13" ht="12.75" customHeight="1">
      <c r="A1261" s="268" t="s">
        <v>479</v>
      </c>
      <c r="B1261" s="268" t="s">
        <v>3320</v>
      </c>
      <c r="C1261" s="268" t="s">
        <v>1267</v>
      </c>
      <c r="D1261" s="268">
        <v>259</v>
      </c>
      <c r="E1261" s="268">
        <v>0</v>
      </c>
      <c r="F1261" s="83">
        <f t="shared" si="120"/>
        <v>259</v>
      </c>
      <c r="G1261" s="268">
        <v>131</v>
      </c>
      <c r="H1261" s="268">
        <v>0</v>
      </c>
      <c r="I1261" s="83">
        <f t="shared" si="121"/>
        <v>131</v>
      </c>
      <c r="J1261" s="171">
        <f t="shared" si="122"/>
        <v>0.50580000000000003</v>
      </c>
      <c r="K1261" s="177">
        <f t="shared" si="117"/>
        <v>0</v>
      </c>
      <c r="L1261" s="177">
        <f t="shared" si="118"/>
        <v>13.8</v>
      </c>
      <c r="M1261" s="177">
        <f t="shared" si="119"/>
        <v>13.8</v>
      </c>
    </row>
    <row r="1262" spans="1:13" ht="12.75" customHeight="1">
      <c r="A1262" s="268" t="s">
        <v>479</v>
      </c>
      <c r="B1262" s="268" t="s">
        <v>3321</v>
      </c>
      <c r="C1262" s="268" t="s">
        <v>1490</v>
      </c>
      <c r="D1262" s="268">
        <v>221</v>
      </c>
      <c r="E1262" s="269">
        <v>0</v>
      </c>
      <c r="F1262" s="83">
        <f t="shared" si="120"/>
        <v>221</v>
      </c>
      <c r="G1262" s="268">
        <v>122</v>
      </c>
      <c r="H1262" s="269">
        <v>0</v>
      </c>
      <c r="I1262" s="83">
        <f t="shared" si="121"/>
        <v>122</v>
      </c>
      <c r="J1262" s="171">
        <f t="shared" si="122"/>
        <v>0.55200000000000005</v>
      </c>
      <c r="K1262" s="177">
        <f t="shared" si="117"/>
        <v>0</v>
      </c>
      <c r="L1262" s="177">
        <f t="shared" si="118"/>
        <v>12.8</v>
      </c>
      <c r="M1262" s="177">
        <f t="shared" si="119"/>
        <v>12.8</v>
      </c>
    </row>
    <row r="1263" spans="1:13" ht="12.75" customHeight="1">
      <c r="A1263" s="268" t="s">
        <v>479</v>
      </c>
      <c r="B1263" s="268" t="s">
        <v>3322</v>
      </c>
      <c r="C1263" s="268" t="s">
        <v>3323</v>
      </c>
      <c r="D1263" s="268">
        <v>459</v>
      </c>
      <c r="E1263" s="268">
        <v>0</v>
      </c>
      <c r="F1263" s="83">
        <f t="shared" si="120"/>
        <v>459</v>
      </c>
      <c r="G1263" s="268">
        <v>216</v>
      </c>
      <c r="H1263" s="268">
        <v>0</v>
      </c>
      <c r="I1263" s="83">
        <f t="shared" si="121"/>
        <v>216</v>
      </c>
      <c r="J1263" s="171">
        <f t="shared" si="122"/>
        <v>0.47060000000000002</v>
      </c>
      <c r="K1263" s="177">
        <f t="shared" si="117"/>
        <v>18.2</v>
      </c>
      <c r="L1263" s="177">
        <f t="shared" si="118"/>
        <v>0</v>
      </c>
      <c r="M1263" s="177">
        <f t="shared" si="119"/>
        <v>18.2</v>
      </c>
    </row>
    <row r="1264" spans="1:13" ht="12.75" customHeight="1">
      <c r="A1264" s="268" t="s">
        <v>480</v>
      </c>
      <c r="B1264" s="268" t="s">
        <v>3324</v>
      </c>
      <c r="C1264" s="268" t="s">
        <v>3325</v>
      </c>
      <c r="D1264" s="268">
        <v>85</v>
      </c>
      <c r="E1264" s="268">
        <v>0</v>
      </c>
      <c r="F1264" s="83">
        <f t="shared" si="120"/>
        <v>85</v>
      </c>
      <c r="G1264" s="268">
        <v>34</v>
      </c>
      <c r="H1264" s="268">
        <v>0</v>
      </c>
      <c r="I1264" s="83">
        <f t="shared" si="121"/>
        <v>34</v>
      </c>
      <c r="J1264" s="171">
        <f t="shared" si="122"/>
        <v>0.4</v>
      </c>
      <c r="K1264" s="177">
        <f t="shared" si="117"/>
        <v>1.2</v>
      </c>
      <c r="L1264" s="177">
        <f t="shared" si="118"/>
        <v>0</v>
      </c>
      <c r="M1264" s="177">
        <f t="shared" si="119"/>
        <v>1.2</v>
      </c>
    </row>
    <row r="1265" spans="1:13" ht="12.75" customHeight="1">
      <c r="A1265" s="268" t="s">
        <v>480</v>
      </c>
      <c r="B1265" s="268" t="s">
        <v>3326</v>
      </c>
      <c r="C1265" s="268" t="s">
        <v>3327</v>
      </c>
      <c r="D1265" s="268">
        <v>90</v>
      </c>
      <c r="E1265" s="268">
        <v>0</v>
      </c>
      <c r="F1265" s="83">
        <f t="shared" si="120"/>
        <v>90</v>
      </c>
      <c r="G1265" s="268">
        <v>24</v>
      </c>
      <c r="H1265" s="268">
        <v>0</v>
      </c>
      <c r="I1265" s="83">
        <f t="shared" si="121"/>
        <v>24</v>
      </c>
      <c r="J1265" s="171">
        <f t="shared" si="122"/>
        <v>0.26669999999999999</v>
      </c>
      <c r="K1265" s="177">
        <f t="shared" si="117"/>
        <v>0</v>
      </c>
      <c r="L1265" s="177">
        <f t="shared" si="118"/>
        <v>0</v>
      </c>
      <c r="M1265" s="177">
        <f t="shared" si="119"/>
        <v>0</v>
      </c>
    </row>
    <row r="1266" spans="1:13" ht="12.75" customHeight="1">
      <c r="A1266" s="268" t="s">
        <v>481</v>
      </c>
      <c r="B1266" s="268" t="s">
        <v>3328</v>
      </c>
      <c r="C1266" s="268" t="s">
        <v>3329</v>
      </c>
      <c r="D1266" s="268">
        <v>118</v>
      </c>
      <c r="E1266" s="268">
        <v>0</v>
      </c>
      <c r="F1266" s="83">
        <f t="shared" si="120"/>
        <v>118</v>
      </c>
      <c r="G1266" s="268">
        <v>43</v>
      </c>
      <c r="H1266" s="268">
        <v>0</v>
      </c>
      <c r="I1266" s="83">
        <f t="shared" si="121"/>
        <v>43</v>
      </c>
      <c r="J1266" s="171">
        <f t="shared" si="122"/>
        <v>0.3644</v>
      </c>
      <c r="K1266" s="177">
        <f t="shared" si="117"/>
        <v>0.4</v>
      </c>
      <c r="L1266" s="177">
        <f t="shared" si="118"/>
        <v>0</v>
      </c>
      <c r="M1266" s="177">
        <f t="shared" si="119"/>
        <v>0.4</v>
      </c>
    </row>
    <row r="1267" spans="1:13" ht="12.75" customHeight="1">
      <c r="A1267" s="268" t="s">
        <v>481</v>
      </c>
      <c r="B1267" s="268" t="s">
        <v>3330</v>
      </c>
      <c r="C1267" s="268" t="s">
        <v>3331</v>
      </c>
      <c r="D1267" s="268">
        <v>47</v>
      </c>
      <c r="E1267" s="268">
        <v>0</v>
      </c>
      <c r="F1267" s="83">
        <f t="shared" si="120"/>
        <v>47</v>
      </c>
      <c r="G1267" s="268">
        <v>17</v>
      </c>
      <c r="H1267" s="268">
        <v>0</v>
      </c>
      <c r="I1267" s="83">
        <f t="shared" si="121"/>
        <v>17</v>
      </c>
      <c r="J1267" s="171">
        <f t="shared" si="122"/>
        <v>0.36170000000000002</v>
      </c>
      <c r="K1267" s="177">
        <f t="shared" si="117"/>
        <v>0.1</v>
      </c>
      <c r="L1267" s="177">
        <f t="shared" si="118"/>
        <v>0</v>
      </c>
      <c r="M1267" s="177">
        <f t="shared" si="119"/>
        <v>0.1</v>
      </c>
    </row>
    <row r="1268" spans="1:13" ht="12.75" customHeight="1">
      <c r="A1268" s="268" t="s">
        <v>482</v>
      </c>
      <c r="B1268" s="268" t="s">
        <v>3332</v>
      </c>
      <c r="C1268" s="268" t="s">
        <v>3333</v>
      </c>
      <c r="D1268" s="268">
        <v>343</v>
      </c>
      <c r="E1268" s="268">
        <v>0</v>
      </c>
      <c r="F1268" s="83">
        <f t="shared" si="120"/>
        <v>343</v>
      </c>
      <c r="G1268" s="268">
        <v>104</v>
      </c>
      <c r="H1268" s="268">
        <v>0</v>
      </c>
      <c r="I1268" s="83">
        <f t="shared" si="121"/>
        <v>104</v>
      </c>
      <c r="J1268" s="171">
        <f t="shared" si="122"/>
        <v>0.30320000000000003</v>
      </c>
      <c r="K1268" s="177">
        <f t="shared" si="117"/>
        <v>0</v>
      </c>
      <c r="L1268" s="177">
        <f t="shared" si="118"/>
        <v>0</v>
      </c>
      <c r="M1268" s="177">
        <f t="shared" si="119"/>
        <v>0</v>
      </c>
    </row>
    <row r="1269" spans="1:13" ht="12.75" customHeight="1">
      <c r="A1269" s="268" t="s">
        <v>482</v>
      </c>
      <c r="B1269" s="268" t="s">
        <v>3334</v>
      </c>
      <c r="C1269" s="268" t="s">
        <v>3335</v>
      </c>
      <c r="D1269" s="268">
        <v>575</v>
      </c>
      <c r="E1269" s="268">
        <v>0</v>
      </c>
      <c r="F1269" s="83">
        <f t="shared" si="120"/>
        <v>575</v>
      </c>
      <c r="G1269" s="268">
        <v>311</v>
      </c>
      <c r="H1269" s="268">
        <v>0</v>
      </c>
      <c r="I1269" s="83">
        <f t="shared" si="121"/>
        <v>311</v>
      </c>
      <c r="J1269" s="171">
        <f t="shared" si="122"/>
        <v>0.54090000000000005</v>
      </c>
      <c r="K1269" s="177">
        <f t="shared" si="117"/>
        <v>0</v>
      </c>
      <c r="L1269" s="177">
        <f t="shared" si="118"/>
        <v>32.700000000000003</v>
      </c>
      <c r="M1269" s="177">
        <f t="shared" si="119"/>
        <v>32.700000000000003</v>
      </c>
    </row>
    <row r="1270" spans="1:13" ht="12.75" customHeight="1">
      <c r="A1270" s="268" t="s">
        <v>482</v>
      </c>
      <c r="B1270" s="268" t="s">
        <v>3336</v>
      </c>
      <c r="C1270" s="268" t="s">
        <v>3337</v>
      </c>
      <c r="D1270" s="268">
        <v>481</v>
      </c>
      <c r="E1270" s="268">
        <v>0</v>
      </c>
      <c r="F1270" s="83">
        <f t="shared" si="120"/>
        <v>481</v>
      </c>
      <c r="G1270" s="268">
        <v>24</v>
      </c>
      <c r="H1270" s="268">
        <v>0</v>
      </c>
      <c r="I1270" s="83">
        <f t="shared" si="121"/>
        <v>24</v>
      </c>
      <c r="J1270" s="171">
        <f t="shared" si="122"/>
        <v>4.99E-2</v>
      </c>
      <c r="K1270" s="177">
        <f t="shared" si="117"/>
        <v>0</v>
      </c>
      <c r="L1270" s="177">
        <f t="shared" si="118"/>
        <v>0</v>
      </c>
      <c r="M1270" s="177">
        <f t="shared" si="119"/>
        <v>0</v>
      </c>
    </row>
    <row r="1271" spans="1:13" ht="12.75" customHeight="1">
      <c r="A1271" s="268" t="s">
        <v>482</v>
      </c>
      <c r="B1271" s="268" t="s">
        <v>3338</v>
      </c>
      <c r="C1271" s="268" t="s">
        <v>3339</v>
      </c>
      <c r="D1271" s="268">
        <v>403</v>
      </c>
      <c r="E1271" s="268">
        <v>0</v>
      </c>
      <c r="F1271" s="83">
        <f t="shared" si="120"/>
        <v>403</v>
      </c>
      <c r="G1271" s="268">
        <v>133</v>
      </c>
      <c r="H1271" s="268">
        <v>0</v>
      </c>
      <c r="I1271" s="83">
        <f t="shared" si="121"/>
        <v>133</v>
      </c>
      <c r="J1271" s="171">
        <f t="shared" si="122"/>
        <v>0.33</v>
      </c>
      <c r="K1271" s="177">
        <f t="shared" si="117"/>
        <v>0</v>
      </c>
      <c r="L1271" s="177">
        <f t="shared" si="118"/>
        <v>0</v>
      </c>
      <c r="M1271" s="177">
        <f t="shared" si="119"/>
        <v>0</v>
      </c>
    </row>
    <row r="1272" spans="1:13" ht="12.75" customHeight="1">
      <c r="A1272" s="268" t="s">
        <v>482</v>
      </c>
      <c r="B1272" s="268" t="s">
        <v>3340</v>
      </c>
      <c r="C1272" s="268" t="s">
        <v>1273</v>
      </c>
      <c r="D1272" s="268">
        <v>594</v>
      </c>
      <c r="E1272" s="268">
        <v>0</v>
      </c>
      <c r="F1272" s="83">
        <f t="shared" si="120"/>
        <v>594</v>
      </c>
      <c r="G1272" s="268">
        <v>75</v>
      </c>
      <c r="H1272" s="268">
        <v>0</v>
      </c>
      <c r="I1272" s="83">
        <f t="shared" si="121"/>
        <v>75</v>
      </c>
      <c r="J1272" s="171">
        <f t="shared" si="122"/>
        <v>0.1263</v>
      </c>
      <c r="K1272" s="177">
        <f t="shared" si="117"/>
        <v>0</v>
      </c>
      <c r="L1272" s="177">
        <f t="shared" si="118"/>
        <v>0</v>
      </c>
      <c r="M1272" s="177">
        <f t="shared" si="119"/>
        <v>0</v>
      </c>
    </row>
    <row r="1273" spans="1:13" ht="12.75" customHeight="1">
      <c r="A1273" s="268" t="s">
        <v>482</v>
      </c>
      <c r="B1273" s="268" t="s">
        <v>3341</v>
      </c>
      <c r="C1273" s="268" t="s">
        <v>3088</v>
      </c>
      <c r="D1273" s="268">
        <v>368</v>
      </c>
      <c r="E1273" s="268">
        <v>0</v>
      </c>
      <c r="F1273" s="83">
        <f t="shared" si="120"/>
        <v>368</v>
      </c>
      <c r="G1273" s="268">
        <v>143</v>
      </c>
      <c r="H1273" s="268">
        <v>0</v>
      </c>
      <c r="I1273" s="83">
        <f t="shared" si="121"/>
        <v>143</v>
      </c>
      <c r="J1273" s="171">
        <f t="shared" si="122"/>
        <v>0.3886</v>
      </c>
      <c r="K1273" s="177">
        <f t="shared" si="117"/>
        <v>3.9</v>
      </c>
      <c r="L1273" s="177">
        <f t="shared" si="118"/>
        <v>0</v>
      </c>
      <c r="M1273" s="177">
        <f t="shared" si="119"/>
        <v>3.9</v>
      </c>
    </row>
    <row r="1274" spans="1:13" ht="12.75" customHeight="1">
      <c r="A1274" s="268" t="s">
        <v>482</v>
      </c>
      <c r="B1274" s="268" t="s">
        <v>3342</v>
      </c>
      <c r="C1274" s="268" t="s">
        <v>3343</v>
      </c>
      <c r="D1274" s="268">
        <v>572</v>
      </c>
      <c r="E1274" s="268">
        <v>0</v>
      </c>
      <c r="F1274" s="83">
        <f t="shared" si="120"/>
        <v>572</v>
      </c>
      <c r="G1274" s="268">
        <v>208</v>
      </c>
      <c r="H1274" s="268">
        <v>0</v>
      </c>
      <c r="I1274" s="83">
        <f t="shared" si="121"/>
        <v>208</v>
      </c>
      <c r="J1274" s="171">
        <f t="shared" si="122"/>
        <v>0.36359999999999998</v>
      </c>
      <c r="K1274" s="177">
        <f t="shared" si="117"/>
        <v>2</v>
      </c>
      <c r="L1274" s="177">
        <f t="shared" si="118"/>
        <v>0</v>
      </c>
      <c r="M1274" s="177">
        <f t="shared" si="119"/>
        <v>2</v>
      </c>
    </row>
    <row r="1275" spans="1:13" ht="12.75" customHeight="1">
      <c r="A1275" s="268" t="s">
        <v>482</v>
      </c>
      <c r="B1275" s="268" t="s">
        <v>3344</v>
      </c>
      <c r="C1275" s="268" t="s">
        <v>3345</v>
      </c>
      <c r="D1275" s="268">
        <v>401</v>
      </c>
      <c r="E1275" s="268">
        <v>0</v>
      </c>
      <c r="F1275" s="83">
        <f t="shared" si="120"/>
        <v>401</v>
      </c>
      <c r="G1275" s="268">
        <v>8</v>
      </c>
      <c r="H1275" s="268">
        <v>0</v>
      </c>
      <c r="I1275" s="83">
        <f t="shared" si="121"/>
        <v>8</v>
      </c>
      <c r="J1275" s="171">
        <f t="shared" si="122"/>
        <v>0.02</v>
      </c>
      <c r="K1275" s="177">
        <f t="shared" si="117"/>
        <v>0</v>
      </c>
      <c r="L1275" s="177">
        <f t="shared" si="118"/>
        <v>0</v>
      </c>
      <c r="M1275" s="177">
        <f t="shared" si="119"/>
        <v>0</v>
      </c>
    </row>
    <row r="1276" spans="1:13" ht="12.75" customHeight="1">
      <c r="A1276" s="268" t="s">
        <v>482</v>
      </c>
      <c r="B1276" s="268" t="s">
        <v>3346</v>
      </c>
      <c r="C1276" s="268" t="s">
        <v>3347</v>
      </c>
      <c r="D1276" s="268">
        <v>420</v>
      </c>
      <c r="E1276" s="268">
        <v>0</v>
      </c>
      <c r="F1276" s="83">
        <f t="shared" si="120"/>
        <v>420</v>
      </c>
      <c r="G1276" s="268">
        <v>62</v>
      </c>
      <c r="H1276" s="268">
        <v>0</v>
      </c>
      <c r="I1276" s="83">
        <f t="shared" si="121"/>
        <v>62</v>
      </c>
      <c r="J1276" s="171">
        <f t="shared" si="122"/>
        <v>0.14760000000000001</v>
      </c>
      <c r="K1276" s="177">
        <f t="shared" si="117"/>
        <v>0</v>
      </c>
      <c r="L1276" s="177">
        <f t="shared" si="118"/>
        <v>0</v>
      </c>
      <c r="M1276" s="177">
        <f t="shared" si="119"/>
        <v>0</v>
      </c>
    </row>
    <row r="1277" spans="1:13" ht="12.75" customHeight="1">
      <c r="A1277" s="268" t="s">
        <v>482</v>
      </c>
      <c r="B1277" s="268" t="s">
        <v>3348</v>
      </c>
      <c r="C1277" s="268" t="s">
        <v>3349</v>
      </c>
      <c r="D1277" s="268">
        <v>464</v>
      </c>
      <c r="E1277" s="268">
        <v>0</v>
      </c>
      <c r="F1277" s="83">
        <f t="shared" si="120"/>
        <v>464</v>
      </c>
      <c r="G1277" s="268">
        <v>308</v>
      </c>
      <c r="H1277" s="268">
        <v>0</v>
      </c>
      <c r="I1277" s="83">
        <f t="shared" si="121"/>
        <v>308</v>
      </c>
      <c r="J1277" s="171">
        <f t="shared" si="122"/>
        <v>0.66379999999999995</v>
      </c>
      <c r="K1277" s="177">
        <f t="shared" si="117"/>
        <v>0</v>
      </c>
      <c r="L1277" s="177">
        <f t="shared" si="118"/>
        <v>32.299999999999997</v>
      </c>
      <c r="M1277" s="177">
        <f t="shared" si="119"/>
        <v>32.299999999999997</v>
      </c>
    </row>
    <row r="1278" spans="1:13" ht="12.75" customHeight="1">
      <c r="A1278" s="268" t="s">
        <v>482</v>
      </c>
      <c r="B1278" s="268" t="s">
        <v>3350</v>
      </c>
      <c r="C1278" s="268" t="s">
        <v>3351</v>
      </c>
      <c r="D1278" s="268">
        <v>558</v>
      </c>
      <c r="E1278" s="268">
        <v>0</v>
      </c>
      <c r="F1278" s="83">
        <f t="shared" si="120"/>
        <v>558</v>
      </c>
      <c r="G1278" s="268">
        <v>8</v>
      </c>
      <c r="H1278" s="268">
        <v>0</v>
      </c>
      <c r="I1278" s="83">
        <f t="shared" si="121"/>
        <v>8</v>
      </c>
      <c r="J1278" s="171">
        <f t="shared" si="122"/>
        <v>1.43E-2</v>
      </c>
      <c r="K1278" s="177">
        <f t="shared" si="117"/>
        <v>0</v>
      </c>
      <c r="L1278" s="177">
        <f t="shared" si="118"/>
        <v>0</v>
      </c>
      <c r="M1278" s="177">
        <f t="shared" si="119"/>
        <v>0</v>
      </c>
    </row>
    <row r="1279" spans="1:13" ht="12.75" customHeight="1">
      <c r="A1279" s="268" t="s">
        <v>482</v>
      </c>
      <c r="B1279" s="268" t="s">
        <v>3352</v>
      </c>
      <c r="C1279" s="268" t="s">
        <v>3353</v>
      </c>
      <c r="D1279" s="268">
        <v>369</v>
      </c>
      <c r="E1279" s="268">
        <v>0</v>
      </c>
      <c r="F1279" s="83">
        <f t="shared" si="120"/>
        <v>369</v>
      </c>
      <c r="G1279" s="268">
        <v>167</v>
      </c>
      <c r="H1279" s="268">
        <v>0</v>
      </c>
      <c r="I1279" s="83">
        <f t="shared" si="121"/>
        <v>167</v>
      </c>
      <c r="J1279" s="171">
        <f t="shared" si="122"/>
        <v>0.4526</v>
      </c>
      <c r="K1279" s="177">
        <f t="shared" si="117"/>
        <v>12</v>
      </c>
      <c r="L1279" s="177">
        <f t="shared" si="118"/>
        <v>0</v>
      </c>
      <c r="M1279" s="177">
        <f t="shared" si="119"/>
        <v>12</v>
      </c>
    </row>
    <row r="1280" spans="1:13" ht="12.75" customHeight="1">
      <c r="A1280" s="268" t="s">
        <v>482</v>
      </c>
      <c r="B1280" s="268" t="s">
        <v>3614</v>
      </c>
      <c r="C1280" s="268" t="s">
        <v>3615</v>
      </c>
      <c r="D1280" s="268">
        <v>228</v>
      </c>
      <c r="E1280" s="268">
        <v>0</v>
      </c>
      <c r="F1280" s="83">
        <f t="shared" si="120"/>
        <v>228</v>
      </c>
      <c r="G1280" s="268">
        <v>76</v>
      </c>
      <c r="H1280" s="268">
        <v>0</v>
      </c>
      <c r="I1280" s="83">
        <f t="shared" si="121"/>
        <v>76</v>
      </c>
      <c r="J1280" s="171">
        <f t="shared" si="122"/>
        <v>0.33329999999999999</v>
      </c>
      <c r="K1280" s="177">
        <f t="shared" si="117"/>
        <v>0</v>
      </c>
      <c r="L1280" s="177">
        <f t="shared" si="118"/>
        <v>0</v>
      </c>
      <c r="M1280" s="177">
        <f t="shared" si="119"/>
        <v>0</v>
      </c>
    </row>
    <row r="1281" spans="1:13" ht="12.75" customHeight="1">
      <c r="A1281" s="268" t="s">
        <v>482</v>
      </c>
      <c r="B1281" s="268" t="s">
        <v>3354</v>
      </c>
      <c r="C1281" s="268" t="s">
        <v>3355</v>
      </c>
      <c r="D1281" s="268">
        <v>337</v>
      </c>
      <c r="E1281" s="268">
        <v>0</v>
      </c>
      <c r="F1281" s="83">
        <f t="shared" si="120"/>
        <v>337</v>
      </c>
      <c r="G1281" s="268">
        <v>33</v>
      </c>
      <c r="H1281" s="268">
        <v>0</v>
      </c>
      <c r="I1281" s="83">
        <f t="shared" si="121"/>
        <v>33</v>
      </c>
      <c r="J1281" s="171">
        <f t="shared" si="122"/>
        <v>9.7900000000000001E-2</v>
      </c>
      <c r="K1281" s="177">
        <f t="shared" si="117"/>
        <v>0</v>
      </c>
      <c r="L1281" s="177">
        <f t="shared" si="118"/>
        <v>0</v>
      </c>
      <c r="M1281" s="177">
        <f t="shared" si="119"/>
        <v>0</v>
      </c>
    </row>
    <row r="1282" spans="1:13" ht="12.75" customHeight="1">
      <c r="A1282" s="268" t="s">
        <v>482</v>
      </c>
      <c r="B1282" s="268" t="s">
        <v>3356</v>
      </c>
      <c r="C1282" s="268" t="s">
        <v>3357</v>
      </c>
      <c r="D1282" s="268">
        <v>411</v>
      </c>
      <c r="E1282" s="268">
        <v>0</v>
      </c>
      <c r="F1282" s="83">
        <f t="shared" si="120"/>
        <v>411</v>
      </c>
      <c r="G1282" s="268">
        <v>99</v>
      </c>
      <c r="H1282" s="268">
        <v>0</v>
      </c>
      <c r="I1282" s="83">
        <f t="shared" si="121"/>
        <v>99</v>
      </c>
      <c r="J1282" s="171">
        <f t="shared" si="122"/>
        <v>0.2409</v>
      </c>
      <c r="K1282" s="177">
        <f t="shared" si="117"/>
        <v>0</v>
      </c>
      <c r="L1282" s="177">
        <f t="shared" si="118"/>
        <v>0</v>
      </c>
      <c r="M1282" s="177">
        <f t="shared" si="119"/>
        <v>0</v>
      </c>
    </row>
    <row r="1283" spans="1:13" ht="12.75" customHeight="1">
      <c r="A1283" s="268" t="s">
        <v>482</v>
      </c>
      <c r="B1283" s="268" t="s">
        <v>3358</v>
      </c>
      <c r="C1283" s="268" t="s">
        <v>3359</v>
      </c>
      <c r="D1283" s="268">
        <v>519</v>
      </c>
      <c r="E1283" s="268">
        <v>0</v>
      </c>
      <c r="F1283" s="83">
        <f t="shared" si="120"/>
        <v>519</v>
      </c>
      <c r="G1283" s="268">
        <v>358</v>
      </c>
      <c r="H1283" s="268">
        <v>0</v>
      </c>
      <c r="I1283" s="83">
        <f t="shared" si="121"/>
        <v>358</v>
      </c>
      <c r="J1283" s="171">
        <f t="shared" si="122"/>
        <v>0.68979999999999997</v>
      </c>
      <c r="K1283" s="177">
        <f t="shared" si="117"/>
        <v>0</v>
      </c>
      <c r="L1283" s="177">
        <f t="shared" si="118"/>
        <v>37.6</v>
      </c>
      <c r="M1283" s="177">
        <f t="shared" si="119"/>
        <v>37.6</v>
      </c>
    </row>
    <row r="1284" spans="1:13" ht="12.75" customHeight="1">
      <c r="A1284" s="268" t="s">
        <v>482</v>
      </c>
      <c r="B1284" s="268" t="s">
        <v>3360</v>
      </c>
      <c r="C1284" s="268" t="s">
        <v>3361</v>
      </c>
      <c r="D1284" s="268">
        <v>475</v>
      </c>
      <c r="E1284" s="268">
        <v>0</v>
      </c>
      <c r="F1284" s="83">
        <f t="shared" si="120"/>
        <v>475</v>
      </c>
      <c r="G1284" s="268">
        <v>207</v>
      </c>
      <c r="H1284" s="268">
        <v>0</v>
      </c>
      <c r="I1284" s="83">
        <f t="shared" si="121"/>
        <v>207</v>
      </c>
      <c r="J1284" s="171">
        <f t="shared" si="122"/>
        <v>0.43580000000000002</v>
      </c>
      <c r="K1284" s="177">
        <f t="shared" si="117"/>
        <v>12.4</v>
      </c>
      <c r="L1284" s="177">
        <f t="shared" si="118"/>
        <v>0</v>
      </c>
      <c r="M1284" s="177">
        <f t="shared" si="119"/>
        <v>12.4</v>
      </c>
    </row>
    <row r="1285" spans="1:13" ht="12.75" customHeight="1">
      <c r="A1285" s="268" t="s">
        <v>482</v>
      </c>
      <c r="B1285" s="268" t="s">
        <v>3362</v>
      </c>
      <c r="C1285" s="268" t="s">
        <v>3363</v>
      </c>
      <c r="D1285" s="268">
        <v>540</v>
      </c>
      <c r="E1285" s="268">
        <v>0</v>
      </c>
      <c r="F1285" s="83">
        <f t="shared" si="120"/>
        <v>540</v>
      </c>
      <c r="G1285" s="268">
        <v>85</v>
      </c>
      <c r="H1285" s="268">
        <v>0</v>
      </c>
      <c r="I1285" s="83">
        <f t="shared" si="121"/>
        <v>85</v>
      </c>
      <c r="J1285" s="171">
        <f t="shared" si="122"/>
        <v>0.15740000000000001</v>
      </c>
      <c r="K1285" s="177">
        <f t="shared" ref="K1285:K1311" si="123">IF(AND((J1285-35%)&gt;0,J1285&lt;50%),I1285*(J1285-35%)*0.7,0)</f>
        <v>0</v>
      </c>
      <c r="L1285" s="177">
        <f t="shared" ref="L1285:L1311" si="124">IF(J1285&gt;=50%,I1285*10.5%,0)</f>
        <v>0</v>
      </c>
      <c r="M1285" s="177">
        <f t="shared" ref="M1285:M1311" si="125">MAX(K1285,L1285)</f>
        <v>0</v>
      </c>
    </row>
    <row r="1286" spans="1:13" ht="12.75" customHeight="1">
      <c r="A1286" s="268" t="s">
        <v>482</v>
      </c>
      <c r="B1286" s="268" t="s">
        <v>3364</v>
      </c>
      <c r="C1286" s="268" t="s">
        <v>3365</v>
      </c>
      <c r="D1286" s="268">
        <v>518</v>
      </c>
      <c r="E1286" s="268">
        <v>0</v>
      </c>
      <c r="F1286" s="83">
        <f t="shared" ref="F1286:F1311" si="126">SUM(D1286+E1286)</f>
        <v>518</v>
      </c>
      <c r="G1286" s="268">
        <v>66</v>
      </c>
      <c r="H1286" s="268">
        <v>0</v>
      </c>
      <c r="I1286" s="83">
        <f t="shared" si="121"/>
        <v>66</v>
      </c>
      <c r="J1286" s="171">
        <f t="shared" si="122"/>
        <v>0.12740000000000001</v>
      </c>
      <c r="K1286" s="177">
        <f t="shared" si="123"/>
        <v>0</v>
      </c>
      <c r="L1286" s="177">
        <f t="shared" si="124"/>
        <v>0</v>
      </c>
      <c r="M1286" s="177">
        <f t="shared" si="125"/>
        <v>0</v>
      </c>
    </row>
    <row r="1287" spans="1:13" ht="12.75" customHeight="1">
      <c r="A1287" s="268" t="s">
        <v>482</v>
      </c>
      <c r="B1287" s="268" t="s">
        <v>3366</v>
      </c>
      <c r="C1287" s="268" t="s">
        <v>3367</v>
      </c>
      <c r="D1287" s="268">
        <v>472</v>
      </c>
      <c r="E1287" s="268">
        <v>0</v>
      </c>
      <c r="F1287" s="83">
        <f t="shared" si="126"/>
        <v>472</v>
      </c>
      <c r="G1287" s="268">
        <v>233</v>
      </c>
      <c r="H1287" s="268">
        <v>0</v>
      </c>
      <c r="I1287" s="83">
        <f t="shared" si="121"/>
        <v>233</v>
      </c>
      <c r="J1287" s="171">
        <f t="shared" si="122"/>
        <v>0.49359999999999998</v>
      </c>
      <c r="K1287" s="177">
        <f t="shared" si="123"/>
        <v>23.4</v>
      </c>
      <c r="L1287" s="177">
        <f t="shared" si="124"/>
        <v>0</v>
      </c>
      <c r="M1287" s="177">
        <f t="shared" si="125"/>
        <v>23.4</v>
      </c>
    </row>
    <row r="1288" spans="1:13" ht="12.75" customHeight="1">
      <c r="A1288" s="268" t="s">
        <v>482</v>
      </c>
      <c r="B1288" s="268" t="s">
        <v>3368</v>
      </c>
      <c r="C1288" s="268" t="s">
        <v>3369</v>
      </c>
      <c r="D1288" s="268">
        <v>547</v>
      </c>
      <c r="E1288" s="268">
        <v>0</v>
      </c>
      <c r="F1288" s="83">
        <f t="shared" si="126"/>
        <v>547</v>
      </c>
      <c r="G1288" s="268">
        <v>83</v>
      </c>
      <c r="H1288" s="268">
        <v>0</v>
      </c>
      <c r="I1288" s="83">
        <f t="shared" si="121"/>
        <v>83</v>
      </c>
      <c r="J1288" s="171">
        <f t="shared" si="122"/>
        <v>0.1517</v>
      </c>
      <c r="K1288" s="177">
        <f t="shared" si="123"/>
        <v>0</v>
      </c>
      <c r="L1288" s="177">
        <f t="shared" si="124"/>
        <v>0</v>
      </c>
      <c r="M1288" s="177">
        <f t="shared" si="125"/>
        <v>0</v>
      </c>
    </row>
    <row r="1289" spans="1:13" ht="12.75" customHeight="1">
      <c r="A1289" s="268" t="s">
        <v>482</v>
      </c>
      <c r="B1289" s="268" t="s">
        <v>3370</v>
      </c>
      <c r="C1289" s="268" t="s">
        <v>3371</v>
      </c>
      <c r="D1289" s="268">
        <v>441</v>
      </c>
      <c r="E1289" s="268">
        <v>0</v>
      </c>
      <c r="F1289" s="83">
        <f t="shared" si="126"/>
        <v>441</v>
      </c>
      <c r="G1289" s="268">
        <v>199</v>
      </c>
      <c r="H1289" s="268">
        <v>0</v>
      </c>
      <c r="I1289" s="83">
        <f t="shared" si="121"/>
        <v>199</v>
      </c>
      <c r="J1289" s="171">
        <f t="shared" si="122"/>
        <v>0.45119999999999999</v>
      </c>
      <c r="K1289" s="177">
        <f t="shared" si="123"/>
        <v>14.1</v>
      </c>
      <c r="L1289" s="177">
        <f t="shared" si="124"/>
        <v>0</v>
      </c>
      <c r="M1289" s="177">
        <f t="shared" si="125"/>
        <v>14.1</v>
      </c>
    </row>
    <row r="1290" spans="1:13" ht="12.75" customHeight="1">
      <c r="A1290" s="268" t="s">
        <v>482</v>
      </c>
      <c r="B1290" s="268" t="s">
        <v>3372</v>
      </c>
      <c r="C1290" s="268" t="s">
        <v>3373</v>
      </c>
      <c r="D1290" s="268">
        <v>457</v>
      </c>
      <c r="E1290" s="268">
        <v>0</v>
      </c>
      <c r="F1290" s="83">
        <f t="shared" si="126"/>
        <v>457</v>
      </c>
      <c r="G1290" s="268">
        <v>165</v>
      </c>
      <c r="H1290" s="268">
        <v>0</v>
      </c>
      <c r="I1290" s="83">
        <f t="shared" si="121"/>
        <v>165</v>
      </c>
      <c r="J1290" s="171">
        <f t="shared" si="122"/>
        <v>0.36109999999999998</v>
      </c>
      <c r="K1290" s="177">
        <f t="shared" si="123"/>
        <v>1.3</v>
      </c>
      <c r="L1290" s="177">
        <f t="shared" si="124"/>
        <v>0</v>
      </c>
      <c r="M1290" s="177">
        <f t="shared" si="125"/>
        <v>1.3</v>
      </c>
    </row>
    <row r="1291" spans="1:13" ht="12.75" customHeight="1">
      <c r="A1291" s="268" t="s">
        <v>482</v>
      </c>
      <c r="B1291" s="268" t="s">
        <v>3374</v>
      </c>
      <c r="C1291" s="268" t="s">
        <v>3375</v>
      </c>
      <c r="D1291" s="268">
        <v>467</v>
      </c>
      <c r="E1291" s="268">
        <v>0</v>
      </c>
      <c r="F1291" s="83">
        <f t="shared" si="126"/>
        <v>467</v>
      </c>
      <c r="G1291" s="268">
        <v>13</v>
      </c>
      <c r="H1291" s="268">
        <v>0</v>
      </c>
      <c r="I1291" s="83">
        <f t="shared" si="121"/>
        <v>13</v>
      </c>
      <c r="J1291" s="171">
        <f t="shared" si="122"/>
        <v>2.7799999999999998E-2</v>
      </c>
      <c r="K1291" s="177">
        <f t="shared" si="123"/>
        <v>0</v>
      </c>
      <c r="L1291" s="177">
        <f t="shared" si="124"/>
        <v>0</v>
      </c>
      <c r="M1291" s="177">
        <f t="shared" si="125"/>
        <v>0</v>
      </c>
    </row>
    <row r="1292" spans="1:13" ht="12.75" customHeight="1">
      <c r="A1292" s="268" t="s">
        <v>482</v>
      </c>
      <c r="B1292" s="268" t="s">
        <v>3376</v>
      </c>
      <c r="C1292" s="268" t="s">
        <v>3377</v>
      </c>
      <c r="D1292" s="268">
        <v>493</v>
      </c>
      <c r="E1292" s="268">
        <v>0</v>
      </c>
      <c r="F1292" s="83">
        <f t="shared" si="126"/>
        <v>493</v>
      </c>
      <c r="G1292" s="268">
        <v>112</v>
      </c>
      <c r="H1292" s="268">
        <v>0</v>
      </c>
      <c r="I1292" s="83">
        <f t="shared" si="121"/>
        <v>112</v>
      </c>
      <c r="J1292" s="171">
        <f t="shared" si="122"/>
        <v>0.22720000000000001</v>
      </c>
      <c r="K1292" s="177">
        <f t="shared" si="123"/>
        <v>0</v>
      </c>
      <c r="L1292" s="177">
        <f t="shared" si="124"/>
        <v>0</v>
      </c>
      <c r="M1292" s="177">
        <f t="shared" si="125"/>
        <v>0</v>
      </c>
    </row>
    <row r="1293" spans="1:13" ht="12.75" customHeight="1">
      <c r="A1293" s="268" t="s">
        <v>482</v>
      </c>
      <c r="B1293" s="268" t="s">
        <v>3378</v>
      </c>
      <c r="C1293" s="268" t="s">
        <v>3379</v>
      </c>
      <c r="D1293" s="268">
        <v>488</v>
      </c>
      <c r="E1293" s="268">
        <v>0</v>
      </c>
      <c r="F1293" s="83">
        <f t="shared" si="126"/>
        <v>488</v>
      </c>
      <c r="G1293" s="268">
        <v>174</v>
      </c>
      <c r="H1293" s="268">
        <v>0</v>
      </c>
      <c r="I1293" s="83">
        <f t="shared" si="121"/>
        <v>174</v>
      </c>
      <c r="J1293" s="171">
        <f t="shared" si="122"/>
        <v>0.35659999999999997</v>
      </c>
      <c r="K1293" s="177">
        <f t="shared" si="123"/>
        <v>0.8</v>
      </c>
      <c r="L1293" s="177">
        <f t="shared" si="124"/>
        <v>0</v>
      </c>
      <c r="M1293" s="177">
        <f t="shared" si="125"/>
        <v>0.8</v>
      </c>
    </row>
    <row r="1294" spans="1:13" ht="12.75" customHeight="1">
      <c r="A1294" s="268" t="s">
        <v>482</v>
      </c>
      <c r="B1294" s="268" t="s">
        <v>3380</v>
      </c>
      <c r="C1294" s="268" t="s">
        <v>3381</v>
      </c>
      <c r="D1294" s="268">
        <v>337</v>
      </c>
      <c r="E1294" s="268">
        <v>0</v>
      </c>
      <c r="F1294" s="83">
        <f t="shared" si="126"/>
        <v>337</v>
      </c>
      <c r="G1294" s="268">
        <v>121</v>
      </c>
      <c r="H1294" s="268">
        <v>0</v>
      </c>
      <c r="I1294" s="83">
        <f t="shared" si="121"/>
        <v>121</v>
      </c>
      <c r="J1294" s="171">
        <f t="shared" si="122"/>
        <v>0.35909999999999997</v>
      </c>
      <c r="K1294" s="177">
        <f t="shared" si="123"/>
        <v>0.8</v>
      </c>
      <c r="L1294" s="177">
        <f t="shared" si="124"/>
        <v>0</v>
      </c>
      <c r="M1294" s="177">
        <f t="shared" si="125"/>
        <v>0.8</v>
      </c>
    </row>
    <row r="1295" spans="1:13" ht="12.75" customHeight="1">
      <c r="A1295" s="268" t="s">
        <v>482</v>
      </c>
      <c r="B1295" s="268" t="s">
        <v>3382</v>
      </c>
      <c r="C1295" s="268" t="s">
        <v>3383</v>
      </c>
      <c r="D1295" s="268">
        <v>553</v>
      </c>
      <c r="E1295" s="268">
        <v>0</v>
      </c>
      <c r="F1295" s="83">
        <f t="shared" si="126"/>
        <v>553</v>
      </c>
      <c r="G1295" s="268">
        <v>274</v>
      </c>
      <c r="H1295" s="268">
        <v>0</v>
      </c>
      <c r="I1295" s="83">
        <f t="shared" si="121"/>
        <v>274</v>
      </c>
      <c r="J1295" s="171">
        <f t="shared" si="122"/>
        <v>0.4955</v>
      </c>
      <c r="K1295" s="177">
        <f t="shared" si="123"/>
        <v>27.9</v>
      </c>
      <c r="L1295" s="177">
        <f t="shared" si="124"/>
        <v>0</v>
      </c>
      <c r="M1295" s="177">
        <f t="shared" si="125"/>
        <v>27.9</v>
      </c>
    </row>
    <row r="1296" spans="1:13" ht="12.75" customHeight="1">
      <c r="A1296" s="268" t="s">
        <v>482</v>
      </c>
      <c r="B1296" s="268" t="s">
        <v>3384</v>
      </c>
      <c r="C1296" s="268" t="s">
        <v>3385</v>
      </c>
      <c r="D1296" s="268">
        <v>343</v>
      </c>
      <c r="E1296" s="268">
        <v>0</v>
      </c>
      <c r="F1296" s="83">
        <f t="shared" si="126"/>
        <v>343</v>
      </c>
      <c r="G1296" s="268">
        <v>108</v>
      </c>
      <c r="H1296" s="268">
        <v>0</v>
      </c>
      <c r="I1296" s="83">
        <f t="shared" si="121"/>
        <v>108</v>
      </c>
      <c r="J1296" s="171">
        <f t="shared" si="122"/>
        <v>0.31490000000000001</v>
      </c>
      <c r="K1296" s="177">
        <f t="shared" si="123"/>
        <v>0</v>
      </c>
      <c r="L1296" s="177">
        <f t="shared" si="124"/>
        <v>0</v>
      </c>
      <c r="M1296" s="177">
        <f t="shared" si="125"/>
        <v>0</v>
      </c>
    </row>
    <row r="1297" spans="1:13" ht="12.75" customHeight="1">
      <c r="A1297" s="268" t="s">
        <v>482</v>
      </c>
      <c r="B1297" s="268" t="s">
        <v>3386</v>
      </c>
      <c r="C1297" s="268" t="s">
        <v>3387</v>
      </c>
      <c r="D1297" s="268">
        <v>273</v>
      </c>
      <c r="E1297" s="268">
        <v>0</v>
      </c>
      <c r="F1297" s="83">
        <f t="shared" si="126"/>
        <v>273</v>
      </c>
      <c r="G1297" s="268">
        <v>69</v>
      </c>
      <c r="H1297" s="268">
        <v>0</v>
      </c>
      <c r="I1297" s="83">
        <f t="shared" si="121"/>
        <v>69</v>
      </c>
      <c r="J1297" s="171">
        <f t="shared" si="122"/>
        <v>0.25269999999999998</v>
      </c>
      <c r="K1297" s="177">
        <f t="shared" si="123"/>
        <v>0</v>
      </c>
      <c r="L1297" s="177">
        <f t="shared" si="124"/>
        <v>0</v>
      </c>
      <c r="M1297" s="177">
        <f t="shared" si="125"/>
        <v>0</v>
      </c>
    </row>
    <row r="1298" spans="1:13" ht="12.75" customHeight="1">
      <c r="A1298" s="268" t="s">
        <v>482</v>
      </c>
      <c r="B1298" s="268" t="s">
        <v>3388</v>
      </c>
      <c r="C1298" s="268" t="s">
        <v>2298</v>
      </c>
      <c r="D1298" s="268">
        <v>380</v>
      </c>
      <c r="E1298" s="268">
        <v>0</v>
      </c>
      <c r="F1298" s="83">
        <f t="shared" si="126"/>
        <v>380</v>
      </c>
      <c r="G1298" s="268">
        <v>76</v>
      </c>
      <c r="H1298" s="268">
        <v>0</v>
      </c>
      <c r="I1298" s="83">
        <f t="shared" si="121"/>
        <v>76</v>
      </c>
      <c r="J1298" s="171">
        <f t="shared" si="122"/>
        <v>0.2</v>
      </c>
      <c r="K1298" s="177">
        <f t="shared" si="123"/>
        <v>0</v>
      </c>
      <c r="L1298" s="177">
        <f t="shared" si="124"/>
        <v>0</v>
      </c>
      <c r="M1298" s="177">
        <f t="shared" si="125"/>
        <v>0</v>
      </c>
    </row>
    <row r="1299" spans="1:13" ht="12.75" customHeight="1">
      <c r="A1299" s="268" t="s">
        <v>482</v>
      </c>
      <c r="B1299" s="268" t="s">
        <v>3389</v>
      </c>
      <c r="C1299" s="268" t="s">
        <v>1313</v>
      </c>
      <c r="D1299" s="268">
        <v>295</v>
      </c>
      <c r="E1299" s="268">
        <v>0</v>
      </c>
      <c r="F1299" s="83">
        <f t="shared" si="126"/>
        <v>295</v>
      </c>
      <c r="G1299" s="268">
        <v>81</v>
      </c>
      <c r="H1299" s="268">
        <v>0</v>
      </c>
      <c r="I1299" s="83">
        <f t="shared" si="121"/>
        <v>81</v>
      </c>
      <c r="J1299" s="171">
        <f t="shared" si="122"/>
        <v>0.27460000000000001</v>
      </c>
      <c r="K1299" s="177">
        <f t="shared" si="123"/>
        <v>0</v>
      </c>
      <c r="L1299" s="177">
        <f t="shared" si="124"/>
        <v>0</v>
      </c>
      <c r="M1299" s="177">
        <f t="shared" si="125"/>
        <v>0</v>
      </c>
    </row>
    <row r="1300" spans="1:13" ht="12.75" customHeight="1">
      <c r="A1300" s="268" t="s">
        <v>482</v>
      </c>
      <c r="B1300" s="268" t="s">
        <v>3390</v>
      </c>
      <c r="C1300" s="268" t="s">
        <v>3391</v>
      </c>
      <c r="D1300" s="268">
        <v>458</v>
      </c>
      <c r="E1300" s="268">
        <v>0</v>
      </c>
      <c r="F1300" s="83">
        <f t="shared" si="126"/>
        <v>458</v>
      </c>
      <c r="G1300" s="268">
        <v>24</v>
      </c>
      <c r="H1300" s="268">
        <v>0</v>
      </c>
      <c r="I1300" s="83">
        <f t="shared" si="121"/>
        <v>24</v>
      </c>
      <c r="J1300" s="171">
        <f t="shared" si="122"/>
        <v>5.2400000000000002E-2</v>
      </c>
      <c r="K1300" s="177">
        <f t="shared" si="123"/>
        <v>0</v>
      </c>
      <c r="L1300" s="177">
        <f t="shared" si="124"/>
        <v>0</v>
      </c>
      <c r="M1300" s="177">
        <f t="shared" si="125"/>
        <v>0</v>
      </c>
    </row>
    <row r="1301" spans="1:13" ht="12.75" customHeight="1">
      <c r="A1301" s="268" t="s">
        <v>482</v>
      </c>
      <c r="B1301" s="268" t="s">
        <v>3392</v>
      </c>
      <c r="C1301" s="268" t="s">
        <v>3393</v>
      </c>
      <c r="D1301" s="268">
        <v>303</v>
      </c>
      <c r="E1301" s="268">
        <v>0</v>
      </c>
      <c r="F1301" s="83">
        <f t="shared" si="126"/>
        <v>303</v>
      </c>
      <c r="G1301" s="268">
        <v>16</v>
      </c>
      <c r="H1301" s="268">
        <v>0</v>
      </c>
      <c r="I1301" s="83">
        <f t="shared" si="121"/>
        <v>16</v>
      </c>
      <c r="J1301" s="171">
        <f t="shared" si="122"/>
        <v>5.28E-2</v>
      </c>
      <c r="K1301" s="177">
        <f t="shared" si="123"/>
        <v>0</v>
      </c>
      <c r="L1301" s="177">
        <f t="shared" si="124"/>
        <v>0</v>
      </c>
      <c r="M1301" s="177">
        <f t="shared" si="125"/>
        <v>0</v>
      </c>
    </row>
    <row r="1302" spans="1:13" ht="12.75" customHeight="1">
      <c r="A1302" s="268" t="s">
        <v>482</v>
      </c>
      <c r="B1302" s="268" t="s">
        <v>3394</v>
      </c>
      <c r="C1302" s="268" t="s">
        <v>3395</v>
      </c>
      <c r="D1302" s="268">
        <v>869</v>
      </c>
      <c r="E1302" s="268">
        <v>0</v>
      </c>
      <c r="F1302" s="83">
        <f t="shared" si="126"/>
        <v>869</v>
      </c>
      <c r="G1302" s="268">
        <v>326</v>
      </c>
      <c r="H1302" s="268">
        <v>0</v>
      </c>
      <c r="I1302" s="83">
        <f t="shared" si="121"/>
        <v>326</v>
      </c>
      <c r="J1302" s="171">
        <f t="shared" si="122"/>
        <v>0.37509999999999999</v>
      </c>
      <c r="K1302" s="177">
        <f t="shared" si="123"/>
        <v>5.7</v>
      </c>
      <c r="L1302" s="177">
        <f t="shared" si="124"/>
        <v>0</v>
      </c>
      <c r="M1302" s="177">
        <f t="shared" si="125"/>
        <v>5.7</v>
      </c>
    </row>
    <row r="1303" spans="1:13" ht="12.75" customHeight="1">
      <c r="A1303" s="268" t="s">
        <v>482</v>
      </c>
      <c r="B1303" s="268" t="s">
        <v>3396</v>
      </c>
      <c r="C1303" s="268" t="s">
        <v>3397</v>
      </c>
      <c r="D1303" s="268">
        <v>821</v>
      </c>
      <c r="E1303" s="268">
        <v>0</v>
      </c>
      <c r="F1303" s="83">
        <f t="shared" si="126"/>
        <v>821</v>
      </c>
      <c r="G1303" s="268">
        <v>319</v>
      </c>
      <c r="H1303" s="268">
        <v>0</v>
      </c>
      <c r="I1303" s="83">
        <f t="shared" si="121"/>
        <v>319</v>
      </c>
      <c r="J1303" s="171">
        <f t="shared" si="122"/>
        <v>0.3886</v>
      </c>
      <c r="K1303" s="177">
        <f t="shared" si="123"/>
        <v>8.6</v>
      </c>
      <c r="L1303" s="177">
        <f t="shared" si="124"/>
        <v>0</v>
      </c>
      <c r="M1303" s="177">
        <f t="shared" si="125"/>
        <v>8.6</v>
      </c>
    </row>
    <row r="1304" spans="1:13" ht="12.75" customHeight="1">
      <c r="A1304" s="268" t="s">
        <v>482</v>
      </c>
      <c r="B1304" s="268" t="s">
        <v>3398</v>
      </c>
      <c r="C1304" s="268" t="s">
        <v>3399</v>
      </c>
      <c r="D1304" s="268">
        <v>834</v>
      </c>
      <c r="E1304" s="268">
        <v>0</v>
      </c>
      <c r="F1304" s="83">
        <f t="shared" si="126"/>
        <v>834</v>
      </c>
      <c r="G1304" s="268">
        <v>78</v>
      </c>
      <c r="H1304" s="268">
        <v>0</v>
      </c>
      <c r="I1304" s="83">
        <f t="shared" si="121"/>
        <v>78</v>
      </c>
      <c r="J1304" s="171">
        <f t="shared" si="122"/>
        <v>9.35E-2</v>
      </c>
      <c r="K1304" s="177">
        <f t="shared" si="123"/>
        <v>0</v>
      </c>
      <c r="L1304" s="177">
        <f t="shared" si="124"/>
        <v>0</v>
      </c>
      <c r="M1304" s="177">
        <f t="shared" si="125"/>
        <v>0</v>
      </c>
    </row>
    <row r="1305" spans="1:13" ht="12.75" customHeight="1">
      <c r="A1305" s="268" t="s">
        <v>482</v>
      </c>
      <c r="B1305" s="268" t="s">
        <v>3400</v>
      </c>
      <c r="C1305" s="268" t="s">
        <v>3401</v>
      </c>
      <c r="D1305" s="268">
        <v>740</v>
      </c>
      <c r="E1305" s="268">
        <v>0</v>
      </c>
      <c r="F1305" s="83">
        <f t="shared" si="126"/>
        <v>740</v>
      </c>
      <c r="G1305" s="268">
        <v>182</v>
      </c>
      <c r="H1305" s="268">
        <v>0</v>
      </c>
      <c r="I1305" s="83">
        <f t="shared" si="121"/>
        <v>182</v>
      </c>
      <c r="J1305" s="171">
        <f t="shared" si="122"/>
        <v>0.24590000000000001</v>
      </c>
      <c r="K1305" s="177">
        <f t="shared" si="123"/>
        <v>0</v>
      </c>
      <c r="L1305" s="177">
        <f t="shared" si="124"/>
        <v>0</v>
      </c>
      <c r="M1305" s="177">
        <f t="shared" si="125"/>
        <v>0</v>
      </c>
    </row>
    <row r="1306" spans="1:13" ht="12.75" customHeight="1">
      <c r="A1306" s="268" t="s">
        <v>482</v>
      </c>
      <c r="B1306" s="268" t="s">
        <v>3402</v>
      </c>
      <c r="C1306" s="268" t="s">
        <v>3403</v>
      </c>
      <c r="D1306" s="268">
        <v>793</v>
      </c>
      <c r="E1306" s="268">
        <v>0</v>
      </c>
      <c r="F1306" s="83">
        <f t="shared" si="126"/>
        <v>793</v>
      </c>
      <c r="G1306" s="268">
        <v>225</v>
      </c>
      <c r="H1306" s="268">
        <v>0</v>
      </c>
      <c r="I1306" s="83">
        <f t="shared" si="121"/>
        <v>225</v>
      </c>
      <c r="J1306" s="171">
        <f t="shared" si="122"/>
        <v>0.28370000000000001</v>
      </c>
      <c r="K1306" s="177">
        <f t="shared" si="123"/>
        <v>0</v>
      </c>
      <c r="L1306" s="177">
        <f t="shared" si="124"/>
        <v>0</v>
      </c>
      <c r="M1306" s="177">
        <f t="shared" si="125"/>
        <v>0</v>
      </c>
    </row>
    <row r="1307" spans="1:13" ht="12.75" customHeight="1">
      <c r="A1307" s="268" t="s">
        <v>482</v>
      </c>
      <c r="B1307" s="268" t="s">
        <v>3404</v>
      </c>
      <c r="C1307" s="268" t="s">
        <v>3405</v>
      </c>
      <c r="D1307" s="268">
        <v>1798</v>
      </c>
      <c r="E1307" s="268">
        <v>0</v>
      </c>
      <c r="F1307" s="83">
        <f t="shared" si="126"/>
        <v>1798</v>
      </c>
      <c r="G1307" s="268">
        <v>94</v>
      </c>
      <c r="H1307" s="268">
        <v>0</v>
      </c>
      <c r="I1307" s="83">
        <f t="shared" si="121"/>
        <v>94</v>
      </c>
      <c r="J1307" s="171">
        <f t="shared" si="122"/>
        <v>5.2299999999999999E-2</v>
      </c>
      <c r="K1307" s="177">
        <f t="shared" si="123"/>
        <v>0</v>
      </c>
      <c r="L1307" s="177">
        <f t="shared" si="124"/>
        <v>0</v>
      </c>
      <c r="M1307" s="177">
        <f t="shared" si="125"/>
        <v>0</v>
      </c>
    </row>
    <row r="1308" spans="1:13" ht="12.75" customHeight="1">
      <c r="A1308" s="268" t="s">
        <v>482</v>
      </c>
      <c r="B1308" s="268" t="s">
        <v>3406</v>
      </c>
      <c r="C1308" s="268" t="s">
        <v>3407</v>
      </c>
      <c r="D1308" s="268">
        <v>1552</v>
      </c>
      <c r="E1308" s="268">
        <v>0</v>
      </c>
      <c r="F1308" s="83">
        <f t="shared" si="126"/>
        <v>1552</v>
      </c>
      <c r="G1308" s="268">
        <v>560</v>
      </c>
      <c r="H1308" s="268">
        <v>0</v>
      </c>
      <c r="I1308" s="83">
        <f t="shared" si="121"/>
        <v>560</v>
      </c>
      <c r="J1308" s="171">
        <f t="shared" si="122"/>
        <v>0.36080000000000001</v>
      </c>
      <c r="K1308" s="177">
        <f t="shared" si="123"/>
        <v>4.2</v>
      </c>
      <c r="L1308" s="177">
        <f t="shared" si="124"/>
        <v>0</v>
      </c>
      <c r="M1308" s="177">
        <f t="shared" si="125"/>
        <v>4.2</v>
      </c>
    </row>
    <row r="1309" spans="1:13" ht="12.75" customHeight="1">
      <c r="A1309" s="268" t="s">
        <v>482</v>
      </c>
      <c r="B1309" s="268" t="s">
        <v>3408</v>
      </c>
      <c r="C1309" s="268" t="s">
        <v>3409</v>
      </c>
      <c r="D1309" s="268">
        <v>1656</v>
      </c>
      <c r="E1309" s="268">
        <v>0</v>
      </c>
      <c r="F1309" s="83">
        <f t="shared" si="126"/>
        <v>1656</v>
      </c>
      <c r="G1309" s="268">
        <v>381</v>
      </c>
      <c r="H1309" s="268">
        <v>0</v>
      </c>
      <c r="I1309" s="83">
        <f t="shared" si="121"/>
        <v>381</v>
      </c>
      <c r="J1309" s="171">
        <f t="shared" si="122"/>
        <v>0.2301</v>
      </c>
      <c r="K1309" s="177">
        <f t="shared" si="123"/>
        <v>0</v>
      </c>
      <c r="L1309" s="177">
        <f t="shared" si="124"/>
        <v>0</v>
      </c>
      <c r="M1309" s="177">
        <f t="shared" si="125"/>
        <v>0</v>
      </c>
    </row>
    <row r="1310" spans="1:13" ht="12.75" customHeight="1">
      <c r="A1310" s="268" t="s">
        <v>482</v>
      </c>
      <c r="B1310" s="268" t="s">
        <v>3410</v>
      </c>
      <c r="C1310" s="268" t="s">
        <v>3411</v>
      </c>
      <c r="D1310" s="268">
        <v>1554</v>
      </c>
      <c r="E1310" s="268">
        <v>0</v>
      </c>
      <c r="F1310" s="83">
        <f t="shared" si="126"/>
        <v>1554</v>
      </c>
      <c r="G1310" s="268">
        <v>342</v>
      </c>
      <c r="H1310" s="268">
        <v>0</v>
      </c>
      <c r="I1310" s="83">
        <f t="shared" si="121"/>
        <v>342</v>
      </c>
      <c r="J1310" s="171">
        <f t="shared" si="122"/>
        <v>0.22009999999999999</v>
      </c>
      <c r="K1310" s="177">
        <f t="shared" si="123"/>
        <v>0</v>
      </c>
      <c r="L1310" s="177">
        <f t="shared" si="124"/>
        <v>0</v>
      </c>
      <c r="M1310" s="177">
        <f t="shared" si="125"/>
        <v>0</v>
      </c>
    </row>
    <row r="1311" spans="1:13" ht="12.75" customHeight="1">
      <c r="A1311" s="268" t="s">
        <v>482</v>
      </c>
      <c r="B1311" s="268" t="s">
        <v>3412</v>
      </c>
      <c r="C1311" s="268" t="s">
        <v>3413</v>
      </c>
      <c r="D1311" s="268">
        <v>1668</v>
      </c>
      <c r="E1311" s="268">
        <v>0</v>
      </c>
      <c r="F1311" s="83">
        <f t="shared" si="126"/>
        <v>1668</v>
      </c>
      <c r="G1311" s="268">
        <v>567</v>
      </c>
      <c r="H1311" s="268">
        <v>0</v>
      </c>
      <c r="I1311" s="83">
        <f t="shared" si="121"/>
        <v>567</v>
      </c>
      <c r="J1311" s="171">
        <f t="shared" si="122"/>
        <v>0.33989999999999998</v>
      </c>
      <c r="K1311" s="177">
        <f t="shared" si="123"/>
        <v>0</v>
      </c>
      <c r="L1311" s="177">
        <f t="shared" si="124"/>
        <v>0</v>
      </c>
      <c r="M1311" s="177">
        <f t="shared" si="125"/>
        <v>0</v>
      </c>
    </row>
    <row r="1312" spans="1:13" ht="12.75" customHeight="1">
      <c r="D1312" s="83"/>
      <c r="E1312" s="83"/>
      <c r="F1312" s="83"/>
      <c r="G1312" s="83"/>
      <c r="H1312" s="83"/>
      <c r="I1312" s="83"/>
      <c r="J1312" s="171"/>
      <c r="K1312" s="177"/>
      <c r="L1312" s="177"/>
      <c r="M1312" s="177"/>
    </row>
    <row r="1313" spans="4:13">
      <c r="D1313" s="83"/>
      <c r="E1313" s="83"/>
      <c r="F1313" s="83"/>
      <c r="G1313" s="83"/>
      <c r="H1313" s="83"/>
      <c r="I1313" s="83"/>
      <c r="J1313" s="171"/>
      <c r="K1313" s="177"/>
      <c r="L1313" s="177"/>
      <c r="M1313" s="177"/>
    </row>
    <row r="1314" spans="4:13">
      <c r="J1314" s="171"/>
    </row>
  </sheetData>
  <autoFilter ref="A4:M1313"/>
  <mergeCells count="1">
    <mergeCell ref="O3:X3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291"/>
  <sheetViews>
    <sheetView workbookViewId="0">
      <pane ySplit="4" topLeftCell="A5" activePane="bottomLeft" state="frozen"/>
      <selection pane="bottomLeft" activeCell="B6" sqref="B6"/>
    </sheetView>
  </sheetViews>
  <sheetFormatPr defaultRowHeight="12.75"/>
  <cols>
    <col min="3" max="3" width="26" customWidth="1"/>
    <col min="4" max="4" width="12.5703125" customWidth="1"/>
    <col min="5" max="6" width="11.42578125" style="126" customWidth="1"/>
    <col min="7" max="7" width="9.140625" style="126"/>
    <col min="8" max="8" width="7" customWidth="1"/>
  </cols>
  <sheetData>
    <row r="1" spans="1:8">
      <c r="D1" s="294"/>
      <c r="E1" s="283" t="s">
        <v>891</v>
      </c>
      <c r="F1" s="287"/>
      <c r="G1" s="287"/>
    </row>
    <row r="2" spans="1:8" ht="14.25" customHeight="1">
      <c r="D2" s="283" t="s">
        <v>3637</v>
      </c>
      <c r="E2" s="289" t="s">
        <v>3638</v>
      </c>
      <c r="F2" s="283"/>
      <c r="G2" s="283"/>
    </row>
    <row r="3" spans="1:8" ht="18.75" customHeight="1">
      <c r="A3" s="85" t="s">
        <v>171</v>
      </c>
      <c r="B3" s="85" t="s">
        <v>172</v>
      </c>
      <c r="C3" s="85" t="s">
        <v>173</v>
      </c>
      <c r="D3" s="288" t="s">
        <v>3655</v>
      </c>
      <c r="E3" s="286">
        <v>1.1000000000000001</v>
      </c>
      <c r="F3" s="284" t="s">
        <v>3639</v>
      </c>
      <c r="G3" s="284" t="s">
        <v>3636</v>
      </c>
      <c r="H3" s="296" t="s">
        <v>3640</v>
      </c>
    </row>
    <row r="4" spans="1:8">
      <c r="A4" s="86" t="s">
        <v>196</v>
      </c>
      <c r="B4" s="86"/>
      <c r="C4" s="86" t="s">
        <v>804</v>
      </c>
      <c r="D4" s="285">
        <f>SUM(D5:D290)</f>
        <v>133146598</v>
      </c>
      <c r="E4" s="285">
        <f t="shared" ref="E4:G4" si="0">SUM(E5:E290)</f>
        <v>146461272</v>
      </c>
      <c r="F4" s="285">
        <f t="shared" si="0"/>
        <v>103070916</v>
      </c>
      <c r="G4" s="285">
        <f t="shared" si="0"/>
        <v>-4330267</v>
      </c>
      <c r="H4" s="297"/>
    </row>
    <row r="5" spans="1:8">
      <c r="A5" s="88" t="s">
        <v>197</v>
      </c>
      <c r="B5" s="87" t="s">
        <v>4</v>
      </c>
      <c r="C5" s="87" t="s">
        <v>519</v>
      </c>
      <c r="D5" s="99">
        <f>IF(ISNA(VLOOKUP($A5,'Audit Values'!$A$2:$BV$392,2,FALSE)),'Preliminary SO66'!AZ4,VLOOKUP($A5,'Audit Values'!$A$2:$BV$392,48,FALSE))</f>
        <v>518247</v>
      </c>
      <c r="E5" s="83">
        <f>D5*$E$3</f>
        <v>570072</v>
      </c>
      <c r="F5" s="83">
        <f>'2019 Legal Max'!AO5*'Weighting Factors'!$Q$5</f>
        <v>304045</v>
      </c>
      <c r="G5" s="83">
        <f>IF(F5-E5&gt;0,E5-F5,0)</f>
        <v>0</v>
      </c>
      <c r="H5" s="135" t="str">
        <f>'2019 Legal Max'!BD5</f>
        <v>A</v>
      </c>
    </row>
    <row r="6" spans="1:8">
      <c r="A6" s="88" t="s">
        <v>198</v>
      </c>
      <c r="B6" s="87" t="s">
        <v>5</v>
      </c>
      <c r="C6" s="87" t="s">
        <v>811</v>
      </c>
      <c r="D6" s="99">
        <f>IF(ISNA(VLOOKUP($A6,'Audit Values'!$A$2:$BV$392,2,FALSE)),'Preliminary SO66'!AZ5,VLOOKUP($A6,'Audit Values'!$A$2:$BV$392,48,FALSE))</f>
        <v>179307</v>
      </c>
      <c r="E6" s="83">
        <f t="shared" ref="E6:E69" si="1">D6*$E$3</f>
        <v>197238</v>
      </c>
      <c r="F6" s="83">
        <f>'2019 Legal Max'!AO6*'Weighting Factors'!$Q$5</f>
        <v>154938</v>
      </c>
      <c r="G6" s="83">
        <f t="shared" ref="G6:G69" si="2">IF(F6-E6&gt;0,E6-F6,0)</f>
        <v>0</v>
      </c>
      <c r="H6" s="135" t="str">
        <f>'2019 Legal Max'!BD6</f>
        <v>A</v>
      </c>
    </row>
    <row r="7" spans="1:8">
      <c r="A7" s="88" t="s">
        <v>199</v>
      </c>
      <c r="B7" s="87" t="s">
        <v>6</v>
      </c>
      <c r="C7" s="87" t="s">
        <v>520</v>
      </c>
      <c r="D7" s="99">
        <f>IF(ISNA(VLOOKUP($A7,'Audit Values'!$A$2:$BV$392,2,FALSE)),'Preliminary SO66'!AZ6,VLOOKUP($A7,'Audit Values'!$A$2:$BV$392,48,FALSE))</f>
        <v>83807</v>
      </c>
      <c r="E7" s="83">
        <f t="shared" si="1"/>
        <v>92188</v>
      </c>
      <c r="F7" s="83">
        <f>'2019 Legal Max'!AO7*'Weighting Factors'!$Q$5</f>
        <v>105375</v>
      </c>
      <c r="G7" s="83">
        <f t="shared" si="2"/>
        <v>-13187</v>
      </c>
      <c r="H7" s="135" t="str">
        <f>'2019 Legal Max'!BD7</f>
        <v>A</v>
      </c>
    </row>
    <row r="8" spans="1:8">
      <c r="A8" s="88" t="s">
        <v>200</v>
      </c>
      <c r="B8" s="87" t="s">
        <v>51</v>
      </c>
      <c r="C8" s="87" t="s">
        <v>521</v>
      </c>
      <c r="D8" s="99">
        <f>IF(ISNA(VLOOKUP($A8,'Audit Values'!$A$2:$BV$392,2,FALSE)),'Preliminary SO66'!AZ7,VLOOKUP($A8,'Audit Values'!$A$2:$BV$392,48,FALSE))</f>
        <v>224260</v>
      </c>
      <c r="E8" s="83">
        <f t="shared" si="1"/>
        <v>246686</v>
      </c>
      <c r="F8" s="83">
        <f>'2019 Legal Max'!AO8*'Weighting Factors'!$Q$5</f>
        <v>197005</v>
      </c>
      <c r="G8" s="83">
        <f t="shared" si="2"/>
        <v>0</v>
      </c>
      <c r="H8" s="135" t="str">
        <f>'2019 Legal Max'!BD8</f>
        <v>A</v>
      </c>
    </row>
    <row r="9" spans="1:8">
      <c r="A9" s="88" t="s">
        <v>201</v>
      </c>
      <c r="B9" s="87" t="s">
        <v>47</v>
      </c>
      <c r="C9" s="87" t="s">
        <v>522</v>
      </c>
      <c r="D9" s="99">
        <f>IF(ISNA(VLOOKUP($A9,'Audit Values'!$A$2:$BV$392,2,FALSE)),'Preliminary SO66'!AZ8,VLOOKUP($A9,'Audit Values'!$A$2:$BV$392,48,FALSE))</f>
        <v>45198</v>
      </c>
      <c r="E9" s="83">
        <f t="shared" si="1"/>
        <v>49718</v>
      </c>
      <c r="F9" s="83">
        <f>'2019 Legal Max'!AO9*'Weighting Factors'!$Q$5</f>
        <v>99127</v>
      </c>
      <c r="G9" s="83">
        <f t="shared" si="2"/>
        <v>-49409</v>
      </c>
      <c r="H9" s="135" t="str">
        <f>'2019 Legal Max'!BD9</f>
        <v>A</v>
      </c>
    </row>
    <row r="10" spans="1:8">
      <c r="A10" s="88" t="s">
        <v>202</v>
      </c>
      <c r="B10" s="87" t="s">
        <v>7</v>
      </c>
      <c r="C10" s="87" t="s">
        <v>523</v>
      </c>
      <c r="D10" s="99">
        <f>IF(ISNA(VLOOKUP($A10,'Audit Values'!$A$2:$BV$392,2,FALSE)),'Preliminary SO66'!AZ9,VLOOKUP($A10,'Audit Values'!$A$2:$BV$392,48,FALSE))</f>
        <v>219391</v>
      </c>
      <c r="E10" s="83">
        <f t="shared" si="1"/>
        <v>241330</v>
      </c>
      <c r="F10" s="83">
        <f>'2019 Legal Max'!AO10*'Weighting Factors'!$Q$5</f>
        <v>228242</v>
      </c>
      <c r="G10" s="83">
        <f t="shared" si="2"/>
        <v>0</v>
      </c>
      <c r="H10" s="135" t="str">
        <f>'2019 Legal Max'!BD10</f>
        <v>A</v>
      </c>
    </row>
    <row r="11" spans="1:8">
      <c r="A11" s="88" t="s">
        <v>203</v>
      </c>
      <c r="B11" s="87" t="s">
        <v>19</v>
      </c>
      <c r="C11" s="87" t="s">
        <v>524</v>
      </c>
      <c r="D11" s="99">
        <f>IF(ISNA(VLOOKUP($A11,'Audit Values'!$A$2:$BV$392,2,FALSE)),'Preliminary SO66'!AZ10,VLOOKUP($A11,'Audit Values'!$A$2:$BV$392,48,FALSE))</f>
        <v>168175</v>
      </c>
      <c r="E11" s="83">
        <f t="shared" si="1"/>
        <v>184993</v>
      </c>
      <c r="F11" s="83">
        <f>'2019 Legal Max'!AO11*'Weighting Factors'!$Q$5</f>
        <v>208667</v>
      </c>
      <c r="G11" s="83">
        <f t="shared" si="2"/>
        <v>-23674</v>
      </c>
      <c r="H11" s="135" t="str">
        <f>'2019 Legal Max'!BD11</f>
        <v>A</v>
      </c>
    </row>
    <row r="12" spans="1:8">
      <c r="A12" s="88" t="s">
        <v>204</v>
      </c>
      <c r="B12" s="87" t="s">
        <v>98</v>
      </c>
      <c r="C12" s="87" t="s">
        <v>525</v>
      </c>
      <c r="D12" s="99">
        <f>IF(ISNA(VLOOKUP($A12,'Audit Values'!$A$2:$BV$392,2,FALSE)),'Preliminary SO66'!AZ11,VLOOKUP($A12,'Audit Values'!$A$2:$BV$392,48,FALSE))</f>
        <v>188527</v>
      </c>
      <c r="E12" s="83">
        <f t="shared" si="1"/>
        <v>207380</v>
      </c>
      <c r="F12" s="83">
        <f>'2019 Legal Max'!AO12*'Weighting Factors'!$Q$5</f>
        <v>251566</v>
      </c>
      <c r="G12" s="83">
        <f t="shared" si="2"/>
        <v>-44186</v>
      </c>
      <c r="H12" s="135" t="str">
        <f>'2019 Legal Max'!BD12</f>
        <v>A</v>
      </c>
    </row>
    <row r="13" spans="1:8">
      <c r="A13" s="88" t="s">
        <v>205</v>
      </c>
      <c r="B13" s="87" t="s">
        <v>53</v>
      </c>
      <c r="C13" s="87" t="s">
        <v>526</v>
      </c>
      <c r="D13" s="99">
        <f>IF(ISNA(VLOOKUP($A13,'Audit Values'!$A$2:$BV$392,2,FALSE)),'Preliminary SO66'!AZ12,VLOOKUP($A13,'Audit Values'!$A$2:$BV$392,48,FALSE))</f>
        <v>202714</v>
      </c>
      <c r="E13" s="83">
        <f t="shared" si="1"/>
        <v>222985</v>
      </c>
      <c r="F13" s="83">
        <f>'2019 Legal Max'!AO13*'Weighting Factors'!$Q$5</f>
        <v>214081</v>
      </c>
      <c r="G13" s="83">
        <f t="shared" si="2"/>
        <v>0</v>
      </c>
      <c r="H13" s="135" t="str">
        <f>'2019 Legal Max'!BD13</f>
        <v>A</v>
      </c>
    </row>
    <row r="14" spans="1:8">
      <c r="A14" s="88" t="s">
        <v>206</v>
      </c>
      <c r="B14" s="87" t="s">
        <v>92</v>
      </c>
      <c r="C14" s="87" t="s">
        <v>527</v>
      </c>
      <c r="D14" s="99">
        <f>IF(ISNA(VLOOKUP($A14,'Audit Values'!$A$2:$BV$392,2,FALSE)),'Preliminary SO66'!AZ13,VLOOKUP($A14,'Audit Values'!$A$2:$BV$392,48,FALSE))</f>
        <v>230380</v>
      </c>
      <c r="E14" s="83">
        <f t="shared" si="1"/>
        <v>253418</v>
      </c>
      <c r="F14" s="83">
        <f>'2019 Legal Max'!AO14*'Weighting Factors'!$Q$5</f>
        <v>261146</v>
      </c>
      <c r="G14" s="83">
        <f t="shared" si="2"/>
        <v>-7728</v>
      </c>
      <c r="H14" s="135" t="str">
        <f>'2019 Legal Max'!BD14</f>
        <v>A</v>
      </c>
    </row>
    <row r="15" spans="1:8">
      <c r="A15" s="88" t="s">
        <v>207</v>
      </c>
      <c r="B15" s="87" t="s">
        <v>54</v>
      </c>
      <c r="C15" s="87" t="s">
        <v>528</v>
      </c>
      <c r="D15" s="99">
        <f>IF(ISNA(VLOOKUP($A15,'Audit Values'!$A$2:$BV$392,2,FALSE)),'Preliminary SO66'!AZ14,VLOOKUP($A15,'Audit Values'!$A$2:$BV$392,48,FALSE))</f>
        <v>241949</v>
      </c>
      <c r="E15" s="83">
        <f t="shared" si="1"/>
        <v>266144</v>
      </c>
      <c r="F15" s="83">
        <f>'2019 Legal Max'!AO15*'Weighting Factors'!$Q$5</f>
        <v>303629</v>
      </c>
      <c r="G15" s="83">
        <f t="shared" si="2"/>
        <v>-37485</v>
      </c>
      <c r="H15" s="135" t="str">
        <f>'2019 Legal Max'!BD15</f>
        <v>A</v>
      </c>
    </row>
    <row r="16" spans="1:8">
      <c r="A16" s="88" t="s">
        <v>208</v>
      </c>
      <c r="B16" s="87" t="s">
        <v>100</v>
      </c>
      <c r="C16" s="87" t="s">
        <v>529</v>
      </c>
      <c r="D16" s="99">
        <f>IF(ISNA(VLOOKUP($A16,'Audit Values'!$A$2:$BV$392,2,FALSE)),'Preliminary SO66'!AZ15,VLOOKUP($A16,'Audit Values'!$A$2:$BV$392,48,FALSE))</f>
        <v>408316</v>
      </c>
      <c r="E16" s="83">
        <f t="shared" si="1"/>
        <v>449148</v>
      </c>
      <c r="F16" s="83">
        <f>'2019 Legal Max'!AO16*'Weighting Factors'!$Q$5</f>
        <v>458567</v>
      </c>
      <c r="G16" s="83">
        <f t="shared" si="2"/>
        <v>-9419</v>
      </c>
      <c r="H16" s="135" t="str">
        <f>'2019 Legal Max'!BD16</f>
        <v>A</v>
      </c>
    </row>
    <row r="17" spans="1:8">
      <c r="A17" s="88" t="s">
        <v>209</v>
      </c>
      <c r="B17" s="87" t="s">
        <v>92</v>
      </c>
      <c r="C17" s="87" t="s">
        <v>530</v>
      </c>
      <c r="D17" s="99">
        <f>IF(ISNA(VLOOKUP($A17,'Audit Values'!$A$2:$BV$392,2,FALSE)),'Preliminary SO66'!AZ16,VLOOKUP($A17,'Audit Values'!$A$2:$BV$392,48,FALSE))</f>
        <v>161448</v>
      </c>
      <c r="E17" s="83">
        <f t="shared" si="1"/>
        <v>177593</v>
      </c>
      <c r="F17" s="83">
        <f>'2019 Legal Max'!AO17*'Weighting Factors'!$Q$5</f>
        <v>227409</v>
      </c>
      <c r="G17" s="83">
        <f t="shared" si="2"/>
        <v>-49816</v>
      </c>
      <c r="H17" s="135" t="str">
        <f>'2019 Legal Max'!BD17</f>
        <v>A</v>
      </c>
    </row>
    <row r="18" spans="1:8">
      <c r="A18" s="88" t="s">
        <v>210</v>
      </c>
      <c r="B18" s="87" t="s">
        <v>100</v>
      </c>
      <c r="C18" s="87" t="s">
        <v>531</v>
      </c>
      <c r="D18" s="99">
        <f>IF(ISNA(VLOOKUP($A18,'Audit Values'!$A$2:$BV$392,2,FALSE)),'Preliminary SO66'!AZ17,VLOOKUP($A18,'Audit Values'!$A$2:$BV$392,48,FALSE))</f>
        <v>228681</v>
      </c>
      <c r="E18" s="83">
        <f t="shared" si="1"/>
        <v>251549</v>
      </c>
      <c r="F18" s="83">
        <f>'2019 Legal Max'!AO18*'Weighting Factors'!$Q$5</f>
        <v>225327</v>
      </c>
      <c r="G18" s="83">
        <f t="shared" si="2"/>
        <v>0</v>
      </c>
      <c r="H18" s="135" t="str">
        <f>'2019 Legal Max'!BD18</f>
        <v>A</v>
      </c>
    </row>
    <row r="19" spans="1:8">
      <c r="A19" s="88" t="s">
        <v>211</v>
      </c>
      <c r="B19" s="87" t="s">
        <v>8</v>
      </c>
      <c r="C19" s="87" t="s">
        <v>532</v>
      </c>
      <c r="D19" s="99">
        <f>IF(ISNA(VLOOKUP($A19,'Audit Values'!$A$2:$BV$392,2,FALSE)),'Preliminary SO66'!AZ18,VLOOKUP($A19,'Audit Values'!$A$2:$BV$392,48,FALSE))</f>
        <v>203746</v>
      </c>
      <c r="E19" s="83">
        <f t="shared" si="1"/>
        <v>224121</v>
      </c>
      <c r="F19" s="83">
        <f>'2019 Legal Max'!AO19*'Weighting Factors'!$Q$5</f>
        <v>124534</v>
      </c>
      <c r="G19" s="83">
        <f t="shared" si="2"/>
        <v>0</v>
      </c>
      <c r="H19" s="135" t="str">
        <f>'2019 Legal Max'!BD19</f>
        <v>A</v>
      </c>
    </row>
    <row r="20" spans="1:8">
      <c r="A20" s="88" t="s">
        <v>212</v>
      </c>
      <c r="B20" s="87" t="s">
        <v>9</v>
      </c>
      <c r="C20" s="87" t="s">
        <v>533</v>
      </c>
      <c r="D20" s="99">
        <f>IF(ISNA(VLOOKUP($A20,'Audit Values'!$A$2:$BV$392,2,FALSE)),'Preliminary SO66'!AZ19,VLOOKUP($A20,'Audit Values'!$A$2:$BV$392,48,FALSE))</f>
        <v>1349677</v>
      </c>
      <c r="E20" s="83">
        <f t="shared" si="1"/>
        <v>1484645</v>
      </c>
      <c r="F20" s="83">
        <f>'2019 Legal Max'!AO20*'Weighting Factors'!$Q$5</f>
        <v>671815</v>
      </c>
      <c r="G20" s="83">
        <f t="shared" si="2"/>
        <v>0</v>
      </c>
      <c r="H20" s="135" t="str">
        <f>'2019 Legal Max'!BD20</f>
        <v>A</v>
      </c>
    </row>
    <row r="21" spans="1:8">
      <c r="A21" s="88" t="s">
        <v>213</v>
      </c>
      <c r="B21" s="87" t="s">
        <v>9</v>
      </c>
      <c r="C21" s="87" t="s">
        <v>534</v>
      </c>
      <c r="D21" s="99">
        <f>IF(ISNA(VLOOKUP($A21,'Audit Values'!$A$2:$BV$392,2,FALSE)),'Preliminary SO66'!AZ20,VLOOKUP($A21,'Audit Values'!$A$2:$BV$392,48,FALSE))</f>
        <v>709546</v>
      </c>
      <c r="E21" s="83">
        <f t="shared" si="1"/>
        <v>780501</v>
      </c>
      <c r="F21" s="83">
        <f>'2019 Legal Max'!AO21*'Weighting Factors'!$Q$5</f>
        <v>618086</v>
      </c>
      <c r="G21" s="83">
        <f t="shared" si="2"/>
        <v>0</v>
      </c>
      <c r="H21" s="135" t="str">
        <f>'2019 Legal Max'!BD21</f>
        <v>A</v>
      </c>
    </row>
    <row r="22" spans="1:8">
      <c r="A22" s="88" t="s">
        <v>214</v>
      </c>
      <c r="B22" s="87" t="s">
        <v>9</v>
      </c>
      <c r="C22" s="87" t="s">
        <v>535</v>
      </c>
      <c r="D22" s="99">
        <f>IF(ISNA(VLOOKUP($A22,'Audit Values'!$A$2:$BV$392,2,FALSE)),'Preliminary SO66'!AZ21,VLOOKUP($A22,'Audit Values'!$A$2:$BV$392,48,FALSE))</f>
        <v>395916</v>
      </c>
      <c r="E22" s="83">
        <f t="shared" si="1"/>
        <v>435508</v>
      </c>
      <c r="F22" s="83">
        <f>'2019 Legal Max'!AO22*'Weighting Factors'!$Q$5</f>
        <v>506464</v>
      </c>
      <c r="G22" s="83">
        <f t="shared" si="2"/>
        <v>-70956</v>
      </c>
      <c r="H22" s="135" t="str">
        <f>'2019 Legal Max'!BD22</f>
        <v>A</v>
      </c>
    </row>
    <row r="23" spans="1:8">
      <c r="A23" s="88" t="s">
        <v>215</v>
      </c>
      <c r="B23" s="87" t="s">
        <v>10</v>
      </c>
      <c r="C23" s="87" t="s">
        <v>536</v>
      </c>
      <c r="D23" s="99">
        <f>IF(ISNA(VLOOKUP($A23,'Audit Values'!$A$2:$BV$392,2,FALSE)),'Preliminary SO66'!AZ22,VLOOKUP($A23,'Audit Values'!$A$2:$BV$392,48,FALSE))</f>
        <v>198266</v>
      </c>
      <c r="E23" s="83">
        <f t="shared" si="1"/>
        <v>218093</v>
      </c>
      <c r="F23" s="83">
        <f>'2019 Legal Max'!AO23*'Weighting Factors'!$Q$5</f>
        <v>294466</v>
      </c>
      <c r="G23" s="83">
        <f t="shared" si="2"/>
        <v>-76373</v>
      </c>
      <c r="H23" s="135" t="str">
        <f>'2019 Legal Max'!BD23</f>
        <v>A</v>
      </c>
    </row>
    <row r="24" spans="1:8">
      <c r="A24" s="88" t="s">
        <v>216</v>
      </c>
      <c r="B24" s="87" t="s">
        <v>10</v>
      </c>
      <c r="C24" s="87" t="s">
        <v>537</v>
      </c>
      <c r="D24" s="99">
        <f>IF(ISNA(VLOOKUP($A24,'Audit Values'!$A$2:$BV$392,2,FALSE)),'Preliminary SO66'!AZ23,VLOOKUP($A24,'Audit Values'!$A$2:$BV$392,48,FALSE))</f>
        <v>220901</v>
      </c>
      <c r="E24" s="83">
        <f t="shared" si="1"/>
        <v>242991</v>
      </c>
      <c r="F24" s="83">
        <f>'2019 Legal Max'!AO24*'Weighting Factors'!$Q$5</f>
        <v>348611</v>
      </c>
      <c r="G24" s="83">
        <f t="shared" si="2"/>
        <v>-105620</v>
      </c>
      <c r="H24" s="135" t="str">
        <f>'2019 Legal Max'!BD24</f>
        <v>A</v>
      </c>
    </row>
    <row r="25" spans="1:8">
      <c r="A25" s="88" t="s">
        <v>217</v>
      </c>
      <c r="B25" s="87" t="s">
        <v>11</v>
      </c>
      <c r="C25" s="87" t="s">
        <v>538</v>
      </c>
      <c r="D25" s="99">
        <f>IF(ISNA(VLOOKUP($A25,'Audit Values'!$A$2:$BV$392,2,FALSE)),'Preliminary SO66'!AZ24,VLOOKUP($A25,'Audit Values'!$A$2:$BV$392,48,FALSE))</f>
        <v>228354</v>
      </c>
      <c r="E25" s="83">
        <f t="shared" si="1"/>
        <v>251189</v>
      </c>
      <c r="F25" s="83">
        <f>'2019 Legal Max'!AO25*'Weighting Factors'!$Q$5</f>
        <v>84133</v>
      </c>
      <c r="G25" s="83">
        <f t="shared" si="2"/>
        <v>0</v>
      </c>
      <c r="H25" s="135" t="str">
        <f>'2019 Legal Max'!BD25</f>
        <v>A</v>
      </c>
    </row>
    <row r="26" spans="1:8">
      <c r="A26" s="88" t="s">
        <v>218</v>
      </c>
      <c r="B26" s="87" t="s">
        <v>12</v>
      </c>
      <c r="C26" s="87" t="s">
        <v>539</v>
      </c>
      <c r="D26" s="99">
        <f>IF(ISNA(VLOOKUP($A26,'Audit Values'!$A$2:$BV$392,2,FALSE)),'Preliminary SO66'!AZ25,VLOOKUP($A26,'Audit Values'!$A$2:$BV$392,48,FALSE))</f>
        <v>128185</v>
      </c>
      <c r="E26" s="83">
        <f t="shared" si="1"/>
        <v>141004</v>
      </c>
      <c r="F26" s="83">
        <f>'2019 Legal Max'!AO26*'Weighting Factors'!$Q$5</f>
        <v>131198</v>
      </c>
      <c r="G26" s="83">
        <f t="shared" si="2"/>
        <v>0</v>
      </c>
      <c r="H26" s="135" t="str">
        <f>'2019 Legal Max'!BD26</f>
        <v>A</v>
      </c>
    </row>
    <row r="27" spans="1:8">
      <c r="A27" s="88" t="s">
        <v>219</v>
      </c>
      <c r="B27" s="87" t="s">
        <v>13</v>
      </c>
      <c r="C27" s="87" t="s">
        <v>540</v>
      </c>
      <c r="D27" s="99">
        <f>IF(ISNA(VLOOKUP($A27,'Audit Values'!$A$2:$BV$392,2,FALSE)),'Preliminary SO66'!AZ26,VLOOKUP($A27,'Audit Values'!$A$2:$BV$392,48,FALSE))</f>
        <v>65479</v>
      </c>
      <c r="E27" s="83">
        <f t="shared" si="1"/>
        <v>72027</v>
      </c>
      <c r="F27" s="83">
        <f>'2019 Legal Max'!AO27*'Weighting Factors'!$Q$5</f>
        <v>69556</v>
      </c>
      <c r="G27" s="83">
        <f t="shared" si="2"/>
        <v>0</v>
      </c>
      <c r="H27" s="135" t="str">
        <f>'2019 Legal Max'!BD27</f>
        <v>A</v>
      </c>
    </row>
    <row r="28" spans="1:8">
      <c r="A28" s="88" t="s">
        <v>220</v>
      </c>
      <c r="B28" s="87" t="s">
        <v>13</v>
      </c>
      <c r="C28" s="87" t="s">
        <v>541</v>
      </c>
      <c r="D28" s="99">
        <f>IF(ISNA(VLOOKUP($A28,'Audit Values'!$A$2:$BV$392,2,FALSE)),'Preliminary SO66'!AZ27,VLOOKUP($A28,'Audit Values'!$A$2:$BV$392,48,FALSE))</f>
        <v>437279</v>
      </c>
      <c r="E28" s="83">
        <f t="shared" si="1"/>
        <v>481007</v>
      </c>
      <c r="F28" s="83">
        <f>'2019 Legal Max'!AO28*'Weighting Factors'!$Q$5</f>
        <v>245319</v>
      </c>
      <c r="G28" s="83">
        <f t="shared" si="2"/>
        <v>0</v>
      </c>
      <c r="H28" s="135" t="str">
        <f>'2019 Legal Max'!BD28</f>
        <v>A</v>
      </c>
    </row>
    <row r="29" spans="1:8">
      <c r="A29" s="88" t="s">
        <v>221</v>
      </c>
      <c r="B29" s="87" t="s">
        <v>14</v>
      </c>
      <c r="C29" s="87" t="s">
        <v>542</v>
      </c>
      <c r="D29" s="99">
        <f>IF(ISNA(VLOOKUP($A29,'Audit Values'!$A$2:$BV$392,2,FALSE)),'Preliminary SO66'!AZ28,VLOOKUP($A29,'Audit Values'!$A$2:$BV$392,48,FALSE))</f>
        <v>298115</v>
      </c>
      <c r="E29" s="83">
        <f t="shared" si="1"/>
        <v>327927</v>
      </c>
      <c r="F29" s="83">
        <f>'2019 Legal Max'!AO29*'Weighting Factors'!$Q$5</f>
        <v>220329</v>
      </c>
      <c r="G29" s="83">
        <f t="shared" si="2"/>
        <v>0</v>
      </c>
      <c r="H29" s="135" t="str">
        <f>'2019 Legal Max'!BD29</f>
        <v>A</v>
      </c>
    </row>
    <row r="30" spans="1:8">
      <c r="A30" s="88" t="s">
        <v>222</v>
      </c>
      <c r="B30" s="87" t="s">
        <v>14</v>
      </c>
      <c r="C30" s="87" t="s">
        <v>543</v>
      </c>
      <c r="D30" s="99">
        <f>IF(ISNA(VLOOKUP($A30,'Audit Values'!$A$2:$BV$392,2,FALSE)),'Preliminary SO66'!AZ29,VLOOKUP($A30,'Audit Values'!$A$2:$BV$392,48,FALSE))</f>
        <v>109965</v>
      </c>
      <c r="E30" s="83">
        <f t="shared" si="1"/>
        <v>120962</v>
      </c>
      <c r="F30" s="83">
        <f>'2019 Legal Max'!AO30*'Weighting Factors'!$Q$5</f>
        <v>124950</v>
      </c>
      <c r="G30" s="83">
        <f t="shared" si="2"/>
        <v>-3988</v>
      </c>
      <c r="H30" s="135" t="str">
        <f>'2019 Legal Max'!BD30</f>
        <v>A</v>
      </c>
    </row>
    <row r="31" spans="1:8">
      <c r="A31" s="88" t="s">
        <v>223</v>
      </c>
      <c r="B31" s="87" t="s">
        <v>15</v>
      </c>
      <c r="C31" s="87" t="s">
        <v>544</v>
      </c>
      <c r="D31" s="99">
        <f>IF(ISNA(VLOOKUP($A31,'Audit Values'!$A$2:$BV$392,2,FALSE)),'Preliminary SO66'!AZ30,VLOOKUP($A31,'Audit Values'!$A$2:$BV$392,48,FALSE))</f>
        <v>292126</v>
      </c>
      <c r="E31" s="83">
        <f t="shared" si="1"/>
        <v>321339</v>
      </c>
      <c r="F31" s="83">
        <f>'2019 Legal Max'!AO31*'Weighting Factors'!$Q$5</f>
        <v>263645</v>
      </c>
      <c r="G31" s="83">
        <f t="shared" si="2"/>
        <v>0</v>
      </c>
      <c r="H31" s="135" t="str">
        <f>'2019 Legal Max'!BD31</f>
        <v>A</v>
      </c>
    </row>
    <row r="32" spans="1:8">
      <c r="A32" s="88" t="s">
        <v>224</v>
      </c>
      <c r="B32" s="87" t="s">
        <v>16</v>
      </c>
      <c r="C32" s="87" t="s">
        <v>545</v>
      </c>
      <c r="D32" s="99">
        <f>IF(ISNA(VLOOKUP($A32,'Audit Values'!$A$2:$BV$392,2,FALSE)),'Preliminary SO66'!AZ31,VLOOKUP($A32,'Audit Values'!$A$2:$BV$392,48,FALSE))</f>
        <v>223163</v>
      </c>
      <c r="E32" s="83">
        <f t="shared" si="1"/>
        <v>245479</v>
      </c>
      <c r="F32" s="83">
        <f>'2019 Legal Max'!AO32*'Weighting Factors'!$Q$5</f>
        <v>141610</v>
      </c>
      <c r="G32" s="83">
        <f t="shared" si="2"/>
        <v>0</v>
      </c>
      <c r="H32" s="135" t="str">
        <f>'2019 Legal Max'!BD32</f>
        <v>A</v>
      </c>
    </row>
    <row r="33" spans="1:8">
      <c r="A33" s="88" t="s">
        <v>225</v>
      </c>
      <c r="B33" s="87" t="s">
        <v>16</v>
      </c>
      <c r="C33" s="87" t="s">
        <v>546</v>
      </c>
      <c r="D33" s="99">
        <f>IF(ISNA(VLOOKUP($A33,'Audit Values'!$A$2:$BV$392,2,FALSE)),'Preliminary SO66'!AZ32,VLOOKUP($A33,'Audit Values'!$A$2:$BV$392,48,FALSE))</f>
        <v>91331</v>
      </c>
      <c r="E33" s="83">
        <f t="shared" si="1"/>
        <v>100464</v>
      </c>
      <c r="F33" s="83">
        <f>'2019 Legal Max'!AO33*'Weighting Factors'!$Q$5</f>
        <v>24157</v>
      </c>
      <c r="G33" s="83">
        <f t="shared" si="2"/>
        <v>0</v>
      </c>
      <c r="H33" s="135" t="str">
        <f>'2019 Legal Max'!BD33</f>
        <v>A</v>
      </c>
    </row>
    <row r="34" spans="1:8">
      <c r="A34" s="88" t="s">
        <v>226</v>
      </c>
      <c r="B34" s="87" t="s">
        <v>17</v>
      </c>
      <c r="C34" s="87" t="s">
        <v>547</v>
      </c>
      <c r="D34" s="99">
        <f>IF(ISNA(VLOOKUP($A34,'Audit Values'!$A$2:$BV$392,2,FALSE)),'Preliminary SO66'!AZ33,VLOOKUP($A34,'Audit Values'!$A$2:$BV$392,48,FALSE))</f>
        <v>44522</v>
      </c>
      <c r="E34" s="83">
        <f t="shared" si="1"/>
        <v>48974</v>
      </c>
      <c r="F34" s="83">
        <f>'2019 Legal Max'!AO34*'Weighting Factors'!$Q$5</f>
        <v>51646</v>
      </c>
      <c r="G34" s="83">
        <f t="shared" si="2"/>
        <v>-2672</v>
      </c>
      <c r="H34" s="135" t="str">
        <f>'2019 Legal Max'!BD34</f>
        <v>A</v>
      </c>
    </row>
    <row r="35" spans="1:8">
      <c r="A35" s="88" t="s">
        <v>227</v>
      </c>
      <c r="B35" s="87" t="s">
        <v>17</v>
      </c>
      <c r="C35" s="87" t="s">
        <v>548</v>
      </c>
      <c r="D35" s="99">
        <f>IF(ISNA(VLOOKUP($A35,'Audit Values'!$A$2:$BV$392,2,FALSE)),'Preliminary SO66'!AZ34,VLOOKUP($A35,'Audit Values'!$A$2:$BV$392,48,FALSE))</f>
        <v>101169</v>
      </c>
      <c r="E35" s="83">
        <f t="shared" si="1"/>
        <v>111286</v>
      </c>
      <c r="F35" s="83">
        <f>'2019 Legal Max'!AO35*'Weighting Factors'!$Q$5</f>
        <v>68306</v>
      </c>
      <c r="G35" s="83">
        <f t="shared" si="2"/>
        <v>0</v>
      </c>
      <c r="H35" s="135" t="str">
        <f>'2019 Legal Max'!BD35</f>
        <v>A</v>
      </c>
    </row>
    <row r="36" spans="1:8">
      <c r="A36" s="88" t="s">
        <v>228</v>
      </c>
      <c r="B36" s="87" t="s">
        <v>18</v>
      </c>
      <c r="C36" s="87" t="s">
        <v>549</v>
      </c>
      <c r="D36" s="99">
        <f>IF(ISNA(VLOOKUP($A36,'Audit Values'!$A$2:$BV$392,2,FALSE)),'Preliminary SO66'!AZ35,VLOOKUP($A36,'Audit Values'!$A$2:$BV$392,48,FALSE))</f>
        <v>72852</v>
      </c>
      <c r="E36" s="83">
        <f t="shared" si="1"/>
        <v>80137</v>
      </c>
      <c r="F36" s="83">
        <f>'2019 Legal Max'!AO36*'Weighting Factors'!$Q$5</f>
        <v>69972</v>
      </c>
      <c r="G36" s="83">
        <f t="shared" si="2"/>
        <v>0</v>
      </c>
      <c r="H36" s="135" t="str">
        <f>'2019 Legal Max'!BD36</f>
        <v>A</v>
      </c>
    </row>
    <row r="37" spans="1:8">
      <c r="A37" s="88" t="s">
        <v>229</v>
      </c>
      <c r="B37" s="87" t="s">
        <v>18</v>
      </c>
      <c r="C37" s="87" t="s">
        <v>550</v>
      </c>
      <c r="D37" s="99">
        <f>IF(ISNA(VLOOKUP($A37,'Audit Values'!$A$2:$BV$392,2,FALSE)),'Preliminary SO66'!AZ36,VLOOKUP($A37,'Audit Values'!$A$2:$BV$392,48,FALSE))</f>
        <v>87667</v>
      </c>
      <c r="E37" s="83">
        <f t="shared" si="1"/>
        <v>96434</v>
      </c>
      <c r="F37" s="83">
        <f>'2019 Legal Max'!AO37*'Weighting Factors'!$Q$5</f>
        <v>91214</v>
      </c>
      <c r="G37" s="83">
        <f t="shared" si="2"/>
        <v>0</v>
      </c>
      <c r="H37" s="135" t="str">
        <f>'2019 Legal Max'!BD37</f>
        <v>A</v>
      </c>
    </row>
    <row r="38" spans="1:8">
      <c r="A38" s="88" t="s">
        <v>230</v>
      </c>
      <c r="B38" s="87" t="s">
        <v>19</v>
      </c>
      <c r="C38" s="87" t="s">
        <v>551</v>
      </c>
      <c r="D38" s="99">
        <f>IF(ISNA(VLOOKUP($A38,'Audit Values'!$A$2:$BV$392,2,FALSE)),'Preliminary SO66'!AZ37,VLOOKUP($A38,'Audit Values'!$A$2:$BV$392,48,FALSE))</f>
        <v>193920</v>
      </c>
      <c r="E38" s="83">
        <f t="shared" si="1"/>
        <v>213312</v>
      </c>
      <c r="F38" s="83">
        <f>'2019 Legal Max'!AO38*'Weighting Factors'!$Q$5</f>
        <v>178262</v>
      </c>
      <c r="G38" s="83">
        <f t="shared" si="2"/>
        <v>0</v>
      </c>
      <c r="H38" s="135" t="str">
        <f>'2019 Legal Max'!BD38</f>
        <v>A</v>
      </c>
    </row>
    <row r="39" spans="1:8">
      <c r="A39" s="88" t="s">
        <v>231</v>
      </c>
      <c r="B39" s="87" t="s">
        <v>19</v>
      </c>
      <c r="C39" s="87" t="s">
        <v>552</v>
      </c>
      <c r="D39" s="99">
        <f>IF(ISNA(VLOOKUP($A39,'Audit Values'!$A$2:$BV$392,2,FALSE)),'Preliminary SO66'!AZ38,VLOOKUP($A39,'Audit Values'!$A$2:$BV$392,48,FALSE))</f>
        <v>241038</v>
      </c>
      <c r="E39" s="83">
        <f t="shared" si="1"/>
        <v>265142</v>
      </c>
      <c r="F39" s="83">
        <f>'2019 Legal Max'!AO39*'Weighting Factors'!$Q$5</f>
        <v>211582</v>
      </c>
      <c r="G39" s="83">
        <f t="shared" si="2"/>
        <v>0</v>
      </c>
      <c r="H39" s="135" t="str">
        <f>'2019 Legal Max'!BD39</f>
        <v>A</v>
      </c>
    </row>
    <row r="40" spans="1:8">
      <c r="A40" s="88" t="s">
        <v>232</v>
      </c>
      <c r="B40" s="87" t="s">
        <v>20</v>
      </c>
      <c r="C40" s="87" t="s">
        <v>553</v>
      </c>
      <c r="D40" s="99">
        <f>IF(ISNA(VLOOKUP($A40,'Audit Values'!$A$2:$BV$392,2,FALSE)),'Preliminary SO66'!AZ39,VLOOKUP($A40,'Audit Values'!$A$2:$BV$392,48,FALSE))</f>
        <v>17721</v>
      </c>
      <c r="E40" s="83">
        <f t="shared" si="1"/>
        <v>19493</v>
      </c>
      <c r="F40" s="83">
        <f>'2019 Legal Max'!AO40*'Weighting Factors'!$Q$5</f>
        <v>40817</v>
      </c>
      <c r="G40" s="83">
        <f t="shared" si="2"/>
        <v>-21324</v>
      </c>
      <c r="H40" s="135" t="str">
        <f>'2019 Legal Max'!BD40</f>
        <v>A</v>
      </c>
    </row>
    <row r="41" spans="1:8">
      <c r="A41" s="88" t="s">
        <v>233</v>
      </c>
      <c r="B41" s="87" t="s">
        <v>20</v>
      </c>
      <c r="C41" s="87" t="s">
        <v>554</v>
      </c>
      <c r="D41" s="99">
        <f>IF(ISNA(VLOOKUP($A41,'Audit Values'!$A$2:$BV$392,2,FALSE)),'Preliminary SO66'!AZ40,VLOOKUP($A41,'Audit Values'!$A$2:$BV$392,48,FALSE))</f>
        <v>72412</v>
      </c>
      <c r="E41" s="83">
        <f t="shared" si="1"/>
        <v>79653</v>
      </c>
      <c r="F41" s="83">
        <f>'2019 Legal Max'!AO41*'Weighting Factors'!$Q$5</f>
        <v>103709</v>
      </c>
      <c r="G41" s="83">
        <f t="shared" si="2"/>
        <v>-24056</v>
      </c>
      <c r="H41" s="135" t="str">
        <f>'2019 Legal Max'!BD41</f>
        <v>A</v>
      </c>
    </row>
    <row r="42" spans="1:8">
      <c r="A42" s="88" t="s">
        <v>234</v>
      </c>
      <c r="B42" s="87" t="s">
        <v>21</v>
      </c>
      <c r="C42" s="87" t="s">
        <v>555</v>
      </c>
      <c r="D42" s="99">
        <f>IF(ISNA(VLOOKUP($A42,'Audit Values'!$A$2:$BV$392,2,FALSE)),'Preliminary SO66'!AZ41,VLOOKUP($A42,'Audit Values'!$A$2:$BV$392,48,FALSE))</f>
        <v>193779</v>
      </c>
      <c r="E42" s="83">
        <f t="shared" si="1"/>
        <v>213157</v>
      </c>
      <c r="F42" s="83">
        <f>'2019 Legal Max'!AO42*'Weighting Factors'!$Q$5</f>
        <v>203669</v>
      </c>
      <c r="G42" s="83">
        <f t="shared" si="2"/>
        <v>0</v>
      </c>
      <c r="H42" s="135" t="str">
        <f>'2019 Legal Max'!BD42</f>
        <v>A</v>
      </c>
    </row>
    <row r="43" spans="1:8">
      <c r="A43" s="88" t="s">
        <v>235</v>
      </c>
      <c r="B43" s="87" t="s">
        <v>22</v>
      </c>
      <c r="C43" s="87" t="s">
        <v>556</v>
      </c>
      <c r="D43" s="99">
        <f>IF(ISNA(VLOOKUP($A43,'Audit Values'!$A$2:$BV$392,2,FALSE)),'Preliminary SO66'!AZ42,VLOOKUP($A43,'Audit Values'!$A$2:$BV$392,48,FALSE))</f>
        <v>2125152</v>
      </c>
      <c r="E43" s="83">
        <f t="shared" si="1"/>
        <v>2337667</v>
      </c>
      <c r="F43" s="83">
        <f>'2019 Legal Max'!AO43*'Weighting Factors'!$Q$5</f>
        <v>2553978</v>
      </c>
      <c r="G43" s="83">
        <f t="shared" si="2"/>
        <v>-216311</v>
      </c>
      <c r="H43" s="135" t="str">
        <f>'2019 Legal Max'!BD43</f>
        <v>A</v>
      </c>
    </row>
    <row r="44" spans="1:8">
      <c r="A44" s="88" t="s">
        <v>236</v>
      </c>
      <c r="B44" s="87" t="s">
        <v>22</v>
      </c>
      <c r="C44" s="87" t="s">
        <v>557</v>
      </c>
      <c r="D44" s="99">
        <f>IF(ISNA(VLOOKUP($A44,'Audit Values'!$A$2:$BV$392,2,FALSE)),'Preliminary SO66'!AZ43,VLOOKUP($A44,'Audit Values'!$A$2:$BV$392,48,FALSE))</f>
        <v>1495675</v>
      </c>
      <c r="E44" s="83">
        <f t="shared" si="1"/>
        <v>1645243</v>
      </c>
      <c r="F44" s="83">
        <f>'2019 Legal Max'!AO44*'Weighting Factors'!$Q$5</f>
        <v>768443</v>
      </c>
      <c r="G44" s="83">
        <f t="shared" si="2"/>
        <v>0</v>
      </c>
      <c r="H44" s="135" t="str">
        <f>'2019 Legal Max'!BD44</f>
        <v>A</v>
      </c>
    </row>
    <row r="45" spans="1:8">
      <c r="A45" s="88" t="s">
        <v>237</v>
      </c>
      <c r="B45" s="87" t="s">
        <v>22</v>
      </c>
      <c r="C45" s="87" t="s">
        <v>558</v>
      </c>
      <c r="D45" s="99">
        <f>IF(ISNA(VLOOKUP($A45,'Audit Values'!$A$2:$BV$392,2,FALSE)),'Preliminary SO66'!AZ44,VLOOKUP($A45,'Audit Values'!$A$2:$BV$392,48,FALSE))</f>
        <v>1115901</v>
      </c>
      <c r="E45" s="83">
        <f t="shared" si="1"/>
        <v>1227491</v>
      </c>
      <c r="F45" s="83">
        <f>'2019 Legal Max'!AO45*'Weighting Factors'!$Q$5</f>
        <v>744702</v>
      </c>
      <c r="G45" s="83">
        <f t="shared" si="2"/>
        <v>0</v>
      </c>
      <c r="H45" s="135" t="str">
        <f>'2019 Legal Max'!BD45</f>
        <v>A</v>
      </c>
    </row>
    <row r="46" spans="1:8">
      <c r="A46" s="88" t="s">
        <v>238</v>
      </c>
      <c r="B46" s="87" t="s">
        <v>22</v>
      </c>
      <c r="C46" s="87" t="s">
        <v>559</v>
      </c>
      <c r="D46" s="99">
        <f>IF(ISNA(VLOOKUP($A46,'Audit Values'!$A$2:$BV$392,2,FALSE)),'Preliminary SO66'!AZ45,VLOOKUP($A46,'Audit Values'!$A$2:$BV$392,48,FALSE))</f>
        <v>1944536</v>
      </c>
      <c r="E46" s="83">
        <f t="shared" si="1"/>
        <v>2138990</v>
      </c>
      <c r="F46" s="83">
        <f>'2019 Legal Max'!AO46*'Weighting Factors'!$Q$5</f>
        <v>1077902</v>
      </c>
      <c r="G46" s="83">
        <f t="shared" si="2"/>
        <v>0</v>
      </c>
      <c r="H46" s="135" t="str">
        <f>'2019 Legal Max'!BD46</f>
        <v>A</v>
      </c>
    </row>
    <row r="47" spans="1:8">
      <c r="A47" s="88" t="s">
        <v>239</v>
      </c>
      <c r="B47" s="87" t="s">
        <v>22</v>
      </c>
      <c r="C47" s="87" t="s">
        <v>560</v>
      </c>
      <c r="D47" s="99">
        <f>IF(ISNA(VLOOKUP($A47,'Audit Values'!$A$2:$BV$392,2,FALSE)),'Preliminary SO66'!AZ46,VLOOKUP($A47,'Audit Values'!$A$2:$BV$392,48,FALSE))</f>
        <v>4301561</v>
      </c>
      <c r="E47" s="83">
        <f t="shared" si="1"/>
        <v>4731717</v>
      </c>
      <c r="F47" s="83">
        <f>'2019 Legal Max'!AO47*'Weighting Factors'!$Q$5</f>
        <v>3241620</v>
      </c>
      <c r="G47" s="83">
        <f t="shared" si="2"/>
        <v>0</v>
      </c>
      <c r="H47" s="135" t="str">
        <f>'2019 Legal Max'!BD47</f>
        <v>A</v>
      </c>
    </row>
    <row r="48" spans="1:8">
      <c r="A48" s="88" t="s">
        <v>240</v>
      </c>
      <c r="B48" s="87" t="s">
        <v>23</v>
      </c>
      <c r="C48" s="87" t="s">
        <v>561</v>
      </c>
      <c r="D48" s="99">
        <f>IF(ISNA(VLOOKUP($A48,'Audit Values'!$A$2:$BV$392,2,FALSE)),'Preliminary SO66'!AZ47,VLOOKUP($A48,'Audit Values'!$A$2:$BV$392,48,FALSE))</f>
        <v>630866</v>
      </c>
      <c r="E48" s="83">
        <f t="shared" si="1"/>
        <v>693953</v>
      </c>
      <c r="F48" s="83">
        <f>'2019 Legal Max'!AO48*'Weighting Factors'!$Q$5</f>
        <v>522291</v>
      </c>
      <c r="G48" s="83">
        <f t="shared" si="2"/>
        <v>0</v>
      </c>
      <c r="H48" s="135" t="str">
        <f>'2019 Legal Max'!BD48</f>
        <v>A</v>
      </c>
    </row>
    <row r="49" spans="1:8">
      <c r="A49" s="88" t="s">
        <v>241</v>
      </c>
      <c r="B49" s="87" t="s">
        <v>23</v>
      </c>
      <c r="C49" s="87" t="s">
        <v>562</v>
      </c>
      <c r="D49" s="99">
        <f>IF(ISNA(VLOOKUP($A49,'Audit Values'!$A$2:$BV$392,2,FALSE)),'Preliminary SO66'!AZ48,VLOOKUP($A49,'Audit Values'!$A$2:$BV$392,48,FALSE))</f>
        <v>230413</v>
      </c>
      <c r="E49" s="83">
        <f t="shared" si="1"/>
        <v>253454</v>
      </c>
      <c r="F49" s="83">
        <f>'2019 Legal Max'!AO49*'Weighting Factors'!$Q$5</f>
        <v>316124</v>
      </c>
      <c r="G49" s="83">
        <f t="shared" si="2"/>
        <v>-62670</v>
      </c>
      <c r="H49" s="135" t="str">
        <f>'2019 Legal Max'!BD49</f>
        <v>A</v>
      </c>
    </row>
    <row r="50" spans="1:8">
      <c r="A50" s="88" t="s">
        <v>242</v>
      </c>
      <c r="B50" s="87" t="s">
        <v>24</v>
      </c>
      <c r="C50" s="87" t="s">
        <v>563</v>
      </c>
      <c r="D50" s="99">
        <f>IF(ISNA(VLOOKUP($A50,'Audit Values'!$A$2:$BV$392,2,FALSE)),'Preliminary SO66'!AZ49,VLOOKUP($A50,'Audit Values'!$A$2:$BV$392,48,FALSE))</f>
        <v>156889</v>
      </c>
      <c r="E50" s="83">
        <f t="shared" si="1"/>
        <v>172578</v>
      </c>
      <c r="F50" s="83">
        <f>'2019 Legal Max'!AO50*'Weighting Factors'!$Q$5</f>
        <v>192423</v>
      </c>
      <c r="G50" s="83">
        <f t="shared" si="2"/>
        <v>-19845</v>
      </c>
      <c r="H50" s="135" t="str">
        <f>'2019 Legal Max'!BD50</f>
        <v>A</v>
      </c>
    </row>
    <row r="51" spans="1:8">
      <c r="A51" s="88" t="s">
        <v>243</v>
      </c>
      <c r="B51" s="87" t="s">
        <v>25</v>
      </c>
      <c r="C51" s="87" t="s">
        <v>564</v>
      </c>
      <c r="D51" s="99">
        <f>IF(ISNA(VLOOKUP($A51,'Audit Values'!$A$2:$BV$392,2,FALSE)),'Preliminary SO66'!AZ50,VLOOKUP($A51,'Audit Values'!$A$2:$BV$392,48,FALSE))</f>
        <v>302578</v>
      </c>
      <c r="E51" s="83">
        <f t="shared" si="1"/>
        <v>332836</v>
      </c>
      <c r="F51" s="83">
        <f>'2019 Legal Max'!AO51*'Weighting Factors'!$Q$5</f>
        <v>234073</v>
      </c>
      <c r="G51" s="83">
        <f t="shared" si="2"/>
        <v>0</v>
      </c>
      <c r="H51" s="135" t="str">
        <f>'2019 Legal Max'!BD51</f>
        <v>A</v>
      </c>
    </row>
    <row r="52" spans="1:8">
      <c r="A52" s="88" t="s">
        <v>244</v>
      </c>
      <c r="B52" s="87" t="s">
        <v>25</v>
      </c>
      <c r="C52" s="87" t="s">
        <v>565</v>
      </c>
      <c r="D52" s="99">
        <f>IF(ISNA(VLOOKUP($A52,'Audit Values'!$A$2:$BV$392,2,FALSE)),'Preliminary SO66'!AZ51,VLOOKUP($A52,'Audit Values'!$A$2:$BV$392,48,FALSE))</f>
        <v>378433</v>
      </c>
      <c r="E52" s="83">
        <f t="shared" si="1"/>
        <v>416276</v>
      </c>
      <c r="F52" s="83">
        <f>'2019 Legal Max'!AO52*'Weighting Factors'!$Q$5</f>
        <v>209500</v>
      </c>
      <c r="G52" s="83">
        <f t="shared" si="2"/>
        <v>0</v>
      </c>
      <c r="H52" s="135" t="str">
        <f>'2019 Legal Max'!BD52</f>
        <v>A</v>
      </c>
    </row>
    <row r="53" spans="1:8">
      <c r="A53" s="88" t="s">
        <v>245</v>
      </c>
      <c r="B53" s="87" t="s">
        <v>26</v>
      </c>
      <c r="C53" s="87" t="s">
        <v>566</v>
      </c>
      <c r="D53" s="99">
        <f>IF(ISNA(VLOOKUP($A53,'Audit Values'!$A$2:$BV$392,2,FALSE)),'Preliminary SO66'!AZ52,VLOOKUP($A53,'Audit Values'!$A$2:$BV$392,48,FALSE))</f>
        <v>83222</v>
      </c>
      <c r="E53" s="83">
        <f t="shared" si="1"/>
        <v>91544</v>
      </c>
      <c r="F53" s="83">
        <f>'2019 Legal Max'!AO53*'Weighting Factors'!$Q$5</f>
        <v>107457</v>
      </c>
      <c r="G53" s="83">
        <f t="shared" si="2"/>
        <v>-15913</v>
      </c>
      <c r="H53" s="135" t="str">
        <f>'2019 Legal Max'!BD53</f>
        <v>A</v>
      </c>
    </row>
    <row r="54" spans="1:8">
      <c r="A54" s="88" t="s">
        <v>246</v>
      </c>
      <c r="B54" s="87" t="s">
        <v>26</v>
      </c>
      <c r="C54" s="87" t="s">
        <v>567</v>
      </c>
      <c r="D54" s="99">
        <f>IF(ISNA(VLOOKUP($A54,'Audit Values'!$A$2:$BV$392,2,FALSE)),'Preliminary SO66'!AZ53,VLOOKUP($A54,'Audit Values'!$A$2:$BV$392,48,FALSE))</f>
        <v>32653</v>
      </c>
      <c r="E54" s="83">
        <f t="shared" si="1"/>
        <v>35918</v>
      </c>
      <c r="F54" s="83">
        <f>'2019 Legal Max'!AO54*'Weighting Factors'!$Q$5</f>
        <v>53312</v>
      </c>
      <c r="G54" s="83">
        <f t="shared" si="2"/>
        <v>-17394</v>
      </c>
      <c r="H54" s="135" t="str">
        <f>'2019 Legal Max'!BD54</f>
        <v>A</v>
      </c>
    </row>
    <row r="55" spans="1:8">
      <c r="A55" s="88" t="s">
        <v>247</v>
      </c>
      <c r="B55" s="87" t="s">
        <v>27</v>
      </c>
      <c r="C55" s="87" t="s">
        <v>568</v>
      </c>
      <c r="D55" s="99">
        <f>IF(ISNA(VLOOKUP($A55,'Audit Values'!$A$2:$BV$392,2,FALSE)),'Preliminary SO66'!AZ54,VLOOKUP($A55,'Audit Values'!$A$2:$BV$392,48,FALSE))</f>
        <v>227597</v>
      </c>
      <c r="E55" s="83">
        <f t="shared" si="1"/>
        <v>250357</v>
      </c>
      <c r="F55" s="83">
        <f>'2019 Legal Max'!AO55*'Weighting Factors'!$Q$5</f>
        <v>146192</v>
      </c>
      <c r="G55" s="83">
        <f t="shared" si="2"/>
        <v>0</v>
      </c>
      <c r="H55" s="135" t="str">
        <f>'2019 Legal Max'!BD55</f>
        <v>A</v>
      </c>
    </row>
    <row r="56" spans="1:8">
      <c r="A56" s="88" t="s">
        <v>248</v>
      </c>
      <c r="B56" s="87" t="s">
        <v>27</v>
      </c>
      <c r="C56" s="87" t="s">
        <v>569</v>
      </c>
      <c r="D56" s="99">
        <f>IF(ISNA(VLOOKUP($A56,'Audit Values'!$A$2:$BV$392,2,FALSE)),'Preliminary SO66'!AZ55,VLOOKUP($A56,'Audit Values'!$A$2:$BV$392,48,FALSE))</f>
        <v>208525</v>
      </c>
      <c r="E56" s="83">
        <f t="shared" si="1"/>
        <v>229378</v>
      </c>
      <c r="F56" s="83">
        <f>'2019 Legal Max'!AO56*'Weighting Factors'!$Q$5</f>
        <v>224077</v>
      </c>
      <c r="G56" s="83">
        <f t="shared" si="2"/>
        <v>0</v>
      </c>
      <c r="H56" s="135" t="str">
        <f>'2019 Legal Max'!BD56</f>
        <v>A</v>
      </c>
    </row>
    <row r="57" spans="1:8">
      <c r="A57" s="88" t="s">
        <v>249</v>
      </c>
      <c r="B57" s="87" t="s">
        <v>27</v>
      </c>
      <c r="C57" s="87" t="s">
        <v>570</v>
      </c>
      <c r="D57" s="99">
        <f>IF(ISNA(VLOOKUP($A57,'Audit Values'!$A$2:$BV$392,2,FALSE)),'Preliminary SO66'!AZ56,VLOOKUP($A57,'Audit Values'!$A$2:$BV$392,48,FALSE))</f>
        <v>246359</v>
      </c>
      <c r="E57" s="83">
        <f t="shared" si="1"/>
        <v>270995</v>
      </c>
      <c r="F57" s="83">
        <f>'2019 Legal Max'!AO57*'Weighting Factors'!$Q$5</f>
        <v>132447</v>
      </c>
      <c r="G57" s="83">
        <f t="shared" si="2"/>
        <v>0</v>
      </c>
      <c r="H57" s="135" t="str">
        <f>'2019 Legal Max'!BD57</f>
        <v>A</v>
      </c>
    </row>
    <row r="58" spans="1:8">
      <c r="A58" s="88" t="s">
        <v>250</v>
      </c>
      <c r="B58" s="87" t="s">
        <v>28</v>
      </c>
      <c r="C58" s="87" t="s">
        <v>571</v>
      </c>
      <c r="D58" s="99">
        <f>IF(ISNA(VLOOKUP($A58,'Audit Values'!$A$2:$BV$392,2,FALSE)),'Preliminary SO66'!AZ57,VLOOKUP($A58,'Audit Values'!$A$2:$BV$392,48,FALSE))</f>
        <v>162888</v>
      </c>
      <c r="E58" s="83">
        <f t="shared" si="1"/>
        <v>179177</v>
      </c>
      <c r="F58" s="83">
        <f>'2019 Legal Max'!AO58*'Weighting Factors'!$Q$5</f>
        <v>176596</v>
      </c>
      <c r="G58" s="83">
        <f t="shared" si="2"/>
        <v>0</v>
      </c>
      <c r="H58" s="135" t="str">
        <f>'2019 Legal Max'!BD58</f>
        <v>A</v>
      </c>
    </row>
    <row r="59" spans="1:8">
      <c r="A59" s="88" t="s">
        <v>251</v>
      </c>
      <c r="B59" s="87" t="s">
        <v>28</v>
      </c>
      <c r="C59" s="87" t="s">
        <v>572</v>
      </c>
      <c r="D59" s="99">
        <f>IF(ISNA(VLOOKUP($A59,'Audit Values'!$A$2:$BV$392,2,FALSE)),'Preliminary SO66'!AZ58,VLOOKUP($A59,'Audit Values'!$A$2:$BV$392,48,FALSE))</f>
        <v>341777</v>
      </c>
      <c r="E59" s="83">
        <f t="shared" si="1"/>
        <v>375955</v>
      </c>
      <c r="F59" s="83">
        <f>'2019 Legal Max'!AO59*'Weighting Factors'!$Q$5</f>
        <v>367770</v>
      </c>
      <c r="G59" s="83">
        <f t="shared" si="2"/>
        <v>0</v>
      </c>
      <c r="H59" s="135" t="str">
        <f>'2019 Legal Max'!BD59</f>
        <v>A</v>
      </c>
    </row>
    <row r="60" spans="1:8">
      <c r="A60" s="88" t="s">
        <v>252</v>
      </c>
      <c r="B60" s="87" t="s">
        <v>28</v>
      </c>
      <c r="C60" s="87" t="s">
        <v>573</v>
      </c>
      <c r="D60" s="99">
        <f>IF(ISNA(VLOOKUP($A60,'Audit Values'!$A$2:$BV$392,2,FALSE)),'Preliminary SO66'!AZ59,VLOOKUP($A60,'Audit Values'!$A$2:$BV$392,48,FALSE))</f>
        <v>479437</v>
      </c>
      <c r="E60" s="83">
        <f t="shared" si="1"/>
        <v>527381</v>
      </c>
      <c r="F60" s="83">
        <f>'2019 Legal Max'!AO60*'Weighting Factors'!$Q$5</f>
        <v>348194</v>
      </c>
      <c r="G60" s="83">
        <f t="shared" si="2"/>
        <v>0</v>
      </c>
      <c r="H60" s="135" t="str">
        <f>'2019 Legal Max'!BD60</f>
        <v>A</v>
      </c>
    </row>
    <row r="61" spans="1:8">
      <c r="A61" s="88" t="s">
        <v>253</v>
      </c>
      <c r="B61" s="87" t="s">
        <v>28</v>
      </c>
      <c r="C61" s="87" t="s">
        <v>574</v>
      </c>
      <c r="D61" s="99">
        <f>IF(ISNA(VLOOKUP($A61,'Audit Values'!$A$2:$BV$392,2,FALSE)),'Preliminary SO66'!AZ60,VLOOKUP($A61,'Audit Values'!$A$2:$BV$392,48,FALSE))</f>
        <v>65690</v>
      </c>
      <c r="E61" s="83">
        <f t="shared" si="1"/>
        <v>72259</v>
      </c>
      <c r="F61" s="83">
        <f>'2019 Legal Max'!AO61*'Weighting Factors'!$Q$5</f>
        <v>71222</v>
      </c>
      <c r="G61" s="83">
        <f t="shared" si="2"/>
        <v>0</v>
      </c>
      <c r="H61" s="135" t="str">
        <f>'2019 Legal Max'!BD61</f>
        <v>A</v>
      </c>
    </row>
    <row r="62" spans="1:8">
      <c r="A62" s="88" t="s">
        <v>254</v>
      </c>
      <c r="B62" s="87" t="s">
        <v>28</v>
      </c>
      <c r="C62" s="87" t="s">
        <v>575</v>
      </c>
      <c r="D62" s="99">
        <f>IF(ISNA(VLOOKUP($A62,'Audit Values'!$A$2:$BV$392,2,FALSE)),'Preliminary SO66'!AZ61,VLOOKUP($A62,'Audit Values'!$A$2:$BV$392,48,FALSE))</f>
        <v>681199</v>
      </c>
      <c r="E62" s="83">
        <f t="shared" si="1"/>
        <v>749319</v>
      </c>
      <c r="F62" s="83">
        <f>'2019 Legal Max'!AO62*'Weighting Factors'!$Q$5</f>
        <v>273641</v>
      </c>
      <c r="G62" s="83">
        <f t="shared" si="2"/>
        <v>0</v>
      </c>
      <c r="H62" s="135" t="str">
        <f>'2019 Legal Max'!BD62</f>
        <v>A</v>
      </c>
    </row>
    <row r="63" spans="1:8">
      <c r="A63" s="88" t="s">
        <v>255</v>
      </c>
      <c r="B63" s="87" t="s">
        <v>30</v>
      </c>
      <c r="C63" s="87" t="s">
        <v>576</v>
      </c>
      <c r="D63" s="99">
        <f>IF(ISNA(VLOOKUP($A63,'Audit Values'!$A$2:$BV$392,2,FALSE)),'Preliminary SO66'!AZ62,VLOOKUP($A63,'Audit Values'!$A$2:$BV$392,48,FALSE))</f>
        <v>391400</v>
      </c>
      <c r="E63" s="83">
        <f t="shared" si="1"/>
        <v>430540</v>
      </c>
      <c r="F63" s="83">
        <f>'2019 Legal Max'!AO63*'Weighting Factors'!$Q$5</f>
        <v>308210</v>
      </c>
      <c r="G63" s="83">
        <f t="shared" si="2"/>
        <v>0</v>
      </c>
      <c r="H63" s="135" t="str">
        <f>'2019 Legal Max'!BD63</f>
        <v>A</v>
      </c>
    </row>
    <row r="64" spans="1:8">
      <c r="A64" s="88" t="s">
        <v>256</v>
      </c>
      <c r="B64" s="87" t="s">
        <v>30</v>
      </c>
      <c r="C64" s="87" t="s">
        <v>577</v>
      </c>
      <c r="D64" s="99">
        <f>IF(ISNA(VLOOKUP($A64,'Audit Values'!$A$2:$BV$392,2,FALSE)),'Preliminary SO66'!AZ63,VLOOKUP($A64,'Audit Values'!$A$2:$BV$392,48,FALSE))</f>
        <v>267509</v>
      </c>
      <c r="E64" s="83">
        <f t="shared" si="1"/>
        <v>294260</v>
      </c>
      <c r="F64" s="83">
        <f>'2019 Legal Max'!AO64*'Weighting Factors'!$Q$5</f>
        <v>244486</v>
      </c>
      <c r="G64" s="83">
        <f t="shared" si="2"/>
        <v>0</v>
      </c>
      <c r="H64" s="135" t="str">
        <f>'2019 Legal Max'!BD64</f>
        <v>A</v>
      </c>
    </row>
    <row r="65" spans="1:8">
      <c r="A65" s="88" t="s">
        <v>257</v>
      </c>
      <c r="B65" s="87" t="s">
        <v>30</v>
      </c>
      <c r="C65" s="87" t="s">
        <v>578</v>
      </c>
      <c r="D65" s="99">
        <f>IF(ISNA(VLOOKUP($A65,'Audit Values'!$A$2:$BV$392,2,FALSE)),'Preliminary SO66'!AZ64,VLOOKUP($A65,'Audit Values'!$A$2:$BV$392,48,FALSE))</f>
        <v>1123605</v>
      </c>
      <c r="E65" s="83">
        <f t="shared" si="1"/>
        <v>1235966</v>
      </c>
      <c r="F65" s="83">
        <f>'2019 Legal Max'!AO65*'Weighting Factors'!$Q$5</f>
        <v>970445</v>
      </c>
      <c r="G65" s="83">
        <f t="shared" si="2"/>
        <v>0</v>
      </c>
      <c r="H65" s="135" t="str">
        <f>'2019 Legal Max'!BD65</f>
        <v>A</v>
      </c>
    </row>
    <row r="66" spans="1:8">
      <c r="A66" s="88" t="s">
        <v>258</v>
      </c>
      <c r="B66" s="87" t="s">
        <v>31</v>
      </c>
      <c r="C66" s="87" t="s">
        <v>579</v>
      </c>
      <c r="D66" s="99">
        <f>IF(ISNA(VLOOKUP($A66,'Audit Values'!$A$2:$BV$392,2,FALSE)),'Preliminary SO66'!AZ65,VLOOKUP($A66,'Audit Values'!$A$2:$BV$392,48,FALSE))</f>
        <v>238617</v>
      </c>
      <c r="E66" s="83">
        <f t="shared" si="1"/>
        <v>262479</v>
      </c>
      <c r="F66" s="83">
        <f>'2019 Legal Max'!AO66*'Weighting Factors'!$Q$5</f>
        <v>197005</v>
      </c>
      <c r="G66" s="83">
        <f t="shared" si="2"/>
        <v>0</v>
      </c>
      <c r="H66" s="135" t="str">
        <f>'2019 Legal Max'!BD66</f>
        <v>A</v>
      </c>
    </row>
    <row r="67" spans="1:8">
      <c r="A67" s="88" t="s">
        <v>259</v>
      </c>
      <c r="B67" s="87" t="s">
        <v>31</v>
      </c>
      <c r="C67" s="87" t="s">
        <v>580</v>
      </c>
      <c r="D67" s="99">
        <f>IF(ISNA(VLOOKUP($A67,'Audit Values'!$A$2:$BV$392,2,FALSE)),'Preliminary SO66'!AZ66,VLOOKUP($A67,'Audit Values'!$A$2:$BV$392,48,FALSE))</f>
        <v>116063</v>
      </c>
      <c r="E67" s="83">
        <f t="shared" si="1"/>
        <v>127669</v>
      </c>
      <c r="F67" s="83">
        <f>'2019 Legal Max'!AO67*'Weighting Factors'!$Q$5</f>
        <v>89548</v>
      </c>
      <c r="G67" s="83">
        <f t="shared" si="2"/>
        <v>0</v>
      </c>
      <c r="H67" s="135" t="str">
        <f>'2019 Legal Max'!BD67</f>
        <v>A</v>
      </c>
    </row>
    <row r="68" spans="1:8">
      <c r="A68" s="88" t="s">
        <v>260</v>
      </c>
      <c r="B68" s="87" t="s">
        <v>32</v>
      </c>
      <c r="C68" s="87" t="s">
        <v>581</v>
      </c>
      <c r="D68" s="99">
        <f>IF(ISNA(VLOOKUP($A68,'Audit Values'!$A$2:$BV$392,2,FALSE)),'Preliminary SO66'!AZ67,VLOOKUP($A68,'Audit Values'!$A$2:$BV$392,48,FALSE))</f>
        <v>196063</v>
      </c>
      <c r="E68" s="83">
        <f t="shared" si="1"/>
        <v>215669</v>
      </c>
      <c r="F68" s="83">
        <f>'2019 Legal Max'!AO68*'Weighting Factors'!$Q$5</f>
        <v>142443</v>
      </c>
      <c r="G68" s="83">
        <f t="shared" si="2"/>
        <v>0</v>
      </c>
      <c r="H68" s="135" t="str">
        <f>'2019 Legal Max'!BD68</f>
        <v>A</v>
      </c>
    </row>
    <row r="69" spans="1:8">
      <c r="A69" s="88" t="s">
        <v>261</v>
      </c>
      <c r="B69" s="87" t="s">
        <v>32</v>
      </c>
      <c r="C69" s="87" t="s">
        <v>582</v>
      </c>
      <c r="D69" s="99">
        <f>IF(ISNA(VLOOKUP($A69,'Audit Values'!$A$2:$BV$392,2,FALSE)),'Preliminary SO66'!AZ68,VLOOKUP($A69,'Audit Values'!$A$2:$BV$392,48,FALSE))</f>
        <v>273249</v>
      </c>
      <c r="E69" s="83">
        <f t="shared" si="1"/>
        <v>300574</v>
      </c>
      <c r="F69" s="83">
        <f>'2019 Legal Max'!AO69*'Weighting Factors'!$Q$5</f>
        <v>272808</v>
      </c>
      <c r="G69" s="83">
        <f t="shared" si="2"/>
        <v>0</v>
      </c>
      <c r="H69" s="135" t="str">
        <f>'2019 Legal Max'!BD69</f>
        <v>A</v>
      </c>
    </row>
    <row r="70" spans="1:8">
      <c r="A70" s="88" t="s">
        <v>262</v>
      </c>
      <c r="B70" s="87" t="s">
        <v>32</v>
      </c>
      <c r="C70" s="87" t="s">
        <v>583</v>
      </c>
      <c r="D70" s="99">
        <f>IF(ISNA(VLOOKUP($A70,'Audit Values'!$A$2:$BV$392,2,FALSE)),'Preliminary SO66'!AZ69,VLOOKUP($A70,'Audit Values'!$A$2:$BV$392,48,FALSE))</f>
        <v>107572</v>
      </c>
      <c r="E70" s="83">
        <f t="shared" ref="E70:E133" si="3">D70*$E$3</f>
        <v>118329</v>
      </c>
      <c r="F70" s="83">
        <f>'2019 Legal Max'!AO70*'Weighting Factors'!$Q$5</f>
        <v>96212</v>
      </c>
      <c r="G70" s="83">
        <f t="shared" ref="G70:G133" si="4">IF(F70-E70&gt;0,E70-F70,0)</f>
        <v>0</v>
      </c>
      <c r="H70" s="135" t="str">
        <f>'2019 Legal Max'!BD70</f>
        <v>A</v>
      </c>
    </row>
    <row r="71" spans="1:8">
      <c r="A71" s="88" t="s">
        <v>263</v>
      </c>
      <c r="B71" s="87" t="s">
        <v>33</v>
      </c>
      <c r="C71" s="87" t="s">
        <v>584</v>
      </c>
      <c r="D71" s="99">
        <f>IF(ISNA(VLOOKUP($A71,'Audit Values'!$A$2:$BV$392,2,FALSE)),'Preliminary SO66'!AZ70,VLOOKUP($A71,'Audit Values'!$A$2:$BV$392,48,FALSE))</f>
        <v>12747056</v>
      </c>
      <c r="E71" s="83">
        <f t="shared" si="3"/>
        <v>14021762</v>
      </c>
      <c r="F71" s="83">
        <f>'2019 Legal Max'!AO71*'Weighting Factors'!$Q$5</f>
        <v>8188390</v>
      </c>
      <c r="G71" s="83">
        <f t="shared" si="4"/>
        <v>0</v>
      </c>
      <c r="H71" s="135" t="str">
        <f>'2019 Legal Max'!BD71</f>
        <v>A</v>
      </c>
    </row>
    <row r="72" spans="1:8">
      <c r="A72" s="88" t="s">
        <v>264</v>
      </c>
      <c r="B72" s="87" t="s">
        <v>33</v>
      </c>
      <c r="C72" s="87" t="s">
        <v>585</v>
      </c>
      <c r="D72" s="99">
        <f>IF(ISNA(VLOOKUP($A72,'Audit Values'!$A$2:$BV$392,2,FALSE)),'Preliminary SO66'!AZ71,VLOOKUP($A72,'Audit Values'!$A$2:$BV$392,48,FALSE))</f>
        <v>860816</v>
      </c>
      <c r="E72" s="83">
        <f t="shared" si="3"/>
        <v>946898</v>
      </c>
      <c r="F72" s="83">
        <f>'2019 Legal Max'!AO72*'Weighting Factors'!$Q$5</f>
        <v>882147</v>
      </c>
      <c r="G72" s="83">
        <f t="shared" si="4"/>
        <v>0</v>
      </c>
      <c r="H72" s="135" t="str">
        <f>'2019 Legal Max'!BD72</f>
        <v>A</v>
      </c>
    </row>
    <row r="73" spans="1:8">
      <c r="A73" s="88" t="s">
        <v>265</v>
      </c>
      <c r="B73" s="87" t="s">
        <v>33</v>
      </c>
      <c r="C73" s="87" t="s">
        <v>586</v>
      </c>
      <c r="D73" s="99">
        <f>IF(ISNA(VLOOKUP($A73,'Audit Values'!$A$2:$BV$392,2,FALSE)),'Preliminary SO66'!AZ72,VLOOKUP($A73,'Audit Values'!$A$2:$BV$392,48,FALSE))</f>
        <v>1506882</v>
      </c>
      <c r="E73" s="83">
        <f t="shared" si="3"/>
        <v>1657570</v>
      </c>
      <c r="F73" s="83">
        <f>'2019 Legal Max'!AO73*'Weighting Factors'!$Q$5</f>
        <v>1067073</v>
      </c>
      <c r="G73" s="83">
        <f t="shared" si="4"/>
        <v>0</v>
      </c>
      <c r="H73" s="135" t="str">
        <f>'2019 Legal Max'!BD73</f>
        <v>A</v>
      </c>
    </row>
    <row r="74" spans="1:8">
      <c r="A74" s="88" t="s">
        <v>266</v>
      </c>
      <c r="B74" s="87" t="s">
        <v>33</v>
      </c>
      <c r="C74" s="87" t="s">
        <v>587</v>
      </c>
      <c r="D74" s="99">
        <f>IF(ISNA(VLOOKUP($A74,'Audit Values'!$A$2:$BV$392,2,FALSE)),'Preliminary SO66'!AZ73,VLOOKUP($A74,'Audit Values'!$A$2:$BV$392,48,FALSE))</f>
        <v>862614</v>
      </c>
      <c r="E74" s="83">
        <f t="shared" si="3"/>
        <v>948875</v>
      </c>
      <c r="F74" s="83">
        <f>'2019 Legal Max'!AO74*'Weighting Factors'!$Q$5</f>
        <v>801346</v>
      </c>
      <c r="G74" s="83">
        <f t="shared" si="4"/>
        <v>0</v>
      </c>
      <c r="H74" s="135" t="str">
        <f>'2019 Legal Max'!BD74</f>
        <v>A</v>
      </c>
    </row>
    <row r="75" spans="1:8">
      <c r="A75" s="88" t="s">
        <v>267</v>
      </c>
      <c r="B75" s="87" t="s">
        <v>33</v>
      </c>
      <c r="C75" s="87" t="s">
        <v>588</v>
      </c>
      <c r="D75" s="99">
        <f>IF(ISNA(VLOOKUP($A75,'Audit Values'!$A$2:$BV$392,2,FALSE)),'Preliminary SO66'!AZ74,VLOOKUP($A75,'Audit Values'!$A$2:$BV$392,48,FALSE))</f>
        <v>287509</v>
      </c>
      <c r="E75" s="83">
        <f t="shared" si="3"/>
        <v>316260</v>
      </c>
      <c r="F75" s="83">
        <f>'2019 Legal Max'!AO75*'Weighting Factors'!$Q$5</f>
        <v>311126</v>
      </c>
      <c r="G75" s="83">
        <f t="shared" si="4"/>
        <v>0</v>
      </c>
      <c r="H75" s="135" t="str">
        <f>'2019 Legal Max'!BD75</f>
        <v>A</v>
      </c>
    </row>
    <row r="76" spans="1:8">
      <c r="A76" s="88" t="s">
        <v>268</v>
      </c>
      <c r="B76" s="87" t="s">
        <v>33</v>
      </c>
      <c r="C76" s="87" t="s">
        <v>589</v>
      </c>
      <c r="D76" s="99">
        <f>IF(ISNA(VLOOKUP($A76,'Audit Values'!$A$2:$BV$392,2,FALSE)),'Preliminary SO66'!AZ75,VLOOKUP($A76,'Audit Values'!$A$2:$BV$392,48,FALSE))</f>
        <v>310612</v>
      </c>
      <c r="E76" s="83">
        <f t="shared" si="3"/>
        <v>341673</v>
      </c>
      <c r="F76" s="83">
        <f>'2019 Legal Max'!AO76*'Weighting Factors'!$Q$5</f>
        <v>385263</v>
      </c>
      <c r="G76" s="83">
        <f t="shared" si="4"/>
        <v>-43590</v>
      </c>
      <c r="H76" s="135" t="str">
        <f>'2019 Legal Max'!BD76</f>
        <v>A</v>
      </c>
    </row>
    <row r="77" spans="1:8">
      <c r="A77" s="88" t="s">
        <v>269</v>
      </c>
      <c r="B77" s="87" t="s">
        <v>33</v>
      </c>
      <c r="C77" s="87" t="s">
        <v>590</v>
      </c>
      <c r="D77" s="99">
        <f>IF(ISNA(VLOOKUP($A77,'Audit Values'!$A$2:$BV$392,2,FALSE)),'Preliminary SO66'!AZ76,VLOOKUP($A77,'Audit Values'!$A$2:$BV$392,48,FALSE))</f>
        <v>2223140</v>
      </c>
      <c r="E77" s="83">
        <f t="shared" si="3"/>
        <v>2445454</v>
      </c>
      <c r="F77" s="83">
        <f>'2019 Legal Max'!AO77*'Weighting Factors'!$Q$5</f>
        <v>2256597</v>
      </c>
      <c r="G77" s="83">
        <f t="shared" si="4"/>
        <v>0</v>
      </c>
      <c r="H77" s="135" t="str">
        <f>'2019 Legal Max'!BD77</f>
        <v>A</v>
      </c>
    </row>
    <row r="78" spans="1:8">
      <c r="A78" s="88" t="s">
        <v>270</v>
      </c>
      <c r="B78" s="87" t="s">
        <v>33</v>
      </c>
      <c r="C78" s="87" t="s">
        <v>591</v>
      </c>
      <c r="D78" s="99">
        <f>IF(ISNA(VLOOKUP($A78,'Audit Values'!$A$2:$BV$392,2,FALSE)),'Preliminary SO66'!AZ77,VLOOKUP($A78,'Audit Values'!$A$2:$BV$392,48,FALSE))</f>
        <v>2297129</v>
      </c>
      <c r="E78" s="83">
        <f t="shared" si="3"/>
        <v>2526842</v>
      </c>
      <c r="F78" s="83">
        <f>'2019 Legal Max'!AO78*'Weighting Factors'!$Q$5</f>
        <v>2466097</v>
      </c>
      <c r="G78" s="83">
        <f t="shared" si="4"/>
        <v>0</v>
      </c>
      <c r="H78" s="135" t="str">
        <f>'2019 Legal Max'!BD78</f>
        <v>A</v>
      </c>
    </row>
    <row r="79" spans="1:8">
      <c r="A79" s="88" t="s">
        <v>271</v>
      </c>
      <c r="B79" s="87" t="s">
        <v>33</v>
      </c>
      <c r="C79" s="87" t="s">
        <v>592</v>
      </c>
      <c r="D79" s="99">
        <f>IF(ISNA(VLOOKUP($A79,'Audit Values'!$A$2:$BV$392,2,FALSE)),'Preliminary SO66'!AZ78,VLOOKUP($A79,'Audit Values'!$A$2:$BV$392,48,FALSE))</f>
        <v>589102</v>
      </c>
      <c r="E79" s="83">
        <f t="shared" si="3"/>
        <v>648012</v>
      </c>
      <c r="F79" s="83">
        <f>'2019 Legal Max'!AO79*'Weighting Factors'!$Q$5</f>
        <v>608923</v>
      </c>
      <c r="G79" s="83">
        <f t="shared" si="4"/>
        <v>0</v>
      </c>
      <c r="H79" s="135" t="str">
        <f>'2019 Legal Max'!BD79</f>
        <v>A</v>
      </c>
    </row>
    <row r="80" spans="1:8">
      <c r="A80" s="88" t="s">
        <v>272</v>
      </c>
      <c r="B80" s="87" t="s">
        <v>33</v>
      </c>
      <c r="C80" s="87" t="s">
        <v>593</v>
      </c>
      <c r="D80" s="99">
        <f>IF(ISNA(VLOOKUP($A80,'Audit Values'!$A$2:$BV$392,2,FALSE)),'Preliminary SO66'!AZ79,VLOOKUP($A80,'Audit Values'!$A$2:$BV$392,48,FALSE))</f>
        <v>194326</v>
      </c>
      <c r="E80" s="83">
        <f t="shared" si="3"/>
        <v>213759</v>
      </c>
      <c r="F80" s="83">
        <f>'2019 Legal Max'!AO80*'Weighting Factors'!$Q$5</f>
        <v>169099</v>
      </c>
      <c r="G80" s="83">
        <f t="shared" si="4"/>
        <v>0</v>
      </c>
      <c r="H80" s="135" t="str">
        <f>'2019 Legal Max'!BD80</f>
        <v>A</v>
      </c>
    </row>
    <row r="81" spans="1:8">
      <c r="A81" s="88" t="s">
        <v>273</v>
      </c>
      <c r="B81" s="87" t="s">
        <v>35</v>
      </c>
      <c r="C81" s="87" t="s">
        <v>594</v>
      </c>
      <c r="D81" s="99">
        <f>IF(ISNA(VLOOKUP($A81,'Audit Values'!$A$2:$BV$392,2,FALSE)),'Preliminary SO66'!AZ80,VLOOKUP($A81,'Audit Values'!$A$2:$BV$392,48,FALSE))</f>
        <v>93343</v>
      </c>
      <c r="E81" s="83">
        <f t="shared" si="3"/>
        <v>102677</v>
      </c>
      <c r="F81" s="83">
        <f>'2019 Legal Max'!AO81*'Weighting Factors'!$Q$5</f>
        <v>104958</v>
      </c>
      <c r="G81" s="83">
        <f t="shared" si="4"/>
        <v>-2281</v>
      </c>
      <c r="H81" s="135" t="str">
        <f>'2019 Legal Max'!BD81</f>
        <v>A</v>
      </c>
    </row>
    <row r="82" spans="1:8">
      <c r="A82" s="88" t="s">
        <v>274</v>
      </c>
      <c r="B82" s="87" t="s">
        <v>35</v>
      </c>
      <c r="C82" s="87" t="s">
        <v>595</v>
      </c>
      <c r="D82" s="99">
        <f>IF(ISNA(VLOOKUP($A82,'Audit Values'!$A$2:$BV$392,2,FALSE)),'Preliminary SO66'!AZ81,VLOOKUP($A82,'Audit Values'!$A$2:$BV$392,48,FALSE))</f>
        <v>54060</v>
      </c>
      <c r="E82" s="83">
        <f t="shared" si="3"/>
        <v>59466</v>
      </c>
      <c r="F82" s="83">
        <f>'2019 Legal Max'!AO82*'Weighting Factors'!$Q$5</f>
        <v>58727</v>
      </c>
      <c r="G82" s="83">
        <f t="shared" si="4"/>
        <v>0</v>
      </c>
      <c r="H82" s="135" t="str">
        <f>'2019 Legal Max'!BD82</f>
        <v>A</v>
      </c>
    </row>
    <row r="83" spans="1:8">
      <c r="A83" s="88" t="s">
        <v>275</v>
      </c>
      <c r="B83" s="87" t="s">
        <v>35</v>
      </c>
      <c r="C83" s="87" t="s">
        <v>596</v>
      </c>
      <c r="D83" s="99">
        <f>IF(ISNA(VLOOKUP($A83,'Audit Values'!$A$2:$BV$392,2,FALSE)),'Preliminary SO66'!AZ82,VLOOKUP($A83,'Audit Values'!$A$2:$BV$392,48,FALSE))</f>
        <v>87965</v>
      </c>
      <c r="E83" s="83">
        <f t="shared" si="3"/>
        <v>96762</v>
      </c>
      <c r="F83" s="83">
        <f>'2019 Legal Max'!AO83*'Weighting Factors'!$Q$5</f>
        <v>109540</v>
      </c>
      <c r="G83" s="83">
        <f t="shared" si="4"/>
        <v>-12778</v>
      </c>
      <c r="H83" s="135" t="str">
        <f>'2019 Legal Max'!BD83</f>
        <v>A</v>
      </c>
    </row>
    <row r="84" spans="1:8">
      <c r="A84" s="88" t="s">
        <v>276</v>
      </c>
      <c r="B84" s="87" t="s">
        <v>36</v>
      </c>
      <c r="C84" s="87" t="s">
        <v>597</v>
      </c>
      <c r="D84" s="99">
        <f>IF(ISNA(VLOOKUP($A84,'Audit Values'!$A$2:$BV$392,2,FALSE)),'Preliminary SO66'!AZ83,VLOOKUP($A84,'Audit Values'!$A$2:$BV$392,48,FALSE))</f>
        <v>121324</v>
      </c>
      <c r="E84" s="83">
        <f t="shared" si="3"/>
        <v>133456</v>
      </c>
      <c r="F84" s="83">
        <f>'2019 Legal Max'!AO84*'Weighting Factors'!$Q$5</f>
        <v>182011</v>
      </c>
      <c r="G84" s="83">
        <f t="shared" si="4"/>
        <v>-48555</v>
      </c>
      <c r="H84" s="135" t="str">
        <f>'2019 Legal Max'!BD84</f>
        <v>A</v>
      </c>
    </row>
    <row r="85" spans="1:8">
      <c r="A85" s="88" t="s">
        <v>277</v>
      </c>
      <c r="B85" s="87" t="s">
        <v>36</v>
      </c>
      <c r="C85" s="87" t="s">
        <v>598</v>
      </c>
      <c r="D85" s="99">
        <f>IF(ISNA(VLOOKUP($A85,'Audit Values'!$A$2:$BV$392,2,FALSE)),'Preliminary SO66'!AZ84,VLOOKUP($A85,'Audit Values'!$A$2:$BV$392,48,FALSE))</f>
        <v>197299</v>
      </c>
      <c r="E85" s="83">
        <f t="shared" si="3"/>
        <v>217029</v>
      </c>
      <c r="F85" s="83">
        <f>'2019 Legal Max'!AO85*'Weighting Factors'!$Q$5</f>
        <v>203669</v>
      </c>
      <c r="G85" s="83">
        <f t="shared" si="4"/>
        <v>0</v>
      </c>
      <c r="H85" s="135" t="str">
        <f>'2019 Legal Max'!BD85</f>
        <v>A</v>
      </c>
    </row>
    <row r="86" spans="1:8">
      <c r="A86" s="88" t="s">
        <v>278</v>
      </c>
      <c r="B86" s="87" t="s">
        <v>37</v>
      </c>
      <c r="C86" s="87" t="s">
        <v>599</v>
      </c>
      <c r="D86" s="99">
        <f>IF(ISNA(VLOOKUP($A86,'Audit Values'!$A$2:$BV$392,2,FALSE)),'Preliminary SO66'!AZ85,VLOOKUP($A86,'Audit Values'!$A$2:$BV$392,48,FALSE))</f>
        <v>86556</v>
      </c>
      <c r="E86" s="83">
        <f t="shared" si="3"/>
        <v>95212</v>
      </c>
      <c r="F86" s="83">
        <f>'2019 Legal Max'!AO86*'Weighting Factors'!$Q$5</f>
        <v>119536</v>
      </c>
      <c r="G86" s="83">
        <f t="shared" si="4"/>
        <v>-24324</v>
      </c>
      <c r="H86" s="135" t="str">
        <f>'2019 Legal Max'!BD86</f>
        <v>A</v>
      </c>
    </row>
    <row r="87" spans="1:8">
      <c r="A87" s="88" t="s">
        <v>279</v>
      </c>
      <c r="B87" s="87" t="s">
        <v>37</v>
      </c>
      <c r="C87" s="87" t="s">
        <v>600</v>
      </c>
      <c r="D87" s="99">
        <f>IF(ISNA(VLOOKUP($A87,'Audit Values'!$A$2:$BV$392,2,FALSE)),'Preliminary SO66'!AZ86,VLOOKUP($A87,'Audit Values'!$A$2:$BV$392,48,FALSE))</f>
        <v>57138</v>
      </c>
      <c r="E87" s="83">
        <f t="shared" si="3"/>
        <v>62852</v>
      </c>
      <c r="F87" s="83">
        <f>'2019 Legal Max'!AO87*'Weighting Factors'!$Q$5</f>
        <v>62892</v>
      </c>
      <c r="G87" s="83">
        <f t="shared" si="4"/>
        <v>-40</v>
      </c>
      <c r="H87" s="135" t="str">
        <f>'2019 Legal Max'!BD87</f>
        <v>A</v>
      </c>
    </row>
    <row r="88" spans="1:8">
      <c r="A88" s="88" t="s">
        <v>280</v>
      </c>
      <c r="B88" s="87" t="s">
        <v>38</v>
      </c>
      <c r="C88" s="87" t="s">
        <v>601</v>
      </c>
      <c r="D88" s="99">
        <f>IF(ISNA(VLOOKUP($A88,'Audit Values'!$A$2:$BV$392,2,FALSE)),'Preliminary SO66'!AZ87,VLOOKUP($A88,'Audit Values'!$A$2:$BV$392,48,FALSE))</f>
        <v>174229</v>
      </c>
      <c r="E88" s="83">
        <f t="shared" si="3"/>
        <v>191652</v>
      </c>
      <c r="F88" s="83">
        <f>'2019 Legal Max'!AO88*'Weighting Factors'!$Q$5</f>
        <v>166600</v>
      </c>
      <c r="G88" s="83">
        <f t="shared" si="4"/>
        <v>0</v>
      </c>
      <c r="H88" s="135" t="str">
        <f>'2019 Legal Max'!BD88</f>
        <v>A</v>
      </c>
    </row>
    <row r="89" spans="1:8">
      <c r="A89" s="88" t="s">
        <v>281</v>
      </c>
      <c r="B89" s="87" t="s">
        <v>39</v>
      </c>
      <c r="C89" s="87" t="s">
        <v>602</v>
      </c>
      <c r="D89" s="99">
        <f>IF(ISNA(VLOOKUP($A89,'Audit Values'!$A$2:$BV$392,2,FALSE)),'Preliminary SO66'!AZ88,VLOOKUP($A89,'Audit Values'!$A$2:$BV$392,48,FALSE))</f>
        <v>285399</v>
      </c>
      <c r="E89" s="83">
        <f t="shared" si="3"/>
        <v>313939</v>
      </c>
      <c r="F89" s="83">
        <f>'2019 Legal Max'!AO89*'Weighting Factors'!$Q$5</f>
        <v>252816</v>
      </c>
      <c r="G89" s="83">
        <f t="shared" si="4"/>
        <v>0</v>
      </c>
      <c r="H89" s="135" t="str">
        <f>'2019 Legal Max'!BD89</f>
        <v>A</v>
      </c>
    </row>
    <row r="90" spans="1:8">
      <c r="A90" s="88" t="s">
        <v>282</v>
      </c>
      <c r="B90" s="87" t="s">
        <v>39</v>
      </c>
      <c r="C90" s="87" t="s">
        <v>603</v>
      </c>
      <c r="D90" s="99">
        <f>IF(ISNA(VLOOKUP($A90,'Audit Values'!$A$2:$BV$392,2,FALSE)),'Preliminary SO66'!AZ89,VLOOKUP($A90,'Audit Values'!$A$2:$BV$392,48,FALSE))</f>
        <v>150167</v>
      </c>
      <c r="E90" s="83">
        <f t="shared" si="3"/>
        <v>165184</v>
      </c>
      <c r="F90" s="83">
        <f>'2019 Legal Max'!AO90*'Weighting Factors'!$Q$5</f>
        <v>60393</v>
      </c>
      <c r="G90" s="83">
        <f t="shared" si="4"/>
        <v>0</v>
      </c>
      <c r="H90" s="135" t="str">
        <f>'2019 Legal Max'!BD90</f>
        <v>A</v>
      </c>
    </row>
    <row r="91" spans="1:8">
      <c r="A91" s="88" t="s">
        <v>283</v>
      </c>
      <c r="B91" s="87" t="s">
        <v>40</v>
      </c>
      <c r="C91" s="87" t="s">
        <v>604</v>
      </c>
      <c r="D91" s="99">
        <f>IF(ISNA(VLOOKUP($A91,'Audit Values'!$A$2:$BV$392,2,FALSE)),'Preliminary SO66'!AZ90,VLOOKUP($A91,'Audit Values'!$A$2:$BV$392,48,FALSE))</f>
        <v>270559</v>
      </c>
      <c r="E91" s="83">
        <f t="shared" si="3"/>
        <v>297615</v>
      </c>
      <c r="F91" s="83">
        <f>'2019 Legal Max'!AO91*'Weighting Factors'!$Q$5</f>
        <v>268643</v>
      </c>
      <c r="G91" s="83">
        <f t="shared" si="4"/>
        <v>0</v>
      </c>
      <c r="H91" s="135" t="str">
        <f>'2019 Legal Max'!BD91</f>
        <v>A</v>
      </c>
    </row>
    <row r="92" spans="1:8">
      <c r="A92" s="88" t="s">
        <v>284</v>
      </c>
      <c r="B92" s="87" t="s">
        <v>41</v>
      </c>
      <c r="C92" s="87" t="s">
        <v>605</v>
      </c>
      <c r="D92" s="99">
        <f>IF(ISNA(VLOOKUP($A92,'Audit Values'!$A$2:$BV$392,2,FALSE)),'Preliminary SO66'!AZ91,VLOOKUP($A92,'Audit Values'!$A$2:$BV$392,48,FALSE))</f>
        <v>35604</v>
      </c>
      <c r="E92" s="83">
        <f t="shared" si="3"/>
        <v>39164</v>
      </c>
      <c r="F92" s="83">
        <f>'2019 Legal Max'!AO92*'Weighting Factors'!$Q$5</f>
        <v>51646</v>
      </c>
      <c r="G92" s="83">
        <f t="shared" si="4"/>
        <v>-12482</v>
      </c>
      <c r="H92" s="135" t="str">
        <f>'2019 Legal Max'!BD92</f>
        <v>A</v>
      </c>
    </row>
    <row r="93" spans="1:8">
      <c r="A93" s="88" t="s">
        <v>285</v>
      </c>
      <c r="B93" s="87" t="s">
        <v>41</v>
      </c>
      <c r="C93" s="87" t="s">
        <v>606</v>
      </c>
      <c r="D93" s="99">
        <f>IF(ISNA(VLOOKUP($A93,'Audit Values'!$A$2:$BV$392,2,FALSE)),'Preliminary SO66'!AZ92,VLOOKUP($A93,'Audit Values'!$A$2:$BV$392,48,FALSE))</f>
        <v>174403</v>
      </c>
      <c r="E93" s="83">
        <f t="shared" si="3"/>
        <v>191843</v>
      </c>
      <c r="F93" s="83">
        <f>'2019 Legal Max'!AO93*'Weighting Factors'!$Q$5</f>
        <v>171182</v>
      </c>
      <c r="G93" s="83">
        <f t="shared" si="4"/>
        <v>0</v>
      </c>
      <c r="H93" s="135" t="str">
        <f>'2019 Legal Max'!BD93</f>
        <v>A</v>
      </c>
    </row>
    <row r="94" spans="1:8">
      <c r="A94" s="88" t="s">
        <v>286</v>
      </c>
      <c r="B94" s="87" t="s">
        <v>42</v>
      </c>
      <c r="C94" s="87" t="s">
        <v>607</v>
      </c>
      <c r="D94" s="99">
        <f>IF(ISNA(VLOOKUP($A94,'Audit Values'!$A$2:$BV$392,2,FALSE)),'Preliminary SO66'!AZ93,VLOOKUP($A94,'Audit Values'!$A$2:$BV$392,48,FALSE))</f>
        <v>295703</v>
      </c>
      <c r="E94" s="83">
        <f t="shared" si="3"/>
        <v>325273</v>
      </c>
      <c r="F94" s="83">
        <f>'2019 Legal Max'!AO94*'Weighting Factors'!$Q$5</f>
        <v>359023</v>
      </c>
      <c r="G94" s="83">
        <f t="shared" si="4"/>
        <v>-33750</v>
      </c>
      <c r="H94" s="135" t="str">
        <f>'2019 Legal Max'!BD94</f>
        <v>A</v>
      </c>
    </row>
    <row r="95" spans="1:8">
      <c r="A95" s="88" t="s">
        <v>287</v>
      </c>
      <c r="B95" s="87" t="s">
        <v>42</v>
      </c>
      <c r="C95" s="87" t="s">
        <v>608</v>
      </c>
      <c r="D95" s="99">
        <f>IF(ISNA(VLOOKUP($A95,'Audit Values'!$A$2:$BV$392,2,FALSE)),'Preliminary SO66'!AZ94,VLOOKUP($A95,'Audit Values'!$A$2:$BV$392,48,FALSE))</f>
        <v>326507</v>
      </c>
      <c r="E95" s="83">
        <f t="shared" si="3"/>
        <v>359158</v>
      </c>
      <c r="F95" s="83">
        <f>'2019 Legal Max'!AO95*'Weighting Factors'!$Q$5</f>
        <v>358607</v>
      </c>
      <c r="G95" s="83">
        <f t="shared" si="4"/>
        <v>0</v>
      </c>
      <c r="H95" s="135" t="str">
        <f>'2019 Legal Max'!BD95</f>
        <v>A</v>
      </c>
    </row>
    <row r="96" spans="1:8">
      <c r="A96" s="88" t="s">
        <v>288</v>
      </c>
      <c r="B96" s="87" t="s">
        <v>42</v>
      </c>
      <c r="C96" s="87" t="s">
        <v>609</v>
      </c>
      <c r="D96" s="99">
        <f>IF(ISNA(VLOOKUP($A96,'Audit Values'!$A$2:$BV$392,2,FALSE)),'Preliminary SO66'!AZ95,VLOOKUP($A96,'Audit Values'!$A$2:$BV$392,48,FALSE))</f>
        <v>233602</v>
      </c>
      <c r="E96" s="83">
        <f t="shared" si="3"/>
        <v>256962</v>
      </c>
      <c r="F96" s="83">
        <f>'2019 Legal Max'!AO96*'Weighting Factors'!$Q$5</f>
        <v>230741</v>
      </c>
      <c r="G96" s="83">
        <f t="shared" si="4"/>
        <v>0</v>
      </c>
      <c r="H96" s="135" t="str">
        <f>'2019 Legal Max'!BD96</f>
        <v>A</v>
      </c>
    </row>
    <row r="97" spans="1:8">
      <c r="A97" s="88" t="s">
        <v>289</v>
      </c>
      <c r="B97" s="87" t="s">
        <v>42</v>
      </c>
      <c r="C97" s="87" t="s">
        <v>610</v>
      </c>
      <c r="D97" s="99">
        <f>IF(ISNA(VLOOKUP($A97,'Audit Values'!$A$2:$BV$392,2,FALSE)),'Preliminary SO66'!AZ96,VLOOKUP($A97,'Audit Values'!$A$2:$BV$392,48,FALSE))</f>
        <v>337412</v>
      </c>
      <c r="E97" s="83">
        <f t="shared" si="3"/>
        <v>371153</v>
      </c>
      <c r="F97" s="83">
        <f>'2019 Legal Max'!AO97*'Weighting Factors'!$Q$5</f>
        <v>407337</v>
      </c>
      <c r="G97" s="83">
        <f t="shared" si="4"/>
        <v>-36184</v>
      </c>
      <c r="H97" s="135" t="str">
        <f>'2019 Legal Max'!BD97</f>
        <v>A</v>
      </c>
    </row>
    <row r="98" spans="1:8">
      <c r="A98" s="88" t="s">
        <v>290</v>
      </c>
      <c r="B98" s="87" t="s">
        <v>43</v>
      </c>
      <c r="C98" s="87" t="s">
        <v>611</v>
      </c>
      <c r="D98" s="99">
        <f>IF(ISNA(VLOOKUP($A98,'Audit Values'!$A$2:$BV$392,2,FALSE)),'Preliminary SO66'!AZ97,VLOOKUP($A98,'Audit Values'!$A$2:$BV$392,48,FALSE))</f>
        <v>59238</v>
      </c>
      <c r="E98" s="83">
        <f t="shared" si="3"/>
        <v>65162</v>
      </c>
      <c r="F98" s="83">
        <f>'2019 Legal Max'!AO98*'Weighting Factors'!$Q$5</f>
        <v>59143</v>
      </c>
      <c r="G98" s="83">
        <f t="shared" si="4"/>
        <v>0</v>
      </c>
      <c r="H98" s="135" t="str">
        <f>'2019 Legal Max'!BD98</f>
        <v>A</v>
      </c>
    </row>
    <row r="99" spans="1:8">
      <c r="A99" s="88" t="s">
        <v>291</v>
      </c>
      <c r="B99" s="87" t="s">
        <v>43</v>
      </c>
      <c r="C99" s="87" t="s">
        <v>612</v>
      </c>
      <c r="D99" s="99">
        <f>IF(ISNA(VLOOKUP($A99,'Audit Values'!$A$2:$BV$392,2,FALSE)),'Preliminary SO66'!AZ98,VLOOKUP($A99,'Audit Values'!$A$2:$BV$392,48,FALSE))</f>
        <v>91740</v>
      </c>
      <c r="E99" s="83">
        <f t="shared" si="3"/>
        <v>100914</v>
      </c>
      <c r="F99" s="83">
        <f>'2019 Legal Max'!AO99*'Weighting Factors'!$Q$5</f>
        <v>115371</v>
      </c>
      <c r="G99" s="83">
        <f t="shared" si="4"/>
        <v>-14457</v>
      </c>
      <c r="H99" s="135" t="str">
        <f>'2019 Legal Max'!BD99</f>
        <v>A</v>
      </c>
    </row>
    <row r="100" spans="1:8">
      <c r="A100" s="88" t="s">
        <v>292</v>
      </c>
      <c r="B100" s="87" t="s">
        <v>43</v>
      </c>
      <c r="C100" s="87" t="s">
        <v>613</v>
      </c>
      <c r="D100" s="99">
        <f>IF(ISNA(VLOOKUP($A100,'Audit Values'!$A$2:$BV$392,2,FALSE)),'Preliminary SO66'!AZ99,VLOOKUP($A100,'Audit Values'!$A$2:$BV$392,48,FALSE))</f>
        <v>135049</v>
      </c>
      <c r="E100" s="83">
        <f t="shared" si="3"/>
        <v>148554</v>
      </c>
      <c r="F100" s="83">
        <f>'2019 Legal Max'!AO100*'Weighting Factors'!$Q$5</f>
        <v>111206</v>
      </c>
      <c r="G100" s="83">
        <f t="shared" si="4"/>
        <v>0</v>
      </c>
      <c r="H100" s="135" t="str">
        <f>'2019 Legal Max'!BD100</f>
        <v>A</v>
      </c>
    </row>
    <row r="101" spans="1:8">
      <c r="A101" s="88" t="s">
        <v>293</v>
      </c>
      <c r="B101" s="87" t="s">
        <v>44</v>
      </c>
      <c r="C101" s="87" t="s">
        <v>614</v>
      </c>
      <c r="D101" s="99">
        <f>IF(ISNA(VLOOKUP($A101,'Audit Values'!$A$2:$BV$392,2,FALSE)),'Preliminary SO66'!AZ100,VLOOKUP($A101,'Audit Values'!$A$2:$BV$392,48,FALSE))</f>
        <v>202691</v>
      </c>
      <c r="E101" s="83">
        <f t="shared" si="3"/>
        <v>222960</v>
      </c>
      <c r="F101" s="83">
        <f>'2019 Legal Max'!AO101*'Weighting Factors'!$Q$5</f>
        <v>142027</v>
      </c>
      <c r="G101" s="83">
        <f t="shared" si="4"/>
        <v>0</v>
      </c>
      <c r="H101" s="135" t="str">
        <f>'2019 Legal Max'!BD101</f>
        <v>A</v>
      </c>
    </row>
    <row r="102" spans="1:8">
      <c r="A102" s="88" t="s">
        <v>294</v>
      </c>
      <c r="B102" s="87" t="s">
        <v>6</v>
      </c>
      <c r="C102" s="87" t="s">
        <v>615</v>
      </c>
      <c r="D102" s="99">
        <f>IF(ISNA(VLOOKUP($A102,'Audit Values'!$A$2:$BV$392,2,FALSE)),'Preliminary SO66'!AZ101,VLOOKUP($A102,'Audit Values'!$A$2:$BV$392,48,FALSE))</f>
        <v>112537</v>
      </c>
      <c r="E102" s="83">
        <f t="shared" si="3"/>
        <v>123791</v>
      </c>
      <c r="F102" s="83">
        <f>'2019 Legal Max'!AO102*'Weighting Factors'!$Q$5</f>
        <v>106208</v>
      </c>
      <c r="G102" s="83">
        <f t="shared" si="4"/>
        <v>0</v>
      </c>
      <c r="H102" s="135" t="str">
        <f>'2019 Legal Max'!BD102</f>
        <v>A</v>
      </c>
    </row>
    <row r="103" spans="1:8">
      <c r="A103" s="88" t="s">
        <v>295</v>
      </c>
      <c r="B103" s="87" t="s">
        <v>45</v>
      </c>
      <c r="C103" s="87" t="s">
        <v>616</v>
      </c>
      <c r="D103" s="99">
        <f>IF(ISNA(VLOOKUP($A103,'Audit Values'!$A$2:$BV$392,2,FALSE)),'Preliminary SO66'!AZ102,VLOOKUP($A103,'Audit Values'!$A$2:$BV$392,48,FALSE))</f>
        <v>338835</v>
      </c>
      <c r="E103" s="83">
        <f t="shared" si="3"/>
        <v>372719</v>
      </c>
      <c r="F103" s="83">
        <f>'2019 Legal Max'!AO103*'Weighting Factors'!$Q$5</f>
        <v>181594</v>
      </c>
      <c r="G103" s="83">
        <f t="shared" si="4"/>
        <v>0</v>
      </c>
      <c r="H103" s="135" t="str">
        <f>'2019 Legal Max'!BD103</f>
        <v>A</v>
      </c>
    </row>
    <row r="104" spans="1:8">
      <c r="A104" s="88" t="s">
        <v>296</v>
      </c>
      <c r="B104" s="87" t="s">
        <v>45</v>
      </c>
      <c r="C104" s="87" t="s">
        <v>617</v>
      </c>
      <c r="D104" s="99">
        <f>IF(ISNA(VLOOKUP($A104,'Audit Values'!$A$2:$BV$392,2,FALSE)),'Preliminary SO66'!AZ103,VLOOKUP($A104,'Audit Values'!$A$2:$BV$392,48,FALSE))</f>
        <v>195305</v>
      </c>
      <c r="E104" s="83">
        <f t="shared" si="3"/>
        <v>214836</v>
      </c>
      <c r="F104" s="83">
        <f>'2019 Legal Max'!AO104*'Weighting Factors'!$Q$5</f>
        <v>230741</v>
      </c>
      <c r="G104" s="83">
        <f t="shared" si="4"/>
        <v>-15905</v>
      </c>
      <c r="H104" s="135" t="str">
        <f>'2019 Legal Max'!BD104</f>
        <v>A</v>
      </c>
    </row>
    <row r="105" spans="1:8">
      <c r="A105" s="88" t="s">
        <v>297</v>
      </c>
      <c r="B105" s="87" t="s">
        <v>46</v>
      </c>
      <c r="C105" s="87" t="s">
        <v>618</v>
      </c>
      <c r="D105" s="99">
        <f>IF(ISNA(VLOOKUP($A105,'Audit Values'!$A$2:$BV$392,2,FALSE)),'Preliminary SO66'!AZ104,VLOOKUP($A105,'Audit Values'!$A$2:$BV$392,48,FALSE))</f>
        <v>310472</v>
      </c>
      <c r="E105" s="83">
        <f t="shared" si="3"/>
        <v>341519</v>
      </c>
      <c r="F105" s="83">
        <f>'2019 Legal Max'!AO105*'Weighting Factors'!$Q$5</f>
        <v>302796</v>
      </c>
      <c r="G105" s="83">
        <f t="shared" si="4"/>
        <v>0</v>
      </c>
      <c r="H105" s="135" t="str">
        <f>'2019 Legal Max'!BD105</f>
        <v>A</v>
      </c>
    </row>
    <row r="106" spans="1:8">
      <c r="A106" s="88" t="s">
        <v>298</v>
      </c>
      <c r="B106" s="87" t="s">
        <v>47</v>
      </c>
      <c r="C106" s="87" t="s">
        <v>619</v>
      </c>
      <c r="D106" s="99">
        <f>IF(ISNA(VLOOKUP($A106,'Audit Values'!$A$2:$BV$392,2,FALSE)),'Preliminary SO66'!AZ105,VLOOKUP($A106,'Audit Values'!$A$2:$BV$392,48,FALSE))</f>
        <v>106015</v>
      </c>
      <c r="E106" s="83">
        <f t="shared" si="3"/>
        <v>116617</v>
      </c>
      <c r="F106" s="83">
        <f>'2019 Legal Max'!AO106*'Weighting Factors'!$Q$5</f>
        <v>79968</v>
      </c>
      <c r="G106" s="83">
        <f t="shared" si="4"/>
        <v>0</v>
      </c>
      <c r="H106" s="135" t="str">
        <f>'2019 Legal Max'!BD106</f>
        <v>A</v>
      </c>
    </row>
    <row r="107" spans="1:8">
      <c r="A107" s="88" t="s">
        <v>299</v>
      </c>
      <c r="B107" s="87" t="s">
        <v>48</v>
      </c>
      <c r="C107" s="87" t="s">
        <v>620</v>
      </c>
      <c r="D107" s="99">
        <f>IF(ISNA(VLOOKUP($A107,'Audit Values'!$A$2:$BV$392,2,FALSE)),'Preliminary SO66'!AZ106,VLOOKUP($A107,'Audit Values'!$A$2:$BV$392,48,FALSE))</f>
        <v>874153</v>
      </c>
      <c r="E107" s="83">
        <f t="shared" si="3"/>
        <v>961568</v>
      </c>
      <c r="F107" s="83">
        <f>'2019 Legal Max'!AO107*'Weighting Factors'!$Q$5</f>
        <v>658903</v>
      </c>
      <c r="G107" s="83">
        <f t="shared" si="4"/>
        <v>0</v>
      </c>
      <c r="H107" s="135" t="str">
        <f>'2019 Legal Max'!BD107</f>
        <v>A</v>
      </c>
    </row>
    <row r="108" spans="1:8">
      <c r="A108" s="88" t="s">
        <v>300</v>
      </c>
      <c r="B108" s="87" t="s">
        <v>48</v>
      </c>
      <c r="C108" s="87" t="s">
        <v>621</v>
      </c>
      <c r="D108" s="99">
        <f>IF(ISNA(VLOOKUP($A108,'Audit Values'!$A$2:$BV$392,2,FALSE)),'Preliminary SO66'!AZ107,VLOOKUP($A108,'Audit Values'!$A$2:$BV$392,48,FALSE))</f>
        <v>346262</v>
      </c>
      <c r="E108" s="83">
        <f t="shared" si="3"/>
        <v>380888</v>
      </c>
      <c r="F108" s="83">
        <f>'2019 Legal Max'!AO108*'Weighting Factors'!$Q$5</f>
        <v>383597</v>
      </c>
      <c r="G108" s="83">
        <f t="shared" si="4"/>
        <v>-2709</v>
      </c>
      <c r="H108" s="135" t="str">
        <f>'2019 Legal Max'!BD108</f>
        <v>A</v>
      </c>
    </row>
    <row r="109" spans="1:8">
      <c r="A109" s="88" t="s">
        <v>301</v>
      </c>
      <c r="B109" s="87" t="s">
        <v>48</v>
      </c>
      <c r="C109" s="87" t="s">
        <v>622</v>
      </c>
      <c r="D109" s="99">
        <f>IF(ISNA(VLOOKUP($A109,'Audit Values'!$A$2:$BV$392,2,FALSE)),'Preliminary SO66'!AZ108,VLOOKUP($A109,'Audit Values'!$A$2:$BV$392,48,FALSE))</f>
        <v>191630</v>
      </c>
      <c r="E109" s="83">
        <f t="shared" si="3"/>
        <v>210793</v>
      </c>
      <c r="F109" s="83">
        <f>'2019 Legal Max'!AO109*'Weighting Factors'!$Q$5</f>
        <v>227409</v>
      </c>
      <c r="G109" s="83">
        <f t="shared" si="4"/>
        <v>-16616</v>
      </c>
      <c r="H109" s="135" t="str">
        <f>'2019 Legal Max'!BD109</f>
        <v>A</v>
      </c>
    </row>
    <row r="110" spans="1:8">
      <c r="A110" s="88" t="s">
        <v>302</v>
      </c>
      <c r="B110" s="87" t="s">
        <v>49</v>
      </c>
      <c r="C110" s="87" t="s">
        <v>623</v>
      </c>
      <c r="D110" s="99">
        <f>IF(ISNA(VLOOKUP($A110,'Audit Values'!$A$2:$BV$392,2,FALSE)),'Preliminary SO66'!AZ109,VLOOKUP($A110,'Audit Values'!$A$2:$BV$392,48,FALSE))</f>
        <v>240412</v>
      </c>
      <c r="E110" s="83">
        <f t="shared" si="3"/>
        <v>264453</v>
      </c>
      <c r="F110" s="83">
        <f>'2019 Legal Max'!AO110*'Weighting Factors'!$Q$5</f>
        <v>37069</v>
      </c>
      <c r="G110" s="83">
        <f t="shared" si="4"/>
        <v>0</v>
      </c>
      <c r="H110" s="135" t="str">
        <f>'2019 Legal Max'!BD110</f>
        <v>A</v>
      </c>
    </row>
    <row r="111" spans="1:8">
      <c r="A111" s="88" t="s">
        <v>303</v>
      </c>
      <c r="B111" s="87" t="s">
        <v>49</v>
      </c>
      <c r="C111" s="87" t="s">
        <v>624</v>
      </c>
      <c r="D111" s="99">
        <f>IF(ISNA(VLOOKUP($A111,'Audit Values'!$A$2:$BV$392,2,FALSE)),'Preliminary SO66'!AZ110,VLOOKUP($A111,'Audit Values'!$A$2:$BV$392,48,FALSE))</f>
        <v>583015</v>
      </c>
      <c r="E111" s="83">
        <f t="shared" si="3"/>
        <v>641317</v>
      </c>
      <c r="F111" s="83">
        <f>'2019 Legal Max'!AO111*'Weighting Factors'!$Q$5</f>
        <v>422331</v>
      </c>
      <c r="G111" s="83">
        <f t="shared" si="4"/>
        <v>0</v>
      </c>
      <c r="H111" s="135" t="str">
        <f>'2019 Legal Max'!BD111</f>
        <v>A</v>
      </c>
    </row>
    <row r="112" spans="1:8">
      <c r="A112" s="88" t="s">
        <v>304</v>
      </c>
      <c r="B112" s="87" t="s">
        <v>49</v>
      </c>
      <c r="C112" s="87" t="s">
        <v>625</v>
      </c>
      <c r="D112" s="99">
        <f>IF(ISNA(VLOOKUP($A112,'Audit Values'!$A$2:$BV$392,2,FALSE)),'Preliminary SO66'!AZ111,VLOOKUP($A112,'Audit Values'!$A$2:$BV$392,48,FALSE))</f>
        <v>448518</v>
      </c>
      <c r="E112" s="83">
        <f t="shared" si="3"/>
        <v>493370</v>
      </c>
      <c r="F112" s="83">
        <f>'2019 Legal Max'!AO112*'Weighting Factors'!$Q$5</f>
        <v>322371</v>
      </c>
      <c r="G112" s="83">
        <f t="shared" si="4"/>
        <v>0</v>
      </c>
      <c r="H112" s="135" t="str">
        <f>'2019 Legal Max'!BD112</f>
        <v>A</v>
      </c>
    </row>
    <row r="113" spans="1:8">
      <c r="A113" s="88" t="s">
        <v>305</v>
      </c>
      <c r="B113" s="87" t="s">
        <v>49</v>
      </c>
      <c r="C113" s="87" t="s">
        <v>626</v>
      </c>
      <c r="D113" s="99">
        <f>IF(ISNA(VLOOKUP($A113,'Audit Values'!$A$2:$BV$392,2,FALSE)),'Preliminary SO66'!AZ112,VLOOKUP($A113,'Audit Values'!$A$2:$BV$392,48,FALSE))</f>
        <v>117230</v>
      </c>
      <c r="E113" s="83">
        <f t="shared" si="3"/>
        <v>128953</v>
      </c>
      <c r="F113" s="83">
        <f>'2019 Legal Max'!AO113*'Weighting Factors'!$Q$5</f>
        <v>128282</v>
      </c>
      <c r="G113" s="83">
        <f t="shared" si="4"/>
        <v>0</v>
      </c>
      <c r="H113" s="135" t="str">
        <f>'2019 Legal Max'!BD113</f>
        <v>A</v>
      </c>
    </row>
    <row r="114" spans="1:8">
      <c r="A114" s="88" t="s">
        <v>306</v>
      </c>
      <c r="B114" s="87" t="s">
        <v>49</v>
      </c>
      <c r="C114" s="87" t="s">
        <v>627</v>
      </c>
      <c r="D114" s="99">
        <f>IF(ISNA(VLOOKUP($A114,'Audit Values'!$A$2:$BV$392,2,FALSE)),'Preliminary SO66'!AZ113,VLOOKUP($A114,'Audit Values'!$A$2:$BV$392,48,FALSE))</f>
        <v>236013</v>
      </c>
      <c r="E114" s="83">
        <f t="shared" si="3"/>
        <v>259614</v>
      </c>
      <c r="F114" s="83">
        <f>'2019 Legal Max'!AO114*'Weighting Factors'!$Q$5</f>
        <v>421082</v>
      </c>
      <c r="G114" s="83">
        <f t="shared" si="4"/>
        <v>-161468</v>
      </c>
      <c r="H114" s="135" t="str">
        <f>'2019 Legal Max'!BD114</f>
        <v>A</v>
      </c>
    </row>
    <row r="115" spans="1:8">
      <c r="A115" s="88" t="s">
        <v>307</v>
      </c>
      <c r="B115" s="87" t="s">
        <v>49</v>
      </c>
      <c r="C115" s="87" t="s">
        <v>628</v>
      </c>
      <c r="D115" s="99">
        <f>IF(ISNA(VLOOKUP($A115,'Audit Values'!$A$2:$BV$392,2,FALSE)),'Preliminary SO66'!AZ114,VLOOKUP($A115,'Audit Values'!$A$2:$BV$392,48,FALSE))</f>
        <v>717458</v>
      </c>
      <c r="E115" s="83">
        <f t="shared" si="3"/>
        <v>789204</v>
      </c>
      <c r="F115" s="83">
        <f>'2019 Legal Max'!AO115*'Weighting Factors'!$Q$5</f>
        <v>688475</v>
      </c>
      <c r="G115" s="83">
        <f t="shared" si="4"/>
        <v>0</v>
      </c>
      <c r="H115" s="135" t="str">
        <f>'2019 Legal Max'!BD115</f>
        <v>A</v>
      </c>
    </row>
    <row r="116" spans="1:8">
      <c r="A116" s="88" t="s">
        <v>308</v>
      </c>
      <c r="B116" s="87" t="s">
        <v>50</v>
      </c>
      <c r="C116" s="87" t="s">
        <v>629</v>
      </c>
      <c r="D116" s="99">
        <f>IF(ISNA(VLOOKUP($A116,'Audit Values'!$A$2:$BV$392,2,FALSE)),'Preliminary SO66'!AZ115,VLOOKUP($A116,'Audit Values'!$A$2:$BV$392,48,FALSE))</f>
        <v>55435</v>
      </c>
      <c r="E116" s="83">
        <f t="shared" si="3"/>
        <v>60979</v>
      </c>
      <c r="F116" s="83">
        <f>'2019 Legal Max'!AO116*'Weighting Factors'!$Q$5</f>
        <v>64141</v>
      </c>
      <c r="G116" s="83">
        <f t="shared" si="4"/>
        <v>-3162</v>
      </c>
      <c r="H116" s="135" t="str">
        <f>'2019 Legal Max'!BD116</f>
        <v>A</v>
      </c>
    </row>
    <row r="117" spans="1:8">
      <c r="A117" s="88" t="s">
        <v>309</v>
      </c>
      <c r="B117" s="87" t="s">
        <v>50</v>
      </c>
      <c r="C117" s="87" t="s">
        <v>630</v>
      </c>
      <c r="D117" s="99">
        <f>IF(ISNA(VLOOKUP($A117,'Audit Values'!$A$2:$BV$392,2,FALSE)),'Preliminary SO66'!AZ116,VLOOKUP($A117,'Audit Values'!$A$2:$BV$392,48,FALSE))</f>
        <v>183648</v>
      </c>
      <c r="E117" s="83">
        <f t="shared" si="3"/>
        <v>202013</v>
      </c>
      <c r="F117" s="83">
        <f>'2019 Legal Max'!AO117*'Weighting Factors'!$Q$5</f>
        <v>240737</v>
      </c>
      <c r="G117" s="83">
        <f t="shared" si="4"/>
        <v>-38724</v>
      </c>
      <c r="H117" s="135" t="str">
        <f>'2019 Legal Max'!BD117</f>
        <v>A</v>
      </c>
    </row>
    <row r="118" spans="1:8">
      <c r="A118" s="88" t="s">
        <v>310</v>
      </c>
      <c r="B118" s="87" t="s">
        <v>50</v>
      </c>
      <c r="C118" s="87" t="s">
        <v>631</v>
      </c>
      <c r="D118" s="99">
        <f>IF(ISNA(VLOOKUP($A118,'Audit Values'!$A$2:$BV$392,2,FALSE)),'Preliminary SO66'!AZ117,VLOOKUP($A118,'Audit Values'!$A$2:$BV$392,48,FALSE))</f>
        <v>140960</v>
      </c>
      <c r="E118" s="83">
        <f t="shared" si="3"/>
        <v>155056</v>
      </c>
      <c r="F118" s="83">
        <f>'2019 Legal Max'!AO118*'Weighting Factors'!$Q$5</f>
        <v>101210</v>
      </c>
      <c r="G118" s="83">
        <f t="shared" si="4"/>
        <v>0</v>
      </c>
      <c r="H118" s="135" t="str">
        <f>'2019 Legal Max'!BD118</f>
        <v>A</v>
      </c>
    </row>
    <row r="119" spans="1:8">
      <c r="A119" s="88" t="s">
        <v>311</v>
      </c>
      <c r="B119" s="87" t="s">
        <v>52</v>
      </c>
      <c r="C119" s="87" t="s">
        <v>632</v>
      </c>
      <c r="D119" s="99">
        <f>IF(ISNA(VLOOKUP($A119,'Audit Values'!$A$2:$BV$392,2,FALSE)),'Preliminary SO66'!AZ118,VLOOKUP($A119,'Audit Values'!$A$2:$BV$392,48,FALSE))</f>
        <v>465777</v>
      </c>
      <c r="E119" s="83">
        <f t="shared" si="3"/>
        <v>512355</v>
      </c>
      <c r="F119" s="83">
        <f>'2019 Legal Max'!AO119*'Weighting Factors'!$Q$5</f>
        <v>366937</v>
      </c>
      <c r="G119" s="83">
        <f t="shared" si="4"/>
        <v>0</v>
      </c>
      <c r="H119" s="135" t="str">
        <f>'2019 Legal Max'!BD119</f>
        <v>A</v>
      </c>
    </row>
    <row r="120" spans="1:8">
      <c r="A120" s="88" t="s">
        <v>312</v>
      </c>
      <c r="B120" s="87" t="s">
        <v>52</v>
      </c>
      <c r="C120" s="87" t="s">
        <v>633</v>
      </c>
      <c r="D120" s="99">
        <f>IF(ISNA(VLOOKUP($A120,'Audit Values'!$A$2:$BV$392,2,FALSE)),'Preliminary SO66'!AZ119,VLOOKUP($A120,'Audit Values'!$A$2:$BV$392,48,FALSE))</f>
        <v>156430</v>
      </c>
      <c r="E120" s="83">
        <f t="shared" si="3"/>
        <v>172073</v>
      </c>
      <c r="F120" s="83">
        <f>'2019 Legal Max'!AO120*'Weighting Factors'!$Q$5</f>
        <v>412752</v>
      </c>
      <c r="G120" s="83">
        <f t="shared" si="4"/>
        <v>-240679</v>
      </c>
      <c r="H120" s="135" t="str">
        <f>'2019 Legal Max'!BD120</f>
        <v>A</v>
      </c>
    </row>
    <row r="121" spans="1:8">
      <c r="A121" s="88" t="s">
        <v>313</v>
      </c>
      <c r="B121" s="87" t="s">
        <v>52</v>
      </c>
      <c r="C121" s="87" t="s">
        <v>634</v>
      </c>
      <c r="D121" s="99">
        <f>IF(ISNA(VLOOKUP($A121,'Audit Values'!$A$2:$BV$392,2,FALSE)),'Preliminary SO66'!AZ120,VLOOKUP($A121,'Audit Values'!$A$2:$BV$392,48,FALSE))</f>
        <v>146661</v>
      </c>
      <c r="E121" s="83">
        <f t="shared" si="3"/>
        <v>161327</v>
      </c>
      <c r="F121" s="83">
        <f>'2019 Legal Max'!AO121*'Weighting Factors'!$Q$5</f>
        <v>172848</v>
      </c>
      <c r="G121" s="83">
        <f t="shared" si="4"/>
        <v>-11521</v>
      </c>
      <c r="H121" s="135" t="str">
        <f>'2019 Legal Max'!BD121</f>
        <v>A</v>
      </c>
    </row>
    <row r="122" spans="1:8">
      <c r="A122" s="88" t="s">
        <v>314</v>
      </c>
      <c r="B122" s="87" t="s">
        <v>52</v>
      </c>
      <c r="C122" s="87" t="s">
        <v>635</v>
      </c>
      <c r="D122" s="99">
        <f>IF(ISNA(VLOOKUP($A122,'Audit Values'!$A$2:$BV$392,2,FALSE)),'Preliminary SO66'!AZ121,VLOOKUP($A122,'Audit Values'!$A$2:$BV$392,48,FALSE))</f>
        <v>463410</v>
      </c>
      <c r="E122" s="83">
        <f t="shared" si="3"/>
        <v>509751</v>
      </c>
      <c r="F122" s="83">
        <f>'2019 Legal Max'!AO122*'Weighting Factors'!$Q$5</f>
        <v>509796</v>
      </c>
      <c r="G122" s="83">
        <f t="shared" si="4"/>
        <v>-45</v>
      </c>
      <c r="H122" s="135" t="str">
        <f>'2019 Legal Max'!BD122</f>
        <v>A</v>
      </c>
    </row>
    <row r="123" spans="1:8">
      <c r="A123" s="88" t="s">
        <v>315</v>
      </c>
      <c r="B123" s="87" t="s">
        <v>53</v>
      </c>
      <c r="C123" s="87" t="s">
        <v>636</v>
      </c>
      <c r="D123" s="99">
        <f>IF(ISNA(VLOOKUP($A123,'Audit Values'!$A$2:$BV$392,2,FALSE)),'Preliminary SO66'!AZ122,VLOOKUP($A123,'Audit Values'!$A$2:$BV$392,48,FALSE))</f>
        <v>152323</v>
      </c>
      <c r="E123" s="83">
        <f t="shared" si="3"/>
        <v>167555</v>
      </c>
      <c r="F123" s="83">
        <f>'2019 Legal Max'!AO123*'Weighting Factors'!$Q$5</f>
        <v>164518</v>
      </c>
      <c r="G123" s="83">
        <f t="shared" si="4"/>
        <v>0</v>
      </c>
      <c r="H123" s="135" t="str">
        <f>'2019 Legal Max'!BD123</f>
        <v>A</v>
      </c>
    </row>
    <row r="124" spans="1:8">
      <c r="A124" s="88" t="s">
        <v>316</v>
      </c>
      <c r="B124" s="87" t="s">
        <v>53</v>
      </c>
      <c r="C124" s="87" t="s">
        <v>637</v>
      </c>
      <c r="D124" s="99">
        <f>IF(ISNA(VLOOKUP($A124,'Audit Values'!$A$2:$BV$392,2,FALSE)),'Preliminary SO66'!AZ123,VLOOKUP($A124,'Audit Values'!$A$2:$BV$392,48,FALSE))</f>
        <v>57389</v>
      </c>
      <c r="E124" s="83">
        <f t="shared" si="3"/>
        <v>63128</v>
      </c>
      <c r="F124" s="83">
        <f>'2019 Legal Max'!AO124*'Weighting Factors'!$Q$5</f>
        <v>91630</v>
      </c>
      <c r="G124" s="83">
        <f t="shared" si="4"/>
        <v>-28502</v>
      </c>
      <c r="H124" s="135" t="str">
        <f>'2019 Legal Max'!BD124</f>
        <v>A</v>
      </c>
    </row>
    <row r="125" spans="1:8">
      <c r="A125" s="88" t="s">
        <v>317</v>
      </c>
      <c r="B125" s="87" t="s">
        <v>54</v>
      </c>
      <c r="C125" s="87" t="s">
        <v>638</v>
      </c>
      <c r="D125" s="99">
        <f>IF(ISNA(VLOOKUP($A125,'Audit Values'!$A$2:$BV$392,2,FALSE)),'Preliminary SO66'!AZ124,VLOOKUP($A125,'Audit Values'!$A$2:$BV$392,48,FALSE))</f>
        <v>182080</v>
      </c>
      <c r="E125" s="83">
        <f t="shared" si="3"/>
        <v>200288</v>
      </c>
      <c r="F125" s="83">
        <f>'2019 Legal Max'!AO125*'Weighting Factors'!$Q$5</f>
        <v>286136</v>
      </c>
      <c r="G125" s="83">
        <f t="shared" si="4"/>
        <v>-85848</v>
      </c>
      <c r="H125" s="135" t="str">
        <f>'2019 Legal Max'!BD125</f>
        <v>A</v>
      </c>
    </row>
    <row r="126" spans="1:8">
      <c r="A126" s="88" t="s">
        <v>318</v>
      </c>
      <c r="B126" s="87" t="s">
        <v>55</v>
      </c>
      <c r="C126" s="87" t="s">
        <v>639</v>
      </c>
      <c r="D126" s="99">
        <f>IF(ISNA(VLOOKUP($A126,'Audit Values'!$A$2:$BV$392,2,FALSE)),'Preliminary SO66'!AZ125,VLOOKUP($A126,'Audit Values'!$A$2:$BV$392,48,FALSE))</f>
        <v>255715</v>
      </c>
      <c r="E126" s="83">
        <f t="shared" si="3"/>
        <v>281287</v>
      </c>
      <c r="F126" s="83">
        <f>'2019 Legal Max'!AO126*'Weighting Factors'!$Q$5</f>
        <v>333200</v>
      </c>
      <c r="G126" s="83">
        <f t="shared" si="4"/>
        <v>-51913</v>
      </c>
      <c r="H126" s="135" t="str">
        <f>'2019 Legal Max'!BD126</f>
        <v>A</v>
      </c>
    </row>
    <row r="127" spans="1:8">
      <c r="A127" s="88" t="s">
        <v>319</v>
      </c>
      <c r="B127" s="87" t="s">
        <v>55</v>
      </c>
      <c r="C127" s="87" t="s">
        <v>640</v>
      </c>
      <c r="D127" s="99">
        <f>IF(ISNA(VLOOKUP($A127,'Audit Values'!$A$2:$BV$392,2,FALSE)),'Preliminary SO66'!AZ126,VLOOKUP($A127,'Audit Values'!$A$2:$BV$392,48,FALSE))</f>
        <v>340956</v>
      </c>
      <c r="E127" s="83">
        <f t="shared" si="3"/>
        <v>375052</v>
      </c>
      <c r="F127" s="83">
        <f>'2019 Legal Max'!AO127*'Weighting Factors'!$Q$5</f>
        <v>414834</v>
      </c>
      <c r="G127" s="83">
        <f t="shared" si="4"/>
        <v>-39782</v>
      </c>
      <c r="H127" s="135" t="str">
        <f>'2019 Legal Max'!BD127</f>
        <v>A</v>
      </c>
    </row>
    <row r="128" spans="1:8">
      <c r="A128" s="88" t="s">
        <v>320</v>
      </c>
      <c r="B128" s="87" t="s">
        <v>56</v>
      </c>
      <c r="C128" s="87" t="s">
        <v>641</v>
      </c>
      <c r="D128" s="99">
        <f>IF(ISNA(VLOOKUP($A128,'Audit Values'!$A$2:$BV$392,2,FALSE)),'Preliminary SO66'!AZ127,VLOOKUP($A128,'Audit Values'!$A$2:$BV$392,48,FALSE))</f>
        <v>381214</v>
      </c>
      <c r="E128" s="83">
        <f t="shared" si="3"/>
        <v>419335</v>
      </c>
      <c r="F128" s="83">
        <f>'2019 Legal Max'!AO128*'Weighting Factors'!$Q$5</f>
        <v>349860</v>
      </c>
      <c r="G128" s="83">
        <f t="shared" si="4"/>
        <v>0</v>
      </c>
      <c r="H128" s="135" t="str">
        <f>'2019 Legal Max'!BD128</f>
        <v>A</v>
      </c>
    </row>
    <row r="129" spans="1:8">
      <c r="A129" s="88" t="s">
        <v>321</v>
      </c>
      <c r="B129" s="87" t="s">
        <v>56</v>
      </c>
      <c r="C129" s="87" t="s">
        <v>642</v>
      </c>
      <c r="D129" s="99">
        <f>IF(ISNA(VLOOKUP($A129,'Audit Values'!$A$2:$BV$392,2,FALSE)),'Preliminary SO66'!AZ128,VLOOKUP($A129,'Audit Values'!$A$2:$BV$392,48,FALSE))</f>
        <v>96703</v>
      </c>
      <c r="E129" s="83">
        <f t="shared" si="3"/>
        <v>106373</v>
      </c>
      <c r="F129" s="83">
        <f>'2019 Legal Max'!AO129*'Weighting Factors'!$Q$5</f>
        <v>95795</v>
      </c>
      <c r="G129" s="83">
        <f t="shared" si="4"/>
        <v>0</v>
      </c>
      <c r="H129" s="135" t="str">
        <f>'2019 Legal Max'!BD129</f>
        <v>A</v>
      </c>
    </row>
    <row r="130" spans="1:8">
      <c r="A130" s="88" t="s">
        <v>322</v>
      </c>
      <c r="B130" s="87" t="s">
        <v>57</v>
      </c>
      <c r="C130" s="87" t="s">
        <v>643</v>
      </c>
      <c r="D130" s="99">
        <f>IF(ISNA(VLOOKUP($A130,'Audit Values'!$A$2:$BV$392,2,FALSE)),'Preliminary SO66'!AZ129,VLOOKUP($A130,'Audit Values'!$A$2:$BV$392,48,FALSE))</f>
        <v>311905</v>
      </c>
      <c r="E130" s="83">
        <f t="shared" si="3"/>
        <v>343096</v>
      </c>
      <c r="F130" s="83">
        <f>'2019 Legal Max'!AO130*'Weighting Factors'!$Q$5</f>
        <v>254482</v>
      </c>
      <c r="G130" s="83">
        <f t="shared" si="4"/>
        <v>0</v>
      </c>
      <c r="H130" s="135" t="str">
        <f>'2019 Legal Max'!BD130</f>
        <v>A</v>
      </c>
    </row>
    <row r="131" spans="1:8">
      <c r="A131" s="88" t="s">
        <v>323</v>
      </c>
      <c r="B131" s="87" t="s">
        <v>57</v>
      </c>
      <c r="C131" s="87" t="s">
        <v>644</v>
      </c>
      <c r="D131" s="99">
        <f>IF(ISNA(VLOOKUP($A131,'Audit Values'!$A$2:$BV$392,2,FALSE)),'Preliminary SO66'!AZ130,VLOOKUP($A131,'Audit Values'!$A$2:$BV$392,48,FALSE))</f>
        <v>101390</v>
      </c>
      <c r="E131" s="83">
        <f t="shared" si="3"/>
        <v>111529</v>
      </c>
      <c r="F131" s="83">
        <f>'2019 Legal Max'!AO131*'Weighting Factors'!$Q$5</f>
        <v>49980</v>
      </c>
      <c r="G131" s="83">
        <f t="shared" si="4"/>
        <v>0</v>
      </c>
      <c r="H131" s="135" t="str">
        <f>'2019 Legal Max'!BD131</f>
        <v>A</v>
      </c>
    </row>
    <row r="132" spans="1:8">
      <c r="A132" s="88" t="s">
        <v>324</v>
      </c>
      <c r="B132" s="87" t="s">
        <v>58</v>
      </c>
      <c r="C132" s="87" t="s">
        <v>645</v>
      </c>
      <c r="D132" s="99">
        <f>IF(ISNA(VLOOKUP($A132,'Audit Values'!$A$2:$BV$392,2,FALSE)),'Preliminary SO66'!AZ131,VLOOKUP($A132,'Audit Values'!$A$2:$BV$392,48,FALSE))</f>
        <v>397867</v>
      </c>
      <c r="E132" s="83">
        <f t="shared" si="3"/>
        <v>437654</v>
      </c>
      <c r="F132" s="83">
        <f>'2019 Legal Max'!AO132*'Weighting Factors'!$Q$5</f>
        <v>266977</v>
      </c>
      <c r="G132" s="83">
        <f t="shared" si="4"/>
        <v>0</v>
      </c>
      <c r="H132" s="135" t="str">
        <f>'2019 Legal Max'!BD132</f>
        <v>A</v>
      </c>
    </row>
    <row r="133" spans="1:8">
      <c r="A133" s="88" t="s">
        <v>325</v>
      </c>
      <c r="B133" s="87" t="s">
        <v>58</v>
      </c>
      <c r="C133" s="87" t="s">
        <v>646</v>
      </c>
      <c r="D133" s="99">
        <f>IF(ISNA(VLOOKUP($A133,'Audit Values'!$A$2:$BV$392,2,FALSE)),'Preliminary SO66'!AZ132,VLOOKUP($A133,'Audit Values'!$A$2:$BV$392,48,FALSE))</f>
        <v>364940</v>
      </c>
      <c r="E133" s="83">
        <f t="shared" si="3"/>
        <v>401434</v>
      </c>
      <c r="F133" s="83">
        <f>'2019 Legal Max'!AO133*'Weighting Factors'!$Q$5</f>
        <v>324454</v>
      </c>
      <c r="G133" s="83">
        <f t="shared" si="4"/>
        <v>0</v>
      </c>
      <c r="H133" s="135" t="str">
        <f>'2019 Legal Max'!BD133</f>
        <v>A</v>
      </c>
    </row>
    <row r="134" spans="1:8">
      <c r="A134" s="88" t="s">
        <v>326</v>
      </c>
      <c r="B134" s="87" t="s">
        <v>58</v>
      </c>
      <c r="C134" s="87" t="s">
        <v>647</v>
      </c>
      <c r="D134" s="99">
        <f>IF(ISNA(VLOOKUP($A134,'Audit Values'!$A$2:$BV$392,2,FALSE)),'Preliminary SO66'!AZ133,VLOOKUP($A134,'Audit Values'!$A$2:$BV$392,48,FALSE))</f>
        <v>442643</v>
      </c>
      <c r="E134" s="83">
        <f t="shared" ref="E134:E197" si="5">D134*$E$3</f>
        <v>486907</v>
      </c>
      <c r="F134" s="83">
        <f>'2019 Legal Max'!AO134*'Weighting Factors'!$Q$5</f>
        <v>489804</v>
      </c>
      <c r="G134" s="83">
        <f t="shared" ref="G134:G197" si="6">IF(F134-E134&gt;0,E134-F134,0)</f>
        <v>-2897</v>
      </c>
      <c r="H134" s="135" t="str">
        <f>'2019 Legal Max'!BD134</f>
        <v>A</v>
      </c>
    </row>
    <row r="135" spans="1:8">
      <c r="A135" s="88" t="s">
        <v>327</v>
      </c>
      <c r="B135" s="87" t="s">
        <v>59</v>
      </c>
      <c r="C135" s="87" t="s">
        <v>648</v>
      </c>
      <c r="D135" s="99">
        <f>IF(ISNA(VLOOKUP($A135,'Audit Values'!$A$2:$BV$392,2,FALSE)),'Preliminary SO66'!AZ134,VLOOKUP($A135,'Audit Values'!$A$2:$BV$392,48,FALSE))</f>
        <v>140049</v>
      </c>
      <c r="E135" s="83">
        <f t="shared" si="5"/>
        <v>154054</v>
      </c>
      <c r="F135" s="83">
        <f>'2019 Legal Max'!AO135*'Weighting Factors'!$Q$5</f>
        <v>129948</v>
      </c>
      <c r="G135" s="83">
        <f t="shared" si="6"/>
        <v>0</v>
      </c>
      <c r="H135" s="135" t="str">
        <f>'2019 Legal Max'!BD135</f>
        <v>A</v>
      </c>
    </row>
    <row r="136" spans="1:8">
      <c r="A136" s="88" t="s">
        <v>328</v>
      </c>
      <c r="B136" s="87" t="s">
        <v>59</v>
      </c>
      <c r="C136" s="87" t="s">
        <v>649</v>
      </c>
      <c r="D136" s="99">
        <f>IF(ISNA(VLOOKUP($A136,'Audit Values'!$A$2:$BV$392,2,FALSE)),'Preliminary SO66'!AZ135,VLOOKUP($A136,'Audit Values'!$A$2:$BV$392,48,FALSE))</f>
        <v>226230</v>
      </c>
      <c r="E136" s="83">
        <f t="shared" si="5"/>
        <v>248853</v>
      </c>
      <c r="F136" s="83">
        <f>'2019 Legal Max'!AO136*'Weighting Factors'!$Q$5</f>
        <v>197421</v>
      </c>
      <c r="G136" s="83">
        <f t="shared" si="6"/>
        <v>0</v>
      </c>
      <c r="H136" s="135" t="str">
        <f>'2019 Legal Max'!BD136</f>
        <v>A</v>
      </c>
    </row>
    <row r="137" spans="1:8">
      <c r="A137" s="88" t="s">
        <v>329</v>
      </c>
      <c r="B137" s="87" t="s">
        <v>59</v>
      </c>
      <c r="C137" s="87" t="s">
        <v>650</v>
      </c>
      <c r="D137" s="99">
        <f>IF(ISNA(VLOOKUP($A137,'Audit Values'!$A$2:$BV$392,2,FALSE)),'Preliminary SO66'!AZ136,VLOOKUP($A137,'Audit Values'!$A$2:$BV$392,48,FALSE))</f>
        <v>412149</v>
      </c>
      <c r="E137" s="83">
        <f t="shared" si="5"/>
        <v>453364</v>
      </c>
      <c r="F137" s="83">
        <f>'2019 Legal Max'!AO137*'Weighting Factors'!$Q$5</f>
        <v>339864</v>
      </c>
      <c r="G137" s="83">
        <f t="shared" si="6"/>
        <v>0</v>
      </c>
      <c r="H137" s="135" t="str">
        <f>'2019 Legal Max'!BD137</f>
        <v>A</v>
      </c>
    </row>
    <row r="138" spans="1:8">
      <c r="A138" s="88" t="s">
        <v>330</v>
      </c>
      <c r="B138" s="87" t="s">
        <v>59</v>
      </c>
      <c r="C138" s="87" t="s">
        <v>651</v>
      </c>
      <c r="D138" s="99">
        <f>IF(ISNA(VLOOKUP($A138,'Audit Values'!$A$2:$BV$392,2,FALSE)),'Preliminary SO66'!AZ137,VLOOKUP($A138,'Audit Values'!$A$2:$BV$392,48,FALSE))</f>
        <v>412138</v>
      </c>
      <c r="E138" s="83">
        <f t="shared" si="5"/>
        <v>453352</v>
      </c>
      <c r="F138" s="83">
        <f>'2019 Legal Max'!AO138*'Weighting Factors'!$Q$5</f>
        <v>258230</v>
      </c>
      <c r="G138" s="83">
        <f t="shared" si="6"/>
        <v>0</v>
      </c>
      <c r="H138" s="135" t="str">
        <f>'2019 Legal Max'!BD138</f>
        <v>A</v>
      </c>
    </row>
    <row r="139" spans="1:8">
      <c r="A139" s="88" t="s">
        <v>331</v>
      </c>
      <c r="B139" s="87" t="s">
        <v>59</v>
      </c>
      <c r="C139" s="87" t="s">
        <v>652</v>
      </c>
      <c r="D139" s="99">
        <f>IF(ISNA(VLOOKUP($A139,'Audit Values'!$A$2:$BV$392,2,FALSE)),'Preliminary SO66'!AZ138,VLOOKUP($A139,'Audit Values'!$A$2:$BV$392,48,FALSE))</f>
        <v>204599</v>
      </c>
      <c r="E139" s="83">
        <f t="shared" si="5"/>
        <v>225059</v>
      </c>
      <c r="F139" s="83">
        <f>'2019 Legal Max'!AO139*'Weighting Factors'!$Q$5</f>
        <v>203669</v>
      </c>
      <c r="G139" s="83">
        <f t="shared" si="6"/>
        <v>0</v>
      </c>
      <c r="H139" s="135" t="str">
        <f>'2019 Legal Max'!BD139</f>
        <v>A</v>
      </c>
    </row>
    <row r="140" spans="1:8">
      <c r="A140" s="88" t="s">
        <v>332</v>
      </c>
      <c r="B140" s="87" t="s">
        <v>59</v>
      </c>
      <c r="C140" s="87" t="s">
        <v>653</v>
      </c>
      <c r="D140" s="99">
        <f>IF(ISNA(VLOOKUP($A140,'Audit Values'!$A$2:$BV$392,2,FALSE)),'Preliminary SO66'!AZ139,VLOOKUP($A140,'Audit Values'!$A$2:$BV$392,48,FALSE))</f>
        <v>344535</v>
      </c>
      <c r="E140" s="83">
        <f t="shared" si="5"/>
        <v>378989</v>
      </c>
      <c r="F140" s="83">
        <f>'2019 Legal Max'!AO140*'Weighting Factors'!$Q$5</f>
        <v>413585</v>
      </c>
      <c r="G140" s="83">
        <f t="shared" si="6"/>
        <v>-34596</v>
      </c>
      <c r="H140" s="135" t="str">
        <f>'2019 Legal Max'!BD140</f>
        <v>A</v>
      </c>
    </row>
    <row r="141" spans="1:8">
      <c r="A141" s="88" t="s">
        <v>333</v>
      </c>
      <c r="B141" s="87" t="s">
        <v>60</v>
      </c>
      <c r="C141" s="87" t="s">
        <v>654</v>
      </c>
      <c r="D141" s="99">
        <f>IF(ISNA(VLOOKUP($A141,'Audit Values'!$A$2:$BV$392,2,FALSE)),'Preliminary SO66'!AZ140,VLOOKUP($A141,'Audit Values'!$A$2:$BV$392,48,FALSE))</f>
        <v>53941</v>
      </c>
      <c r="E141" s="83">
        <f t="shared" si="5"/>
        <v>59335</v>
      </c>
      <c r="F141" s="83">
        <f>'2019 Legal Max'!AO141*'Weighting Factors'!$Q$5</f>
        <v>78302</v>
      </c>
      <c r="G141" s="83">
        <f t="shared" si="6"/>
        <v>-18967</v>
      </c>
      <c r="H141" s="135" t="str">
        <f>'2019 Legal Max'!BD141</f>
        <v>A</v>
      </c>
    </row>
    <row r="142" spans="1:8">
      <c r="A142" s="88" t="s">
        <v>334</v>
      </c>
      <c r="B142" s="87" t="s">
        <v>61</v>
      </c>
      <c r="C142" s="87" t="s">
        <v>655</v>
      </c>
      <c r="D142" s="99">
        <f>IF(ISNA(VLOOKUP($A142,'Audit Values'!$A$2:$BV$392,2,FALSE)),'Preliminary SO66'!AZ141,VLOOKUP($A142,'Audit Values'!$A$2:$BV$392,48,FALSE))</f>
        <v>1469837</v>
      </c>
      <c r="E142" s="83">
        <f t="shared" si="5"/>
        <v>1616821</v>
      </c>
      <c r="F142" s="83">
        <f>'2019 Legal Max'!AO142*'Weighting Factors'!$Q$5</f>
        <v>1034170</v>
      </c>
      <c r="G142" s="83">
        <f t="shared" si="6"/>
        <v>0</v>
      </c>
      <c r="H142" s="135" t="str">
        <f>'2019 Legal Max'!BD142</f>
        <v>A</v>
      </c>
    </row>
    <row r="143" spans="1:8">
      <c r="A143" s="88" t="s">
        <v>335</v>
      </c>
      <c r="B143" s="87" t="s">
        <v>60</v>
      </c>
      <c r="C143" s="87" t="s">
        <v>656</v>
      </c>
      <c r="D143" s="99">
        <f>IF(ISNA(VLOOKUP($A143,'Audit Values'!$A$2:$BV$392,2,FALSE)),'Preliminary SO66'!AZ142,VLOOKUP($A143,'Audit Values'!$A$2:$BV$392,48,FALSE))</f>
        <v>311450</v>
      </c>
      <c r="E143" s="83">
        <f t="shared" si="5"/>
        <v>342595</v>
      </c>
      <c r="F143" s="83">
        <f>'2019 Legal Max'!AO143*'Weighting Factors'!$Q$5</f>
        <v>328619</v>
      </c>
      <c r="G143" s="83">
        <f t="shared" si="6"/>
        <v>0</v>
      </c>
      <c r="H143" s="135" t="str">
        <f>'2019 Legal Max'!BD143</f>
        <v>A</v>
      </c>
    </row>
    <row r="144" spans="1:8">
      <c r="A144" s="88" t="s">
        <v>336</v>
      </c>
      <c r="B144" s="87" t="s">
        <v>62</v>
      </c>
      <c r="C144" s="87" t="s">
        <v>657</v>
      </c>
      <c r="D144" s="99">
        <f>IF(ISNA(VLOOKUP($A144,'Audit Values'!$A$2:$BV$392,2,FALSE)),'Preliminary SO66'!AZ143,VLOOKUP($A144,'Audit Values'!$A$2:$BV$392,48,FALSE))</f>
        <v>184004</v>
      </c>
      <c r="E144" s="83">
        <f t="shared" si="5"/>
        <v>202404</v>
      </c>
      <c r="F144" s="83">
        <f>'2019 Legal Max'!AO144*'Weighting Factors'!$Q$5</f>
        <v>214914</v>
      </c>
      <c r="G144" s="83">
        <f t="shared" si="6"/>
        <v>-12510</v>
      </c>
      <c r="H144" s="135" t="str">
        <f>'2019 Legal Max'!BD144</f>
        <v>A</v>
      </c>
    </row>
    <row r="145" spans="1:8">
      <c r="A145" s="88" t="s">
        <v>337</v>
      </c>
      <c r="B145" s="87" t="s">
        <v>63</v>
      </c>
      <c r="C145" s="87" t="s">
        <v>658</v>
      </c>
      <c r="D145" s="99">
        <f>IF(ISNA(VLOOKUP($A145,'Audit Values'!$A$2:$BV$392,2,FALSE)),'Preliminary SO66'!AZ144,VLOOKUP($A145,'Audit Values'!$A$2:$BV$392,48,FALSE))</f>
        <v>455650</v>
      </c>
      <c r="E145" s="83">
        <f t="shared" si="5"/>
        <v>501215</v>
      </c>
      <c r="F145" s="83">
        <f>'2019 Legal Max'!AO145*'Weighting Factors'!$Q$5</f>
        <v>381098</v>
      </c>
      <c r="G145" s="83">
        <f t="shared" si="6"/>
        <v>0</v>
      </c>
      <c r="H145" s="135" t="str">
        <f>'2019 Legal Max'!BD145</f>
        <v>A</v>
      </c>
    </row>
    <row r="146" spans="1:8">
      <c r="A146" s="88" t="s">
        <v>338</v>
      </c>
      <c r="B146" s="87" t="s">
        <v>64</v>
      </c>
      <c r="C146" s="87" t="s">
        <v>659</v>
      </c>
      <c r="D146" s="99">
        <f>IF(ISNA(VLOOKUP($A146,'Audit Values'!$A$2:$BV$392,2,FALSE)),'Preliminary SO66'!AZ145,VLOOKUP($A146,'Audit Values'!$A$2:$BV$392,48,FALSE))</f>
        <v>14839</v>
      </c>
      <c r="E146" s="83">
        <f t="shared" si="5"/>
        <v>16323</v>
      </c>
      <c r="F146" s="83">
        <f>'2019 Legal Max'!AO146*'Weighting Factors'!$Q$5</f>
        <v>47481</v>
      </c>
      <c r="G146" s="83">
        <f t="shared" si="6"/>
        <v>-31158</v>
      </c>
      <c r="H146" s="135" t="str">
        <f>'2019 Legal Max'!BD146</f>
        <v>A</v>
      </c>
    </row>
    <row r="147" spans="1:8">
      <c r="A147" s="88" t="s">
        <v>339</v>
      </c>
      <c r="B147" s="87" t="s">
        <v>64</v>
      </c>
      <c r="C147" s="87" t="s">
        <v>660</v>
      </c>
      <c r="D147" s="99">
        <f>IF(ISNA(VLOOKUP($A147,'Audit Values'!$A$2:$BV$392,2,FALSE)),'Preliminary SO66'!AZ146,VLOOKUP($A147,'Audit Values'!$A$2:$BV$392,48,FALSE))</f>
        <v>91377</v>
      </c>
      <c r="E147" s="83">
        <f t="shared" si="5"/>
        <v>100515</v>
      </c>
      <c r="F147" s="83">
        <f>'2019 Legal Max'!AO147*'Weighting Factors'!$Q$5</f>
        <v>79135</v>
      </c>
      <c r="G147" s="83">
        <f t="shared" si="6"/>
        <v>0</v>
      </c>
      <c r="H147" s="135" t="str">
        <f>'2019 Legal Max'!BD147</f>
        <v>A</v>
      </c>
    </row>
    <row r="148" spans="1:8">
      <c r="A148" s="88" t="s">
        <v>340</v>
      </c>
      <c r="B148" s="87" t="s">
        <v>64</v>
      </c>
      <c r="C148" s="87" t="s">
        <v>661</v>
      </c>
      <c r="D148" s="99">
        <f>IF(ISNA(VLOOKUP($A148,'Audit Values'!$A$2:$BV$392,2,FALSE)),'Preliminary SO66'!AZ147,VLOOKUP($A148,'Audit Values'!$A$2:$BV$392,48,FALSE))</f>
        <v>132700</v>
      </c>
      <c r="E148" s="83">
        <f t="shared" si="5"/>
        <v>145970</v>
      </c>
      <c r="F148" s="83">
        <f>'2019 Legal Max'!AO148*'Weighting Factors'!$Q$5</f>
        <v>124117</v>
      </c>
      <c r="G148" s="83">
        <f t="shared" si="6"/>
        <v>0</v>
      </c>
      <c r="H148" s="135" t="str">
        <f>'2019 Legal Max'!BD148</f>
        <v>A</v>
      </c>
    </row>
    <row r="149" spans="1:8">
      <c r="A149" s="88" t="s">
        <v>341</v>
      </c>
      <c r="B149" s="87" t="s">
        <v>65</v>
      </c>
      <c r="C149" s="87" t="s">
        <v>662</v>
      </c>
      <c r="D149" s="99">
        <f>IF(ISNA(VLOOKUP($A149,'Audit Values'!$A$2:$BV$392,2,FALSE)),'Preliminary SO66'!AZ148,VLOOKUP($A149,'Audit Values'!$A$2:$BV$392,48,FALSE))</f>
        <v>166543</v>
      </c>
      <c r="E149" s="83">
        <f t="shared" si="5"/>
        <v>183197</v>
      </c>
      <c r="F149" s="83">
        <f>'2019 Legal Max'!AO149*'Weighting Factors'!$Q$5</f>
        <v>234906</v>
      </c>
      <c r="G149" s="83">
        <f t="shared" si="6"/>
        <v>-51709</v>
      </c>
      <c r="H149" s="135" t="str">
        <f>'2019 Legal Max'!BD149</f>
        <v>A</v>
      </c>
    </row>
    <row r="150" spans="1:8">
      <c r="A150" s="88" t="s">
        <v>342</v>
      </c>
      <c r="B150" s="87" t="s">
        <v>66</v>
      </c>
      <c r="C150" s="87" t="s">
        <v>663</v>
      </c>
      <c r="D150" s="99">
        <f>IF(ISNA(VLOOKUP($A150,'Audit Values'!$A$2:$BV$392,2,FALSE)),'Preliminary SO66'!AZ149,VLOOKUP($A150,'Audit Values'!$A$2:$BV$392,48,FALSE))</f>
        <v>285957</v>
      </c>
      <c r="E150" s="83">
        <f t="shared" si="5"/>
        <v>314553</v>
      </c>
      <c r="F150" s="83">
        <f>'2019 Legal Max'!AO150*'Weighting Factors'!$Q$5</f>
        <v>219079</v>
      </c>
      <c r="G150" s="83">
        <f t="shared" si="6"/>
        <v>0</v>
      </c>
      <c r="H150" s="135" t="str">
        <f>'2019 Legal Max'!BD150</f>
        <v>A</v>
      </c>
    </row>
    <row r="151" spans="1:8">
      <c r="A151" s="88" t="s">
        <v>343</v>
      </c>
      <c r="B151" s="87" t="s">
        <v>67</v>
      </c>
      <c r="C151" s="87" t="s">
        <v>664</v>
      </c>
      <c r="D151" s="99">
        <f>IF(ISNA(VLOOKUP($A151,'Audit Values'!$A$2:$BV$392,2,FALSE)),'Preliminary SO66'!AZ150,VLOOKUP($A151,'Audit Values'!$A$2:$BV$392,48,FALSE))</f>
        <v>104325</v>
      </c>
      <c r="E151" s="83">
        <f t="shared" si="5"/>
        <v>114758</v>
      </c>
      <c r="F151" s="83">
        <f>'2019 Legal Max'!AO151*'Weighting Factors'!$Q$5</f>
        <v>88298</v>
      </c>
      <c r="G151" s="83">
        <f t="shared" si="6"/>
        <v>0</v>
      </c>
      <c r="H151" s="135" t="str">
        <f>'2019 Legal Max'!BD151</f>
        <v>A</v>
      </c>
    </row>
    <row r="152" spans="1:8">
      <c r="A152" s="88" t="s">
        <v>344</v>
      </c>
      <c r="B152" s="87" t="s">
        <v>66</v>
      </c>
      <c r="C152" s="87" t="s">
        <v>665</v>
      </c>
      <c r="D152" s="99">
        <f>IF(ISNA(VLOOKUP($A152,'Audit Values'!$A$2:$BV$392,2,FALSE)),'Preliminary SO66'!AZ151,VLOOKUP($A152,'Audit Values'!$A$2:$BV$392,48,FALSE))</f>
        <v>73073</v>
      </c>
      <c r="E152" s="83">
        <f t="shared" si="5"/>
        <v>80380</v>
      </c>
      <c r="F152" s="83">
        <f>'2019 Legal Max'!AO152*'Weighting Factors'!$Q$5</f>
        <v>174930</v>
      </c>
      <c r="G152" s="83">
        <f t="shared" si="6"/>
        <v>-94550</v>
      </c>
      <c r="H152" s="135" t="str">
        <f>'2019 Legal Max'!BD152</f>
        <v>A</v>
      </c>
    </row>
    <row r="153" spans="1:8">
      <c r="A153" s="88" t="s">
        <v>345</v>
      </c>
      <c r="B153" s="87" t="s">
        <v>66</v>
      </c>
      <c r="C153" s="87" t="s">
        <v>666</v>
      </c>
      <c r="D153" s="99">
        <f>IF(ISNA(VLOOKUP($A153,'Audit Values'!$A$2:$BV$392,2,FALSE)),'Preliminary SO66'!AZ152,VLOOKUP($A153,'Audit Values'!$A$2:$BV$392,48,FALSE))</f>
        <v>146427</v>
      </c>
      <c r="E153" s="83">
        <f t="shared" si="5"/>
        <v>161070</v>
      </c>
      <c r="F153" s="83">
        <f>'2019 Legal Max'!AO153*'Weighting Factors'!$Q$5</f>
        <v>160353</v>
      </c>
      <c r="G153" s="83">
        <f t="shared" si="6"/>
        <v>0</v>
      </c>
      <c r="H153" s="135" t="str">
        <f>'2019 Legal Max'!BD153</f>
        <v>A</v>
      </c>
    </row>
    <row r="154" spans="1:8">
      <c r="A154" s="88" t="s">
        <v>346</v>
      </c>
      <c r="B154" s="87" t="s">
        <v>66</v>
      </c>
      <c r="C154" s="87" t="s">
        <v>667</v>
      </c>
      <c r="D154" s="99">
        <f>IF(ISNA(VLOOKUP($A154,'Audit Values'!$A$2:$BV$392,2,FALSE)),'Preliminary SO66'!AZ153,VLOOKUP($A154,'Audit Values'!$A$2:$BV$392,48,FALSE))</f>
        <v>116068</v>
      </c>
      <c r="E154" s="83">
        <f t="shared" si="5"/>
        <v>127675</v>
      </c>
      <c r="F154" s="83">
        <f>'2019 Legal Max'!AO154*'Weighting Factors'!$Q$5</f>
        <v>115371</v>
      </c>
      <c r="G154" s="83">
        <f t="shared" si="6"/>
        <v>0</v>
      </c>
      <c r="H154" s="135" t="str">
        <f>'2019 Legal Max'!BD154</f>
        <v>A</v>
      </c>
    </row>
    <row r="155" spans="1:8">
      <c r="A155" s="88" t="s">
        <v>347</v>
      </c>
      <c r="B155" s="87" t="s">
        <v>66</v>
      </c>
      <c r="C155" s="87" t="s">
        <v>668</v>
      </c>
      <c r="D155" s="99">
        <f>IF(ISNA(VLOOKUP($A155,'Audit Values'!$A$2:$BV$392,2,FALSE)),'Preliminary SO66'!AZ154,VLOOKUP($A155,'Audit Values'!$A$2:$BV$392,48,FALSE))</f>
        <v>69402</v>
      </c>
      <c r="E155" s="83">
        <f t="shared" si="5"/>
        <v>76342</v>
      </c>
      <c r="F155" s="83">
        <f>'2019 Legal Max'!AO155*'Weighting Factors'!$Q$5</f>
        <v>72888</v>
      </c>
      <c r="G155" s="83">
        <f t="shared" si="6"/>
        <v>0</v>
      </c>
      <c r="H155" s="135" t="str">
        <f>'2019 Legal Max'!BD155</f>
        <v>A</v>
      </c>
    </row>
    <row r="156" spans="1:8">
      <c r="A156" s="88" t="s">
        <v>348</v>
      </c>
      <c r="B156" s="87" t="s">
        <v>66</v>
      </c>
      <c r="C156" s="87" t="s">
        <v>669</v>
      </c>
      <c r="D156" s="99">
        <f>IF(ISNA(VLOOKUP($A156,'Audit Values'!$A$2:$BV$392,2,FALSE)),'Preliminary SO66'!AZ155,VLOOKUP($A156,'Audit Values'!$A$2:$BV$392,48,FALSE))</f>
        <v>77779</v>
      </c>
      <c r="E156" s="83">
        <f t="shared" si="5"/>
        <v>85557</v>
      </c>
      <c r="F156" s="83">
        <f>'2019 Legal Max'!AO156*'Weighting Factors'!$Q$5</f>
        <v>62892</v>
      </c>
      <c r="G156" s="83">
        <f t="shared" si="6"/>
        <v>0</v>
      </c>
      <c r="H156" s="135" t="str">
        <f>'2019 Legal Max'!BD156</f>
        <v>A</v>
      </c>
    </row>
    <row r="157" spans="1:8">
      <c r="A157" s="88" t="s">
        <v>349</v>
      </c>
      <c r="B157" s="87" t="s">
        <v>68</v>
      </c>
      <c r="C157" s="87" t="s">
        <v>670</v>
      </c>
      <c r="D157" s="99">
        <f>IF(ISNA(VLOOKUP($A157,'Audit Values'!$A$2:$BV$392,2,FALSE)),'Preliminary SO66'!AZ156,VLOOKUP($A157,'Audit Values'!$A$2:$BV$392,48,FALSE))</f>
        <v>634762</v>
      </c>
      <c r="E157" s="83">
        <f t="shared" si="5"/>
        <v>698238</v>
      </c>
      <c r="F157" s="83">
        <f>'2019 Legal Max'!AO157*'Weighting Factors'!$Q$5</f>
        <v>419416</v>
      </c>
      <c r="G157" s="83">
        <f t="shared" si="6"/>
        <v>0</v>
      </c>
      <c r="H157" s="135" t="str">
        <f>'2019 Legal Max'!BD157</f>
        <v>A</v>
      </c>
    </row>
    <row r="158" spans="1:8">
      <c r="A158" s="88" t="s">
        <v>350</v>
      </c>
      <c r="B158" s="87" t="s">
        <v>60</v>
      </c>
      <c r="C158" s="87" t="s">
        <v>671</v>
      </c>
      <c r="D158" s="99">
        <f>IF(ISNA(VLOOKUP($A158,'Audit Values'!$A$2:$BV$392,2,FALSE)),'Preliminary SO66'!AZ157,VLOOKUP($A158,'Audit Values'!$A$2:$BV$392,48,FALSE))</f>
        <v>417841</v>
      </c>
      <c r="E158" s="83">
        <f t="shared" si="5"/>
        <v>459625</v>
      </c>
      <c r="F158" s="83">
        <f>'2019 Legal Max'!AO158*'Weighting Factors'!$Q$5</f>
        <v>582684</v>
      </c>
      <c r="G158" s="83">
        <f t="shared" si="6"/>
        <v>-123059</v>
      </c>
      <c r="H158" s="135" t="str">
        <f>'2019 Legal Max'!BD158</f>
        <v>A</v>
      </c>
    </row>
    <row r="159" spans="1:8">
      <c r="A159" s="88" t="s">
        <v>351</v>
      </c>
      <c r="B159" s="87" t="s">
        <v>69</v>
      </c>
      <c r="C159" s="87" t="s">
        <v>672</v>
      </c>
      <c r="D159" s="99">
        <f>IF(ISNA(VLOOKUP($A159,'Audit Values'!$A$2:$BV$392,2,FALSE)),'Preliminary SO66'!AZ158,VLOOKUP($A159,'Audit Values'!$A$2:$BV$392,48,FALSE))</f>
        <v>176309</v>
      </c>
      <c r="E159" s="83">
        <f t="shared" si="5"/>
        <v>193940</v>
      </c>
      <c r="F159" s="83">
        <f>'2019 Legal Max'!AO159*'Weighting Factors'!$Q$5</f>
        <v>125783</v>
      </c>
      <c r="G159" s="83">
        <f t="shared" si="6"/>
        <v>0</v>
      </c>
      <c r="H159" s="135" t="str">
        <f>'2019 Legal Max'!BD159</f>
        <v>A</v>
      </c>
    </row>
    <row r="160" spans="1:8">
      <c r="A160" s="88" t="s">
        <v>352</v>
      </c>
      <c r="B160" s="87" t="s">
        <v>70</v>
      </c>
      <c r="C160" s="87" t="s">
        <v>673</v>
      </c>
      <c r="D160" s="99">
        <f>IF(ISNA(VLOOKUP($A160,'Audit Values'!$A$2:$BV$392,2,FALSE)),'Preliminary SO66'!AZ159,VLOOKUP($A160,'Audit Values'!$A$2:$BV$392,48,FALSE))</f>
        <v>174579</v>
      </c>
      <c r="E160" s="83">
        <f t="shared" si="5"/>
        <v>192037</v>
      </c>
      <c r="F160" s="83">
        <f>'2019 Legal Max'!AO160*'Weighting Factors'!$Q$5</f>
        <v>221995</v>
      </c>
      <c r="G160" s="83">
        <f t="shared" si="6"/>
        <v>-29958</v>
      </c>
      <c r="H160" s="135" t="str">
        <f>'2019 Legal Max'!BD160</f>
        <v>A</v>
      </c>
    </row>
    <row r="161" spans="1:8">
      <c r="A161" s="88" t="s">
        <v>353</v>
      </c>
      <c r="B161" s="87" t="s">
        <v>71</v>
      </c>
      <c r="C161" s="87" t="s">
        <v>674</v>
      </c>
      <c r="D161" s="99">
        <f>IF(ISNA(VLOOKUP($A161,'Audit Values'!$A$2:$BV$392,2,FALSE)),'Preliminary SO66'!AZ160,VLOOKUP($A161,'Audit Values'!$A$2:$BV$392,48,FALSE))</f>
        <v>612108</v>
      </c>
      <c r="E161" s="83">
        <f t="shared" si="5"/>
        <v>673319</v>
      </c>
      <c r="F161" s="83">
        <f>'2019 Legal Max'!AO161*'Weighting Factors'!$Q$5</f>
        <v>390677</v>
      </c>
      <c r="G161" s="83">
        <f t="shared" si="6"/>
        <v>0</v>
      </c>
      <c r="H161" s="135" t="str">
        <f>'2019 Legal Max'!BD161</f>
        <v>A</v>
      </c>
    </row>
    <row r="162" spans="1:8">
      <c r="A162" s="88" t="s">
        <v>354</v>
      </c>
      <c r="B162" s="87" t="s">
        <v>72</v>
      </c>
      <c r="C162" s="87" t="s">
        <v>675</v>
      </c>
      <c r="D162" s="99">
        <f>IF(ISNA(VLOOKUP($A162,'Audit Values'!$A$2:$BV$392,2,FALSE)),'Preliminary SO66'!AZ161,VLOOKUP($A162,'Audit Values'!$A$2:$BV$392,48,FALSE))</f>
        <v>201077</v>
      </c>
      <c r="E162" s="83">
        <f t="shared" si="5"/>
        <v>221185</v>
      </c>
      <c r="F162" s="83">
        <f>'2019 Legal Max'!AO162*'Weighting Factors'!$Q$5</f>
        <v>228242</v>
      </c>
      <c r="G162" s="83">
        <f t="shared" si="6"/>
        <v>-7057</v>
      </c>
      <c r="H162" s="135" t="str">
        <f>'2019 Legal Max'!BD162</f>
        <v>A</v>
      </c>
    </row>
    <row r="163" spans="1:8">
      <c r="A163" s="88" t="s">
        <v>355</v>
      </c>
      <c r="B163" s="87" t="s">
        <v>73</v>
      </c>
      <c r="C163" s="87" t="s">
        <v>676</v>
      </c>
      <c r="D163" s="99">
        <f>IF(ISNA(VLOOKUP($A163,'Audit Values'!$A$2:$BV$392,2,FALSE)),'Preliminary SO66'!AZ162,VLOOKUP($A163,'Audit Values'!$A$2:$BV$392,48,FALSE))</f>
        <v>251862</v>
      </c>
      <c r="E163" s="83">
        <f t="shared" si="5"/>
        <v>277048</v>
      </c>
      <c r="F163" s="83">
        <f>'2019 Legal Max'!AO163*'Weighting Factors'!$Q$5</f>
        <v>192423</v>
      </c>
      <c r="G163" s="83">
        <f t="shared" si="6"/>
        <v>0</v>
      </c>
      <c r="H163" s="135" t="str">
        <f>'2019 Legal Max'!BD163</f>
        <v>A</v>
      </c>
    </row>
    <row r="164" spans="1:8">
      <c r="A164" s="88" t="s">
        <v>356</v>
      </c>
      <c r="B164" s="87" t="s">
        <v>73</v>
      </c>
      <c r="C164" s="87" t="s">
        <v>677</v>
      </c>
      <c r="D164" s="99">
        <f>IF(ISNA(VLOOKUP($A164,'Audit Values'!$A$2:$BV$392,2,FALSE)),'Preliminary SO66'!AZ163,VLOOKUP($A164,'Audit Values'!$A$2:$BV$392,48,FALSE))</f>
        <v>638002</v>
      </c>
      <c r="E164" s="83">
        <f t="shared" si="5"/>
        <v>701802</v>
      </c>
      <c r="F164" s="83">
        <f>'2019 Legal Max'!AO164*'Weighting Factors'!$Q$5</f>
        <v>593513</v>
      </c>
      <c r="G164" s="83">
        <f t="shared" si="6"/>
        <v>0</v>
      </c>
      <c r="H164" s="135" t="str">
        <f>'2019 Legal Max'!BD164</f>
        <v>A</v>
      </c>
    </row>
    <row r="165" spans="1:8">
      <c r="A165" s="88" t="s">
        <v>357</v>
      </c>
      <c r="B165" s="87" t="s">
        <v>74</v>
      </c>
      <c r="C165" s="87" t="s">
        <v>678</v>
      </c>
      <c r="D165" s="99">
        <f>IF(ISNA(VLOOKUP($A165,'Audit Values'!$A$2:$BV$392,2,FALSE)),'Preliminary SO66'!AZ164,VLOOKUP($A165,'Audit Values'!$A$2:$BV$392,48,FALSE))</f>
        <v>105940</v>
      </c>
      <c r="E165" s="83">
        <f t="shared" si="5"/>
        <v>116534</v>
      </c>
      <c r="F165" s="83">
        <f>'2019 Legal Max'!AO165*'Weighting Factors'!$Q$5</f>
        <v>54145</v>
      </c>
      <c r="G165" s="83">
        <f t="shared" si="6"/>
        <v>0</v>
      </c>
      <c r="H165" s="135" t="str">
        <f>'2019 Legal Max'!BD165</f>
        <v>A</v>
      </c>
    </row>
    <row r="166" spans="1:8">
      <c r="A166" s="88" t="s">
        <v>358</v>
      </c>
      <c r="B166" s="87" t="s">
        <v>5</v>
      </c>
      <c r="C166" s="87" t="s">
        <v>679</v>
      </c>
      <c r="D166" s="99">
        <f>IF(ISNA(VLOOKUP($A166,'Audit Values'!$A$2:$BV$392,2,FALSE)),'Preliminary SO66'!AZ165,VLOOKUP($A166,'Audit Values'!$A$2:$BV$392,48,FALSE))</f>
        <v>109716</v>
      </c>
      <c r="E166" s="83">
        <f t="shared" si="5"/>
        <v>120688</v>
      </c>
      <c r="F166" s="83">
        <f>'2019 Legal Max'!AO166*'Weighting Factors'!$Q$5</f>
        <v>108707</v>
      </c>
      <c r="G166" s="83">
        <f t="shared" si="6"/>
        <v>0</v>
      </c>
      <c r="H166" s="135" t="str">
        <f>'2019 Legal Max'!BD166</f>
        <v>A</v>
      </c>
    </row>
    <row r="167" spans="1:8">
      <c r="A167" s="88" t="s">
        <v>359</v>
      </c>
      <c r="B167" s="87" t="s">
        <v>61</v>
      </c>
      <c r="C167" s="87" t="s">
        <v>680</v>
      </c>
      <c r="D167" s="99">
        <f>IF(ISNA(VLOOKUP($A167,'Audit Values'!$A$2:$BV$392,2,FALSE)),'Preliminary SO66'!AZ166,VLOOKUP($A167,'Audit Values'!$A$2:$BV$392,48,FALSE))</f>
        <v>169884</v>
      </c>
      <c r="E167" s="83">
        <f t="shared" si="5"/>
        <v>186872</v>
      </c>
      <c r="F167" s="83">
        <f>'2019 Legal Max'!AO167*'Weighting Factors'!$Q$5</f>
        <v>242820</v>
      </c>
      <c r="G167" s="83">
        <f t="shared" si="6"/>
        <v>-55948</v>
      </c>
      <c r="H167" s="135" t="str">
        <f>'2019 Legal Max'!BD167</f>
        <v>A</v>
      </c>
    </row>
    <row r="168" spans="1:8">
      <c r="A168" s="88" t="s">
        <v>360</v>
      </c>
      <c r="B168" s="87" t="s">
        <v>74</v>
      </c>
      <c r="C168" s="87" t="s">
        <v>681</v>
      </c>
      <c r="D168" s="99">
        <f>IF(ISNA(VLOOKUP($A168,'Audit Values'!$A$2:$BV$392,2,FALSE)),'Preliminary SO66'!AZ167,VLOOKUP($A168,'Audit Values'!$A$2:$BV$392,48,FALSE))</f>
        <v>560560</v>
      </c>
      <c r="E168" s="83">
        <f t="shared" si="5"/>
        <v>616616</v>
      </c>
      <c r="F168" s="83">
        <f>'2019 Legal Max'!AO168*'Weighting Factors'!$Q$5</f>
        <v>725543</v>
      </c>
      <c r="G168" s="83">
        <f t="shared" si="6"/>
        <v>-108927</v>
      </c>
      <c r="H168" s="135" t="str">
        <f>'2019 Legal Max'!BD168</f>
        <v>A</v>
      </c>
    </row>
    <row r="169" spans="1:8">
      <c r="A169" s="88" t="s">
        <v>361</v>
      </c>
      <c r="B169" s="87" t="s">
        <v>75</v>
      </c>
      <c r="C169" s="87" t="s">
        <v>682</v>
      </c>
      <c r="D169" s="99">
        <f>IF(ISNA(VLOOKUP($A169,'Audit Values'!$A$2:$BV$392,2,FALSE)),'Preliminary SO66'!AZ168,VLOOKUP($A169,'Audit Values'!$A$2:$BV$392,48,FALSE))</f>
        <v>151413</v>
      </c>
      <c r="E169" s="83">
        <f t="shared" si="5"/>
        <v>166554</v>
      </c>
      <c r="F169" s="83">
        <f>'2019 Legal Max'!AO169*'Weighting Factors'!$Q$5</f>
        <v>129532</v>
      </c>
      <c r="G169" s="83">
        <f t="shared" si="6"/>
        <v>0</v>
      </c>
      <c r="H169" s="135" t="str">
        <f>'2019 Legal Max'!BD169</f>
        <v>A</v>
      </c>
    </row>
    <row r="170" spans="1:8">
      <c r="A170" s="88" t="s">
        <v>362</v>
      </c>
      <c r="B170" s="87" t="s">
        <v>10</v>
      </c>
      <c r="C170" s="87" t="s">
        <v>683</v>
      </c>
      <c r="D170" s="99">
        <f>IF(ISNA(VLOOKUP($A170,'Audit Values'!$A$2:$BV$392,2,FALSE)),'Preliminary SO66'!AZ169,VLOOKUP($A170,'Audit Values'!$A$2:$BV$392,48,FALSE))</f>
        <v>378680</v>
      </c>
      <c r="E170" s="83">
        <f t="shared" si="5"/>
        <v>416548</v>
      </c>
      <c r="F170" s="83">
        <f>'2019 Legal Max'!AO170*'Weighting Factors'!$Q$5</f>
        <v>551030</v>
      </c>
      <c r="G170" s="83">
        <f t="shared" si="6"/>
        <v>-134482</v>
      </c>
      <c r="H170" s="135" t="str">
        <f>'2019 Legal Max'!BD170</f>
        <v>A</v>
      </c>
    </row>
    <row r="171" spans="1:8">
      <c r="A171" s="88" t="s">
        <v>363</v>
      </c>
      <c r="B171" s="87" t="s">
        <v>76</v>
      </c>
      <c r="C171" s="87" t="s">
        <v>684</v>
      </c>
      <c r="D171" s="99">
        <f>IF(ISNA(VLOOKUP($A171,'Audit Values'!$A$2:$BV$392,2,FALSE)),'Preliminary SO66'!AZ170,VLOOKUP($A171,'Audit Values'!$A$2:$BV$392,48,FALSE))</f>
        <v>95421</v>
      </c>
      <c r="E171" s="83">
        <f t="shared" si="5"/>
        <v>104963</v>
      </c>
      <c r="F171" s="83">
        <f>'2019 Legal Max'!AO171*'Weighting Factors'!$Q$5</f>
        <v>137029</v>
      </c>
      <c r="G171" s="83">
        <f t="shared" si="6"/>
        <v>-32066</v>
      </c>
      <c r="H171" s="135" t="str">
        <f>'2019 Legal Max'!BD171</f>
        <v>A</v>
      </c>
    </row>
    <row r="172" spans="1:8">
      <c r="A172" s="88" t="s">
        <v>364</v>
      </c>
      <c r="B172" s="87" t="s">
        <v>77</v>
      </c>
      <c r="C172" s="87" t="s">
        <v>685</v>
      </c>
      <c r="D172" s="99">
        <f>IF(ISNA(VLOOKUP($A172,'Audit Values'!$A$2:$BV$392,2,FALSE)),'Preliminary SO66'!AZ171,VLOOKUP($A172,'Audit Values'!$A$2:$BV$392,48,FALSE))</f>
        <v>605658</v>
      </c>
      <c r="E172" s="83">
        <f t="shared" si="5"/>
        <v>666224</v>
      </c>
      <c r="F172" s="83">
        <f>'2019 Legal Max'!AO172*'Weighting Factors'!$Q$5</f>
        <v>389428</v>
      </c>
      <c r="G172" s="83">
        <f t="shared" si="6"/>
        <v>0</v>
      </c>
      <c r="H172" s="135" t="str">
        <f>'2019 Legal Max'!BD172</f>
        <v>A</v>
      </c>
    </row>
    <row r="173" spans="1:8">
      <c r="A173" s="88" t="s">
        <v>365</v>
      </c>
      <c r="B173" s="87" t="s">
        <v>78</v>
      </c>
      <c r="C173" s="87" t="s">
        <v>686</v>
      </c>
      <c r="D173" s="99">
        <f>IF(ISNA(VLOOKUP($A173,'Audit Values'!$A$2:$BV$392,2,FALSE)),'Preliminary SO66'!AZ172,VLOOKUP($A173,'Audit Values'!$A$2:$BV$392,48,FALSE))</f>
        <v>409780</v>
      </c>
      <c r="E173" s="83">
        <f t="shared" si="5"/>
        <v>450758</v>
      </c>
      <c r="F173" s="83">
        <f>'2019 Legal Max'!AO173*'Weighting Factors'!$Q$5</f>
        <v>346112</v>
      </c>
      <c r="G173" s="83">
        <f t="shared" si="6"/>
        <v>0</v>
      </c>
      <c r="H173" s="135" t="str">
        <f>'2019 Legal Max'!BD173</f>
        <v>A</v>
      </c>
    </row>
    <row r="174" spans="1:8">
      <c r="A174" s="88" t="s">
        <v>366</v>
      </c>
      <c r="B174" s="87" t="s">
        <v>79</v>
      </c>
      <c r="C174" s="87" t="s">
        <v>687</v>
      </c>
      <c r="D174" s="99">
        <f>IF(ISNA(VLOOKUP($A174,'Audit Values'!$A$2:$BV$392,2,FALSE)),'Preliminary SO66'!AZ173,VLOOKUP($A174,'Audit Values'!$A$2:$BV$392,48,FALSE))</f>
        <v>468117</v>
      </c>
      <c r="E174" s="83">
        <f t="shared" si="5"/>
        <v>514929</v>
      </c>
      <c r="F174" s="83">
        <f>'2019 Legal Max'!AO174*'Weighting Factors'!$Q$5</f>
        <v>491470</v>
      </c>
      <c r="G174" s="83">
        <f t="shared" si="6"/>
        <v>0</v>
      </c>
      <c r="H174" s="135" t="str">
        <f>'2019 Legal Max'!BD174</f>
        <v>A</v>
      </c>
    </row>
    <row r="175" spans="1:8">
      <c r="A175" s="88" t="s">
        <v>367</v>
      </c>
      <c r="B175" s="87" t="s">
        <v>70</v>
      </c>
      <c r="C175" s="87" t="s">
        <v>688</v>
      </c>
      <c r="D175" s="99">
        <f>IF(ISNA(VLOOKUP($A175,'Audit Values'!$A$2:$BV$392,2,FALSE)),'Preliminary SO66'!AZ174,VLOOKUP($A175,'Audit Values'!$A$2:$BV$392,48,FALSE))</f>
        <v>321263</v>
      </c>
      <c r="E175" s="83">
        <f t="shared" si="5"/>
        <v>353389</v>
      </c>
      <c r="F175" s="83">
        <f>'2019 Legal Max'!AO175*'Weighting Factors'!$Q$5</f>
        <v>331118</v>
      </c>
      <c r="G175" s="83">
        <f t="shared" si="6"/>
        <v>0</v>
      </c>
      <c r="H175" s="135" t="str">
        <f>'2019 Legal Max'!BD175</f>
        <v>A</v>
      </c>
    </row>
    <row r="176" spans="1:8">
      <c r="A176" s="88" t="s">
        <v>368</v>
      </c>
      <c r="B176" s="87" t="s">
        <v>80</v>
      </c>
      <c r="C176" s="87" t="s">
        <v>689</v>
      </c>
      <c r="D176" s="99">
        <f>IF(ISNA(VLOOKUP($A176,'Audit Values'!$A$2:$BV$392,2,FALSE)),'Preliminary SO66'!AZ175,VLOOKUP($A176,'Audit Values'!$A$2:$BV$392,48,FALSE))</f>
        <v>122960</v>
      </c>
      <c r="E176" s="83">
        <f t="shared" si="5"/>
        <v>135256</v>
      </c>
      <c r="F176" s="83">
        <f>'2019 Legal Max'!AO176*'Weighting Factors'!$Q$5</f>
        <v>79552</v>
      </c>
      <c r="G176" s="83">
        <f t="shared" si="6"/>
        <v>0</v>
      </c>
      <c r="H176" s="135" t="str">
        <f>'2019 Legal Max'!BD176</f>
        <v>A</v>
      </c>
    </row>
    <row r="177" spans="1:8">
      <c r="A177" s="88" t="s">
        <v>369</v>
      </c>
      <c r="B177" s="87" t="s">
        <v>81</v>
      </c>
      <c r="C177" s="87" t="s">
        <v>690</v>
      </c>
      <c r="D177" s="99">
        <f>IF(ISNA(VLOOKUP($A177,'Audit Values'!$A$2:$BV$392,2,FALSE)),'Preliminary SO66'!AZ176,VLOOKUP($A177,'Audit Values'!$A$2:$BV$392,48,FALSE))</f>
        <v>228209</v>
      </c>
      <c r="E177" s="83">
        <f t="shared" si="5"/>
        <v>251030</v>
      </c>
      <c r="F177" s="83">
        <f>'2019 Legal Max'!AO177*'Weighting Factors'!$Q$5</f>
        <v>173264</v>
      </c>
      <c r="G177" s="83">
        <f t="shared" si="6"/>
        <v>0</v>
      </c>
      <c r="H177" s="135" t="str">
        <f>'2019 Legal Max'!BD177</f>
        <v>A</v>
      </c>
    </row>
    <row r="178" spans="1:8">
      <c r="A178" s="88" t="s">
        <v>370</v>
      </c>
      <c r="B178" s="87" t="s">
        <v>78</v>
      </c>
      <c r="C178" s="87" t="s">
        <v>691</v>
      </c>
      <c r="D178" s="99">
        <f>IF(ISNA(VLOOKUP($A178,'Audit Values'!$A$2:$BV$392,2,FALSE)),'Preliminary SO66'!AZ177,VLOOKUP($A178,'Audit Values'!$A$2:$BV$392,48,FALSE))</f>
        <v>1873100</v>
      </c>
      <c r="E178" s="83">
        <f t="shared" si="5"/>
        <v>2060410</v>
      </c>
      <c r="F178" s="83">
        <f>'2019 Legal Max'!AO178*'Weighting Factors'!$Q$5</f>
        <v>1515644</v>
      </c>
      <c r="G178" s="83">
        <f t="shared" si="6"/>
        <v>0</v>
      </c>
      <c r="H178" s="135" t="str">
        <f>'2019 Legal Max'!BD178</f>
        <v>A</v>
      </c>
    </row>
    <row r="179" spans="1:8">
      <c r="A179" s="88" t="s">
        <v>371</v>
      </c>
      <c r="B179" s="87" t="s">
        <v>78</v>
      </c>
      <c r="C179" s="87" t="s">
        <v>556</v>
      </c>
      <c r="D179" s="99">
        <f>IF(ISNA(VLOOKUP($A179,'Audit Values'!$A$2:$BV$392,2,FALSE)),'Preliminary SO66'!AZ178,VLOOKUP($A179,'Audit Values'!$A$2:$BV$392,48,FALSE))</f>
        <v>219446</v>
      </c>
      <c r="E179" s="83">
        <f t="shared" si="5"/>
        <v>241391</v>
      </c>
      <c r="F179" s="83">
        <f>'2019 Legal Max'!AO179*'Weighting Factors'!$Q$5</f>
        <v>172015</v>
      </c>
      <c r="G179" s="83">
        <f t="shared" si="6"/>
        <v>0</v>
      </c>
      <c r="H179" s="135" t="str">
        <f>'2019 Legal Max'!BD179</f>
        <v>A</v>
      </c>
    </row>
    <row r="180" spans="1:8">
      <c r="A180" s="88" t="s">
        <v>372</v>
      </c>
      <c r="B180" s="87" t="s">
        <v>10</v>
      </c>
      <c r="C180" s="87" t="s">
        <v>692</v>
      </c>
      <c r="D180" s="99">
        <f>IF(ISNA(VLOOKUP($A180,'Audit Values'!$A$2:$BV$392,2,FALSE)),'Preliminary SO66'!AZ179,VLOOKUP($A180,'Audit Values'!$A$2:$BV$392,48,FALSE))</f>
        <v>1348493</v>
      </c>
      <c r="E180" s="83">
        <f t="shared" si="5"/>
        <v>1483342</v>
      </c>
      <c r="F180" s="83">
        <f>'2019 Legal Max'!AO180*'Weighting Factors'!$Q$5</f>
        <v>933793</v>
      </c>
      <c r="G180" s="83">
        <f t="shared" si="6"/>
        <v>0</v>
      </c>
      <c r="H180" s="135" t="str">
        <f>'2019 Legal Max'!BD180</f>
        <v>A</v>
      </c>
    </row>
    <row r="181" spans="1:8">
      <c r="A181" s="88" t="s">
        <v>373</v>
      </c>
      <c r="B181" s="87" t="s">
        <v>82</v>
      </c>
      <c r="C181" s="87" t="s">
        <v>693</v>
      </c>
      <c r="D181" s="99">
        <f>IF(ISNA(VLOOKUP($A181,'Audit Values'!$A$2:$BV$392,2,FALSE)),'Preliminary SO66'!AZ180,VLOOKUP($A181,'Audit Values'!$A$2:$BV$392,48,FALSE))</f>
        <v>134364</v>
      </c>
      <c r="E181" s="83">
        <f t="shared" si="5"/>
        <v>147800</v>
      </c>
      <c r="F181" s="83">
        <f>'2019 Legal Max'!AO181*'Weighting Factors'!$Q$5</f>
        <v>101210</v>
      </c>
      <c r="G181" s="83">
        <f t="shared" si="6"/>
        <v>0</v>
      </c>
      <c r="H181" s="135" t="str">
        <f>'2019 Legal Max'!BD181</f>
        <v>A</v>
      </c>
    </row>
    <row r="182" spans="1:8">
      <c r="A182" s="88" t="s">
        <v>374</v>
      </c>
      <c r="B182" s="87" t="s">
        <v>83</v>
      </c>
      <c r="C182" s="87" t="s">
        <v>694</v>
      </c>
      <c r="D182" s="99">
        <f>IF(ISNA(VLOOKUP($A182,'Audit Values'!$A$2:$BV$392,2,FALSE)),'Preliminary SO66'!AZ181,VLOOKUP($A182,'Audit Values'!$A$2:$BV$392,48,FALSE))</f>
        <v>123034</v>
      </c>
      <c r="E182" s="83">
        <f t="shared" si="5"/>
        <v>135337</v>
      </c>
      <c r="F182" s="83">
        <f>'2019 Legal Max'!AO182*'Weighting Factors'!$Q$5</f>
        <v>144942</v>
      </c>
      <c r="G182" s="83">
        <f t="shared" si="6"/>
        <v>-9605</v>
      </c>
      <c r="H182" s="135" t="str">
        <f>'2019 Legal Max'!BD182</f>
        <v>A</v>
      </c>
    </row>
    <row r="183" spans="1:8">
      <c r="A183" s="88" t="s">
        <v>375</v>
      </c>
      <c r="B183" s="87" t="s">
        <v>84</v>
      </c>
      <c r="C183" s="87" t="s">
        <v>695</v>
      </c>
      <c r="D183" s="99">
        <f>IF(ISNA(VLOOKUP($A183,'Audit Values'!$A$2:$BV$392,2,FALSE)),'Preliminary SO66'!AZ182,VLOOKUP($A183,'Audit Values'!$A$2:$BV$392,48,FALSE))</f>
        <v>107383</v>
      </c>
      <c r="E183" s="83">
        <f t="shared" si="5"/>
        <v>118121</v>
      </c>
      <c r="F183" s="83">
        <f>'2019 Legal Max'!AO183*'Weighting Factors'!$Q$5</f>
        <v>61642</v>
      </c>
      <c r="G183" s="83">
        <f t="shared" si="6"/>
        <v>0</v>
      </c>
      <c r="H183" s="135" t="str">
        <f>'2019 Legal Max'!BD183</f>
        <v>A</v>
      </c>
    </row>
    <row r="184" spans="1:8">
      <c r="A184" s="88" t="s">
        <v>376</v>
      </c>
      <c r="B184" s="87" t="s">
        <v>82</v>
      </c>
      <c r="C184" s="87" t="s">
        <v>696</v>
      </c>
      <c r="D184" s="99">
        <f>IF(ISNA(VLOOKUP($A184,'Audit Values'!$A$2:$BV$392,2,FALSE)),'Preliminary SO66'!AZ183,VLOOKUP($A184,'Audit Values'!$A$2:$BV$392,48,FALSE))</f>
        <v>242457</v>
      </c>
      <c r="E184" s="83">
        <f t="shared" si="5"/>
        <v>266703</v>
      </c>
      <c r="F184" s="83">
        <f>'2019 Legal Max'!AO184*'Weighting Factors'!$Q$5</f>
        <v>265311</v>
      </c>
      <c r="G184" s="83">
        <f t="shared" si="6"/>
        <v>0</v>
      </c>
      <c r="H184" s="135" t="str">
        <f>'2019 Legal Max'!BD184</f>
        <v>A</v>
      </c>
    </row>
    <row r="185" spans="1:8">
      <c r="A185" s="88" t="s">
        <v>377</v>
      </c>
      <c r="B185" s="87" t="s">
        <v>82</v>
      </c>
      <c r="C185" s="87" t="s">
        <v>697</v>
      </c>
      <c r="D185" s="99">
        <f>IF(ISNA(VLOOKUP($A185,'Audit Values'!$A$2:$BV$392,2,FALSE)),'Preliminary SO66'!AZ184,VLOOKUP($A185,'Audit Values'!$A$2:$BV$392,48,FALSE))</f>
        <v>30491</v>
      </c>
      <c r="E185" s="83">
        <f t="shared" si="5"/>
        <v>33540</v>
      </c>
      <c r="F185" s="83">
        <f>'2019 Legal Max'!AO185*'Weighting Factors'!$Q$5</f>
        <v>40401</v>
      </c>
      <c r="G185" s="83">
        <f t="shared" si="6"/>
        <v>-6861</v>
      </c>
      <c r="H185" s="135" t="str">
        <f>'2019 Legal Max'!BD185</f>
        <v>A</v>
      </c>
    </row>
    <row r="186" spans="1:8">
      <c r="A186" s="88" t="s">
        <v>378</v>
      </c>
      <c r="B186" s="87" t="s">
        <v>86</v>
      </c>
      <c r="C186" s="87" t="s">
        <v>698</v>
      </c>
      <c r="D186" s="99">
        <f>IF(ISNA(VLOOKUP($A186,'Audit Values'!$A$2:$BV$392,2,FALSE)),'Preliminary SO66'!AZ185,VLOOKUP($A186,'Audit Values'!$A$2:$BV$392,48,FALSE))</f>
        <v>120010</v>
      </c>
      <c r="E186" s="83">
        <f t="shared" si="5"/>
        <v>132011</v>
      </c>
      <c r="F186" s="83">
        <f>'2019 Legal Max'!AO186*'Weighting Factors'!$Q$5</f>
        <v>117037</v>
      </c>
      <c r="G186" s="83">
        <f t="shared" si="6"/>
        <v>0</v>
      </c>
      <c r="H186" s="135" t="str">
        <f>'2019 Legal Max'!BD186</f>
        <v>A</v>
      </c>
    </row>
    <row r="187" spans="1:8">
      <c r="A187" s="88" t="s">
        <v>379</v>
      </c>
      <c r="B187" s="87" t="s">
        <v>87</v>
      </c>
      <c r="C187" s="87" t="s">
        <v>699</v>
      </c>
      <c r="D187" s="99">
        <f>IF(ISNA(VLOOKUP($A187,'Audit Values'!$A$2:$BV$392,2,FALSE)),'Preliminary SO66'!AZ186,VLOOKUP($A187,'Audit Values'!$A$2:$BV$392,48,FALSE))</f>
        <v>99539</v>
      </c>
      <c r="E187" s="83">
        <f t="shared" si="5"/>
        <v>109493</v>
      </c>
      <c r="F187" s="83">
        <f>'2019 Legal Max'!AO187*'Weighting Factors'!$Q$5</f>
        <v>109123</v>
      </c>
      <c r="G187" s="83">
        <f t="shared" si="6"/>
        <v>0</v>
      </c>
      <c r="H187" s="135" t="str">
        <f>'2019 Legal Max'!BD187</f>
        <v>A</v>
      </c>
    </row>
    <row r="188" spans="1:8">
      <c r="A188" s="88" t="s">
        <v>380</v>
      </c>
      <c r="B188" s="87" t="s">
        <v>10</v>
      </c>
      <c r="C188" s="87" t="s">
        <v>700</v>
      </c>
      <c r="D188" s="99">
        <f>IF(ISNA(VLOOKUP($A188,'Audit Values'!$A$2:$BV$392,2,FALSE)),'Preliminary SO66'!AZ187,VLOOKUP($A188,'Audit Values'!$A$2:$BV$392,48,FALSE))</f>
        <v>235807</v>
      </c>
      <c r="E188" s="83">
        <f t="shared" si="5"/>
        <v>259388</v>
      </c>
      <c r="F188" s="83">
        <f>'2019 Legal Max'!AO188*'Weighting Factors'!$Q$5</f>
        <v>377766</v>
      </c>
      <c r="G188" s="83">
        <f t="shared" si="6"/>
        <v>-118378</v>
      </c>
      <c r="H188" s="135" t="str">
        <f>'2019 Legal Max'!BD188</f>
        <v>A</v>
      </c>
    </row>
    <row r="189" spans="1:8">
      <c r="A189" s="88" t="s">
        <v>381</v>
      </c>
      <c r="B189" s="87" t="s">
        <v>88</v>
      </c>
      <c r="C189" s="87" t="s">
        <v>701</v>
      </c>
      <c r="D189" s="99">
        <f>IF(ISNA(VLOOKUP($A189,'Audit Values'!$A$2:$BV$392,2,FALSE)),'Preliminary SO66'!AZ188,VLOOKUP($A189,'Audit Values'!$A$2:$BV$392,48,FALSE))</f>
        <v>163924</v>
      </c>
      <c r="E189" s="83">
        <f t="shared" si="5"/>
        <v>180316</v>
      </c>
      <c r="F189" s="83">
        <f>'2019 Legal Max'!AO189*'Weighting Factors'!$Q$5</f>
        <v>147025</v>
      </c>
      <c r="G189" s="83">
        <f t="shared" si="6"/>
        <v>0</v>
      </c>
      <c r="H189" s="135" t="str">
        <f>'2019 Legal Max'!BD189</f>
        <v>A</v>
      </c>
    </row>
    <row r="190" spans="1:8">
      <c r="A190" s="88" t="s">
        <v>382</v>
      </c>
      <c r="B190" s="87" t="s">
        <v>10</v>
      </c>
      <c r="C190" s="87" t="s">
        <v>702</v>
      </c>
      <c r="D190" s="99">
        <f>IF(ISNA(VLOOKUP($A190,'Audit Values'!$A$2:$BV$392,2,FALSE)),'Preliminary SO66'!AZ189,VLOOKUP($A190,'Audit Values'!$A$2:$BV$392,48,FALSE))</f>
        <v>173431</v>
      </c>
      <c r="E190" s="83">
        <f t="shared" si="5"/>
        <v>190774</v>
      </c>
      <c r="F190" s="83">
        <f>'2019 Legal Max'!AO190*'Weighting Factors'!$Q$5</f>
        <v>193673</v>
      </c>
      <c r="G190" s="83">
        <f t="shared" si="6"/>
        <v>-2899</v>
      </c>
      <c r="H190" s="135" t="str">
        <f>'2019 Legal Max'!BD190</f>
        <v>A</v>
      </c>
    </row>
    <row r="191" spans="1:8">
      <c r="A191" s="88" t="s">
        <v>383</v>
      </c>
      <c r="B191" s="87" t="s">
        <v>89</v>
      </c>
      <c r="C191" s="87" t="s">
        <v>703</v>
      </c>
      <c r="D191" s="99">
        <f>IF(ISNA(VLOOKUP($A191,'Audit Values'!$A$2:$BV$392,2,FALSE)),'Preliminary SO66'!AZ190,VLOOKUP($A191,'Audit Values'!$A$2:$BV$392,48,FALSE))</f>
        <v>221447</v>
      </c>
      <c r="E191" s="83">
        <f t="shared" si="5"/>
        <v>243592</v>
      </c>
      <c r="F191" s="83">
        <f>'2019 Legal Max'!AO191*'Weighting Factors'!$Q$5</f>
        <v>216164</v>
      </c>
      <c r="G191" s="83">
        <f t="shared" si="6"/>
        <v>0</v>
      </c>
      <c r="H191" s="135" t="str">
        <f>'2019 Legal Max'!BD191</f>
        <v>A</v>
      </c>
    </row>
    <row r="192" spans="1:8">
      <c r="A192" s="88" t="s">
        <v>384</v>
      </c>
      <c r="B192" s="87" t="s">
        <v>89</v>
      </c>
      <c r="C192" s="87" t="s">
        <v>704</v>
      </c>
      <c r="D192" s="99">
        <f>IF(ISNA(VLOOKUP($A192,'Audit Values'!$A$2:$BV$392,2,FALSE)),'Preliminary SO66'!AZ191,VLOOKUP($A192,'Audit Values'!$A$2:$BV$392,48,FALSE))</f>
        <v>108475</v>
      </c>
      <c r="E192" s="83">
        <f t="shared" si="5"/>
        <v>119323</v>
      </c>
      <c r="F192" s="83">
        <f>'2019 Legal Max'!AO192*'Weighting Factors'!$Q$5</f>
        <v>110373</v>
      </c>
      <c r="G192" s="83">
        <f t="shared" si="6"/>
        <v>0</v>
      </c>
      <c r="H192" s="135" t="str">
        <f>'2019 Legal Max'!BD192</f>
        <v>A</v>
      </c>
    </row>
    <row r="193" spans="1:8">
      <c r="A193" s="88" t="s">
        <v>385</v>
      </c>
      <c r="B193" s="87" t="s">
        <v>90</v>
      </c>
      <c r="C193" s="87" t="s">
        <v>705</v>
      </c>
      <c r="D193" s="99">
        <f>IF(ISNA(VLOOKUP($A193,'Audit Values'!$A$2:$BV$392,2,FALSE)),'Preliminary SO66'!AZ192,VLOOKUP($A193,'Audit Values'!$A$2:$BV$392,48,FALSE))</f>
        <v>104778</v>
      </c>
      <c r="E193" s="83">
        <f t="shared" si="5"/>
        <v>115256</v>
      </c>
      <c r="F193" s="83">
        <f>'2019 Legal Max'!AO193*'Weighting Factors'!$Q$5</f>
        <v>69556</v>
      </c>
      <c r="G193" s="83">
        <f t="shared" si="6"/>
        <v>0</v>
      </c>
      <c r="H193" s="135" t="str">
        <f>'2019 Legal Max'!BD193</f>
        <v>A</v>
      </c>
    </row>
    <row r="194" spans="1:8">
      <c r="A194" s="88" t="s">
        <v>386</v>
      </c>
      <c r="B194" s="87" t="s">
        <v>91</v>
      </c>
      <c r="C194" s="87" t="s">
        <v>706</v>
      </c>
      <c r="D194" s="99">
        <f>IF(ISNA(VLOOKUP($A194,'Audit Values'!$A$2:$BV$392,2,FALSE)),'Preliminary SO66'!AZ193,VLOOKUP($A194,'Audit Values'!$A$2:$BV$392,48,FALSE))</f>
        <v>403011</v>
      </c>
      <c r="E194" s="83">
        <f t="shared" si="5"/>
        <v>443312</v>
      </c>
      <c r="F194" s="83">
        <f>'2019 Legal Max'!AO194*'Weighting Factors'!$Q$5</f>
        <v>341947</v>
      </c>
      <c r="G194" s="83">
        <f t="shared" si="6"/>
        <v>0</v>
      </c>
      <c r="H194" s="135" t="str">
        <f>'2019 Legal Max'!BD194</f>
        <v>A</v>
      </c>
    </row>
    <row r="195" spans="1:8">
      <c r="A195" s="88" t="s">
        <v>387</v>
      </c>
      <c r="B195" s="87" t="s">
        <v>76</v>
      </c>
      <c r="C195" s="87" t="s">
        <v>707</v>
      </c>
      <c r="D195" s="99">
        <f>IF(ISNA(VLOOKUP($A195,'Audit Values'!$A$2:$BV$392,2,FALSE)),'Preliminary SO66'!AZ194,VLOOKUP($A195,'Audit Values'!$A$2:$BV$392,48,FALSE))</f>
        <v>46122</v>
      </c>
      <c r="E195" s="83">
        <f t="shared" si="5"/>
        <v>50734</v>
      </c>
      <c r="F195" s="83">
        <f>'2019 Legal Max'!AO195*'Weighting Factors'!$Q$5</f>
        <v>54562</v>
      </c>
      <c r="G195" s="83">
        <f t="shared" si="6"/>
        <v>-3828</v>
      </c>
      <c r="H195" s="135" t="str">
        <f>'2019 Legal Max'!BD195</f>
        <v>A</v>
      </c>
    </row>
    <row r="196" spans="1:8">
      <c r="A196" s="88" t="s">
        <v>388</v>
      </c>
      <c r="B196" s="87" t="s">
        <v>10</v>
      </c>
      <c r="C196" s="87" t="s">
        <v>708</v>
      </c>
      <c r="D196" s="99">
        <f>IF(ISNA(VLOOKUP($A196,'Audit Values'!$A$2:$BV$392,2,FALSE)),'Preliminary SO66'!AZ195,VLOOKUP($A196,'Audit Values'!$A$2:$BV$392,48,FALSE))</f>
        <v>247883</v>
      </c>
      <c r="E196" s="83">
        <f t="shared" si="5"/>
        <v>272671</v>
      </c>
      <c r="F196" s="83">
        <f>'2019 Legal Max'!AO196*'Weighting Factors'!$Q$5</f>
        <v>293633</v>
      </c>
      <c r="G196" s="83">
        <f t="shared" si="6"/>
        <v>-20962</v>
      </c>
      <c r="H196" s="135" t="str">
        <f>'2019 Legal Max'!BD196</f>
        <v>A</v>
      </c>
    </row>
    <row r="197" spans="1:8">
      <c r="A197" s="88" t="s">
        <v>389</v>
      </c>
      <c r="B197" s="87" t="s">
        <v>88</v>
      </c>
      <c r="C197" s="87" t="s">
        <v>709</v>
      </c>
      <c r="D197" s="99">
        <f>IF(ISNA(VLOOKUP($A197,'Audit Values'!$A$2:$BV$392,2,FALSE)),'Preliminary SO66'!AZ196,VLOOKUP($A197,'Audit Values'!$A$2:$BV$392,48,FALSE))</f>
        <v>135158</v>
      </c>
      <c r="E197" s="83">
        <f t="shared" si="5"/>
        <v>148674</v>
      </c>
      <c r="F197" s="83">
        <f>'2019 Legal Max'!AO197*'Weighting Factors'!$Q$5</f>
        <v>152856</v>
      </c>
      <c r="G197" s="83">
        <f t="shared" si="6"/>
        <v>-4182</v>
      </c>
      <c r="H197" s="135" t="str">
        <f>'2019 Legal Max'!BD197</f>
        <v>A</v>
      </c>
    </row>
    <row r="198" spans="1:8">
      <c r="A198" s="88" t="s">
        <v>390</v>
      </c>
      <c r="B198" s="87" t="s">
        <v>29</v>
      </c>
      <c r="C198" s="87" t="s">
        <v>710</v>
      </c>
      <c r="D198" s="99">
        <f>IF(ISNA(VLOOKUP($A198,'Audit Values'!$A$2:$BV$392,2,FALSE)),'Preliminary SO66'!AZ197,VLOOKUP($A198,'Audit Values'!$A$2:$BV$392,48,FALSE))</f>
        <v>219608</v>
      </c>
      <c r="E198" s="83">
        <f t="shared" ref="E198:E261" si="7">D198*$E$3</f>
        <v>241569</v>
      </c>
      <c r="F198" s="83">
        <f>'2019 Legal Max'!AO198*'Weighting Factors'!$Q$5</f>
        <v>204502</v>
      </c>
      <c r="G198" s="83">
        <f t="shared" ref="G198:G261" si="8">IF(F198-E198&gt;0,E198-F198,0)</f>
        <v>0</v>
      </c>
      <c r="H198" s="135" t="str">
        <f>'2019 Legal Max'!BD198</f>
        <v>A</v>
      </c>
    </row>
    <row r="199" spans="1:8">
      <c r="A199" s="88" t="s">
        <v>391</v>
      </c>
      <c r="B199" s="87" t="s">
        <v>76</v>
      </c>
      <c r="C199" s="87" t="s">
        <v>711</v>
      </c>
      <c r="D199" s="99">
        <f>IF(ISNA(VLOOKUP($A199,'Audit Values'!$A$2:$BV$392,2,FALSE)),'Preliminary SO66'!AZ198,VLOOKUP($A199,'Audit Values'!$A$2:$BV$392,48,FALSE))</f>
        <v>68819</v>
      </c>
      <c r="E199" s="83">
        <f t="shared" si="7"/>
        <v>75701</v>
      </c>
      <c r="F199" s="83">
        <f>'2019 Legal Max'!AO199*'Weighting Factors'!$Q$5</f>
        <v>52063</v>
      </c>
      <c r="G199" s="83">
        <f t="shared" si="8"/>
        <v>0</v>
      </c>
      <c r="H199" s="135" t="str">
        <f>'2019 Legal Max'!BD199</f>
        <v>A</v>
      </c>
    </row>
    <row r="200" spans="1:8">
      <c r="A200" s="88" t="s">
        <v>392</v>
      </c>
      <c r="B200" s="87" t="s">
        <v>90</v>
      </c>
      <c r="C200" s="87" t="s">
        <v>712</v>
      </c>
      <c r="D200" s="99">
        <f>IF(ISNA(VLOOKUP($A200,'Audit Values'!$A$2:$BV$392,2,FALSE)),'Preliminary SO66'!AZ199,VLOOKUP($A200,'Audit Values'!$A$2:$BV$392,48,FALSE))</f>
        <v>147913</v>
      </c>
      <c r="E200" s="83">
        <f t="shared" si="7"/>
        <v>162704</v>
      </c>
      <c r="F200" s="83">
        <f>'2019 Legal Max'!AO200*'Weighting Factors'!$Q$5</f>
        <v>161602</v>
      </c>
      <c r="G200" s="83">
        <f t="shared" si="8"/>
        <v>0</v>
      </c>
      <c r="H200" s="135" t="str">
        <f>'2019 Legal Max'!BD200</f>
        <v>A</v>
      </c>
    </row>
    <row r="201" spans="1:8">
      <c r="A201" s="88" t="s">
        <v>393</v>
      </c>
      <c r="B201" s="87" t="s">
        <v>89</v>
      </c>
      <c r="C201" s="87" t="s">
        <v>713</v>
      </c>
      <c r="D201" s="99">
        <f>IF(ISNA(VLOOKUP($A201,'Audit Values'!$A$2:$BV$392,2,FALSE)),'Preliminary SO66'!AZ200,VLOOKUP($A201,'Audit Values'!$A$2:$BV$392,48,FALSE))</f>
        <v>157795</v>
      </c>
      <c r="E201" s="83">
        <f t="shared" si="7"/>
        <v>173575</v>
      </c>
      <c r="F201" s="83">
        <f>'2019 Legal Max'!AO201*'Weighting Factors'!$Q$5</f>
        <v>173681</v>
      </c>
      <c r="G201" s="83">
        <f t="shared" si="8"/>
        <v>-106</v>
      </c>
      <c r="H201" s="135" t="str">
        <f>'2019 Legal Max'!BD201</f>
        <v>A</v>
      </c>
    </row>
    <row r="202" spans="1:8">
      <c r="A202" s="88" t="s">
        <v>394</v>
      </c>
      <c r="B202" s="87" t="s">
        <v>77</v>
      </c>
      <c r="C202" s="87" t="s">
        <v>714</v>
      </c>
      <c r="D202" s="99">
        <f>IF(ISNA(VLOOKUP($A202,'Audit Values'!$A$2:$BV$392,2,FALSE)),'Preliminary SO66'!AZ201,VLOOKUP($A202,'Audit Values'!$A$2:$BV$392,48,FALSE))</f>
        <v>293101</v>
      </c>
      <c r="E202" s="83">
        <f t="shared" si="7"/>
        <v>322411</v>
      </c>
      <c r="F202" s="83">
        <f>'2019 Legal Max'!AO202*'Weighting Factors'!$Q$5</f>
        <v>193673</v>
      </c>
      <c r="G202" s="83">
        <f t="shared" si="8"/>
        <v>0</v>
      </c>
      <c r="H202" s="135" t="str">
        <f>'2019 Legal Max'!BD202</f>
        <v>A</v>
      </c>
    </row>
    <row r="203" spans="1:8">
      <c r="A203" s="88" t="s">
        <v>395</v>
      </c>
      <c r="B203" s="87" t="s">
        <v>89</v>
      </c>
      <c r="C203" s="87" t="s">
        <v>715</v>
      </c>
      <c r="D203" s="99">
        <f>IF(ISNA(VLOOKUP($A203,'Audit Values'!$A$2:$BV$392,2,FALSE)),'Preliminary SO66'!AZ202,VLOOKUP($A203,'Audit Values'!$A$2:$BV$392,48,FALSE))</f>
        <v>165885</v>
      </c>
      <c r="E203" s="83">
        <f t="shared" si="7"/>
        <v>182474</v>
      </c>
      <c r="F203" s="83">
        <f>'2019 Legal Max'!AO203*'Weighting Factors'!$Q$5</f>
        <v>174097</v>
      </c>
      <c r="G203" s="83">
        <f t="shared" si="8"/>
        <v>0</v>
      </c>
      <c r="H203" s="135" t="str">
        <f>'2019 Legal Max'!BD203</f>
        <v>A</v>
      </c>
    </row>
    <row r="204" spans="1:8">
      <c r="A204" s="88" t="s">
        <v>396</v>
      </c>
      <c r="B204" s="87" t="s">
        <v>89</v>
      </c>
      <c r="C204" s="87" t="s">
        <v>716</v>
      </c>
      <c r="D204" s="99">
        <f>IF(ISNA(VLOOKUP($A204,'Audit Values'!$A$2:$BV$392,2,FALSE)),'Preliminary SO66'!AZ203,VLOOKUP($A204,'Audit Values'!$A$2:$BV$392,48,FALSE))</f>
        <v>140145</v>
      </c>
      <c r="E204" s="83">
        <f t="shared" si="7"/>
        <v>154160</v>
      </c>
      <c r="F204" s="83">
        <f>'2019 Legal Max'!AO204*'Weighting Factors'!$Q$5</f>
        <v>117037</v>
      </c>
      <c r="G204" s="83">
        <f t="shared" si="8"/>
        <v>0</v>
      </c>
      <c r="H204" s="135" t="str">
        <f>'2019 Legal Max'!BD204</f>
        <v>A</v>
      </c>
    </row>
    <row r="205" spans="1:8">
      <c r="A205" s="88" t="s">
        <v>397</v>
      </c>
      <c r="B205" s="87" t="s">
        <v>93</v>
      </c>
      <c r="C205" s="87" t="s">
        <v>717</v>
      </c>
      <c r="D205" s="99">
        <f>IF(ISNA(VLOOKUP($A205,'Audit Values'!$A$2:$BV$392,2,FALSE)),'Preliminary SO66'!AZ204,VLOOKUP($A205,'Audit Values'!$A$2:$BV$392,48,FALSE))</f>
        <v>177120</v>
      </c>
      <c r="E205" s="83">
        <f t="shared" si="7"/>
        <v>194832</v>
      </c>
      <c r="F205" s="83">
        <f>'2019 Legal Max'!AO205*'Weighting Factors'!$Q$5</f>
        <v>152856</v>
      </c>
      <c r="G205" s="83">
        <f t="shared" si="8"/>
        <v>0</v>
      </c>
      <c r="H205" s="135" t="str">
        <f>'2019 Legal Max'!BD205</f>
        <v>A</v>
      </c>
    </row>
    <row r="206" spans="1:8">
      <c r="A206" s="88" t="s">
        <v>398</v>
      </c>
      <c r="B206" s="87" t="s">
        <v>4</v>
      </c>
      <c r="C206" s="87" t="s">
        <v>718</v>
      </c>
      <c r="D206" s="99">
        <f>IF(ISNA(VLOOKUP($A206,'Audit Values'!$A$2:$BV$392,2,FALSE)),'Preliminary SO66'!AZ205,VLOOKUP($A206,'Audit Values'!$A$2:$BV$392,48,FALSE))</f>
        <v>382294</v>
      </c>
      <c r="E206" s="83">
        <f t="shared" si="7"/>
        <v>420523</v>
      </c>
      <c r="F206" s="83">
        <f>'2019 Legal Max'!AO206*'Weighting Factors'!$Q$5</f>
        <v>439408</v>
      </c>
      <c r="G206" s="83">
        <f t="shared" si="8"/>
        <v>-18885</v>
      </c>
      <c r="H206" s="135" t="str">
        <f>'2019 Legal Max'!BD206</f>
        <v>A</v>
      </c>
    </row>
    <row r="207" spans="1:8">
      <c r="A207" s="88" t="s">
        <v>399</v>
      </c>
      <c r="B207" s="87" t="s">
        <v>94</v>
      </c>
      <c r="C207" s="87" t="s">
        <v>719</v>
      </c>
      <c r="D207" s="99">
        <f>IF(ISNA(VLOOKUP($A207,'Audit Values'!$A$2:$BV$392,2,FALSE)),'Preliminary SO66'!AZ206,VLOOKUP($A207,'Audit Values'!$A$2:$BV$392,48,FALSE))</f>
        <v>321911</v>
      </c>
      <c r="E207" s="83">
        <f t="shared" si="7"/>
        <v>354102</v>
      </c>
      <c r="F207" s="83">
        <f>'2019 Legal Max'!AO207*'Weighting Factors'!$Q$5</f>
        <v>292800</v>
      </c>
      <c r="G207" s="83">
        <f t="shared" si="8"/>
        <v>0</v>
      </c>
      <c r="H207" s="135" t="str">
        <f>'2019 Legal Max'!BD207</f>
        <v>A</v>
      </c>
    </row>
    <row r="208" spans="1:8">
      <c r="A208" s="88" t="s">
        <v>400</v>
      </c>
      <c r="B208" s="87" t="s">
        <v>73</v>
      </c>
      <c r="C208" s="87" t="s">
        <v>720</v>
      </c>
      <c r="D208" s="99">
        <f>IF(ISNA(VLOOKUP($A208,'Audit Values'!$A$2:$BV$392,2,FALSE)),'Preliminary SO66'!AZ207,VLOOKUP($A208,'Audit Values'!$A$2:$BV$392,48,FALSE))</f>
        <v>322350</v>
      </c>
      <c r="E208" s="83">
        <f t="shared" si="7"/>
        <v>354585</v>
      </c>
      <c r="F208" s="83">
        <f>'2019 Legal Max'!AO208*'Weighting Factors'!$Q$5</f>
        <v>531038</v>
      </c>
      <c r="G208" s="83">
        <f t="shared" si="8"/>
        <v>-176453</v>
      </c>
      <c r="H208" s="135" t="str">
        <f>'2019 Legal Max'!BD208</f>
        <v>A</v>
      </c>
    </row>
    <row r="209" spans="1:8">
      <c r="A209" s="88" t="s">
        <v>401</v>
      </c>
      <c r="B209" s="87" t="s">
        <v>95</v>
      </c>
      <c r="C209" s="87" t="s">
        <v>721</v>
      </c>
      <c r="D209" s="99">
        <f>IF(ISNA(VLOOKUP($A209,'Audit Values'!$A$2:$BV$392,2,FALSE)),'Preliminary SO66'!AZ208,VLOOKUP($A209,'Audit Values'!$A$2:$BV$392,48,FALSE))</f>
        <v>351051</v>
      </c>
      <c r="E209" s="83">
        <f t="shared" si="7"/>
        <v>386156</v>
      </c>
      <c r="F209" s="83">
        <f>'2019 Legal Max'!AO209*'Weighting Factors'!$Q$5</f>
        <v>336116</v>
      </c>
      <c r="G209" s="83">
        <f t="shared" si="8"/>
        <v>0</v>
      </c>
      <c r="H209" s="135" t="str">
        <f>'2019 Legal Max'!BD209</f>
        <v>A</v>
      </c>
    </row>
    <row r="210" spans="1:8">
      <c r="A210" s="88" t="s">
        <v>402</v>
      </c>
      <c r="B210" s="87" t="s">
        <v>91</v>
      </c>
      <c r="C210" s="87" t="s">
        <v>722</v>
      </c>
      <c r="D210" s="99">
        <f>IF(ISNA(VLOOKUP($A210,'Audit Values'!$A$2:$BV$392,2,FALSE)),'Preliminary SO66'!AZ209,VLOOKUP($A210,'Audit Values'!$A$2:$BV$392,48,FALSE))</f>
        <v>192242</v>
      </c>
      <c r="E210" s="83">
        <f t="shared" si="7"/>
        <v>211466</v>
      </c>
      <c r="F210" s="83">
        <f>'2019 Legal Max'!AO210*'Weighting Factors'!$Q$5</f>
        <v>149940</v>
      </c>
      <c r="G210" s="83">
        <f t="shared" si="8"/>
        <v>0</v>
      </c>
      <c r="H210" s="135" t="str">
        <f>'2019 Legal Max'!BD210</f>
        <v>A</v>
      </c>
    </row>
    <row r="211" spans="1:8">
      <c r="A211" s="88" t="s">
        <v>403</v>
      </c>
      <c r="B211" s="87" t="s">
        <v>91</v>
      </c>
      <c r="C211" s="87" t="s">
        <v>723</v>
      </c>
      <c r="D211" s="99">
        <f>IF(ISNA(VLOOKUP($A211,'Audit Values'!$A$2:$BV$392,2,FALSE)),'Preliminary SO66'!AZ210,VLOOKUP($A211,'Audit Values'!$A$2:$BV$392,48,FALSE))</f>
        <v>125696</v>
      </c>
      <c r="E211" s="83">
        <f t="shared" si="7"/>
        <v>138266</v>
      </c>
      <c r="F211" s="83">
        <f>'2019 Legal Max'!AO211*'Weighting Factors'!$Q$5</f>
        <v>193673</v>
      </c>
      <c r="G211" s="83">
        <f t="shared" si="8"/>
        <v>-55407</v>
      </c>
      <c r="H211" s="135" t="str">
        <f>'2019 Legal Max'!BD211</f>
        <v>A</v>
      </c>
    </row>
    <row r="212" spans="1:8">
      <c r="A212" s="88" t="s">
        <v>404</v>
      </c>
      <c r="B212" s="87" t="s">
        <v>96</v>
      </c>
      <c r="C212" s="87" t="s">
        <v>724</v>
      </c>
      <c r="D212" s="99">
        <f>IF(ISNA(VLOOKUP($A212,'Audit Values'!$A$2:$BV$392,2,FALSE)),'Preliminary SO66'!AZ211,VLOOKUP($A212,'Audit Values'!$A$2:$BV$392,48,FALSE))</f>
        <v>135548</v>
      </c>
      <c r="E212" s="83">
        <f t="shared" si="7"/>
        <v>149103</v>
      </c>
      <c r="F212" s="83">
        <f>'2019 Legal Max'!AO212*'Weighting Factors'!$Q$5</f>
        <v>86216</v>
      </c>
      <c r="G212" s="83">
        <f t="shared" si="8"/>
        <v>0</v>
      </c>
      <c r="H212" s="135" t="str">
        <f>'2019 Legal Max'!BD212</f>
        <v>A</v>
      </c>
    </row>
    <row r="213" spans="1:8">
      <c r="A213" s="88" t="s">
        <v>405</v>
      </c>
      <c r="B213" s="87" t="s">
        <v>96</v>
      </c>
      <c r="C213" s="87" t="s">
        <v>725</v>
      </c>
      <c r="D213" s="99">
        <f>IF(ISNA(VLOOKUP($A213,'Audit Values'!$A$2:$BV$392,2,FALSE)),'Preliminary SO66'!AZ212,VLOOKUP($A213,'Audit Values'!$A$2:$BV$392,48,FALSE))</f>
        <v>190534</v>
      </c>
      <c r="E213" s="83">
        <f t="shared" si="7"/>
        <v>209587</v>
      </c>
      <c r="F213" s="83">
        <f>'2019 Legal Max'!AO213*'Weighting Factors'!$Q$5</f>
        <v>160769</v>
      </c>
      <c r="G213" s="83">
        <f t="shared" si="8"/>
        <v>0</v>
      </c>
      <c r="H213" s="135" t="str">
        <f>'2019 Legal Max'!BD213</f>
        <v>A</v>
      </c>
    </row>
    <row r="214" spans="1:8">
      <c r="A214" s="88" t="s">
        <v>406</v>
      </c>
      <c r="B214" s="87" t="s">
        <v>97</v>
      </c>
      <c r="C214" s="87" t="s">
        <v>726</v>
      </c>
      <c r="D214" s="99">
        <f>IF(ISNA(VLOOKUP($A214,'Audit Values'!$A$2:$BV$392,2,FALSE)),'Preliminary SO66'!AZ213,VLOOKUP($A214,'Audit Values'!$A$2:$BV$392,48,FALSE))</f>
        <v>171078</v>
      </c>
      <c r="E214" s="83">
        <f t="shared" si="7"/>
        <v>188186</v>
      </c>
      <c r="F214" s="83">
        <f>'2019 Legal Max'!AO214*'Weighting Factors'!$Q$5</f>
        <v>134946</v>
      </c>
      <c r="G214" s="83">
        <f t="shared" si="8"/>
        <v>0</v>
      </c>
      <c r="H214" s="135" t="str">
        <f>'2019 Legal Max'!BD214</f>
        <v>A</v>
      </c>
    </row>
    <row r="215" spans="1:8">
      <c r="A215" s="88" t="s">
        <v>407</v>
      </c>
      <c r="B215" s="87" t="s">
        <v>91</v>
      </c>
      <c r="C215" s="87" t="s">
        <v>727</v>
      </c>
      <c r="D215" s="99">
        <f>IF(ISNA(VLOOKUP($A215,'Audit Values'!$A$2:$BV$392,2,FALSE)),'Preliminary SO66'!AZ214,VLOOKUP($A215,'Audit Values'!$A$2:$BV$392,48,FALSE))</f>
        <v>115770</v>
      </c>
      <c r="E215" s="83">
        <f t="shared" si="7"/>
        <v>127347</v>
      </c>
      <c r="F215" s="83">
        <f>'2019 Legal Max'!AO215*'Weighting Factors'!$Q$5</f>
        <v>104125</v>
      </c>
      <c r="G215" s="83">
        <f t="shared" si="8"/>
        <v>0</v>
      </c>
      <c r="H215" s="135" t="str">
        <f>'2019 Legal Max'!BD215</f>
        <v>A</v>
      </c>
    </row>
    <row r="216" spans="1:8">
      <c r="A216" s="88" t="s">
        <v>408</v>
      </c>
      <c r="B216" s="87" t="s">
        <v>98</v>
      </c>
      <c r="C216" s="87" t="s">
        <v>728</v>
      </c>
      <c r="D216" s="99">
        <f>IF(ISNA(VLOOKUP($A216,'Audit Values'!$A$2:$BV$392,2,FALSE)),'Preliminary SO66'!AZ215,VLOOKUP($A216,'Audit Values'!$A$2:$BV$392,48,FALSE))</f>
        <v>194359</v>
      </c>
      <c r="E216" s="83">
        <f t="shared" si="7"/>
        <v>213795</v>
      </c>
      <c r="F216" s="83">
        <f>'2019 Legal Max'!AO216*'Weighting Factors'!$Q$5</f>
        <v>112039</v>
      </c>
      <c r="G216" s="83">
        <f t="shared" si="8"/>
        <v>0</v>
      </c>
      <c r="H216" s="135" t="str">
        <f>'2019 Legal Max'!BD216</f>
        <v>A</v>
      </c>
    </row>
    <row r="217" spans="1:8">
      <c r="A217" s="88" t="s">
        <v>409</v>
      </c>
      <c r="B217" s="87" t="s">
        <v>67</v>
      </c>
      <c r="C217" s="87" t="s">
        <v>729</v>
      </c>
      <c r="D217" s="99">
        <f>IF(ISNA(VLOOKUP($A217,'Audit Values'!$A$2:$BV$392,2,FALSE)),'Preliminary SO66'!AZ216,VLOOKUP($A217,'Audit Values'!$A$2:$BV$392,48,FALSE))</f>
        <v>77290</v>
      </c>
      <c r="E217" s="83">
        <f t="shared" si="7"/>
        <v>85019</v>
      </c>
      <c r="F217" s="83">
        <f>'2019 Legal Max'!AO217*'Weighting Factors'!$Q$5</f>
        <v>202419</v>
      </c>
      <c r="G217" s="83">
        <f t="shared" si="8"/>
        <v>-117400</v>
      </c>
      <c r="H217" s="135" t="str">
        <f>'2019 Legal Max'!BD217</f>
        <v>A</v>
      </c>
    </row>
    <row r="218" spans="1:8">
      <c r="A218" s="88" t="s">
        <v>410</v>
      </c>
      <c r="B218" s="87" t="s">
        <v>92</v>
      </c>
      <c r="C218" s="87" t="s">
        <v>730</v>
      </c>
      <c r="D218" s="99">
        <f>IF(ISNA(VLOOKUP($A218,'Audit Values'!$A$2:$BV$392,2,FALSE)),'Preliminary SO66'!AZ217,VLOOKUP($A218,'Audit Values'!$A$2:$BV$392,48,FALSE))</f>
        <v>87711</v>
      </c>
      <c r="E218" s="83">
        <f t="shared" si="7"/>
        <v>96482</v>
      </c>
      <c r="F218" s="83">
        <f>'2019 Legal Max'!AO218*'Weighting Factors'!$Q$5</f>
        <v>88715</v>
      </c>
      <c r="G218" s="83">
        <f t="shared" si="8"/>
        <v>0</v>
      </c>
      <c r="H218" s="135" t="str">
        <f>'2019 Legal Max'!BD218</f>
        <v>A</v>
      </c>
    </row>
    <row r="219" spans="1:8">
      <c r="A219" s="88" t="s">
        <v>411</v>
      </c>
      <c r="B219" s="87" t="s">
        <v>94</v>
      </c>
      <c r="C219" s="87" t="s">
        <v>731</v>
      </c>
      <c r="D219" s="99">
        <f>IF(ISNA(VLOOKUP($A219,'Audit Values'!$A$2:$BV$392,2,FALSE)),'Preliminary SO66'!AZ218,VLOOKUP($A219,'Audit Values'!$A$2:$BV$392,48,FALSE))</f>
        <v>171553</v>
      </c>
      <c r="E219" s="83">
        <f t="shared" si="7"/>
        <v>188708</v>
      </c>
      <c r="F219" s="83">
        <f>'2019 Legal Max'!AO219*'Weighting Factors'!$Q$5</f>
        <v>279888</v>
      </c>
      <c r="G219" s="83">
        <f t="shared" si="8"/>
        <v>-91180</v>
      </c>
      <c r="H219" s="135" t="str">
        <f>'2019 Legal Max'!BD219</f>
        <v>A</v>
      </c>
    </row>
    <row r="220" spans="1:8">
      <c r="A220" s="88" t="s">
        <v>412</v>
      </c>
      <c r="B220" s="87" t="s">
        <v>67</v>
      </c>
      <c r="C220" s="87" t="s">
        <v>732</v>
      </c>
      <c r="D220" s="99">
        <f>IF(ISNA(VLOOKUP($A220,'Audit Values'!$A$2:$BV$392,2,FALSE)),'Preliminary SO66'!AZ219,VLOOKUP($A220,'Audit Values'!$A$2:$BV$392,48,FALSE))</f>
        <v>152059</v>
      </c>
      <c r="E220" s="83">
        <f t="shared" si="7"/>
        <v>167265</v>
      </c>
      <c r="F220" s="83">
        <f>'2019 Legal Max'!AO220*'Weighting Factors'!$Q$5</f>
        <v>117037</v>
      </c>
      <c r="G220" s="83">
        <f t="shared" si="8"/>
        <v>0</v>
      </c>
      <c r="H220" s="135" t="str">
        <f>'2019 Legal Max'!BD220</f>
        <v>A</v>
      </c>
    </row>
    <row r="221" spans="1:8">
      <c r="A221" s="88" t="s">
        <v>413</v>
      </c>
      <c r="B221" s="87" t="s">
        <v>84</v>
      </c>
      <c r="C221" s="87" t="s">
        <v>733</v>
      </c>
      <c r="D221" s="99">
        <f>IF(ISNA(VLOOKUP($A221,'Audit Values'!$A$2:$BV$392,2,FALSE)),'Preliminary SO66'!AZ220,VLOOKUP($A221,'Audit Values'!$A$2:$BV$392,48,FALSE))</f>
        <v>38257</v>
      </c>
      <c r="E221" s="83">
        <f t="shared" si="7"/>
        <v>42083</v>
      </c>
      <c r="F221" s="83">
        <f>'2019 Legal Max'!AO221*'Weighting Factors'!$Q$5</f>
        <v>94962</v>
      </c>
      <c r="G221" s="83">
        <f t="shared" si="8"/>
        <v>-52879</v>
      </c>
      <c r="H221" s="135" t="str">
        <f>'2019 Legal Max'!BD221</f>
        <v>A</v>
      </c>
    </row>
    <row r="222" spans="1:8">
      <c r="A222" s="88" t="s">
        <v>414</v>
      </c>
      <c r="B222" s="87" t="s">
        <v>96</v>
      </c>
      <c r="C222" s="87" t="s">
        <v>734</v>
      </c>
      <c r="D222" s="99">
        <f>IF(ISNA(VLOOKUP($A222,'Audit Values'!$A$2:$BV$392,2,FALSE)),'Preliminary SO66'!AZ221,VLOOKUP($A222,'Audit Values'!$A$2:$BV$392,48,FALSE))</f>
        <v>750367</v>
      </c>
      <c r="E222" s="83">
        <f t="shared" si="7"/>
        <v>825404</v>
      </c>
      <c r="F222" s="83">
        <f>'2019 Legal Max'!AO222*'Weighting Factors'!$Q$5</f>
        <v>597678</v>
      </c>
      <c r="G222" s="83">
        <f t="shared" si="8"/>
        <v>0</v>
      </c>
      <c r="H222" s="135" t="str">
        <f>'2019 Legal Max'!BD222</f>
        <v>A</v>
      </c>
    </row>
    <row r="223" spans="1:8">
      <c r="A223" s="88" t="s">
        <v>415</v>
      </c>
      <c r="B223" s="87" t="s">
        <v>87</v>
      </c>
      <c r="C223" s="87" t="s">
        <v>735</v>
      </c>
      <c r="D223" s="99">
        <f>IF(ISNA(VLOOKUP($A223,'Audit Values'!$A$2:$BV$392,2,FALSE)),'Preliminary SO66'!AZ222,VLOOKUP($A223,'Audit Values'!$A$2:$BV$392,48,FALSE))</f>
        <v>350700</v>
      </c>
      <c r="E223" s="83">
        <f t="shared" si="7"/>
        <v>385770</v>
      </c>
      <c r="F223" s="83">
        <f>'2019 Legal Max'!AO223*'Weighting Factors'!$Q$5</f>
        <v>212415</v>
      </c>
      <c r="G223" s="83">
        <f t="shared" si="8"/>
        <v>0</v>
      </c>
      <c r="H223" s="135" t="str">
        <f>'2019 Legal Max'!BD223</f>
        <v>A</v>
      </c>
    </row>
    <row r="224" spans="1:8">
      <c r="A224" s="88" t="s">
        <v>416</v>
      </c>
      <c r="B224" s="87" t="s">
        <v>99</v>
      </c>
      <c r="C224" s="87" t="s">
        <v>736</v>
      </c>
      <c r="D224" s="99">
        <f>IF(ISNA(VLOOKUP($A224,'Audit Values'!$A$2:$BV$392,2,FALSE)),'Preliminary SO66'!AZ223,VLOOKUP($A224,'Audit Values'!$A$2:$BV$392,48,FALSE))</f>
        <v>182979</v>
      </c>
      <c r="E224" s="83">
        <f t="shared" si="7"/>
        <v>201277</v>
      </c>
      <c r="F224" s="83">
        <f>'2019 Legal Max'!AO224*'Weighting Factors'!$Q$5</f>
        <v>289884</v>
      </c>
      <c r="G224" s="83">
        <f t="shared" si="8"/>
        <v>-88607</v>
      </c>
      <c r="H224" s="135" t="str">
        <f>'2019 Legal Max'!BD224</f>
        <v>A</v>
      </c>
    </row>
    <row r="225" spans="1:8">
      <c r="A225" s="88" t="s">
        <v>417</v>
      </c>
      <c r="B225" s="87" t="s">
        <v>61</v>
      </c>
      <c r="C225" s="87" t="s">
        <v>737</v>
      </c>
      <c r="D225" s="99">
        <f>IF(ISNA(VLOOKUP($A225,'Audit Values'!$A$2:$BV$392,2,FALSE)),'Preliminary SO66'!AZ224,VLOOKUP($A225,'Audit Values'!$A$2:$BV$392,48,FALSE))</f>
        <v>1619638</v>
      </c>
      <c r="E225" s="83">
        <f t="shared" si="7"/>
        <v>1781602</v>
      </c>
      <c r="F225" s="83">
        <f>'2019 Legal Max'!AO225*'Weighting Factors'!$Q$5</f>
        <v>1803862</v>
      </c>
      <c r="G225" s="83">
        <f t="shared" si="8"/>
        <v>-22260</v>
      </c>
      <c r="H225" s="135" t="str">
        <f>'2019 Legal Max'!BD225</f>
        <v>A</v>
      </c>
    </row>
    <row r="226" spans="1:8">
      <c r="A226" s="88" t="s">
        <v>418</v>
      </c>
      <c r="B226" s="87" t="s">
        <v>81</v>
      </c>
      <c r="C226" s="87" t="s">
        <v>738</v>
      </c>
      <c r="D226" s="99">
        <f>IF(ISNA(VLOOKUP($A226,'Audit Values'!$A$2:$BV$392,2,FALSE)),'Preliminary SO66'!AZ225,VLOOKUP($A226,'Audit Values'!$A$2:$BV$392,48,FALSE))</f>
        <v>182987</v>
      </c>
      <c r="E226" s="83">
        <f t="shared" si="7"/>
        <v>201286</v>
      </c>
      <c r="F226" s="83">
        <f>'2019 Legal Max'!AO226*'Weighting Factors'!$Q$5</f>
        <v>199920</v>
      </c>
      <c r="G226" s="83">
        <f t="shared" si="8"/>
        <v>0</v>
      </c>
      <c r="H226" s="135" t="str">
        <f>'2019 Legal Max'!BD226</f>
        <v>A</v>
      </c>
    </row>
    <row r="227" spans="1:8">
      <c r="A227" s="88" t="s">
        <v>419</v>
      </c>
      <c r="B227" s="87" t="s">
        <v>74</v>
      </c>
      <c r="C227" s="87" t="s">
        <v>739</v>
      </c>
      <c r="D227" s="99">
        <f>IF(ISNA(VLOOKUP($A227,'Audit Values'!$A$2:$BV$392,2,FALSE)),'Preliminary SO66'!AZ226,VLOOKUP($A227,'Audit Values'!$A$2:$BV$392,48,FALSE))</f>
        <v>97869</v>
      </c>
      <c r="E227" s="83">
        <f t="shared" si="7"/>
        <v>107656</v>
      </c>
      <c r="F227" s="83">
        <f>'2019 Legal Max'!AO227*'Weighting Factors'!$Q$5</f>
        <v>60393</v>
      </c>
      <c r="G227" s="83">
        <f t="shared" si="8"/>
        <v>0</v>
      </c>
      <c r="H227" s="135" t="str">
        <f>'2019 Legal Max'!BD227</f>
        <v>A</v>
      </c>
    </row>
    <row r="228" spans="1:8">
      <c r="A228" s="88" t="s">
        <v>420</v>
      </c>
      <c r="B228" s="87" t="s">
        <v>74</v>
      </c>
      <c r="C228" s="87" t="s">
        <v>740</v>
      </c>
      <c r="D228" s="99">
        <f>IF(ISNA(VLOOKUP($A228,'Audit Values'!$A$2:$BV$392,2,FALSE)),'Preliminary SO66'!AZ227,VLOOKUP($A228,'Audit Values'!$A$2:$BV$392,48,FALSE))</f>
        <v>232672</v>
      </c>
      <c r="E228" s="83">
        <f t="shared" si="7"/>
        <v>255939</v>
      </c>
      <c r="F228" s="83">
        <f>'2019 Legal Max'!AO228*'Weighting Factors'!$Q$5</f>
        <v>311126</v>
      </c>
      <c r="G228" s="83">
        <f t="shared" si="8"/>
        <v>-55187</v>
      </c>
      <c r="H228" s="135" t="str">
        <f>'2019 Legal Max'!BD228</f>
        <v>A</v>
      </c>
    </row>
    <row r="229" spans="1:8">
      <c r="A229" s="88" t="s">
        <v>421</v>
      </c>
      <c r="B229" s="87" t="s">
        <v>80</v>
      </c>
      <c r="C229" s="87" t="s">
        <v>741</v>
      </c>
      <c r="D229" s="99">
        <f>IF(ISNA(VLOOKUP($A229,'Audit Values'!$A$2:$BV$392,2,FALSE)),'Preliminary SO66'!AZ228,VLOOKUP($A229,'Audit Values'!$A$2:$BV$392,48,FALSE))</f>
        <v>1368247</v>
      </c>
      <c r="E229" s="83">
        <f t="shared" si="7"/>
        <v>1505072</v>
      </c>
      <c r="F229" s="83">
        <f>'2019 Legal Max'!AO229*'Weighting Factors'!$Q$5</f>
        <v>1843846</v>
      </c>
      <c r="G229" s="83">
        <f t="shared" si="8"/>
        <v>-338774</v>
      </c>
      <c r="H229" s="135" t="str">
        <f>'2019 Legal Max'!BD229</f>
        <v>A</v>
      </c>
    </row>
    <row r="230" spans="1:8">
      <c r="A230" s="88" t="s">
        <v>422</v>
      </c>
      <c r="B230" s="87" t="s">
        <v>76</v>
      </c>
      <c r="C230" s="87" t="s">
        <v>742</v>
      </c>
      <c r="D230" s="99">
        <f>IF(ISNA(VLOOKUP($A230,'Audit Values'!$A$2:$BV$392,2,FALSE)),'Preliminary SO66'!AZ229,VLOOKUP($A230,'Audit Values'!$A$2:$BV$392,48,FALSE))</f>
        <v>174979</v>
      </c>
      <c r="E230" s="83">
        <f t="shared" si="7"/>
        <v>192477</v>
      </c>
      <c r="F230" s="83">
        <f>'2019 Legal Max'!AO230*'Weighting Factors'!$Q$5</f>
        <v>187425</v>
      </c>
      <c r="G230" s="83">
        <f t="shared" si="8"/>
        <v>0</v>
      </c>
      <c r="H230" s="135" t="str">
        <f>'2019 Legal Max'!BD230</f>
        <v>A</v>
      </c>
    </row>
    <row r="231" spans="1:8">
      <c r="A231" s="88" t="s">
        <v>423</v>
      </c>
      <c r="B231" s="87" t="s">
        <v>99</v>
      </c>
      <c r="C231" s="87" t="s">
        <v>743</v>
      </c>
      <c r="D231" s="99">
        <f>IF(ISNA(VLOOKUP($A231,'Audit Values'!$A$2:$BV$392,2,FALSE)),'Preliminary SO66'!AZ230,VLOOKUP($A231,'Audit Values'!$A$2:$BV$392,48,FALSE))</f>
        <v>594974</v>
      </c>
      <c r="E231" s="83">
        <f t="shared" si="7"/>
        <v>654471</v>
      </c>
      <c r="F231" s="83">
        <f>'2019 Legal Max'!AO231*'Weighting Factors'!$Q$5</f>
        <v>320705</v>
      </c>
      <c r="G231" s="83">
        <f t="shared" si="8"/>
        <v>0</v>
      </c>
      <c r="H231" s="135" t="str">
        <f>'2019 Legal Max'!BD231</f>
        <v>A</v>
      </c>
    </row>
    <row r="232" spans="1:8">
      <c r="A232" s="88" t="s">
        <v>424</v>
      </c>
      <c r="B232" s="87" t="s">
        <v>99</v>
      </c>
      <c r="C232" s="87" t="s">
        <v>744</v>
      </c>
      <c r="D232" s="99">
        <f>IF(ISNA(VLOOKUP($A232,'Audit Values'!$A$2:$BV$392,2,FALSE)),'Preliminary SO66'!AZ231,VLOOKUP($A232,'Audit Values'!$A$2:$BV$392,48,FALSE))</f>
        <v>483657</v>
      </c>
      <c r="E232" s="83">
        <f t="shared" si="7"/>
        <v>532023</v>
      </c>
      <c r="F232" s="83">
        <f>'2019 Legal Max'!AO232*'Weighting Factors'!$Q$5</f>
        <v>386512</v>
      </c>
      <c r="G232" s="83">
        <f t="shared" si="8"/>
        <v>0</v>
      </c>
      <c r="H232" s="135" t="str">
        <f>'2019 Legal Max'!BD232</f>
        <v>A</v>
      </c>
    </row>
    <row r="233" spans="1:8">
      <c r="A233" s="88" t="s">
        <v>425</v>
      </c>
      <c r="B233" s="87" t="s">
        <v>99</v>
      </c>
      <c r="C233" s="87" t="s">
        <v>745</v>
      </c>
      <c r="D233" s="99">
        <f>IF(ISNA(VLOOKUP($A233,'Audit Values'!$A$2:$BV$392,2,FALSE)),'Preliminary SO66'!AZ232,VLOOKUP($A233,'Audit Values'!$A$2:$BV$392,48,FALSE))</f>
        <v>190174</v>
      </c>
      <c r="E233" s="83">
        <f t="shared" si="7"/>
        <v>209191</v>
      </c>
      <c r="F233" s="83">
        <f>'2019 Legal Max'!AO233*'Weighting Factors'!$Q$5</f>
        <v>139944</v>
      </c>
      <c r="G233" s="83">
        <f t="shared" si="8"/>
        <v>0</v>
      </c>
      <c r="H233" s="135" t="str">
        <f>'2019 Legal Max'!BD233</f>
        <v>A</v>
      </c>
    </row>
    <row r="234" spans="1:8">
      <c r="A234" s="88" t="s">
        <v>426</v>
      </c>
      <c r="B234" s="87" t="s">
        <v>91</v>
      </c>
      <c r="C234" s="87" t="s">
        <v>746</v>
      </c>
      <c r="D234" s="99">
        <f>IF(ISNA(VLOOKUP($A234,'Audit Values'!$A$2:$BV$392,2,FALSE)),'Preliminary SO66'!AZ233,VLOOKUP($A234,'Audit Values'!$A$2:$BV$392,48,FALSE))</f>
        <v>100909</v>
      </c>
      <c r="E234" s="83">
        <f t="shared" si="7"/>
        <v>111000</v>
      </c>
      <c r="F234" s="83">
        <f>'2019 Legal Max'!AO234*'Weighting Factors'!$Q$5</f>
        <v>124534</v>
      </c>
      <c r="G234" s="83">
        <f t="shared" si="8"/>
        <v>-13534</v>
      </c>
      <c r="H234" s="135" t="str">
        <f>'2019 Legal Max'!BD234</f>
        <v>A</v>
      </c>
    </row>
    <row r="235" spans="1:8">
      <c r="A235" s="88" t="s">
        <v>427</v>
      </c>
      <c r="B235" s="87" t="s">
        <v>11</v>
      </c>
      <c r="C235" s="87" t="s">
        <v>747</v>
      </c>
      <c r="D235" s="99">
        <f>IF(ISNA(VLOOKUP($A235,'Audit Values'!$A$2:$BV$392,2,FALSE)),'Preliminary SO66'!AZ234,VLOOKUP($A235,'Audit Values'!$A$2:$BV$392,48,FALSE))</f>
        <v>397727</v>
      </c>
      <c r="E235" s="83">
        <f t="shared" si="7"/>
        <v>437500</v>
      </c>
      <c r="F235" s="83">
        <f>'2019 Legal Max'!AO235*'Weighting Factors'!$Q$5</f>
        <v>292800</v>
      </c>
      <c r="G235" s="83">
        <f t="shared" si="8"/>
        <v>0</v>
      </c>
      <c r="H235" s="135" t="str">
        <f>'2019 Legal Max'!BD235</f>
        <v>A</v>
      </c>
    </row>
    <row r="236" spans="1:8">
      <c r="A236" s="88" t="s">
        <v>428</v>
      </c>
      <c r="B236" s="87" t="s">
        <v>61</v>
      </c>
      <c r="C236" s="87" t="s">
        <v>748</v>
      </c>
      <c r="D236" s="99">
        <f>IF(ISNA(VLOOKUP($A236,'Audit Values'!$A$2:$BV$392,2,FALSE)),'Preliminary SO66'!AZ235,VLOOKUP($A236,'Audit Values'!$A$2:$BV$392,48,FALSE))</f>
        <v>1509573</v>
      </c>
      <c r="E236" s="83">
        <f t="shared" si="7"/>
        <v>1660530</v>
      </c>
      <c r="F236" s="83">
        <f>'2019 Legal Max'!AO236*'Weighting Factors'!$Q$5</f>
        <v>1434010</v>
      </c>
      <c r="G236" s="83">
        <f t="shared" si="8"/>
        <v>0</v>
      </c>
      <c r="H236" s="135" t="str">
        <f>'2019 Legal Max'!BD236</f>
        <v>A</v>
      </c>
    </row>
    <row r="237" spans="1:8">
      <c r="A237" s="88" t="s">
        <v>429</v>
      </c>
      <c r="B237" s="87" t="s">
        <v>101</v>
      </c>
      <c r="C237" s="87" t="s">
        <v>749</v>
      </c>
      <c r="D237" s="99">
        <f>IF(ISNA(VLOOKUP($A237,'Audit Values'!$A$2:$BV$392,2,FALSE)),'Preliminary SO66'!AZ236,VLOOKUP($A237,'Audit Values'!$A$2:$BV$392,48,FALSE))</f>
        <v>201298</v>
      </c>
      <c r="E237" s="83">
        <f t="shared" si="7"/>
        <v>221428</v>
      </c>
      <c r="F237" s="83">
        <f>'2019 Legal Max'!AO237*'Weighting Factors'!$Q$5</f>
        <v>181178</v>
      </c>
      <c r="G237" s="83">
        <f t="shared" si="8"/>
        <v>0</v>
      </c>
      <c r="H237" s="135" t="str">
        <f>'2019 Legal Max'!BD237</f>
        <v>A</v>
      </c>
    </row>
    <row r="238" spans="1:8">
      <c r="A238" s="88" t="s">
        <v>430</v>
      </c>
      <c r="B238" s="87" t="s">
        <v>11</v>
      </c>
      <c r="C238" s="87" t="s">
        <v>750</v>
      </c>
      <c r="D238" s="99">
        <f>IF(ISNA(VLOOKUP($A238,'Audit Values'!$A$2:$BV$392,2,FALSE)),'Preliminary SO66'!AZ237,VLOOKUP($A238,'Audit Values'!$A$2:$BV$392,48,FALSE))</f>
        <v>578660</v>
      </c>
      <c r="E238" s="83">
        <f t="shared" si="7"/>
        <v>636526</v>
      </c>
      <c r="F238" s="83">
        <f>'2019 Legal Max'!AO238*'Weighting Factors'!$Q$5</f>
        <v>366937</v>
      </c>
      <c r="G238" s="83">
        <f t="shared" si="8"/>
        <v>0</v>
      </c>
      <c r="H238" s="135" t="str">
        <f>'2019 Legal Max'!BD238</f>
        <v>A</v>
      </c>
    </row>
    <row r="239" spans="1:8">
      <c r="A239" s="88" t="s">
        <v>431</v>
      </c>
      <c r="B239" s="87" t="s">
        <v>96</v>
      </c>
      <c r="C239" s="87" t="s">
        <v>751</v>
      </c>
      <c r="D239" s="99">
        <f>IF(ISNA(VLOOKUP($A239,'Audit Values'!$A$2:$BV$392,2,FALSE)),'Preliminary SO66'!AZ238,VLOOKUP($A239,'Audit Values'!$A$2:$BV$392,48,FALSE))</f>
        <v>58991</v>
      </c>
      <c r="E239" s="83">
        <f t="shared" si="7"/>
        <v>64890</v>
      </c>
      <c r="F239" s="83">
        <f>'2019 Legal Max'!AO239*'Weighting Factors'!$Q$5</f>
        <v>67890</v>
      </c>
      <c r="G239" s="83">
        <f t="shared" si="8"/>
        <v>-3000</v>
      </c>
      <c r="H239" s="135" t="str">
        <f>'2019 Legal Max'!BD239</f>
        <v>A</v>
      </c>
    </row>
    <row r="240" spans="1:8">
      <c r="A240" s="88" t="s">
        <v>432</v>
      </c>
      <c r="B240" s="87" t="s">
        <v>96</v>
      </c>
      <c r="C240" s="87" t="s">
        <v>752</v>
      </c>
      <c r="D240" s="99">
        <f>IF(ISNA(VLOOKUP($A240,'Audit Values'!$A$2:$BV$392,2,FALSE)),'Preliminary SO66'!AZ239,VLOOKUP($A240,'Audit Values'!$A$2:$BV$392,48,FALSE))</f>
        <v>91524</v>
      </c>
      <c r="E240" s="83">
        <f t="shared" si="7"/>
        <v>100676</v>
      </c>
      <c r="F240" s="83">
        <f>'2019 Legal Max'!AO240*'Weighting Factors'!$Q$5</f>
        <v>148691</v>
      </c>
      <c r="G240" s="83">
        <f t="shared" si="8"/>
        <v>-48015</v>
      </c>
      <c r="H240" s="135" t="str">
        <f>'2019 Legal Max'!BD240</f>
        <v>A</v>
      </c>
    </row>
    <row r="241" spans="1:8">
      <c r="A241" s="88" t="s">
        <v>433</v>
      </c>
      <c r="B241" s="87" t="s">
        <v>69</v>
      </c>
      <c r="C241" s="87" t="s">
        <v>753</v>
      </c>
      <c r="D241" s="99">
        <f>IF(ISNA(VLOOKUP($A241,'Audit Values'!$A$2:$BV$392,2,FALSE)),'Preliminary SO66'!AZ240,VLOOKUP($A241,'Audit Values'!$A$2:$BV$392,48,FALSE))</f>
        <v>1869573</v>
      </c>
      <c r="E241" s="83">
        <f t="shared" si="7"/>
        <v>2056530</v>
      </c>
      <c r="F241" s="83">
        <f>'2019 Legal Max'!AO241*'Weighting Factors'!$Q$5</f>
        <v>1983790</v>
      </c>
      <c r="G241" s="83">
        <f t="shared" si="8"/>
        <v>0</v>
      </c>
      <c r="H241" s="135" t="str">
        <f>'2019 Legal Max'!BD241</f>
        <v>A</v>
      </c>
    </row>
    <row r="242" spans="1:8">
      <c r="A242" s="88" t="s">
        <v>434</v>
      </c>
      <c r="B242" s="87" t="s">
        <v>11</v>
      </c>
      <c r="C242" s="87" t="s">
        <v>754</v>
      </c>
      <c r="D242" s="99">
        <f>IF(ISNA(VLOOKUP($A242,'Audit Values'!$A$2:$BV$392,2,FALSE)),'Preliminary SO66'!AZ241,VLOOKUP($A242,'Audit Values'!$A$2:$BV$392,48,FALSE))</f>
        <v>1560972</v>
      </c>
      <c r="E242" s="83">
        <f t="shared" si="7"/>
        <v>1717069</v>
      </c>
      <c r="F242" s="83">
        <f>'2019 Legal Max'!AO242*'Weighting Factors'!$Q$5</f>
        <v>799264</v>
      </c>
      <c r="G242" s="83">
        <f t="shared" si="8"/>
        <v>0</v>
      </c>
      <c r="H242" s="135" t="str">
        <f>'2019 Legal Max'!BD242</f>
        <v>A</v>
      </c>
    </row>
    <row r="243" spans="1:8">
      <c r="A243" s="88" t="s">
        <v>435</v>
      </c>
      <c r="B243" s="87" t="s">
        <v>80</v>
      </c>
      <c r="C243" s="87" t="s">
        <v>755</v>
      </c>
      <c r="D243" s="99">
        <f>IF(ISNA(VLOOKUP($A243,'Audit Values'!$A$2:$BV$392,2,FALSE)),'Preliminary SO66'!AZ242,VLOOKUP($A243,'Audit Values'!$A$2:$BV$392,48,FALSE))</f>
        <v>71332</v>
      </c>
      <c r="E243" s="83">
        <f t="shared" si="7"/>
        <v>78465</v>
      </c>
      <c r="F243" s="83">
        <f>'2019 Legal Max'!AO243*'Weighting Factors'!$Q$5</f>
        <v>108707</v>
      </c>
      <c r="G243" s="83">
        <f t="shared" si="8"/>
        <v>-30242</v>
      </c>
      <c r="H243" s="135" t="str">
        <f>'2019 Legal Max'!BD243</f>
        <v>A</v>
      </c>
    </row>
    <row r="244" spans="1:8">
      <c r="A244" s="88" t="s">
        <v>436</v>
      </c>
      <c r="B244" s="87" t="s">
        <v>74</v>
      </c>
      <c r="C244" s="87" t="s">
        <v>756</v>
      </c>
      <c r="D244" s="99">
        <f>IF(ISNA(VLOOKUP($A244,'Audit Values'!$A$2:$BV$392,2,FALSE)),'Preliminary SO66'!AZ243,VLOOKUP($A244,'Audit Values'!$A$2:$BV$392,48,FALSE))</f>
        <v>137130</v>
      </c>
      <c r="E244" s="83">
        <f t="shared" si="7"/>
        <v>150843</v>
      </c>
      <c r="F244" s="83">
        <f>'2019 Legal Max'!AO244*'Weighting Factors'!$Q$5</f>
        <v>80801</v>
      </c>
      <c r="G244" s="83">
        <f t="shared" si="8"/>
        <v>0</v>
      </c>
      <c r="H244" s="135" t="str">
        <f>'2019 Legal Max'!BD244</f>
        <v>A</v>
      </c>
    </row>
    <row r="245" spans="1:8">
      <c r="A245" s="88" t="s">
        <v>437</v>
      </c>
      <c r="B245" s="87" t="s">
        <v>83</v>
      </c>
      <c r="C245" s="87" t="s">
        <v>757</v>
      </c>
      <c r="D245" s="99">
        <f>IF(ISNA(VLOOKUP($A245,'Audit Values'!$A$2:$BV$392,2,FALSE)),'Preliminary SO66'!AZ244,VLOOKUP($A245,'Audit Values'!$A$2:$BV$392,48,FALSE))</f>
        <v>125855</v>
      </c>
      <c r="E245" s="83">
        <f t="shared" si="7"/>
        <v>138441</v>
      </c>
      <c r="F245" s="83">
        <f>'2019 Legal Max'!AO245*'Weighting Factors'!$Q$5</f>
        <v>97045</v>
      </c>
      <c r="G245" s="83">
        <f t="shared" si="8"/>
        <v>0</v>
      </c>
      <c r="H245" s="135" t="str">
        <f>'2019 Legal Max'!BD245</f>
        <v>A</v>
      </c>
    </row>
    <row r="246" spans="1:8">
      <c r="A246" s="88" t="s">
        <v>438</v>
      </c>
      <c r="B246" s="87" t="s">
        <v>102</v>
      </c>
      <c r="C246" s="87" t="s">
        <v>758</v>
      </c>
      <c r="D246" s="99">
        <f>IF(ISNA(VLOOKUP($A246,'Audit Values'!$A$2:$BV$392,2,FALSE)),'Preliminary SO66'!AZ245,VLOOKUP($A246,'Audit Values'!$A$2:$BV$392,48,FALSE))</f>
        <v>226490</v>
      </c>
      <c r="E246" s="83">
        <f t="shared" si="7"/>
        <v>249139</v>
      </c>
      <c r="F246" s="83">
        <f>'2019 Legal Max'!AO246*'Weighting Factors'!$Q$5</f>
        <v>167433</v>
      </c>
      <c r="G246" s="83">
        <f t="shared" si="8"/>
        <v>0</v>
      </c>
      <c r="H246" s="135" t="str">
        <f>'2019 Legal Max'!BD246</f>
        <v>A</v>
      </c>
    </row>
    <row r="247" spans="1:8">
      <c r="A247" s="88" t="s">
        <v>439</v>
      </c>
      <c r="B247" s="87" t="s">
        <v>102</v>
      </c>
      <c r="C247" s="87" t="s">
        <v>759</v>
      </c>
      <c r="D247" s="99">
        <f>IF(ISNA(VLOOKUP($A247,'Audit Values'!$A$2:$BV$392,2,FALSE)),'Preliminary SO66'!AZ246,VLOOKUP($A247,'Audit Values'!$A$2:$BV$392,48,FALSE))</f>
        <v>125645</v>
      </c>
      <c r="E247" s="83">
        <f t="shared" si="7"/>
        <v>138210</v>
      </c>
      <c r="F247" s="83">
        <f>'2019 Legal Max'!AO247*'Weighting Factors'!$Q$5</f>
        <v>127033</v>
      </c>
      <c r="G247" s="83">
        <f t="shared" si="8"/>
        <v>0</v>
      </c>
      <c r="H247" s="135" t="str">
        <f>'2019 Legal Max'!BD247</f>
        <v>A</v>
      </c>
    </row>
    <row r="248" spans="1:8">
      <c r="A248" s="88" t="s">
        <v>440</v>
      </c>
      <c r="B248" s="87" t="s">
        <v>11</v>
      </c>
      <c r="C248" s="87" t="s">
        <v>760</v>
      </c>
      <c r="D248" s="99">
        <f>IF(ISNA(VLOOKUP($A248,'Audit Values'!$A$2:$BV$392,2,FALSE)),'Preliminary SO66'!AZ247,VLOOKUP($A248,'Audit Values'!$A$2:$BV$392,48,FALSE))</f>
        <v>532743</v>
      </c>
      <c r="E248" s="83">
        <f t="shared" si="7"/>
        <v>586017</v>
      </c>
      <c r="F248" s="83">
        <f>'2019 Legal Max'!AO248*'Weighting Factors'!$Q$5</f>
        <v>583517</v>
      </c>
      <c r="G248" s="83">
        <f t="shared" si="8"/>
        <v>0</v>
      </c>
      <c r="H248" s="135" t="str">
        <f>'2019 Legal Max'!BD248</f>
        <v>A</v>
      </c>
    </row>
    <row r="249" spans="1:8">
      <c r="A249" s="88" t="s">
        <v>441</v>
      </c>
      <c r="B249" s="87" t="s">
        <v>102</v>
      </c>
      <c r="C249" s="87" t="s">
        <v>761</v>
      </c>
      <c r="D249" s="99">
        <f>IF(ISNA(VLOOKUP($A249,'Audit Values'!$A$2:$BV$392,2,FALSE)),'Preliminary SO66'!AZ248,VLOOKUP($A249,'Audit Values'!$A$2:$BV$392,48,FALSE))</f>
        <v>369080</v>
      </c>
      <c r="E249" s="83">
        <f t="shared" si="7"/>
        <v>405988</v>
      </c>
      <c r="F249" s="83">
        <f>'2019 Legal Max'!AO249*'Weighting Factors'!$Q$5</f>
        <v>521042</v>
      </c>
      <c r="G249" s="83">
        <f t="shared" si="8"/>
        <v>-115054</v>
      </c>
      <c r="H249" s="135" t="str">
        <f>'2019 Legal Max'!BD249</f>
        <v>A</v>
      </c>
    </row>
    <row r="250" spans="1:8">
      <c r="A250" s="88" t="s">
        <v>442</v>
      </c>
      <c r="B250" s="87" t="s">
        <v>103</v>
      </c>
      <c r="C250" s="87" t="s">
        <v>762</v>
      </c>
      <c r="D250" s="99">
        <f>IF(ISNA(VLOOKUP($A250,'Audit Values'!$A$2:$BV$392,2,FALSE)),'Preliminary SO66'!AZ249,VLOOKUP($A250,'Audit Values'!$A$2:$BV$392,48,FALSE))</f>
        <v>292422</v>
      </c>
      <c r="E250" s="83">
        <f t="shared" si="7"/>
        <v>321664</v>
      </c>
      <c r="F250" s="83">
        <f>'2019 Legal Max'!AO250*'Weighting Factors'!$Q$5</f>
        <v>224494</v>
      </c>
      <c r="G250" s="83">
        <f t="shared" si="8"/>
        <v>0</v>
      </c>
      <c r="H250" s="135" t="str">
        <f>'2019 Legal Max'!BD250</f>
        <v>A</v>
      </c>
    </row>
    <row r="251" spans="1:8">
      <c r="A251" s="88" t="s">
        <v>443</v>
      </c>
      <c r="B251" s="87" t="s">
        <v>34</v>
      </c>
      <c r="C251" s="87" t="s">
        <v>763</v>
      </c>
      <c r="D251" s="99">
        <f>IF(ISNA(VLOOKUP($A251,'Audit Values'!$A$2:$BV$392,2,FALSE)),'Preliminary SO66'!AZ250,VLOOKUP($A251,'Audit Values'!$A$2:$BV$392,48,FALSE))</f>
        <v>72005</v>
      </c>
      <c r="E251" s="83">
        <f t="shared" si="7"/>
        <v>79206</v>
      </c>
      <c r="F251" s="83">
        <f>'2019 Legal Max'!AO251*'Weighting Factors'!$Q$5</f>
        <v>142443</v>
      </c>
      <c r="G251" s="83">
        <f t="shared" si="8"/>
        <v>-63237</v>
      </c>
      <c r="H251" s="135" t="str">
        <f>'2019 Legal Max'!BD251</f>
        <v>A</v>
      </c>
    </row>
    <row r="252" spans="1:8">
      <c r="A252" s="88" t="s">
        <v>444</v>
      </c>
      <c r="B252" s="87" t="s">
        <v>104</v>
      </c>
      <c r="C252" s="87" t="s">
        <v>764</v>
      </c>
      <c r="D252" s="99">
        <f>IF(ISNA(VLOOKUP($A252,'Audit Values'!$A$2:$BV$392,2,FALSE)),'Preliminary SO66'!AZ251,VLOOKUP($A252,'Audit Values'!$A$2:$BV$392,48,FALSE))</f>
        <v>18202</v>
      </c>
      <c r="E252" s="83">
        <f t="shared" si="7"/>
        <v>20022</v>
      </c>
      <c r="F252" s="83">
        <f>'2019 Legal Max'!AO252*'Weighting Factors'!$Q$5</f>
        <v>10413</v>
      </c>
      <c r="G252" s="83">
        <f t="shared" si="8"/>
        <v>0</v>
      </c>
      <c r="H252" s="135" t="str">
        <f>'2019 Legal Max'!BD252</f>
        <v>A</v>
      </c>
    </row>
    <row r="253" spans="1:8">
      <c r="A253" s="88" t="s">
        <v>445</v>
      </c>
      <c r="B253" s="87" t="s">
        <v>11</v>
      </c>
      <c r="C253" s="87" t="s">
        <v>765</v>
      </c>
      <c r="D253" s="99">
        <f>IF(ISNA(VLOOKUP($A253,'Audit Values'!$A$2:$BV$392,2,FALSE)),'Preliminary SO66'!AZ252,VLOOKUP($A253,'Audit Values'!$A$2:$BV$392,48,FALSE))</f>
        <v>615938</v>
      </c>
      <c r="E253" s="83">
        <f t="shared" si="7"/>
        <v>677532</v>
      </c>
      <c r="F253" s="83">
        <f>'2019 Legal Max'!AO253*'Weighting Factors'!$Q$5</f>
        <v>368603</v>
      </c>
      <c r="G253" s="83">
        <f t="shared" si="8"/>
        <v>0</v>
      </c>
      <c r="H253" s="135" t="str">
        <f>'2019 Legal Max'!BD253</f>
        <v>A</v>
      </c>
    </row>
    <row r="254" spans="1:8">
      <c r="A254" s="88" t="s">
        <v>446</v>
      </c>
      <c r="B254" s="87" t="s">
        <v>102</v>
      </c>
      <c r="C254" s="87" t="s">
        <v>766</v>
      </c>
      <c r="D254" s="99">
        <f>IF(ISNA(VLOOKUP($A254,'Audit Values'!$A$2:$BV$392,2,FALSE)),'Preliminary SO66'!AZ253,VLOOKUP($A254,'Audit Values'!$A$2:$BV$392,48,FALSE))</f>
        <v>802143</v>
      </c>
      <c r="E254" s="83">
        <f t="shared" si="7"/>
        <v>882357</v>
      </c>
      <c r="F254" s="83">
        <f>'2019 Legal Max'!AO254*'Weighting Factors'!$Q$5</f>
        <v>629332</v>
      </c>
      <c r="G254" s="83">
        <f t="shared" si="8"/>
        <v>0</v>
      </c>
      <c r="H254" s="135" t="str">
        <f>'2019 Legal Max'!BD254</f>
        <v>A</v>
      </c>
    </row>
    <row r="255" spans="1:8">
      <c r="A255" s="88" t="s">
        <v>447</v>
      </c>
      <c r="B255" s="87" t="s">
        <v>102</v>
      </c>
      <c r="C255" s="87" t="s">
        <v>767</v>
      </c>
      <c r="D255" s="99">
        <f>IF(ISNA(VLOOKUP($A255,'Audit Values'!$A$2:$BV$392,2,FALSE)),'Preliminary SO66'!AZ254,VLOOKUP($A255,'Audit Values'!$A$2:$BV$392,48,FALSE))</f>
        <v>96421</v>
      </c>
      <c r="E255" s="83">
        <f t="shared" si="7"/>
        <v>106063</v>
      </c>
      <c r="F255" s="83">
        <f>'2019 Legal Max'!AO255*'Weighting Factors'!$Q$5</f>
        <v>63725</v>
      </c>
      <c r="G255" s="83">
        <f t="shared" si="8"/>
        <v>0</v>
      </c>
      <c r="H255" s="135" t="str">
        <f>'2019 Legal Max'!BD255</f>
        <v>A</v>
      </c>
    </row>
    <row r="256" spans="1:8">
      <c r="A256" s="88" t="s">
        <v>448</v>
      </c>
      <c r="B256" s="87" t="s">
        <v>87</v>
      </c>
      <c r="C256" s="87" t="s">
        <v>768</v>
      </c>
      <c r="D256" s="99">
        <f>IF(ISNA(VLOOKUP($A256,'Audit Values'!$A$2:$BV$392,2,FALSE)),'Preliminary SO66'!AZ255,VLOOKUP($A256,'Audit Values'!$A$2:$BV$392,48,FALSE))</f>
        <v>810536</v>
      </c>
      <c r="E256" s="83">
        <f t="shared" si="7"/>
        <v>891590</v>
      </c>
      <c r="F256" s="83">
        <f>'2019 Legal Max'!AO256*'Weighting Factors'!$Q$5</f>
        <v>500633</v>
      </c>
      <c r="G256" s="83">
        <f t="shared" si="8"/>
        <v>0</v>
      </c>
      <c r="H256" s="135" t="str">
        <f>'2019 Legal Max'!BD256</f>
        <v>A</v>
      </c>
    </row>
    <row r="257" spans="1:8">
      <c r="A257" s="88" t="s">
        <v>449</v>
      </c>
      <c r="B257" s="87" t="s">
        <v>97</v>
      </c>
      <c r="C257" s="87" t="s">
        <v>769</v>
      </c>
      <c r="D257" s="99">
        <f>IF(ISNA(VLOOKUP($A257,'Audit Values'!$A$2:$BV$392,2,FALSE)),'Preliminary SO66'!AZ256,VLOOKUP($A257,'Audit Values'!$A$2:$BV$392,48,FALSE))</f>
        <v>133228</v>
      </c>
      <c r="E257" s="83">
        <f t="shared" si="7"/>
        <v>146551</v>
      </c>
      <c r="F257" s="83">
        <f>'2019 Legal Max'!AO257*'Weighting Factors'!$Q$5</f>
        <v>72055</v>
      </c>
      <c r="G257" s="83">
        <f t="shared" si="8"/>
        <v>0</v>
      </c>
      <c r="H257" s="135" t="str">
        <f>'2019 Legal Max'!BD257</f>
        <v>A</v>
      </c>
    </row>
    <row r="258" spans="1:8">
      <c r="A258" s="88" t="s">
        <v>450</v>
      </c>
      <c r="B258" s="87" t="s">
        <v>105</v>
      </c>
      <c r="C258" s="87" t="s">
        <v>770</v>
      </c>
      <c r="D258" s="99">
        <f>IF(ISNA(VLOOKUP($A258,'Audit Values'!$A$2:$BV$392,2,FALSE)),'Preliminary SO66'!AZ257,VLOOKUP($A258,'Audit Values'!$A$2:$BV$392,48,FALSE))</f>
        <v>1326982</v>
      </c>
      <c r="E258" s="83">
        <f t="shared" si="7"/>
        <v>1459680</v>
      </c>
      <c r="F258" s="83">
        <f>'2019 Legal Max'!AO258*'Weighting Factors'!$Q$5</f>
        <v>1313641</v>
      </c>
      <c r="G258" s="83">
        <f t="shared" si="8"/>
        <v>0</v>
      </c>
      <c r="H258" s="135" t="str">
        <f>'2019 Legal Max'!BD258</f>
        <v>A</v>
      </c>
    </row>
    <row r="259" spans="1:8">
      <c r="A259" s="88" t="s">
        <v>451</v>
      </c>
      <c r="B259" s="87" t="s">
        <v>5</v>
      </c>
      <c r="C259" s="87" t="s">
        <v>771</v>
      </c>
      <c r="D259" s="99">
        <f>IF(ISNA(VLOOKUP($A259,'Audit Values'!$A$2:$BV$392,2,FALSE)),'Preliminary SO66'!AZ258,VLOOKUP($A259,'Audit Values'!$A$2:$BV$392,48,FALSE))</f>
        <v>88679</v>
      </c>
      <c r="E259" s="83">
        <f t="shared" si="7"/>
        <v>97547</v>
      </c>
      <c r="F259" s="83">
        <f>'2019 Legal Max'!AO259*'Weighting Factors'!$Q$5</f>
        <v>73721</v>
      </c>
      <c r="G259" s="83">
        <f t="shared" si="8"/>
        <v>0</v>
      </c>
      <c r="H259" s="135" t="str">
        <f>'2019 Legal Max'!BD259</f>
        <v>A</v>
      </c>
    </row>
    <row r="260" spans="1:8">
      <c r="A260" s="88" t="s">
        <v>452</v>
      </c>
      <c r="B260" s="87" t="s">
        <v>5</v>
      </c>
      <c r="C260" s="87" t="s">
        <v>772</v>
      </c>
      <c r="D260" s="99">
        <f>IF(ISNA(VLOOKUP($A260,'Audit Values'!$A$2:$BV$392,2,FALSE)),'Preliminary SO66'!AZ259,VLOOKUP($A260,'Audit Values'!$A$2:$BV$392,48,FALSE))</f>
        <v>223804</v>
      </c>
      <c r="E260" s="83">
        <f t="shared" si="7"/>
        <v>246184</v>
      </c>
      <c r="F260" s="83">
        <f>'2019 Legal Max'!AO260*'Weighting Factors'!$Q$5</f>
        <v>94129</v>
      </c>
      <c r="G260" s="83">
        <f t="shared" si="8"/>
        <v>0</v>
      </c>
      <c r="H260" s="135" t="str">
        <f>'2019 Legal Max'!BD260</f>
        <v>A</v>
      </c>
    </row>
    <row r="261" spans="1:8">
      <c r="A261" s="88" t="s">
        <v>453</v>
      </c>
      <c r="B261" s="87" t="s">
        <v>71</v>
      </c>
      <c r="C261" s="87" t="s">
        <v>773</v>
      </c>
      <c r="D261" s="99">
        <f>IF(ISNA(VLOOKUP($A261,'Audit Values'!$A$2:$BV$392,2,FALSE)),'Preliminary SO66'!AZ260,VLOOKUP($A261,'Audit Values'!$A$2:$BV$392,48,FALSE))</f>
        <v>118101</v>
      </c>
      <c r="E261" s="83">
        <f t="shared" si="7"/>
        <v>129911</v>
      </c>
      <c r="F261" s="83">
        <f>'2019 Legal Max'!AO261*'Weighting Factors'!$Q$5</f>
        <v>107457</v>
      </c>
      <c r="G261" s="83">
        <f t="shared" si="8"/>
        <v>0</v>
      </c>
      <c r="H261" s="135" t="str">
        <f>'2019 Legal Max'!BD261</f>
        <v>A</v>
      </c>
    </row>
    <row r="262" spans="1:8">
      <c r="A262" s="88" t="s">
        <v>454</v>
      </c>
      <c r="B262" s="87" t="s">
        <v>106</v>
      </c>
      <c r="C262" s="87" t="s">
        <v>774</v>
      </c>
      <c r="D262" s="99">
        <f>IF(ISNA(VLOOKUP($A262,'Audit Values'!$A$2:$BV$392,2,FALSE)),'Preliminary SO66'!AZ261,VLOOKUP($A262,'Audit Values'!$A$2:$BV$392,48,FALSE))</f>
        <v>820810</v>
      </c>
      <c r="E262" s="83">
        <f t="shared" ref="E262:E290" si="9">D262*$E$3</f>
        <v>902891</v>
      </c>
      <c r="F262" s="83">
        <f>'2019 Legal Max'!AO262*'Weighting Factors'!$Q$5</f>
        <v>243653</v>
      </c>
      <c r="G262" s="83">
        <f t="shared" ref="G262:G290" si="10">IF(F262-E262&gt;0,E262-F262,0)</f>
        <v>0</v>
      </c>
      <c r="H262" s="135" t="str">
        <f>'2019 Legal Max'!BD262</f>
        <v>A</v>
      </c>
    </row>
    <row r="263" spans="1:8">
      <c r="A263" s="88" t="s">
        <v>455</v>
      </c>
      <c r="B263" s="87" t="s">
        <v>87</v>
      </c>
      <c r="C263" s="87" t="s">
        <v>775</v>
      </c>
      <c r="D263" s="99">
        <f>IF(ISNA(VLOOKUP($A263,'Audit Values'!$A$2:$BV$392,2,FALSE)),'Preliminary SO66'!AZ262,VLOOKUP($A263,'Audit Values'!$A$2:$BV$392,48,FALSE))</f>
        <v>211378</v>
      </c>
      <c r="E263" s="83">
        <f t="shared" si="9"/>
        <v>232516</v>
      </c>
      <c r="F263" s="83">
        <f>'2019 Legal Max'!AO263*'Weighting Factors'!$Q$5</f>
        <v>164518</v>
      </c>
      <c r="G263" s="83">
        <f t="shared" si="10"/>
        <v>0</v>
      </c>
      <c r="H263" s="135" t="str">
        <f>'2019 Legal Max'!BD263</f>
        <v>A</v>
      </c>
    </row>
    <row r="264" spans="1:8">
      <c r="A264" s="88" t="s">
        <v>456</v>
      </c>
      <c r="B264" s="87" t="s">
        <v>104</v>
      </c>
      <c r="C264" s="87" t="s">
        <v>776</v>
      </c>
      <c r="D264" s="99">
        <f>IF(ISNA(VLOOKUP($A264,'Audit Values'!$A$2:$BV$392,2,FALSE)),'Preliminary SO66'!AZ263,VLOOKUP($A264,'Audit Values'!$A$2:$BV$392,48,FALSE))</f>
        <v>96448</v>
      </c>
      <c r="E264" s="83">
        <f t="shared" si="9"/>
        <v>106093</v>
      </c>
      <c r="F264" s="83">
        <f>'2019 Legal Max'!AO264*'Weighting Factors'!$Q$5</f>
        <v>74137</v>
      </c>
      <c r="G264" s="83">
        <f t="shared" si="10"/>
        <v>0</v>
      </c>
      <c r="H264" s="135" t="str">
        <f>'2019 Legal Max'!BD264</f>
        <v>A</v>
      </c>
    </row>
    <row r="265" spans="1:8">
      <c r="A265" s="88" t="s">
        <v>457</v>
      </c>
      <c r="B265" s="87" t="s">
        <v>106</v>
      </c>
      <c r="C265" s="87" t="s">
        <v>777</v>
      </c>
      <c r="D265" s="99">
        <f>IF(ISNA(VLOOKUP($A265,'Audit Values'!$A$2:$BV$392,2,FALSE)),'Preliminary SO66'!AZ264,VLOOKUP($A265,'Audit Values'!$A$2:$BV$392,48,FALSE))</f>
        <v>520707</v>
      </c>
      <c r="E265" s="83">
        <f t="shared" si="9"/>
        <v>572778</v>
      </c>
      <c r="F265" s="83">
        <f>'2019 Legal Max'!AO265*'Weighting Factors'!$Q$5</f>
        <v>621835</v>
      </c>
      <c r="G265" s="83">
        <f t="shared" si="10"/>
        <v>-49057</v>
      </c>
      <c r="H265" s="135" t="str">
        <f>'2019 Legal Max'!BD265</f>
        <v>A</v>
      </c>
    </row>
    <row r="266" spans="1:8">
      <c r="A266" s="88" t="s">
        <v>458</v>
      </c>
      <c r="B266" s="87" t="s">
        <v>83</v>
      </c>
      <c r="C266" s="87" t="s">
        <v>778</v>
      </c>
      <c r="D266" s="99">
        <f>IF(ISNA(VLOOKUP($A266,'Audit Values'!$A$2:$BV$392,2,FALSE)),'Preliminary SO66'!AZ265,VLOOKUP($A266,'Audit Values'!$A$2:$BV$392,48,FALSE))</f>
        <v>277048</v>
      </c>
      <c r="E266" s="83">
        <f t="shared" si="9"/>
        <v>304753</v>
      </c>
      <c r="F266" s="83">
        <f>'2019 Legal Max'!AO266*'Weighting Factors'!$Q$5</f>
        <v>247818</v>
      </c>
      <c r="G266" s="83">
        <f t="shared" si="10"/>
        <v>0</v>
      </c>
      <c r="H266" s="135" t="str">
        <f>'2019 Legal Max'!BD266</f>
        <v>A</v>
      </c>
    </row>
    <row r="267" spans="1:8">
      <c r="A267" s="88" t="s">
        <v>459</v>
      </c>
      <c r="B267" s="87" t="s">
        <v>87</v>
      </c>
      <c r="C267" s="87" t="s">
        <v>779</v>
      </c>
      <c r="D267" s="99">
        <f>IF(ISNA(VLOOKUP($A267,'Audit Values'!$A$2:$BV$392,2,FALSE)),'Preliminary SO66'!AZ266,VLOOKUP($A267,'Audit Values'!$A$2:$BV$392,48,FALSE))</f>
        <v>225503</v>
      </c>
      <c r="E267" s="83">
        <f t="shared" si="9"/>
        <v>248053</v>
      </c>
      <c r="F267" s="83">
        <f>'2019 Legal Max'!AO267*'Weighting Factors'!$Q$5</f>
        <v>61226</v>
      </c>
      <c r="G267" s="83">
        <f t="shared" si="10"/>
        <v>0</v>
      </c>
      <c r="H267" s="135" t="str">
        <f>'2019 Legal Max'!BD267</f>
        <v>A</v>
      </c>
    </row>
    <row r="268" spans="1:8">
      <c r="A268" s="88" t="s">
        <v>460</v>
      </c>
      <c r="B268" s="87" t="s">
        <v>84</v>
      </c>
      <c r="C268" s="87" t="s">
        <v>780</v>
      </c>
      <c r="D268" s="99">
        <f>IF(ISNA(VLOOKUP($A268,'Audit Values'!$A$2:$BV$392,2,FALSE)),'Preliminary SO66'!AZ267,VLOOKUP($A268,'Audit Values'!$A$2:$BV$392,48,FALSE))</f>
        <v>593310</v>
      </c>
      <c r="E268" s="83">
        <f t="shared" si="9"/>
        <v>652641</v>
      </c>
      <c r="F268" s="83">
        <f>'2019 Legal Max'!AO268*'Weighting Factors'!$Q$5</f>
        <v>588931</v>
      </c>
      <c r="G268" s="83">
        <f t="shared" si="10"/>
        <v>0</v>
      </c>
      <c r="H268" s="135" t="str">
        <f>'2019 Legal Max'!BD268</f>
        <v>A</v>
      </c>
    </row>
    <row r="269" spans="1:8">
      <c r="A269" s="88" t="s">
        <v>461</v>
      </c>
      <c r="B269" s="87" t="s">
        <v>10</v>
      </c>
      <c r="C269" s="87" t="s">
        <v>781</v>
      </c>
      <c r="D269" s="99">
        <f>IF(ISNA(VLOOKUP($A269,'Audit Values'!$A$2:$BV$392,2,FALSE)),'Preliminary SO66'!AZ268,VLOOKUP($A269,'Audit Values'!$A$2:$BV$392,48,FALSE))</f>
        <v>324682</v>
      </c>
      <c r="E269" s="83">
        <f t="shared" si="9"/>
        <v>357150</v>
      </c>
      <c r="F269" s="83">
        <f>'2019 Legal Max'!AO269*'Weighting Factors'!$Q$5</f>
        <v>485639</v>
      </c>
      <c r="G269" s="83">
        <f t="shared" si="10"/>
        <v>-128489</v>
      </c>
      <c r="H269" s="135" t="str">
        <f>'2019 Legal Max'!BD269</f>
        <v>A</v>
      </c>
    </row>
    <row r="270" spans="1:8">
      <c r="A270" s="88" t="s">
        <v>462</v>
      </c>
      <c r="B270" s="87" t="s">
        <v>63</v>
      </c>
      <c r="C270" s="87" t="s">
        <v>782</v>
      </c>
      <c r="D270" s="99">
        <f>IF(ISNA(VLOOKUP($A270,'Audit Values'!$A$2:$BV$392,2,FALSE)),'Preliminary SO66'!AZ269,VLOOKUP($A270,'Audit Values'!$A$2:$BV$392,48,FALSE))</f>
        <v>267500</v>
      </c>
      <c r="E270" s="83">
        <f t="shared" si="9"/>
        <v>294250</v>
      </c>
      <c r="F270" s="83">
        <f>'2019 Legal Max'!AO270*'Weighting Factors'!$Q$5</f>
        <v>139944</v>
      </c>
      <c r="G270" s="83">
        <f t="shared" si="10"/>
        <v>0</v>
      </c>
      <c r="H270" s="135" t="str">
        <f>'2019 Legal Max'!BD270</f>
        <v>A</v>
      </c>
    </row>
    <row r="271" spans="1:8">
      <c r="A271" s="88" t="s">
        <v>463</v>
      </c>
      <c r="B271" s="87" t="s">
        <v>10</v>
      </c>
      <c r="C271" s="87" t="s">
        <v>783</v>
      </c>
      <c r="D271" s="99">
        <f>IF(ISNA(VLOOKUP($A271,'Audit Values'!$A$2:$BV$392,2,FALSE)),'Preliminary SO66'!AZ270,VLOOKUP($A271,'Audit Values'!$A$2:$BV$392,48,FALSE))</f>
        <v>115974</v>
      </c>
      <c r="E271" s="83">
        <f t="shared" si="9"/>
        <v>127571</v>
      </c>
      <c r="F271" s="83">
        <f>'2019 Legal Max'!AO271*'Weighting Factors'!$Q$5</f>
        <v>187425</v>
      </c>
      <c r="G271" s="83">
        <f t="shared" si="10"/>
        <v>-59854</v>
      </c>
      <c r="H271" s="135" t="str">
        <f>'2019 Legal Max'!BD271</f>
        <v>A</v>
      </c>
    </row>
    <row r="272" spans="1:8">
      <c r="A272" s="88" t="s">
        <v>464</v>
      </c>
      <c r="B272" s="87" t="s">
        <v>29</v>
      </c>
      <c r="C272" s="87" t="s">
        <v>784</v>
      </c>
      <c r="D272" s="99">
        <f>IF(ISNA(VLOOKUP($A272,'Audit Values'!$A$2:$BV$392,2,FALSE)),'Preliminary SO66'!AZ271,VLOOKUP($A272,'Audit Values'!$A$2:$BV$392,48,FALSE))</f>
        <v>451406</v>
      </c>
      <c r="E272" s="83">
        <f t="shared" si="9"/>
        <v>496547</v>
      </c>
      <c r="F272" s="83">
        <f>'2019 Legal Max'!AO272*'Weighting Factors'!$Q$5</f>
        <v>359440</v>
      </c>
      <c r="G272" s="83">
        <f t="shared" si="10"/>
        <v>0</v>
      </c>
      <c r="H272" s="135" t="str">
        <f>'2019 Legal Max'!BD272</f>
        <v>A</v>
      </c>
    </row>
    <row r="273" spans="1:8">
      <c r="A273" s="88" t="s">
        <v>465</v>
      </c>
      <c r="B273" s="87" t="s">
        <v>85</v>
      </c>
      <c r="C273" s="87" t="s">
        <v>785</v>
      </c>
      <c r="D273" s="99">
        <f>IF(ISNA(VLOOKUP($A273,'Audit Values'!$A$2:$BV$392,2,FALSE)),'Preliminary SO66'!AZ272,VLOOKUP($A273,'Audit Values'!$A$2:$BV$392,48,FALSE))</f>
        <v>218381</v>
      </c>
      <c r="E273" s="83">
        <f t="shared" si="9"/>
        <v>240219</v>
      </c>
      <c r="F273" s="83">
        <f>'2019 Legal Max'!AO273*'Weighting Factors'!$Q$5</f>
        <v>169516</v>
      </c>
      <c r="G273" s="83">
        <f t="shared" si="10"/>
        <v>0</v>
      </c>
      <c r="H273" s="135" t="str">
        <f>'2019 Legal Max'!BD273</f>
        <v>A</v>
      </c>
    </row>
    <row r="274" spans="1:8">
      <c r="A274" s="88" t="s">
        <v>466</v>
      </c>
      <c r="B274" s="87" t="s">
        <v>107</v>
      </c>
      <c r="C274" s="87" t="s">
        <v>786</v>
      </c>
      <c r="D274" s="99">
        <f>IF(ISNA(VLOOKUP($A274,'Audit Values'!$A$2:$BV$392,2,FALSE)),'Preliminary SO66'!AZ273,VLOOKUP($A274,'Audit Values'!$A$2:$BV$392,48,FALSE))</f>
        <v>289894</v>
      </c>
      <c r="E274" s="83">
        <f t="shared" si="9"/>
        <v>318883</v>
      </c>
      <c r="F274" s="83">
        <f>'2019 Legal Max'!AO274*'Weighting Factors'!$Q$5</f>
        <v>258230</v>
      </c>
      <c r="G274" s="83">
        <f t="shared" si="10"/>
        <v>0</v>
      </c>
      <c r="H274" s="135" t="str">
        <f>'2019 Legal Max'!BD274</f>
        <v>A</v>
      </c>
    </row>
    <row r="275" spans="1:8">
      <c r="A275" s="88" t="s">
        <v>467</v>
      </c>
      <c r="B275" s="87" t="s">
        <v>107</v>
      </c>
      <c r="C275" s="87" t="s">
        <v>787</v>
      </c>
      <c r="D275" s="99">
        <f>IF(ISNA(VLOOKUP($A275,'Audit Values'!$A$2:$BV$392,2,FALSE)),'Preliminary SO66'!AZ274,VLOOKUP($A275,'Audit Values'!$A$2:$BV$392,48,FALSE))</f>
        <v>108111</v>
      </c>
      <c r="E275" s="83">
        <f t="shared" si="9"/>
        <v>118922</v>
      </c>
      <c r="F275" s="83">
        <f>'2019 Legal Max'!AO275*'Weighting Factors'!$Q$5</f>
        <v>79968</v>
      </c>
      <c r="G275" s="83">
        <f t="shared" si="10"/>
        <v>0</v>
      </c>
      <c r="H275" s="135" t="str">
        <f>'2019 Legal Max'!BD275</f>
        <v>A</v>
      </c>
    </row>
    <row r="276" spans="1:8">
      <c r="A276" s="88" t="s">
        <v>468</v>
      </c>
      <c r="B276" s="87" t="s">
        <v>63</v>
      </c>
      <c r="C276" s="87" t="s">
        <v>788</v>
      </c>
      <c r="D276" s="99">
        <f>IF(ISNA(VLOOKUP($A276,'Audit Values'!$A$2:$BV$392,2,FALSE)),'Preliminary SO66'!AZ275,VLOOKUP($A276,'Audit Values'!$A$2:$BV$392,48,FALSE))</f>
        <v>1858859</v>
      </c>
      <c r="E276" s="83">
        <f t="shared" si="9"/>
        <v>2044745</v>
      </c>
      <c r="F276" s="83">
        <f>'2019 Legal Max'!AO276*'Weighting Factors'!$Q$5</f>
        <v>1418183</v>
      </c>
      <c r="G276" s="83">
        <f t="shared" si="10"/>
        <v>0</v>
      </c>
      <c r="H276" s="135" t="str">
        <f>'2019 Legal Max'!BD276</f>
        <v>A</v>
      </c>
    </row>
    <row r="277" spans="1:8">
      <c r="A277" s="88" t="s">
        <v>469</v>
      </c>
      <c r="B277" s="87" t="s">
        <v>70</v>
      </c>
      <c r="C277" s="87" t="s">
        <v>789</v>
      </c>
      <c r="D277" s="99">
        <f>IF(ISNA(VLOOKUP($A277,'Audit Values'!$A$2:$BV$392,2,FALSE)),'Preliminary SO66'!AZ276,VLOOKUP($A277,'Audit Values'!$A$2:$BV$392,48,FALSE))</f>
        <v>177105</v>
      </c>
      <c r="E277" s="83">
        <f t="shared" si="9"/>
        <v>194816</v>
      </c>
      <c r="F277" s="83">
        <f>'2019 Legal Max'!AO277*'Weighting Factors'!$Q$5</f>
        <v>249900</v>
      </c>
      <c r="G277" s="83">
        <f t="shared" si="10"/>
        <v>-55084</v>
      </c>
      <c r="H277" s="135" t="str">
        <f>'2019 Legal Max'!BD277</f>
        <v>A</v>
      </c>
    </row>
    <row r="278" spans="1:8">
      <c r="A278" s="88" t="s">
        <v>470</v>
      </c>
      <c r="B278" s="87" t="s">
        <v>29</v>
      </c>
      <c r="C278" s="87" t="s">
        <v>790</v>
      </c>
      <c r="D278" s="99">
        <f>IF(ISNA(VLOOKUP($A278,'Audit Values'!$A$2:$BV$392,2,FALSE)),'Preliminary SO66'!AZ277,VLOOKUP($A278,'Audit Values'!$A$2:$BV$392,48,FALSE))</f>
        <v>103330</v>
      </c>
      <c r="E278" s="83">
        <f t="shared" si="9"/>
        <v>113663</v>
      </c>
      <c r="F278" s="83">
        <f>'2019 Legal Max'!AO278*'Weighting Factors'!$Q$5</f>
        <v>20825</v>
      </c>
      <c r="G278" s="83">
        <f t="shared" si="10"/>
        <v>0</v>
      </c>
      <c r="H278" s="135" t="str">
        <f>'2019 Legal Max'!BD278</f>
        <v>A</v>
      </c>
    </row>
    <row r="279" spans="1:8">
      <c r="A279" s="88" t="s">
        <v>471</v>
      </c>
      <c r="B279" s="87" t="s">
        <v>9</v>
      </c>
      <c r="C279" s="87" t="s">
        <v>791</v>
      </c>
      <c r="D279" s="99">
        <f>IF(ISNA(VLOOKUP($A279,'Audit Values'!$A$2:$BV$392,2,FALSE)),'Preliminary SO66'!AZ278,VLOOKUP($A279,'Audit Values'!$A$2:$BV$392,48,FALSE))</f>
        <v>11744756</v>
      </c>
      <c r="E279" s="83">
        <f t="shared" si="9"/>
        <v>12919232</v>
      </c>
      <c r="F279" s="83">
        <f>'2019 Legal Max'!AO279*'Weighting Factors'!$Q$5</f>
        <v>2072921</v>
      </c>
      <c r="G279" s="83">
        <f t="shared" si="10"/>
        <v>0</v>
      </c>
      <c r="H279" s="135" t="str">
        <f>'2019 Legal Max'!BD279</f>
        <v>A</v>
      </c>
    </row>
    <row r="280" spans="1:8">
      <c r="A280" s="88" t="s">
        <v>472</v>
      </c>
      <c r="B280" s="87" t="s">
        <v>61</v>
      </c>
      <c r="C280" s="87" t="s">
        <v>792</v>
      </c>
      <c r="D280" s="99">
        <f>IF(ISNA(VLOOKUP($A280,'Audit Values'!$A$2:$BV$392,2,FALSE)),'Preliminary SO66'!AZ279,VLOOKUP($A280,'Audit Values'!$A$2:$BV$392,48,FALSE))</f>
        <v>2724756</v>
      </c>
      <c r="E280" s="83">
        <f t="shared" si="9"/>
        <v>2997232</v>
      </c>
      <c r="F280" s="83">
        <f>'2019 Legal Max'!AO280*'Weighting Factors'!$Q$5</f>
        <v>860489</v>
      </c>
      <c r="G280" s="83">
        <f t="shared" si="10"/>
        <v>0</v>
      </c>
      <c r="H280" s="135" t="str">
        <f>'2019 Legal Max'!BD280</f>
        <v>A</v>
      </c>
    </row>
    <row r="281" spans="1:8">
      <c r="A281" s="88" t="s">
        <v>473</v>
      </c>
      <c r="B281" s="87" t="s">
        <v>62</v>
      </c>
      <c r="C281" s="87" t="s">
        <v>793</v>
      </c>
      <c r="D281" s="99">
        <f>IF(ISNA(VLOOKUP($A281,'Audit Values'!$A$2:$BV$392,2,FALSE)),'Preliminary SO66'!AZ280,VLOOKUP($A281,'Audit Values'!$A$2:$BV$392,48,FALSE))</f>
        <v>52025</v>
      </c>
      <c r="E281" s="83">
        <f t="shared" si="9"/>
        <v>57228</v>
      </c>
      <c r="F281" s="83">
        <f>'2019 Legal Max'!AO281*'Weighting Factors'!$Q$5</f>
        <v>74970</v>
      </c>
      <c r="G281" s="83">
        <f t="shared" si="10"/>
        <v>-17742</v>
      </c>
      <c r="H281" s="135" t="str">
        <f>'2019 Legal Max'!BD281</f>
        <v>A</v>
      </c>
    </row>
    <row r="282" spans="1:8">
      <c r="A282" s="88" t="s">
        <v>474</v>
      </c>
      <c r="B282" s="87" t="s">
        <v>108</v>
      </c>
      <c r="C282" s="87" t="s">
        <v>794</v>
      </c>
      <c r="D282" s="99">
        <f>IF(ISNA(VLOOKUP($A282,'Audit Values'!$A$2:$BV$392,2,FALSE)),'Preliminary SO66'!AZ281,VLOOKUP($A282,'Audit Values'!$A$2:$BV$392,48,FALSE))</f>
        <v>131882</v>
      </c>
      <c r="E282" s="83">
        <f t="shared" si="9"/>
        <v>145070</v>
      </c>
      <c r="F282" s="83">
        <f>'2019 Legal Max'!AO282*'Weighting Factors'!$Q$5</f>
        <v>28739</v>
      </c>
      <c r="G282" s="83">
        <f t="shared" si="10"/>
        <v>0</v>
      </c>
      <c r="H282" s="135" t="str">
        <f>'2019 Legal Max'!BD282</f>
        <v>A</v>
      </c>
    </row>
    <row r="283" spans="1:8">
      <c r="A283" s="88" t="s">
        <v>475</v>
      </c>
      <c r="B283" s="87" t="s">
        <v>108</v>
      </c>
      <c r="C283" s="87" t="s">
        <v>795</v>
      </c>
      <c r="D283" s="99">
        <f>IF(ISNA(VLOOKUP($A283,'Audit Values'!$A$2:$BV$392,2,FALSE)),'Preliminary SO66'!AZ282,VLOOKUP($A283,'Audit Values'!$A$2:$BV$392,48,FALSE))</f>
        <v>153463</v>
      </c>
      <c r="E283" s="83">
        <f t="shared" si="9"/>
        <v>168809</v>
      </c>
      <c r="F283" s="83">
        <f>'2019 Legal Max'!AO283*'Weighting Factors'!$Q$5</f>
        <v>26656</v>
      </c>
      <c r="G283" s="83">
        <f t="shared" si="10"/>
        <v>0</v>
      </c>
      <c r="H283" s="135" t="str">
        <f>'2019 Legal Max'!BD283</f>
        <v>A</v>
      </c>
    </row>
    <row r="284" spans="1:8">
      <c r="A284" s="88" t="s">
        <v>476</v>
      </c>
      <c r="B284" s="87" t="s">
        <v>108</v>
      </c>
      <c r="C284" s="87" t="s">
        <v>796</v>
      </c>
      <c r="D284" s="99">
        <f>IF(ISNA(VLOOKUP($A284,'Audit Values'!$A$2:$BV$392,2,FALSE)),'Preliminary SO66'!AZ283,VLOOKUP($A284,'Audit Values'!$A$2:$BV$392,48,FALSE))</f>
        <v>77773</v>
      </c>
      <c r="E284" s="83">
        <f t="shared" si="9"/>
        <v>85550</v>
      </c>
      <c r="F284" s="83">
        <f>'2019 Legal Max'!AO284*'Weighting Factors'!$Q$5</f>
        <v>52063</v>
      </c>
      <c r="G284" s="83">
        <f t="shared" si="10"/>
        <v>0</v>
      </c>
      <c r="H284" s="135" t="str">
        <f>'2019 Legal Max'!BD284</f>
        <v>A</v>
      </c>
    </row>
    <row r="285" spans="1:8">
      <c r="A285" s="88" t="s">
        <v>477</v>
      </c>
      <c r="B285" s="87" t="s">
        <v>108</v>
      </c>
      <c r="C285" s="87" t="s">
        <v>797</v>
      </c>
      <c r="D285" s="99">
        <f>IF(ISNA(VLOOKUP($A285,'Audit Values'!$A$2:$BV$392,2,FALSE)),'Preliminary SO66'!AZ284,VLOOKUP($A285,'Audit Values'!$A$2:$BV$392,48,FALSE))</f>
        <v>829733</v>
      </c>
      <c r="E285" s="83">
        <f t="shared" si="9"/>
        <v>912706</v>
      </c>
      <c r="F285" s="83">
        <f>'2019 Legal Max'!AO285*'Weighting Factors'!$Q$5</f>
        <v>670149</v>
      </c>
      <c r="G285" s="83">
        <f t="shared" si="10"/>
        <v>0</v>
      </c>
      <c r="H285" s="135" t="str">
        <f>'2019 Legal Max'!BD285</f>
        <v>A</v>
      </c>
    </row>
    <row r="286" spans="1:8">
      <c r="A286" s="88" t="s">
        <v>478</v>
      </c>
      <c r="B286" s="87" t="s">
        <v>75</v>
      </c>
      <c r="C286" s="87" t="s">
        <v>798</v>
      </c>
      <c r="D286" s="99">
        <f>IF(ISNA(VLOOKUP($A286,'Audit Values'!$A$2:$BV$392,2,FALSE)),'Preliminary SO66'!AZ285,VLOOKUP($A286,'Audit Values'!$A$2:$BV$392,48,FALSE))</f>
        <v>79460</v>
      </c>
      <c r="E286" s="83">
        <f t="shared" si="9"/>
        <v>87406</v>
      </c>
      <c r="F286" s="83">
        <f>'2019 Legal Max'!AO286*'Weighting Factors'!$Q$5</f>
        <v>84133</v>
      </c>
      <c r="G286" s="83">
        <f t="shared" si="10"/>
        <v>0</v>
      </c>
      <c r="H286" s="135" t="str">
        <f>'2019 Legal Max'!BD286</f>
        <v>A</v>
      </c>
    </row>
    <row r="287" spans="1:8">
      <c r="A287" s="88" t="s">
        <v>479</v>
      </c>
      <c r="B287" s="87" t="s">
        <v>29</v>
      </c>
      <c r="C287" s="87" t="s">
        <v>799</v>
      </c>
      <c r="D287" s="99">
        <f>IF(ISNA(VLOOKUP($A287,'Audit Values'!$A$2:$BV$392,2,FALSE)),'Preliminary SO66'!AZ286,VLOOKUP($A287,'Audit Values'!$A$2:$BV$392,48,FALSE))</f>
        <v>226936</v>
      </c>
      <c r="E287" s="83">
        <f t="shared" si="9"/>
        <v>249630</v>
      </c>
      <c r="F287" s="83">
        <f>'2019 Legal Max'!AO287*'Weighting Factors'!$Q$5</f>
        <v>86632</v>
      </c>
      <c r="G287" s="83">
        <f t="shared" si="10"/>
        <v>0</v>
      </c>
      <c r="H287" s="135" t="str">
        <f>'2019 Legal Max'!BD287</f>
        <v>A</v>
      </c>
    </row>
    <row r="288" spans="1:8">
      <c r="A288" s="88" t="s">
        <v>480</v>
      </c>
      <c r="B288" s="87" t="s">
        <v>66</v>
      </c>
      <c r="C288" s="87" t="s">
        <v>800</v>
      </c>
      <c r="D288" s="99">
        <f>IF(ISNA(VLOOKUP($A288,'Audit Values'!$A$2:$BV$392,2,FALSE)),'Preliminary SO66'!AZ287,VLOOKUP($A288,'Audit Values'!$A$2:$BV$392,48,FALSE))</f>
        <v>72342</v>
      </c>
      <c r="E288" s="83">
        <f t="shared" si="9"/>
        <v>79576</v>
      </c>
      <c r="F288" s="83">
        <f>'2019 Legal Max'!AO288*'Weighting Factors'!$Q$5</f>
        <v>107457</v>
      </c>
      <c r="G288" s="83">
        <f t="shared" si="10"/>
        <v>-27881</v>
      </c>
      <c r="H288" s="135" t="str">
        <f>'2019 Legal Max'!BD288</f>
        <v>A</v>
      </c>
    </row>
    <row r="289" spans="1:8">
      <c r="A289" s="88" t="s">
        <v>481</v>
      </c>
      <c r="B289" s="87" t="s">
        <v>68</v>
      </c>
      <c r="C289" s="87" t="s">
        <v>801</v>
      </c>
      <c r="D289" s="99">
        <f>IF(ISNA(VLOOKUP($A289,'Audit Values'!$A$2:$BV$392,2,FALSE)),'Preliminary SO66'!AZ288,VLOOKUP($A289,'Audit Values'!$A$2:$BV$392,48,FALSE))</f>
        <v>74853</v>
      </c>
      <c r="E289" s="83">
        <f t="shared" si="9"/>
        <v>82338</v>
      </c>
      <c r="F289" s="83">
        <f>'2019 Legal Max'!AO289*'Weighting Factors'!$Q$5</f>
        <v>24990</v>
      </c>
      <c r="G289" s="83">
        <f t="shared" si="10"/>
        <v>0</v>
      </c>
      <c r="H289" s="135" t="str">
        <f>'2019 Legal Max'!BD289</f>
        <v>A</v>
      </c>
    </row>
    <row r="290" spans="1:8">
      <c r="A290" s="88" t="s">
        <v>482</v>
      </c>
      <c r="B290" s="87" t="s">
        <v>22</v>
      </c>
      <c r="C290" s="87" t="s">
        <v>802</v>
      </c>
      <c r="D290" s="99">
        <f>IF(ISNA(VLOOKUP($A290,'Audit Values'!$A$2:$BV$392,2,FALSE)),'Preliminary SO66'!AZ289,VLOOKUP($A290,'Audit Values'!$A$2:$BV$392,48,FALSE))</f>
        <v>6799879</v>
      </c>
      <c r="E290" s="83">
        <f t="shared" si="9"/>
        <v>7479867</v>
      </c>
      <c r="F290" s="83">
        <f>'2019 Legal Max'!AO290*'Weighting Factors'!$Q$5</f>
        <v>3002132</v>
      </c>
      <c r="G290" s="83">
        <f t="shared" si="10"/>
        <v>0</v>
      </c>
      <c r="H290" s="135" t="str">
        <f>'2019 Legal Max'!BD290</f>
        <v>A</v>
      </c>
    </row>
    <row r="291" spans="1:8">
      <c r="D291" s="83"/>
      <c r="E291" s="83"/>
      <c r="F291" s="83"/>
      <c r="G291" s="83"/>
    </row>
  </sheetData>
  <autoFilter ref="A4:H290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89"/>
  <sheetViews>
    <sheetView workbookViewId="0">
      <pane ySplit="3" topLeftCell="A4" activePane="bottomLeft" state="frozen"/>
      <selection pane="bottomLeft" activeCell="H9" sqref="H9"/>
    </sheetView>
  </sheetViews>
  <sheetFormatPr defaultRowHeight="12.75"/>
  <cols>
    <col min="1" max="1" width="9.140625" style="126"/>
    <col min="2" max="2" width="11.7109375" style="126" customWidth="1"/>
    <col min="3" max="3" width="22.5703125" style="126" customWidth="1"/>
    <col min="4" max="4" width="11.7109375" style="126" customWidth="1"/>
    <col min="5" max="6" width="10.7109375" style="126" customWidth="1"/>
    <col min="7" max="7" width="13" style="126" customWidth="1"/>
    <col min="8" max="9" width="10.7109375" style="126" customWidth="1"/>
    <col min="10" max="10" width="13" style="126" customWidth="1"/>
    <col min="11" max="11" width="9.140625" style="298"/>
    <col min="12" max="16384" width="9.140625" style="126"/>
  </cols>
  <sheetData>
    <row r="1" spans="1:11" ht="15.75" thickBot="1">
      <c r="E1" s="329" t="s">
        <v>3684</v>
      </c>
      <c r="F1" s="329"/>
      <c r="G1" s="329"/>
      <c r="H1" s="329" t="s">
        <v>3685</v>
      </c>
      <c r="I1" s="329"/>
      <c r="J1" s="329"/>
      <c r="K1" s="299"/>
    </row>
    <row r="2" spans="1:11" ht="63.75">
      <c r="A2" s="85" t="s">
        <v>171</v>
      </c>
      <c r="B2" s="85" t="s">
        <v>172</v>
      </c>
      <c r="C2" s="85" t="s">
        <v>173</v>
      </c>
      <c r="D2" s="251" t="s">
        <v>3723</v>
      </c>
      <c r="E2" s="303" t="s">
        <v>3722</v>
      </c>
      <c r="F2" s="111" t="s">
        <v>3686</v>
      </c>
      <c r="G2" s="300" t="s">
        <v>3687</v>
      </c>
      <c r="H2" s="111" t="s">
        <v>3466</v>
      </c>
      <c r="I2" s="300" t="s">
        <v>3688</v>
      </c>
      <c r="J2" s="300" t="s">
        <v>3689</v>
      </c>
      <c r="K2" s="154" t="s">
        <v>3640</v>
      </c>
    </row>
    <row r="3" spans="1:11">
      <c r="A3" s="86" t="s">
        <v>196</v>
      </c>
      <c r="B3" s="86"/>
      <c r="C3" s="86" t="s">
        <v>804</v>
      </c>
      <c r="D3" s="310">
        <f>SUM(D4:D289)</f>
        <v>799761.5</v>
      </c>
      <c r="E3" s="310">
        <f>SUM(E4:E289)</f>
        <v>86945.8</v>
      </c>
      <c r="F3" s="307">
        <f>IF(E3=0,0,ROUND((E3/D3)*100,2))</f>
        <v>10.87</v>
      </c>
      <c r="G3" s="308">
        <f t="shared" ref="G3:J3" si="0">SUM(G4:G289)</f>
        <v>119980083</v>
      </c>
      <c r="H3" s="310">
        <f t="shared" si="0"/>
        <v>10167.4</v>
      </c>
      <c r="I3" s="306">
        <f>IF('2019 Legal Max'!Y4=0,0,ROUND((H3/D3)*100,2))</f>
        <v>1.27</v>
      </c>
      <c r="J3" s="308">
        <f t="shared" si="0"/>
        <v>14033093</v>
      </c>
      <c r="K3" s="311"/>
    </row>
    <row r="4" spans="1:11">
      <c r="A4" s="88">
        <v>101</v>
      </c>
      <c r="B4" s="87" t="s">
        <v>4</v>
      </c>
      <c r="C4" s="87" t="s">
        <v>519</v>
      </c>
      <c r="D4" s="89">
        <f>'2019 Legal Max'!CW5-'2019 Legal Max'!Q5-'2019 Legal Max'!AU5</f>
        <v>1110.5999999999999</v>
      </c>
      <c r="E4" s="89">
        <f>'2019 Legal Max'!AE5</f>
        <v>114.2</v>
      </c>
      <c r="F4" s="301">
        <f>IF(E4=0,0,ROUND((E4/D4)*100,2))</f>
        <v>10.28</v>
      </c>
      <c r="G4" s="83">
        <f>(F4/100)*'2019 Legal Max'!BS5</f>
        <v>153252</v>
      </c>
      <c r="H4" s="126">
        <f>'2019 Legal Max'!Y5</f>
        <v>1.5</v>
      </c>
      <c r="I4" s="134">
        <f>IF('2019 Legal Max'!Y5=0,0,ROUND((H4/D4)*100,2))</f>
        <v>0.14000000000000001</v>
      </c>
      <c r="J4" s="83">
        <f>(I4/100)*'2019 Legal Max'!BS5</f>
        <v>2087</v>
      </c>
      <c r="K4" s="302" t="str">
        <f>'2019 Legal Max'!BD5</f>
        <v>A</v>
      </c>
    </row>
    <row r="5" spans="1:11">
      <c r="A5" s="88">
        <v>102</v>
      </c>
      <c r="B5" s="87" t="s">
        <v>5</v>
      </c>
      <c r="C5" s="87" t="s">
        <v>811</v>
      </c>
      <c r="D5" s="89">
        <f>'2019 Legal Max'!CW6-'2019 Legal Max'!Q6-'2019 Legal Max'!AU6</f>
        <v>1190.7</v>
      </c>
      <c r="E5" s="89">
        <f>'2019 Legal Max'!AE6</f>
        <v>102.6</v>
      </c>
      <c r="F5" s="301">
        <f t="shared" ref="F5:F68" si="1">IF(E5=0,0,ROUND((E5/D5)*100,2))</f>
        <v>8.6199999999999992</v>
      </c>
      <c r="G5" s="83">
        <f>(F5/100)*'2019 Legal Max'!BS6</f>
        <v>140577</v>
      </c>
      <c r="H5" s="126">
        <f>'2019 Legal Max'!Y6</f>
        <v>48.6</v>
      </c>
      <c r="I5" s="134">
        <f>IF('2019 Legal Max'!Y6=0,0,ROUND((H5/D5)*100,2))</f>
        <v>4.08</v>
      </c>
      <c r="J5" s="83">
        <f>(I5/100)*'2019 Legal Max'!BS6</f>
        <v>66538</v>
      </c>
      <c r="K5" s="302" t="str">
        <f>'2019 Legal Max'!BD6</f>
        <v>A</v>
      </c>
    </row>
    <row r="6" spans="1:11">
      <c r="A6" s="88">
        <v>103</v>
      </c>
      <c r="B6" s="87" t="s">
        <v>6</v>
      </c>
      <c r="C6" s="87" t="s">
        <v>520</v>
      </c>
      <c r="D6" s="89">
        <f>'2019 Legal Max'!CW7-'2019 Legal Max'!Q7-'2019 Legal Max'!AU7</f>
        <v>355</v>
      </c>
      <c r="E6" s="89">
        <f>'2019 Legal Max'!AE7</f>
        <v>28.6</v>
      </c>
      <c r="F6" s="301">
        <f t="shared" si="1"/>
        <v>8.06</v>
      </c>
      <c r="G6" s="83">
        <f>(F6/100)*'2019 Legal Max'!BS7</f>
        <v>39570</v>
      </c>
      <c r="H6" s="126">
        <f>'2019 Legal Max'!Y7</f>
        <v>9.4</v>
      </c>
      <c r="I6" s="134">
        <f>IF('2019 Legal Max'!Y7=0,0,ROUND((H6/D6)*100,2))</f>
        <v>2.65</v>
      </c>
      <c r="J6" s="83">
        <f>(I6/100)*'2019 Legal Max'!BS7</f>
        <v>13010</v>
      </c>
      <c r="K6" s="302" t="str">
        <f>'2019 Legal Max'!BD7</f>
        <v>A</v>
      </c>
    </row>
    <row r="7" spans="1:11">
      <c r="A7" s="88">
        <v>105</v>
      </c>
      <c r="B7" s="87" t="s">
        <v>51</v>
      </c>
      <c r="C7" s="87" t="s">
        <v>521</v>
      </c>
      <c r="D7" s="89">
        <f>'2019 Legal Max'!CW8-'2019 Legal Max'!Q8-'2019 Legal Max'!AU8</f>
        <v>702.4</v>
      </c>
      <c r="E7" s="89">
        <f>'2019 Legal Max'!AE8</f>
        <v>73.599999999999994</v>
      </c>
      <c r="F7" s="301">
        <f t="shared" si="1"/>
        <v>10.48</v>
      </c>
      <c r="G7" s="83">
        <f>(F7/100)*'2019 Legal Max'!BS8</f>
        <v>99635</v>
      </c>
      <c r="H7" s="126">
        <f>'2019 Legal Max'!Y8</f>
        <v>5.2</v>
      </c>
      <c r="I7" s="134">
        <f>IF('2019 Legal Max'!Y8=0,0,ROUND((H7/D7)*100,2))</f>
        <v>0.74</v>
      </c>
      <c r="J7" s="83">
        <f>(I7/100)*'2019 Legal Max'!BS8</f>
        <v>7035</v>
      </c>
      <c r="K7" s="302" t="str">
        <f>'2019 Legal Max'!BD8</f>
        <v>A</v>
      </c>
    </row>
    <row r="8" spans="1:11">
      <c r="A8" s="88">
        <v>106</v>
      </c>
      <c r="B8" s="87" t="s">
        <v>47</v>
      </c>
      <c r="C8" s="87" t="s">
        <v>522</v>
      </c>
      <c r="D8" s="89">
        <f>'2019 Legal Max'!CW9-'2019 Legal Max'!Q9-'2019 Legal Max'!AU9</f>
        <v>306.89999999999998</v>
      </c>
      <c r="E8" s="89">
        <f>'2019 Legal Max'!AE9</f>
        <v>31.9</v>
      </c>
      <c r="F8" s="301">
        <f t="shared" si="1"/>
        <v>10.39</v>
      </c>
      <c r="G8" s="83">
        <f>(F8/100)*'2019 Legal Max'!BS9</f>
        <v>49418</v>
      </c>
      <c r="H8" s="126">
        <f>'2019 Legal Max'!Y9</f>
        <v>7.3</v>
      </c>
      <c r="I8" s="134">
        <f>IF('2019 Legal Max'!Y9=0,0,ROUND((H8/D8)*100,2))</f>
        <v>2.38</v>
      </c>
      <c r="J8" s="83">
        <f>(I8/100)*'2019 Legal Max'!BS9</f>
        <v>11320</v>
      </c>
      <c r="K8" s="302" t="str">
        <f>'2019 Legal Max'!BD9</f>
        <v>A</v>
      </c>
    </row>
    <row r="9" spans="1:11">
      <c r="A9" s="88">
        <v>107</v>
      </c>
      <c r="B9" s="87" t="s">
        <v>7</v>
      </c>
      <c r="C9" s="87" t="s">
        <v>523</v>
      </c>
      <c r="D9" s="89">
        <f>'2019 Legal Max'!CW10-'2019 Legal Max'!Q10-'2019 Legal Max'!AU10</f>
        <v>677</v>
      </c>
      <c r="E9" s="89">
        <f>'2019 Legal Max'!AE10</f>
        <v>69.2</v>
      </c>
      <c r="F9" s="301">
        <f t="shared" si="1"/>
        <v>10.220000000000001</v>
      </c>
      <c r="G9" s="83">
        <f>(F9/100)*'2019 Legal Max'!BS10</f>
        <v>81760</v>
      </c>
      <c r="H9" s="126">
        <f>'2019 Legal Max'!Y10</f>
        <v>0</v>
      </c>
      <c r="I9" s="134">
        <f>IF('2019 Legal Max'!Y10=0,0,ROUND((H9/D9)*100,2))</f>
        <v>0</v>
      </c>
      <c r="J9" s="83">
        <f>(I9/100)*'2019 Legal Max'!BS10</f>
        <v>0</v>
      </c>
      <c r="K9" s="302" t="str">
        <f>'2019 Legal Max'!BD10</f>
        <v>A</v>
      </c>
    </row>
    <row r="10" spans="1:11">
      <c r="A10" s="88">
        <v>108</v>
      </c>
      <c r="B10" s="87" t="s">
        <v>19</v>
      </c>
      <c r="C10" s="87" t="s">
        <v>524</v>
      </c>
      <c r="D10" s="89">
        <f>'2019 Legal Max'!CW11-'2019 Legal Max'!Q11-'2019 Legal Max'!AU11</f>
        <v>690.5</v>
      </c>
      <c r="E10" s="89">
        <f>'2019 Legal Max'!AE11</f>
        <v>53.7</v>
      </c>
      <c r="F10" s="301">
        <f t="shared" si="1"/>
        <v>7.78</v>
      </c>
      <c r="G10" s="83">
        <f>(F10/100)*'2019 Legal Max'!BS11</f>
        <v>76567</v>
      </c>
      <c r="H10" s="126">
        <f>'2019 Legal Max'!Y11</f>
        <v>2.8</v>
      </c>
      <c r="I10" s="134">
        <f>IF('2019 Legal Max'!Y11=0,0,ROUND((H10/D10)*100,2))</f>
        <v>0.41</v>
      </c>
      <c r="J10" s="83">
        <f>(I10/100)*'2019 Legal Max'!BS11</f>
        <v>4035</v>
      </c>
      <c r="K10" s="302" t="str">
        <f>'2019 Legal Max'!BD11</f>
        <v>A</v>
      </c>
    </row>
    <row r="11" spans="1:11">
      <c r="A11" s="88">
        <v>109</v>
      </c>
      <c r="B11" s="87" t="s">
        <v>98</v>
      </c>
      <c r="C11" s="87" t="s">
        <v>525</v>
      </c>
      <c r="D11" s="89">
        <f>'2019 Legal Max'!CW12-'2019 Legal Max'!Q12-'2019 Legal Max'!AU12</f>
        <v>1010.6</v>
      </c>
      <c r="E11" s="89">
        <f>'2019 Legal Max'!AE12</f>
        <v>90</v>
      </c>
      <c r="F11" s="301">
        <f t="shared" si="1"/>
        <v>8.91</v>
      </c>
      <c r="G11" s="83">
        <f>(F11/100)*'2019 Legal Max'!BS12</f>
        <v>122554</v>
      </c>
      <c r="H11" s="126">
        <f>'2019 Legal Max'!Y12</f>
        <v>0.4</v>
      </c>
      <c r="I11" s="134">
        <f>IF('2019 Legal Max'!Y12=0,0,ROUND((H11/D11)*100,2))</f>
        <v>0.04</v>
      </c>
      <c r="J11" s="83">
        <f>(I11/100)*'2019 Legal Max'!BS12</f>
        <v>550</v>
      </c>
      <c r="K11" s="302" t="str">
        <f>'2019 Legal Max'!BD12</f>
        <v>A</v>
      </c>
    </row>
    <row r="12" spans="1:11">
      <c r="A12" s="88">
        <v>110</v>
      </c>
      <c r="B12" s="87" t="s">
        <v>53</v>
      </c>
      <c r="C12" s="87" t="s">
        <v>526</v>
      </c>
      <c r="D12" s="89">
        <f>'2019 Legal Max'!CW13-'2019 Legal Max'!Q13-'2019 Legal Max'!AU13</f>
        <v>517.5</v>
      </c>
      <c r="E12" s="89">
        <f>'2019 Legal Max'!AE13</f>
        <v>39.200000000000003</v>
      </c>
      <c r="F12" s="301">
        <f t="shared" si="1"/>
        <v>7.57</v>
      </c>
      <c r="G12" s="83">
        <f>(F12/100)*'2019 Legal Max'!BS13</f>
        <v>54662</v>
      </c>
      <c r="H12" s="126">
        <f>'2019 Legal Max'!Y13</f>
        <v>0</v>
      </c>
      <c r="I12" s="134">
        <f>IF('2019 Legal Max'!Y13=0,0,ROUND((H12/D12)*100,2))</f>
        <v>0</v>
      </c>
      <c r="J12" s="83">
        <f>(I12/100)*'2019 Legal Max'!BS13</f>
        <v>0</v>
      </c>
      <c r="K12" s="302" t="str">
        <f>'2019 Legal Max'!BD13</f>
        <v>A</v>
      </c>
    </row>
    <row r="13" spans="1:11">
      <c r="A13" s="88">
        <v>111</v>
      </c>
      <c r="B13" s="87" t="s">
        <v>92</v>
      </c>
      <c r="C13" s="87" t="s">
        <v>527</v>
      </c>
      <c r="D13" s="89">
        <f>'2019 Legal Max'!CW14-'2019 Legal Max'!Q14-'2019 Legal Max'!AU14</f>
        <v>676</v>
      </c>
      <c r="E13" s="89">
        <f>'2019 Legal Max'!AE14</f>
        <v>51.8</v>
      </c>
      <c r="F13" s="301">
        <f t="shared" si="1"/>
        <v>7.66</v>
      </c>
      <c r="G13" s="83">
        <f>(F13/100)*'2019 Legal Max'!BS14</f>
        <v>75441</v>
      </c>
      <c r="H13" s="126">
        <f>'2019 Legal Max'!Y14</f>
        <v>0</v>
      </c>
      <c r="I13" s="134">
        <f>IF('2019 Legal Max'!Y14=0,0,ROUND((H13/D13)*100,2))</f>
        <v>0</v>
      </c>
      <c r="J13" s="83">
        <f>(I13/100)*'2019 Legal Max'!BS14</f>
        <v>0</v>
      </c>
      <c r="K13" s="302" t="str">
        <f>'2019 Legal Max'!BD14</f>
        <v>A</v>
      </c>
    </row>
    <row r="14" spans="1:11">
      <c r="A14" s="88">
        <v>112</v>
      </c>
      <c r="B14" s="87" t="s">
        <v>54</v>
      </c>
      <c r="C14" s="87" t="s">
        <v>528</v>
      </c>
      <c r="D14" s="89">
        <f>'2019 Legal Max'!CW15-'2019 Legal Max'!Q15-'2019 Legal Max'!AU15</f>
        <v>982.1</v>
      </c>
      <c r="E14" s="89">
        <f>'2019 Legal Max'!AE15</f>
        <v>75.5</v>
      </c>
      <c r="F14" s="301">
        <f t="shared" si="1"/>
        <v>7.69</v>
      </c>
      <c r="G14" s="83">
        <f>(F14/100)*'2019 Legal Max'!BS15</f>
        <v>114077</v>
      </c>
      <c r="H14" s="126">
        <f>'2019 Legal Max'!Y15</f>
        <v>0</v>
      </c>
      <c r="I14" s="134">
        <f>IF('2019 Legal Max'!Y15=0,0,ROUND((H14/D14)*100,2))</f>
        <v>0</v>
      </c>
      <c r="J14" s="83">
        <f>(I14/100)*'2019 Legal Max'!BS15</f>
        <v>0</v>
      </c>
      <c r="K14" s="302" t="str">
        <f>'2019 Legal Max'!BD15</f>
        <v>A</v>
      </c>
    </row>
    <row r="15" spans="1:11">
      <c r="A15" s="88">
        <v>113</v>
      </c>
      <c r="B15" s="87" t="s">
        <v>100</v>
      </c>
      <c r="C15" s="87" t="s">
        <v>529</v>
      </c>
      <c r="D15" s="89">
        <f>'2019 Legal Max'!CW16-'2019 Legal Max'!Q16-'2019 Legal Max'!AU16</f>
        <v>1768.9</v>
      </c>
      <c r="E15" s="89">
        <f>'2019 Legal Max'!AE16</f>
        <v>130.69999999999999</v>
      </c>
      <c r="F15" s="301">
        <f t="shared" si="1"/>
        <v>7.39</v>
      </c>
      <c r="G15" s="83">
        <f>(F15/100)*'2019 Legal Max'!BS16</f>
        <v>202129</v>
      </c>
      <c r="H15" s="126">
        <f>'2019 Legal Max'!Y16</f>
        <v>0.2</v>
      </c>
      <c r="I15" s="134">
        <f>IF('2019 Legal Max'!Y16=0,0,ROUND((H15/D15)*100,2))</f>
        <v>0.01</v>
      </c>
      <c r="J15" s="83">
        <f>(I15/100)*'2019 Legal Max'!BS16</f>
        <v>274</v>
      </c>
      <c r="K15" s="302" t="str">
        <f>'2019 Legal Max'!BD16</f>
        <v>A</v>
      </c>
    </row>
    <row r="16" spans="1:11">
      <c r="A16" s="88">
        <v>114</v>
      </c>
      <c r="B16" s="87" t="s">
        <v>92</v>
      </c>
      <c r="C16" s="87" t="s">
        <v>530</v>
      </c>
      <c r="D16" s="89">
        <f>'2019 Legal Max'!CW17-'2019 Legal Max'!Q17-'2019 Legal Max'!AU17</f>
        <v>1156.3</v>
      </c>
      <c r="E16" s="89">
        <f>'2019 Legal Max'!AE17</f>
        <v>114.2</v>
      </c>
      <c r="F16" s="301">
        <f t="shared" si="1"/>
        <v>9.8800000000000008</v>
      </c>
      <c r="G16" s="83">
        <f>(F16/100)*'2019 Legal Max'!BS17</f>
        <v>153560</v>
      </c>
      <c r="H16" s="126">
        <f>'2019 Legal Max'!Y17</f>
        <v>0</v>
      </c>
      <c r="I16" s="134">
        <f>IF('2019 Legal Max'!Y17=0,0,ROUND((H16/D16)*100,2))</f>
        <v>0</v>
      </c>
      <c r="J16" s="83">
        <f>(I16/100)*'2019 Legal Max'!BS17</f>
        <v>0</v>
      </c>
      <c r="K16" s="302" t="str">
        <f>'2019 Legal Max'!BD17</f>
        <v>A</v>
      </c>
    </row>
    <row r="17" spans="1:11">
      <c r="A17" s="88">
        <v>115</v>
      </c>
      <c r="B17" s="87" t="s">
        <v>100</v>
      </c>
      <c r="C17" s="87" t="s">
        <v>531</v>
      </c>
      <c r="D17" s="89">
        <f>'2019 Legal Max'!CW18-'2019 Legal Max'!Q18-'2019 Legal Max'!AU18</f>
        <v>1015.1</v>
      </c>
      <c r="E17" s="89">
        <f>'2019 Legal Max'!AE18</f>
        <v>55.2</v>
      </c>
      <c r="F17" s="301">
        <f t="shared" si="1"/>
        <v>5.44</v>
      </c>
      <c r="G17" s="83">
        <f>(F17/100)*'2019 Legal Max'!BS18</f>
        <v>76776</v>
      </c>
      <c r="H17" s="126">
        <f>'2019 Legal Max'!Y18</f>
        <v>1.7</v>
      </c>
      <c r="I17" s="134">
        <f>IF('2019 Legal Max'!Y18=0,0,ROUND((H17/D17)*100,2))</f>
        <v>0.17</v>
      </c>
      <c r="J17" s="83">
        <f>(I17/100)*'2019 Legal Max'!BS18</f>
        <v>2399</v>
      </c>
      <c r="K17" s="302" t="str">
        <f>'2019 Legal Max'!BD18</f>
        <v>A</v>
      </c>
    </row>
    <row r="18" spans="1:11">
      <c r="A18" s="88">
        <v>200</v>
      </c>
      <c r="B18" s="87" t="s">
        <v>8</v>
      </c>
      <c r="C18" s="87" t="s">
        <v>532</v>
      </c>
      <c r="D18" s="89">
        <f>'2019 Legal Max'!CW19-'2019 Legal Max'!Q19-'2019 Legal Max'!AU19</f>
        <v>541.29999999999995</v>
      </c>
      <c r="E18" s="89">
        <f>'2019 Legal Max'!AE19</f>
        <v>48.9</v>
      </c>
      <c r="F18" s="301">
        <f t="shared" si="1"/>
        <v>9.0299999999999994</v>
      </c>
      <c r="G18" s="83">
        <f>(F18/100)*'2019 Legal Max'!BS19</f>
        <v>66028</v>
      </c>
      <c r="H18" s="126">
        <f>'2019 Legal Max'!Y19</f>
        <v>11.5</v>
      </c>
      <c r="I18" s="134">
        <f>IF('2019 Legal Max'!Y19=0,0,ROUND((H18/D18)*100,2))</f>
        <v>2.12</v>
      </c>
      <c r="J18" s="83">
        <f>(I18/100)*'2019 Legal Max'!BS19</f>
        <v>15502</v>
      </c>
      <c r="K18" s="302" t="str">
        <f>'2019 Legal Max'!BD19</f>
        <v>A</v>
      </c>
    </row>
    <row r="19" spans="1:11">
      <c r="A19" s="88">
        <v>202</v>
      </c>
      <c r="B19" s="87" t="s">
        <v>9</v>
      </c>
      <c r="C19" s="87" t="s">
        <v>533</v>
      </c>
      <c r="D19" s="89">
        <f>'2019 Legal Max'!CW20-'2019 Legal Max'!Q20-'2019 Legal Max'!AU20</f>
        <v>6726.8</v>
      </c>
      <c r="E19" s="89">
        <f>'2019 Legal Max'!AE20</f>
        <v>1214.4000000000001</v>
      </c>
      <c r="F19" s="301">
        <f t="shared" si="1"/>
        <v>18.05</v>
      </c>
      <c r="G19" s="83">
        <f>(F19/100)*'2019 Legal Max'!BS20</f>
        <v>1643210</v>
      </c>
      <c r="H19" s="126">
        <f>'2019 Legal Max'!Y20</f>
        <v>152.30000000000001</v>
      </c>
      <c r="I19" s="134">
        <f>IF('2019 Legal Max'!Y20=0,0,ROUND((H19/D19)*100,2))</f>
        <v>2.2599999999999998</v>
      </c>
      <c r="J19" s="83">
        <f>(I19/100)*'2019 Legal Max'!BS20</f>
        <v>205743</v>
      </c>
      <c r="K19" s="302" t="str">
        <f>'2019 Legal Max'!BD20</f>
        <v>A</v>
      </c>
    </row>
    <row r="20" spans="1:11">
      <c r="A20" s="88">
        <v>203</v>
      </c>
      <c r="B20" s="87" t="s">
        <v>9</v>
      </c>
      <c r="C20" s="87" t="s">
        <v>534</v>
      </c>
      <c r="D20" s="89">
        <f>'2019 Legal Max'!CW21-'2019 Legal Max'!Q21-'2019 Legal Max'!AU21</f>
        <v>3323.5</v>
      </c>
      <c r="E20" s="89">
        <f>'2019 Legal Max'!AE21</f>
        <v>149.6</v>
      </c>
      <c r="F20" s="301">
        <f t="shared" si="1"/>
        <v>4.5</v>
      </c>
      <c r="G20" s="83">
        <f>(F20/100)*'2019 Legal Max'!BS21</f>
        <v>214086</v>
      </c>
      <c r="H20" s="126">
        <f>'2019 Legal Max'!Y21</f>
        <v>10</v>
      </c>
      <c r="I20" s="134">
        <f>IF('2019 Legal Max'!Y21=0,0,ROUND((H20/D20)*100,2))</f>
        <v>0.3</v>
      </c>
      <c r="J20" s="83">
        <f>(I20/100)*'2019 Legal Max'!BS21</f>
        <v>14272</v>
      </c>
      <c r="K20" s="302" t="str">
        <f>'2019 Legal Max'!BD21</f>
        <v>A</v>
      </c>
    </row>
    <row r="21" spans="1:11">
      <c r="A21" s="88">
        <v>204</v>
      </c>
      <c r="B21" s="87" t="s">
        <v>9</v>
      </c>
      <c r="C21" s="87" t="s">
        <v>535</v>
      </c>
      <c r="D21" s="89">
        <f>'2019 Legal Max'!CW22-'2019 Legal Max'!Q22-'2019 Legal Max'!AU22</f>
        <v>4215.6000000000004</v>
      </c>
      <c r="E21" s="89">
        <f>'2019 Legal Max'!AE22</f>
        <v>454.5</v>
      </c>
      <c r="F21" s="301">
        <f t="shared" si="1"/>
        <v>10.78</v>
      </c>
      <c r="G21" s="83">
        <f>(F21/100)*'2019 Legal Max'!BS22</f>
        <v>606020</v>
      </c>
      <c r="H21" s="126">
        <f>'2019 Legal Max'!Y22</f>
        <v>34.700000000000003</v>
      </c>
      <c r="I21" s="134">
        <f>IF('2019 Legal Max'!Y22=0,0,ROUND((H21/D21)*100,2))</f>
        <v>0.82</v>
      </c>
      <c r="J21" s="83">
        <f>(I21/100)*'2019 Legal Max'!BS22</f>
        <v>46098</v>
      </c>
      <c r="K21" s="302" t="str">
        <f>'2019 Legal Max'!BD22</f>
        <v>A</v>
      </c>
    </row>
    <row r="22" spans="1:11">
      <c r="A22" s="88">
        <v>205</v>
      </c>
      <c r="B22" s="87" t="s">
        <v>10</v>
      </c>
      <c r="C22" s="87" t="s">
        <v>536</v>
      </c>
      <c r="D22" s="89">
        <f>'2019 Legal Max'!CW23-'2019 Legal Max'!Q23-'2019 Legal Max'!AU23</f>
        <v>993.4</v>
      </c>
      <c r="E22" s="89">
        <f>'2019 Legal Max'!AE23</f>
        <v>89.1</v>
      </c>
      <c r="F22" s="301">
        <f t="shared" si="1"/>
        <v>8.9700000000000006</v>
      </c>
      <c r="G22" s="83">
        <f>(F22/100)*'2019 Legal Max'!BS23</f>
        <v>120001</v>
      </c>
      <c r="H22" s="126">
        <f>'2019 Legal Max'!Y23</f>
        <v>0.6</v>
      </c>
      <c r="I22" s="134">
        <f>IF('2019 Legal Max'!Y23=0,0,ROUND((H22/D22)*100,2))</f>
        <v>0.06</v>
      </c>
      <c r="J22" s="83">
        <f>(I22/100)*'2019 Legal Max'!BS23</f>
        <v>803</v>
      </c>
      <c r="K22" s="302" t="str">
        <f>'2019 Legal Max'!BD23</f>
        <v>A</v>
      </c>
    </row>
    <row r="23" spans="1:11">
      <c r="A23" s="88">
        <v>206</v>
      </c>
      <c r="B23" s="87" t="s">
        <v>10</v>
      </c>
      <c r="C23" s="87" t="s">
        <v>537</v>
      </c>
      <c r="D23" s="89">
        <f>'2019 Legal Max'!CW24-'2019 Legal Max'!Q24-'2019 Legal Max'!AU24</f>
        <v>1019.1</v>
      </c>
      <c r="E23" s="89">
        <f>'2019 Legal Max'!AE24</f>
        <v>62.9</v>
      </c>
      <c r="F23" s="301">
        <f t="shared" si="1"/>
        <v>6.17</v>
      </c>
      <c r="G23" s="83">
        <f>(F23/100)*'2019 Legal Max'!BS24</f>
        <v>91008</v>
      </c>
      <c r="H23" s="126">
        <f>'2019 Legal Max'!Y24</f>
        <v>4.5999999999999996</v>
      </c>
      <c r="I23" s="134">
        <f>IF('2019 Legal Max'!Y24=0,0,ROUND((H23/D23)*100,2))</f>
        <v>0.45</v>
      </c>
      <c r="J23" s="83">
        <f>(I23/100)*'2019 Legal Max'!BS24</f>
        <v>6638</v>
      </c>
      <c r="K23" s="302" t="str">
        <f>'2019 Legal Max'!BD24</f>
        <v>A</v>
      </c>
    </row>
    <row r="24" spans="1:11">
      <c r="A24" s="88">
        <v>207</v>
      </c>
      <c r="B24" s="87" t="s">
        <v>11</v>
      </c>
      <c r="C24" s="87" t="s">
        <v>538</v>
      </c>
      <c r="D24" s="89">
        <f>'2019 Legal Max'!CW25-'2019 Legal Max'!Q25-'2019 Legal Max'!AU25</f>
        <v>2264.5</v>
      </c>
      <c r="E24" s="89">
        <f>'2019 Legal Max'!AE25</f>
        <v>32.9</v>
      </c>
      <c r="F24" s="301">
        <f t="shared" si="1"/>
        <v>1.45</v>
      </c>
      <c r="G24" s="83">
        <f>(F24/100)*'2019 Legal Max'!BS25</f>
        <v>48169</v>
      </c>
      <c r="H24" s="126">
        <f>'2019 Legal Max'!Y25</f>
        <v>13.7</v>
      </c>
      <c r="I24" s="134">
        <f>IF('2019 Legal Max'!Y25=0,0,ROUND((H24/D24)*100,2))</f>
        <v>0.6</v>
      </c>
      <c r="J24" s="83">
        <f>(I24/100)*'2019 Legal Max'!BS25</f>
        <v>19932</v>
      </c>
      <c r="K24" s="302" t="str">
        <f>'2019 Legal Max'!BD25</f>
        <v>A</v>
      </c>
    </row>
    <row r="25" spans="1:11">
      <c r="A25" s="88">
        <v>208</v>
      </c>
      <c r="B25" s="87" t="s">
        <v>12</v>
      </c>
      <c r="C25" s="87" t="s">
        <v>539</v>
      </c>
      <c r="D25" s="89">
        <f>'2019 Legal Max'!CW26-'2019 Legal Max'!Q26-'2019 Legal Max'!AU26</f>
        <v>761.5</v>
      </c>
      <c r="E25" s="89">
        <f>'2019 Legal Max'!AE26</f>
        <v>49.4</v>
      </c>
      <c r="F25" s="301">
        <f t="shared" si="1"/>
        <v>6.49</v>
      </c>
      <c r="G25" s="83">
        <f>(F25/100)*'2019 Legal Max'!BS26</f>
        <v>66578</v>
      </c>
      <c r="H25" s="126">
        <f>'2019 Legal Max'!Y26</f>
        <v>0</v>
      </c>
      <c r="I25" s="134">
        <f>IF('2019 Legal Max'!Y26=0,0,ROUND((H25/D25)*100,2))</f>
        <v>0</v>
      </c>
      <c r="J25" s="83">
        <f>(I25/100)*'2019 Legal Max'!BS26</f>
        <v>0</v>
      </c>
      <c r="K25" s="302" t="str">
        <f>'2019 Legal Max'!BD26</f>
        <v>A</v>
      </c>
    </row>
    <row r="26" spans="1:11">
      <c r="A26" s="88">
        <v>209</v>
      </c>
      <c r="B26" s="87" t="s">
        <v>13</v>
      </c>
      <c r="C26" s="87" t="s">
        <v>540</v>
      </c>
      <c r="D26" s="89">
        <f>'2019 Legal Max'!CW27-'2019 Legal Max'!Q27-'2019 Legal Max'!AU27</f>
        <v>432</v>
      </c>
      <c r="E26" s="89">
        <f>'2019 Legal Max'!AE27</f>
        <v>40.700000000000003</v>
      </c>
      <c r="F26" s="301">
        <f t="shared" si="1"/>
        <v>9.42</v>
      </c>
      <c r="G26" s="83">
        <f>(F26/100)*'2019 Legal Max'!BS27</f>
        <v>61074</v>
      </c>
      <c r="H26" s="126">
        <f>'2019 Legal Max'!Y27</f>
        <v>16.899999999999999</v>
      </c>
      <c r="I26" s="134">
        <f>IF('2019 Legal Max'!Y27=0,0,ROUND((H26/D26)*100,2))</f>
        <v>3.91</v>
      </c>
      <c r="J26" s="83">
        <f>(I26/100)*'2019 Legal Max'!BS27</f>
        <v>25350</v>
      </c>
      <c r="K26" s="302" t="str">
        <f>'2019 Legal Max'!BD27</f>
        <v>A</v>
      </c>
    </row>
    <row r="27" spans="1:11">
      <c r="A27" s="88">
        <v>210</v>
      </c>
      <c r="B27" s="87" t="s">
        <v>13</v>
      </c>
      <c r="C27" s="87" t="s">
        <v>541</v>
      </c>
      <c r="D27" s="89">
        <f>'2019 Legal Max'!CW28-'2019 Legal Max'!Q28-'2019 Legal Max'!AU28</f>
        <v>1805.8</v>
      </c>
      <c r="E27" s="89">
        <f>'2019 Legal Max'!AE28</f>
        <v>223.1</v>
      </c>
      <c r="F27" s="301">
        <f t="shared" si="1"/>
        <v>12.35</v>
      </c>
      <c r="G27" s="83">
        <f>(F27/100)*'2019 Legal Max'!BS28</f>
        <v>301867</v>
      </c>
      <c r="H27" s="126">
        <f>'2019 Legal Max'!Y28</f>
        <v>85.6</v>
      </c>
      <c r="I27" s="134">
        <f>IF('2019 Legal Max'!Y28=0,0,ROUND((H27/D27)*100,2))</f>
        <v>4.74</v>
      </c>
      <c r="J27" s="83">
        <f>(I27/100)*'2019 Legal Max'!BS28</f>
        <v>115858</v>
      </c>
      <c r="K27" s="302" t="str">
        <f>'2019 Legal Max'!BD28</f>
        <v>A</v>
      </c>
    </row>
    <row r="28" spans="1:11">
      <c r="A28" s="88">
        <v>211</v>
      </c>
      <c r="B28" s="87" t="s">
        <v>14</v>
      </c>
      <c r="C28" s="87" t="s">
        <v>542</v>
      </c>
      <c r="D28" s="89">
        <f>'2019 Legal Max'!CW29-'2019 Legal Max'!Q29-'2019 Legal Max'!AU29</f>
        <v>1288.8</v>
      </c>
      <c r="E28" s="89">
        <f>'2019 Legal Max'!AE29</f>
        <v>105.5</v>
      </c>
      <c r="F28" s="301">
        <f t="shared" si="1"/>
        <v>8.19</v>
      </c>
      <c r="G28" s="83">
        <f>(F28/100)*'2019 Legal Max'!BS29</f>
        <v>141859</v>
      </c>
      <c r="H28" s="126">
        <f>'2019 Legal Max'!Y29</f>
        <v>0.6</v>
      </c>
      <c r="I28" s="134">
        <f>IF('2019 Legal Max'!Y29=0,0,ROUND((H28/D28)*100,2))</f>
        <v>0.05</v>
      </c>
      <c r="J28" s="83">
        <f>(I28/100)*'2019 Legal Max'!BS29</f>
        <v>866</v>
      </c>
      <c r="K28" s="302" t="str">
        <f>'2019 Legal Max'!BD29</f>
        <v>A</v>
      </c>
    </row>
    <row r="29" spans="1:11">
      <c r="A29" s="88">
        <v>212</v>
      </c>
      <c r="B29" s="87" t="s">
        <v>14</v>
      </c>
      <c r="C29" s="87" t="s">
        <v>543</v>
      </c>
      <c r="D29" s="89">
        <f>'2019 Legal Max'!CW30-'2019 Legal Max'!Q30-'2019 Legal Max'!AU30</f>
        <v>399.5</v>
      </c>
      <c r="E29" s="89">
        <f>'2019 Legal Max'!AE30</f>
        <v>31.5</v>
      </c>
      <c r="F29" s="301">
        <f t="shared" si="1"/>
        <v>7.88</v>
      </c>
      <c r="G29" s="83">
        <f>(F29/100)*'2019 Legal Max'!BS30</f>
        <v>43862</v>
      </c>
      <c r="H29" s="126">
        <f>'2019 Legal Max'!Y30</f>
        <v>0</v>
      </c>
      <c r="I29" s="134">
        <f>IF('2019 Legal Max'!Y30=0,0,ROUND((H29/D29)*100,2))</f>
        <v>0</v>
      </c>
      <c r="J29" s="83">
        <f>(I29/100)*'2019 Legal Max'!BS30</f>
        <v>0</v>
      </c>
      <c r="K29" s="302" t="str">
        <f>'2019 Legal Max'!BD30</f>
        <v>A</v>
      </c>
    </row>
    <row r="30" spans="1:11">
      <c r="A30" s="88">
        <v>214</v>
      </c>
      <c r="B30" s="87" t="s">
        <v>15</v>
      </c>
      <c r="C30" s="87" t="s">
        <v>544</v>
      </c>
      <c r="D30" s="89">
        <f>'2019 Legal Max'!CW31-'2019 Legal Max'!Q31-'2019 Legal Max'!AU31</f>
        <v>2602.6999999999998</v>
      </c>
      <c r="E30" s="89">
        <f>'2019 Legal Max'!AE31</f>
        <v>385.3</v>
      </c>
      <c r="F30" s="301">
        <f t="shared" si="1"/>
        <v>14.8</v>
      </c>
      <c r="G30" s="83">
        <f>(F30/100)*'2019 Legal Max'!BS31</f>
        <v>520385</v>
      </c>
      <c r="H30" s="126">
        <f>'2019 Legal Max'!Y31</f>
        <v>106.2</v>
      </c>
      <c r="I30" s="134">
        <f>IF('2019 Legal Max'!Y31=0,0,ROUND((H30/D30)*100,2))</f>
        <v>4.08</v>
      </c>
      <c r="J30" s="83">
        <f>(I30/100)*'2019 Legal Max'!BS31</f>
        <v>143458</v>
      </c>
      <c r="K30" s="302" t="str">
        <f>'2019 Legal Max'!BD31</f>
        <v>A</v>
      </c>
    </row>
    <row r="31" spans="1:11">
      <c r="A31" s="88">
        <v>215</v>
      </c>
      <c r="B31" s="87" t="s">
        <v>16</v>
      </c>
      <c r="C31" s="87" t="s">
        <v>545</v>
      </c>
      <c r="D31" s="89">
        <f>'2019 Legal Max'!CW32-'2019 Legal Max'!Q32-'2019 Legal Max'!AU32</f>
        <v>1192.3</v>
      </c>
      <c r="E31" s="89">
        <f>'2019 Legal Max'!AE32</f>
        <v>137</v>
      </c>
      <c r="F31" s="301">
        <f t="shared" si="1"/>
        <v>11.49</v>
      </c>
      <c r="G31" s="83">
        <f>(F31/100)*'2019 Legal Max'!BS32</f>
        <v>185464</v>
      </c>
      <c r="H31" s="126">
        <f>'2019 Legal Max'!Y32</f>
        <v>28.1</v>
      </c>
      <c r="I31" s="134">
        <f>IF('2019 Legal Max'!Y32=0,0,ROUND((H31/D31)*100,2))</f>
        <v>2.36</v>
      </c>
      <c r="J31" s="83">
        <f>(I31/100)*'2019 Legal Max'!BS32</f>
        <v>38094</v>
      </c>
      <c r="K31" s="302" t="str">
        <f>'2019 Legal Max'!BD32</f>
        <v>A</v>
      </c>
    </row>
    <row r="32" spans="1:11">
      <c r="A32" s="88">
        <v>216</v>
      </c>
      <c r="B32" s="87" t="s">
        <v>16</v>
      </c>
      <c r="C32" s="87" t="s">
        <v>546</v>
      </c>
      <c r="D32" s="89">
        <f>'2019 Legal Max'!CW33-'2019 Legal Max'!Q33-'2019 Legal Max'!AU33</f>
        <v>486.9</v>
      </c>
      <c r="E32" s="89">
        <f>'2019 Legal Max'!AE33</f>
        <v>55.2</v>
      </c>
      <c r="F32" s="301">
        <f t="shared" si="1"/>
        <v>11.34</v>
      </c>
      <c r="G32" s="83">
        <f>(F32/100)*'2019 Legal Max'!BS33</f>
        <v>76826</v>
      </c>
      <c r="H32" s="126">
        <f>'2019 Legal Max'!Y33</f>
        <v>28</v>
      </c>
      <c r="I32" s="134">
        <f>IF('2019 Legal Max'!Y33=0,0,ROUND((H32/D32)*100,2))</f>
        <v>5.75</v>
      </c>
      <c r="J32" s="83">
        <f>(I32/100)*'2019 Legal Max'!BS33</f>
        <v>38955</v>
      </c>
      <c r="K32" s="302" t="str">
        <f>'2019 Legal Max'!BD33</f>
        <v>A</v>
      </c>
    </row>
    <row r="33" spans="1:11">
      <c r="A33" s="88">
        <v>217</v>
      </c>
      <c r="B33" s="87" t="s">
        <v>17</v>
      </c>
      <c r="C33" s="87" t="s">
        <v>547</v>
      </c>
      <c r="D33" s="89">
        <f>'2019 Legal Max'!CW34-'2019 Legal Max'!Q34-'2019 Legal Max'!AU34</f>
        <v>325.5</v>
      </c>
      <c r="E33" s="89">
        <f>'2019 Legal Max'!AE34</f>
        <v>19.399999999999999</v>
      </c>
      <c r="F33" s="301">
        <f t="shared" si="1"/>
        <v>5.96</v>
      </c>
      <c r="G33" s="83">
        <f>(F33/100)*'2019 Legal Max'!BS34</f>
        <v>29539</v>
      </c>
      <c r="H33" s="126">
        <f>'2019 Legal Max'!Y34</f>
        <v>7.6</v>
      </c>
      <c r="I33" s="134">
        <f>IF('2019 Legal Max'!Y34=0,0,ROUND((H33/D33)*100,2))</f>
        <v>2.33</v>
      </c>
      <c r="J33" s="83">
        <f>(I33/100)*'2019 Legal Max'!BS34</f>
        <v>11548</v>
      </c>
      <c r="K33" s="302" t="str">
        <f>'2019 Legal Max'!BD34</f>
        <v>A</v>
      </c>
    </row>
    <row r="34" spans="1:11">
      <c r="A34" s="88">
        <v>218</v>
      </c>
      <c r="B34" s="87" t="s">
        <v>17</v>
      </c>
      <c r="C34" s="87" t="s">
        <v>548</v>
      </c>
      <c r="D34" s="89">
        <f>'2019 Legal Max'!CW35-'2019 Legal Max'!Q35-'2019 Legal Max'!AU35</f>
        <v>850.8</v>
      </c>
      <c r="E34" s="89">
        <f>'2019 Legal Max'!AE35</f>
        <v>81.8</v>
      </c>
      <c r="F34" s="301">
        <f t="shared" si="1"/>
        <v>9.61</v>
      </c>
      <c r="G34" s="83">
        <f>(F34/100)*'2019 Legal Max'!BS35</f>
        <v>113322</v>
      </c>
      <c r="H34" s="126">
        <f>'2019 Legal Max'!Y35</f>
        <v>17.5</v>
      </c>
      <c r="I34" s="134">
        <f>IF('2019 Legal Max'!Y35=0,0,ROUND((H34/D34)*100,2))</f>
        <v>2.06</v>
      </c>
      <c r="J34" s="83">
        <f>(I34/100)*'2019 Legal Max'!BS35</f>
        <v>24292</v>
      </c>
      <c r="K34" s="302" t="str">
        <f>'2019 Legal Max'!BD35</f>
        <v>A</v>
      </c>
    </row>
    <row r="35" spans="1:11">
      <c r="A35" s="88">
        <v>219</v>
      </c>
      <c r="B35" s="87" t="s">
        <v>18</v>
      </c>
      <c r="C35" s="87" t="s">
        <v>549</v>
      </c>
      <c r="D35" s="89">
        <f>'2019 Legal Max'!CW36-'2019 Legal Max'!Q36-'2019 Legal Max'!AU36</f>
        <v>495.7</v>
      </c>
      <c r="E35" s="89">
        <f>'2019 Legal Max'!AE36</f>
        <v>39.200000000000003</v>
      </c>
      <c r="F35" s="301">
        <f t="shared" si="1"/>
        <v>7.91</v>
      </c>
      <c r="G35" s="83">
        <f>(F35/100)*'2019 Legal Max'!BS36</f>
        <v>54413</v>
      </c>
      <c r="H35" s="126">
        <f>'2019 Legal Max'!Y36</f>
        <v>1.3</v>
      </c>
      <c r="I35" s="134">
        <f>IF('2019 Legal Max'!Y36=0,0,ROUND((H35/D35)*100,2))</f>
        <v>0.26</v>
      </c>
      <c r="J35" s="83">
        <f>(I35/100)*'2019 Legal Max'!BS36</f>
        <v>1789</v>
      </c>
      <c r="K35" s="302" t="str">
        <f>'2019 Legal Max'!BD36</f>
        <v>A</v>
      </c>
    </row>
    <row r="36" spans="1:11">
      <c r="A36" s="88">
        <v>220</v>
      </c>
      <c r="B36" s="87" t="s">
        <v>18</v>
      </c>
      <c r="C36" s="87" t="s">
        <v>550</v>
      </c>
      <c r="D36" s="89">
        <f>'2019 Legal Max'!CW37-'2019 Legal Max'!Q37-'2019 Legal Max'!AU37</f>
        <v>472.5</v>
      </c>
      <c r="E36" s="89">
        <f>'2019 Legal Max'!AE37</f>
        <v>39.700000000000003</v>
      </c>
      <c r="F36" s="301">
        <f t="shared" si="1"/>
        <v>8.4</v>
      </c>
      <c r="G36" s="83">
        <f>(F36/100)*'2019 Legal Max'!BS37</f>
        <v>54407</v>
      </c>
      <c r="H36" s="126">
        <f>'2019 Legal Max'!Y37</f>
        <v>4.0999999999999996</v>
      </c>
      <c r="I36" s="134">
        <f>IF('2019 Legal Max'!Y37=0,0,ROUND((H36/D36)*100,2))</f>
        <v>0.87</v>
      </c>
      <c r="J36" s="83">
        <f>(I36/100)*'2019 Legal Max'!BS37</f>
        <v>5635</v>
      </c>
      <c r="K36" s="302" t="str">
        <f>'2019 Legal Max'!BD37</f>
        <v>A</v>
      </c>
    </row>
    <row r="37" spans="1:11">
      <c r="A37" s="88">
        <v>223</v>
      </c>
      <c r="B37" s="87" t="s">
        <v>19</v>
      </c>
      <c r="C37" s="87" t="s">
        <v>551</v>
      </c>
      <c r="D37" s="89">
        <f>'2019 Legal Max'!CW38-'2019 Legal Max'!Q38-'2019 Legal Max'!AU38</f>
        <v>759.9</v>
      </c>
      <c r="E37" s="89">
        <f>'2019 Legal Max'!AE38</f>
        <v>41.1</v>
      </c>
      <c r="F37" s="301">
        <f t="shared" si="1"/>
        <v>5.41</v>
      </c>
      <c r="G37" s="83">
        <f>(F37/100)*'2019 Legal Max'!BS38</f>
        <v>54751</v>
      </c>
      <c r="H37" s="126">
        <f>'2019 Legal Max'!Y38</f>
        <v>7</v>
      </c>
      <c r="I37" s="134">
        <f>IF('2019 Legal Max'!Y38=0,0,ROUND((H37/D37)*100,2))</f>
        <v>0.92</v>
      </c>
      <c r="J37" s="83">
        <f>(I37/100)*'2019 Legal Max'!BS38</f>
        <v>9311</v>
      </c>
      <c r="K37" s="302" t="str">
        <f>'2019 Legal Max'!BD38</f>
        <v>A</v>
      </c>
    </row>
    <row r="38" spans="1:11">
      <c r="A38" s="88">
        <v>224</v>
      </c>
      <c r="B38" s="87" t="s">
        <v>19</v>
      </c>
      <c r="C38" s="87" t="s">
        <v>552</v>
      </c>
      <c r="D38" s="89">
        <f>'2019 Legal Max'!CW39-'2019 Legal Max'!Q39-'2019 Legal Max'!AU39</f>
        <v>651.29999999999995</v>
      </c>
      <c r="E38" s="89">
        <f>'2019 Legal Max'!AE39</f>
        <v>43.6</v>
      </c>
      <c r="F38" s="301">
        <f t="shared" si="1"/>
        <v>6.69</v>
      </c>
      <c r="G38" s="83">
        <f>(F38/100)*'2019 Legal Max'!BS39</f>
        <v>58995</v>
      </c>
      <c r="H38" s="126">
        <f>'2019 Legal Max'!Y39</f>
        <v>0</v>
      </c>
      <c r="I38" s="134">
        <f>IF('2019 Legal Max'!Y39=0,0,ROUND((H38/D38)*100,2))</f>
        <v>0</v>
      </c>
      <c r="J38" s="83">
        <f>(I38/100)*'2019 Legal Max'!BS39</f>
        <v>0</v>
      </c>
      <c r="K38" s="302" t="str">
        <f>'2019 Legal Max'!BD39</f>
        <v>A</v>
      </c>
    </row>
    <row r="39" spans="1:11">
      <c r="A39" s="88">
        <v>225</v>
      </c>
      <c r="B39" s="87" t="s">
        <v>20</v>
      </c>
      <c r="C39" s="87" t="s">
        <v>553</v>
      </c>
      <c r="D39" s="89">
        <f>'2019 Legal Max'!CW40-'2019 Legal Max'!Q40-'2019 Legal Max'!AU40</f>
        <v>349.4</v>
      </c>
      <c r="E39" s="89">
        <f>'2019 Legal Max'!AE40</f>
        <v>35.299999999999997</v>
      </c>
      <c r="F39" s="301">
        <f t="shared" si="1"/>
        <v>10.1</v>
      </c>
      <c r="G39" s="83">
        <f>(F39/100)*'2019 Legal Max'!BS40</f>
        <v>52472</v>
      </c>
      <c r="H39" s="126">
        <f>'2019 Legal Max'!Y40</f>
        <v>2.8</v>
      </c>
      <c r="I39" s="134">
        <f>IF('2019 Legal Max'!Y40=0,0,ROUND((H39/D39)*100,2))</f>
        <v>0.8</v>
      </c>
      <c r="J39" s="83">
        <f>(I39/100)*'2019 Legal Max'!BS40</f>
        <v>4156</v>
      </c>
      <c r="K39" s="302" t="str">
        <f>'2019 Legal Max'!BD40</f>
        <v>A</v>
      </c>
    </row>
    <row r="40" spans="1:11">
      <c r="A40" s="88">
        <v>226</v>
      </c>
      <c r="B40" s="87" t="s">
        <v>20</v>
      </c>
      <c r="C40" s="87" t="s">
        <v>554</v>
      </c>
      <c r="D40" s="89">
        <f>'2019 Legal Max'!CW41-'2019 Legal Max'!Q41-'2019 Legal Max'!AU41</f>
        <v>789.9</v>
      </c>
      <c r="E40" s="89">
        <f>'2019 Legal Max'!AE41</f>
        <v>79.900000000000006</v>
      </c>
      <c r="F40" s="301">
        <f t="shared" si="1"/>
        <v>10.119999999999999</v>
      </c>
      <c r="G40" s="83">
        <f>(F40/100)*'2019 Legal Max'!BS41</f>
        <v>119892</v>
      </c>
      <c r="H40" s="126">
        <f>'2019 Legal Max'!Y41</f>
        <v>3.1</v>
      </c>
      <c r="I40" s="134">
        <f>IF('2019 Legal Max'!Y41=0,0,ROUND((H40/D40)*100,2))</f>
        <v>0.39</v>
      </c>
      <c r="J40" s="83">
        <f>(I40/100)*'2019 Legal Max'!BS41</f>
        <v>4620</v>
      </c>
      <c r="K40" s="302" t="str">
        <f>'2019 Legal Max'!BD41</f>
        <v>A</v>
      </c>
    </row>
    <row r="41" spans="1:11">
      <c r="A41" s="88">
        <v>227</v>
      </c>
      <c r="B41" s="87" t="s">
        <v>21</v>
      </c>
      <c r="C41" s="87" t="s">
        <v>555</v>
      </c>
      <c r="D41" s="89">
        <f>'2019 Legal Max'!CW42-'2019 Legal Max'!Q42-'2019 Legal Max'!AU42</f>
        <v>579.4</v>
      </c>
      <c r="E41" s="89">
        <f>'2019 Legal Max'!AE42</f>
        <v>34.799999999999997</v>
      </c>
      <c r="F41" s="301">
        <f t="shared" si="1"/>
        <v>6.01</v>
      </c>
      <c r="G41" s="83">
        <f>(F41/100)*'2019 Legal Max'!BS42</f>
        <v>47570</v>
      </c>
      <c r="H41" s="126">
        <f>'2019 Legal Max'!Y42</f>
        <v>1.5</v>
      </c>
      <c r="I41" s="134">
        <f>IF('2019 Legal Max'!Y42=0,0,ROUND((H41/D41)*100,2))</f>
        <v>0.26</v>
      </c>
      <c r="J41" s="83">
        <f>(I41/100)*'2019 Legal Max'!BS42</f>
        <v>2058</v>
      </c>
      <c r="K41" s="302" t="str">
        <f>'2019 Legal Max'!BD42</f>
        <v>A</v>
      </c>
    </row>
    <row r="42" spans="1:11">
      <c r="A42" s="88">
        <v>229</v>
      </c>
      <c r="B42" s="87" t="s">
        <v>22</v>
      </c>
      <c r="C42" s="87" t="s">
        <v>556</v>
      </c>
      <c r="D42" s="89">
        <f>'2019 Legal Max'!CW43-'2019 Legal Max'!Q43-'2019 Legal Max'!AU43</f>
        <v>34259.800000000003</v>
      </c>
      <c r="E42" s="89">
        <f>'2019 Legal Max'!AE43</f>
        <v>517.9</v>
      </c>
      <c r="F42" s="301">
        <f t="shared" si="1"/>
        <v>1.51</v>
      </c>
      <c r="G42" s="83">
        <f>(F42/100)*'2019 Legal Max'!BS43</f>
        <v>757095</v>
      </c>
      <c r="H42" s="126">
        <f>'2019 Legal Max'!Y43</f>
        <v>94.4</v>
      </c>
      <c r="I42" s="134">
        <f>IF('2019 Legal Max'!Y43=0,0,ROUND((H42/D42)*100,2))</f>
        <v>0.28000000000000003</v>
      </c>
      <c r="J42" s="83">
        <f>(I42/100)*'2019 Legal Max'!BS43</f>
        <v>140389</v>
      </c>
      <c r="K42" s="302" t="str">
        <f>'2019 Legal Max'!BD43</f>
        <v>A</v>
      </c>
    </row>
    <row r="43" spans="1:11">
      <c r="A43" s="88">
        <v>230</v>
      </c>
      <c r="B43" s="87" t="s">
        <v>22</v>
      </c>
      <c r="C43" s="87" t="s">
        <v>557</v>
      </c>
      <c r="D43" s="89">
        <f>'2019 Legal Max'!CW44-'2019 Legal Max'!Q44-'2019 Legal Max'!AU44</f>
        <v>4725</v>
      </c>
      <c r="E43" s="89">
        <f>'2019 Legal Max'!AE44</f>
        <v>181</v>
      </c>
      <c r="F43" s="301">
        <f t="shared" si="1"/>
        <v>3.83</v>
      </c>
      <c r="G43" s="83">
        <f>(F43/100)*'2019 Legal Max'!BS44</f>
        <v>265190</v>
      </c>
      <c r="H43" s="126">
        <f>'2019 Legal Max'!Y44</f>
        <v>6.7</v>
      </c>
      <c r="I43" s="134">
        <f>IF('2019 Legal Max'!Y44=0,0,ROUND((H43/D43)*100,2))</f>
        <v>0.14000000000000001</v>
      </c>
      <c r="J43" s="83">
        <f>(I43/100)*'2019 Legal Max'!BS44</f>
        <v>9694</v>
      </c>
      <c r="K43" s="302" t="str">
        <f>'2019 Legal Max'!BD44</f>
        <v>A</v>
      </c>
    </row>
    <row r="44" spans="1:11">
      <c r="A44" s="88">
        <v>231</v>
      </c>
      <c r="B44" s="87" t="s">
        <v>22</v>
      </c>
      <c r="C44" s="87" t="s">
        <v>558</v>
      </c>
      <c r="D44" s="89">
        <f>'2019 Legal Max'!CW45-'2019 Legal Max'!Q45-'2019 Legal Max'!AU45</f>
        <v>9061.5</v>
      </c>
      <c r="E44" s="89">
        <f>'2019 Legal Max'!AE45</f>
        <v>531.4</v>
      </c>
      <c r="F44" s="301">
        <f t="shared" si="1"/>
        <v>5.86</v>
      </c>
      <c r="G44" s="83">
        <f>(F44/100)*'2019 Legal Max'!BS45</f>
        <v>776305</v>
      </c>
      <c r="H44" s="126">
        <f>'2019 Legal Max'!Y45</f>
        <v>25.9</v>
      </c>
      <c r="I44" s="134">
        <f>IF('2019 Legal Max'!Y45=0,0,ROUND((H44/D44)*100,2))</f>
        <v>0.28999999999999998</v>
      </c>
      <c r="J44" s="83">
        <f>(I44/100)*'2019 Legal Max'!BS45</f>
        <v>38418</v>
      </c>
      <c r="K44" s="302" t="str">
        <f>'2019 Legal Max'!BD45</f>
        <v>A</v>
      </c>
    </row>
    <row r="45" spans="1:11">
      <c r="A45" s="88">
        <v>232</v>
      </c>
      <c r="B45" s="87" t="s">
        <v>22</v>
      </c>
      <c r="C45" s="87" t="s">
        <v>559</v>
      </c>
      <c r="D45" s="89">
        <f>'2019 Legal Max'!CW46-'2019 Legal Max'!Q46-'2019 Legal Max'!AU46</f>
        <v>9945.6</v>
      </c>
      <c r="E45" s="89">
        <f>'2019 Legal Max'!AE46</f>
        <v>273.89999999999998</v>
      </c>
      <c r="F45" s="301">
        <f t="shared" si="1"/>
        <v>2.75</v>
      </c>
      <c r="G45" s="83">
        <f>(F45/100)*'2019 Legal Max'!BS46</f>
        <v>401979</v>
      </c>
      <c r="H45" s="126">
        <f>'2019 Legal Max'!Y46</f>
        <v>60.3</v>
      </c>
      <c r="I45" s="134">
        <f>IF('2019 Legal Max'!Y46=0,0,ROUND((H45/D45)*100,2))</f>
        <v>0.61</v>
      </c>
      <c r="J45" s="83">
        <f>(I45/100)*'2019 Legal Max'!BS46</f>
        <v>89166</v>
      </c>
      <c r="K45" s="302" t="str">
        <f>'2019 Legal Max'!BD46</f>
        <v>A</v>
      </c>
    </row>
    <row r="46" spans="1:11">
      <c r="A46" s="88">
        <v>233</v>
      </c>
      <c r="B46" s="87" t="s">
        <v>22</v>
      </c>
      <c r="C46" s="87" t="s">
        <v>560</v>
      </c>
      <c r="D46" s="89">
        <f>'2019 Legal Max'!CW47-'2019 Legal Max'!Q47-'2019 Legal Max'!AU47</f>
        <v>49961.9</v>
      </c>
      <c r="E46" s="89">
        <f>'2019 Legal Max'!AE47</f>
        <v>2789.3</v>
      </c>
      <c r="F46" s="301">
        <f t="shared" si="1"/>
        <v>5.58</v>
      </c>
      <c r="G46" s="83">
        <f>(F46/100)*'2019 Legal Max'!BS47</f>
        <v>4091049</v>
      </c>
      <c r="H46" s="126">
        <f>'2019 Legal Max'!Y47</f>
        <v>558</v>
      </c>
      <c r="I46" s="134">
        <f>IF('2019 Legal Max'!Y47=0,0,ROUND((H46/D46)*100,2))</f>
        <v>1.1200000000000001</v>
      </c>
      <c r="J46" s="83">
        <f>(I46/100)*'2019 Legal Max'!BS47</f>
        <v>821142</v>
      </c>
      <c r="K46" s="302" t="str">
        <f>'2019 Legal Max'!BD47</f>
        <v>A</v>
      </c>
    </row>
    <row r="47" spans="1:11">
      <c r="A47" s="88">
        <v>234</v>
      </c>
      <c r="B47" s="87" t="s">
        <v>23</v>
      </c>
      <c r="C47" s="87" t="s">
        <v>561</v>
      </c>
      <c r="D47" s="89">
        <f>'2019 Legal Max'!CW48-'2019 Legal Max'!Q48-'2019 Legal Max'!AU48</f>
        <v>2957.7</v>
      </c>
      <c r="E47" s="89">
        <f>'2019 Legal Max'!AE48</f>
        <v>426.4</v>
      </c>
      <c r="F47" s="301">
        <f t="shared" si="1"/>
        <v>14.42</v>
      </c>
      <c r="G47" s="83">
        <f>(F47/100)*'2019 Legal Max'!BS48</f>
        <v>572128</v>
      </c>
      <c r="H47" s="126">
        <f>'2019 Legal Max'!Y48</f>
        <v>1.1000000000000001</v>
      </c>
      <c r="I47" s="134">
        <f>IF('2019 Legal Max'!Y48=0,0,ROUND((H47/D47)*100,2))</f>
        <v>0.04</v>
      </c>
      <c r="J47" s="83">
        <f>(I47/100)*'2019 Legal Max'!BS48</f>
        <v>1587</v>
      </c>
      <c r="K47" s="302" t="str">
        <f>'2019 Legal Max'!BD48</f>
        <v>A</v>
      </c>
    </row>
    <row r="48" spans="1:11">
      <c r="A48" s="88">
        <v>235</v>
      </c>
      <c r="B48" s="87" t="s">
        <v>23</v>
      </c>
      <c r="C48" s="87" t="s">
        <v>562</v>
      </c>
      <c r="D48" s="89">
        <f>'2019 Legal Max'!CW49-'2019 Legal Max'!Q49-'2019 Legal Max'!AU49</f>
        <v>894</v>
      </c>
      <c r="E48" s="89">
        <f>'2019 Legal Max'!AE49</f>
        <v>79.900000000000006</v>
      </c>
      <c r="F48" s="301">
        <f t="shared" si="1"/>
        <v>8.94</v>
      </c>
      <c r="G48" s="83">
        <f>(F48/100)*'2019 Legal Max'!BS49</f>
        <v>107513</v>
      </c>
      <c r="H48" s="126">
        <f>'2019 Legal Max'!Y49</f>
        <v>0</v>
      </c>
      <c r="I48" s="134">
        <f>IF('2019 Legal Max'!Y49=0,0,ROUND((H48/D48)*100,2))</f>
        <v>0</v>
      </c>
      <c r="J48" s="83">
        <f>(I48/100)*'2019 Legal Max'!BS49</f>
        <v>0</v>
      </c>
      <c r="K48" s="302" t="str">
        <f>'2019 Legal Max'!BD49</f>
        <v>A</v>
      </c>
    </row>
    <row r="49" spans="1:11">
      <c r="A49" s="88">
        <v>237</v>
      </c>
      <c r="B49" s="87" t="s">
        <v>24</v>
      </c>
      <c r="C49" s="87" t="s">
        <v>563</v>
      </c>
      <c r="D49" s="89">
        <f>'2019 Legal Max'!CW50-'2019 Legal Max'!Q50-'2019 Legal Max'!AU50</f>
        <v>834.5</v>
      </c>
      <c r="E49" s="89">
        <f>'2019 Legal Max'!AE50</f>
        <v>74.5</v>
      </c>
      <c r="F49" s="301">
        <f t="shared" si="1"/>
        <v>8.93</v>
      </c>
      <c r="G49" s="83">
        <f>(F49/100)*'2019 Legal Max'!BS50</f>
        <v>111651</v>
      </c>
      <c r="H49" s="126">
        <f>'2019 Legal Max'!Y50</f>
        <v>0.7</v>
      </c>
      <c r="I49" s="134">
        <f>IF('2019 Legal Max'!Y50=0,0,ROUND((H49/D49)*100,2))</f>
        <v>0.08</v>
      </c>
      <c r="J49" s="83">
        <f>(I49/100)*'2019 Legal Max'!BS50</f>
        <v>1000</v>
      </c>
      <c r="K49" s="302" t="str">
        <f>'2019 Legal Max'!BD50</f>
        <v>A</v>
      </c>
    </row>
    <row r="50" spans="1:11">
      <c r="A50" s="88">
        <v>239</v>
      </c>
      <c r="B50" s="87" t="s">
        <v>25</v>
      </c>
      <c r="C50" s="87" t="s">
        <v>564</v>
      </c>
      <c r="D50" s="89">
        <f>'2019 Legal Max'!CW51-'2019 Legal Max'!Q51-'2019 Legal Max'!AU51</f>
        <v>1192.9000000000001</v>
      </c>
      <c r="E50" s="89">
        <f>'2019 Legal Max'!AE51</f>
        <v>83.7</v>
      </c>
      <c r="F50" s="301">
        <f t="shared" si="1"/>
        <v>7.02</v>
      </c>
      <c r="G50" s="83">
        <f>(F50/100)*'2019 Legal Max'!BS51</f>
        <v>122763</v>
      </c>
      <c r="H50" s="126">
        <f>'2019 Legal Max'!Y51</f>
        <v>0</v>
      </c>
      <c r="I50" s="134">
        <f>IF('2019 Legal Max'!Y51=0,0,ROUND((H50/D50)*100,2))</f>
        <v>0</v>
      </c>
      <c r="J50" s="83">
        <f>(I50/100)*'2019 Legal Max'!BS51</f>
        <v>0</v>
      </c>
      <c r="K50" s="302" t="str">
        <f>'2019 Legal Max'!BD51</f>
        <v>A</v>
      </c>
    </row>
    <row r="51" spans="1:11">
      <c r="A51" s="88">
        <v>240</v>
      </c>
      <c r="B51" s="87" t="s">
        <v>25</v>
      </c>
      <c r="C51" s="87" t="s">
        <v>565</v>
      </c>
      <c r="D51" s="89">
        <f>'2019 Legal Max'!CW52-'2019 Legal Max'!Q52-'2019 Legal Max'!AU52</f>
        <v>1140.7</v>
      </c>
      <c r="E51" s="89">
        <f>'2019 Legal Max'!AE52</f>
        <v>110.4</v>
      </c>
      <c r="F51" s="301">
        <f t="shared" si="1"/>
        <v>9.68</v>
      </c>
      <c r="G51" s="83">
        <f>(F51/100)*'2019 Legal Max'!BS52</f>
        <v>163672</v>
      </c>
      <c r="H51" s="126">
        <f>'2019 Legal Max'!Y52</f>
        <v>0</v>
      </c>
      <c r="I51" s="134">
        <f>IF('2019 Legal Max'!Y52=0,0,ROUND((H51/D51)*100,2))</f>
        <v>0</v>
      </c>
      <c r="J51" s="83">
        <f>(I51/100)*'2019 Legal Max'!BS52</f>
        <v>0</v>
      </c>
      <c r="K51" s="302" t="str">
        <f>'2019 Legal Max'!BD52</f>
        <v>A</v>
      </c>
    </row>
    <row r="52" spans="1:11">
      <c r="A52" s="88">
        <v>241</v>
      </c>
      <c r="B52" s="87" t="s">
        <v>26</v>
      </c>
      <c r="C52" s="87" t="s">
        <v>566</v>
      </c>
      <c r="D52" s="89">
        <f>'2019 Legal Max'!CW53-'2019 Legal Max'!Q53-'2019 Legal Max'!AU53</f>
        <v>438.5</v>
      </c>
      <c r="E52" s="89">
        <f>'2019 Legal Max'!AE53</f>
        <v>24.2</v>
      </c>
      <c r="F52" s="301">
        <f t="shared" si="1"/>
        <v>5.52</v>
      </c>
      <c r="G52" s="83">
        <f>(F52/100)*'2019 Legal Max'!BS53</f>
        <v>32405</v>
      </c>
      <c r="H52" s="126">
        <f>'2019 Legal Max'!Y53</f>
        <v>0.4</v>
      </c>
      <c r="I52" s="134">
        <f>IF('2019 Legal Max'!Y53=0,0,ROUND((H52/D52)*100,2))</f>
        <v>0.09</v>
      </c>
      <c r="J52" s="83">
        <f>(I52/100)*'2019 Legal Max'!BS53</f>
        <v>528</v>
      </c>
      <c r="K52" s="302" t="str">
        <f>'2019 Legal Max'!BD53</f>
        <v>A</v>
      </c>
    </row>
    <row r="53" spans="1:11">
      <c r="A53" s="88">
        <v>242</v>
      </c>
      <c r="B53" s="87" t="s">
        <v>26</v>
      </c>
      <c r="C53" s="87" t="s">
        <v>567</v>
      </c>
      <c r="D53" s="89">
        <f>'2019 Legal Max'!CW54-'2019 Legal Max'!Q54-'2019 Legal Max'!AU54</f>
        <v>262.60000000000002</v>
      </c>
      <c r="E53" s="89">
        <f>'2019 Legal Max'!AE54</f>
        <v>12.1</v>
      </c>
      <c r="F53" s="301">
        <f t="shared" si="1"/>
        <v>4.6100000000000003</v>
      </c>
      <c r="G53" s="83">
        <f>(F53/100)*'2019 Legal Max'!BS54</f>
        <v>17799</v>
      </c>
      <c r="H53" s="126">
        <f>'2019 Legal Max'!Y54</f>
        <v>0.7</v>
      </c>
      <c r="I53" s="134">
        <f>IF('2019 Legal Max'!Y54=0,0,ROUND((H53/D53)*100,2))</f>
        <v>0.27</v>
      </c>
      <c r="J53" s="83">
        <f>(I53/100)*'2019 Legal Max'!BS54</f>
        <v>1042</v>
      </c>
      <c r="K53" s="302" t="str">
        <f>'2019 Legal Max'!BD54</f>
        <v>A</v>
      </c>
    </row>
    <row r="54" spans="1:11">
      <c r="A54" s="88">
        <v>243</v>
      </c>
      <c r="B54" s="87" t="s">
        <v>27</v>
      </c>
      <c r="C54" s="87" t="s">
        <v>568</v>
      </c>
      <c r="D54" s="89">
        <f>'2019 Legal Max'!CW55-'2019 Legal Max'!Q55-'2019 Legal Max'!AU55</f>
        <v>841.9</v>
      </c>
      <c r="E54" s="89">
        <f>'2019 Legal Max'!AE55</f>
        <v>55.7</v>
      </c>
      <c r="F54" s="301">
        <f t="shared" si="1"/>
        <v>6.62</v>
      </c>
      <c r="G54" s="83">
        <f>(F54/100)*'2019 Legal Max'!BS55</f>
        <v>74699</v>
      </c>
      <c r="H54" s="126">
        <f>'2019 Legal Max'!Y55</f>
        <v>0.2</v>
      </c>
      <c r="I54" s="134">
        <f>IF('2019 Legal Max'!Y55=0,0,ROUND((H54/D54)*100,2))</f>
        <v>0.02</v>
      </c>
      <c r="J54" s="83">
        <f>(I54/100)*'2019 Legal Max'!BS55</f>
        <v>226</v>
      </c>
      <c r="K54" s="302" t="str">
        <f>'2019 Legal Max'!BD55</f>
        <v>A</v>
      </c>
    </row>
    <row r="55" spans="1:11">
      <c r="A55" s="88">
        <v>244</v>
      </c>
      <c r="B55" s="87" t="s">
        <v>27</v>
      </c>
      <c r="C55" s="87" t="s">
        <v>569</v>
      </c>
      <c r="D55" s="89">
        <f>'2019 Legal Max'!CW56-'2019 Legal Max'!Q56-'2019 Legal Max'!AU56</f>
        <v>1678.1</v>
      </c>
      <c r="E55" s="89">
        <f>'2019 Legal Max'!AE56</f>
        <v>124.9</v>
      </c>
      <c r="F55" s="301">
        <f t="shared" si="1"/>
        <v>7.44</v>
      </c>
      <c r="G55" s="83">
        <f>(F55/100)*'2019 Legal Max'!BS56</f>
        <v>166211</v>
      </c>
      <c r="H55" s="126">
        <f>'2019 Legal Max'!Y56</f>
        <v>0.9</v>
      </c>
      <c r="I55" s="134">
        <f>IF('2019 Legal Max'!Y56=0,0,ROUND((H55/D55)*100,2))</f>
        <v>0.05</v>
      </c>
      <c r="J55" s="83">
        <f>(I55/100)*'2019 Legal Max'!BS56</f>
        <v>1117</v>
      </c>
      <c r="K55" s="302" t="str">
        <f>'2019 Legal Max'!BD56</f>
        <v>A</v>
      </c>
    </row>
    <row r="56" spans="1:11">
      <c r="A56" s="88">
        <v>245</v>
      </c>
      <c r="B56" s="87" t="s">
        <v>27</v>
      </c>
      <c r="C56" s="87" t="s">
        <v>570</v>
      </c>
      <c r="D56" s="89">
        <f>'2019 Legal Max'!CW57-'2019 Legal Max'!Q57-'2019 Legal Max'!AU57</f>
        <v>478.6</v>
      </c>
      <c r="E56" s="89">
        <f>'2019 Legal Max'!AE57</f>
        <v>34.799999999999997</v>
      </c>
      <c r="F56" s="301">
        <f t="shared" si="1"/>
        <v>7.27</v>
      </c>
      <c r="G56" s="83">
        <f>(F56/100)*'2019 Legal Max'!BS57</f>
        <v>48125</v>
      </c>
      <c r="H56" s="126">
        <f>'2019 Legal Max'!Y57</f>
        <v>0</v>
      </c>
      <c r="I56" s="134">
        <f>IF('2019 Legal Max'!Y57=0,0,ROUND((H56/D56)*100,2))</f>
        <v>0</v>
      </c>
      <c r="J56" s="83">
        <f>(I56/100)*'2019 Legal Max'!BS57</f>
        <v>0</v>
      </c>
      <c r="K56" s="302" t="str">
        <f>'2019 Legal Max'!BD57</f>
        <v>A</v>
      </c>
    </row>
    <row r="57" spans="1:11">
      <c r="A57" s="88">
        <v>246</v>
      </c>
      <c r="B57" s="87" t="s">
        <v>28</v>
      </c>
      <c r="C57" s="87" t="s">
        <v>571</v>
      </c>
      <c r="D57" s="89">
        <f>'2019 Legal Max'!CW58-'2019 Legal Max'!Q58-'2019 Legal Max'!AU58</f>
        <v>985.7</v>
      </c>
      <c r="E57" s="89">
        <f>'2019 Legal Max'!AE58</f>
        <v>122</v>
      </c>
      <c r="F57" s="301">
        <f t="shared" si="1"/>
        <v>12.38</v>
      </c>
      <c r="G57" s="83">
        <f>(F57/100)*'2019 Legal Max'!BS58</f>
        <v>164014</v>
      </c>
      <c r="H57" s="126">
        <f>'2019 Legal Max'!Y58</f>
        <v>0</v>
      </c>
      <c r="I57" s="134">
        <f>IF('2019 Legal Max'!Y58=0,0,ROUND((H57/D57)*100,2))</f>
        <v>0</v>
      </c>
      <c r="J57" s="83">
        <f>(I57/100)*'2019 Legal Max'!BS58</f>
        <v>0</v>
      </c>
      <c r="K57" s="302" t="str">
        <f>'2019 Legal Max'!BD58</f>
        <v>A</v>
      </c>
    </row>
    <row r="58" spans="1:11">
      <c r="A58" s="88">
        <v>247</v>
      </c>
      <c r="B58" s="87" t="s">
        <v>28</v>
      </c>
      <c r="C58" s="87" t="s">
        <v>572</v>
      </c>
      <c r="D58" s="89">
        <f>'2019 Legal Max'!CW59-'2019 Legal Max'!Q59-'2019 Legal Max'!AU59</f>
        <v>1067.2</v>
      </c>
      <c r="E58" s="89">
        <f>'2019 Legal Max'!AE59</f>
        <v>123.9</v>
      </c>
      <c r="F58" s="301">
        <f t="shared" si="1"/>
        <v>11.61</v>
      </c>
      <c r="G58" s="83">
        <f>(F58/100)*'2019 Legal Max'!BS59</f>
        <v>171595</v>
      </c>
      <c r="H58" s="126">
        <f>'2019 Legal Max'!Y59</f>
        <v>0</v>
      </c>
      <c r="I58" s="134">
        <f>IF('2019 Legal Max'!Y59=0,0,ROUND((H58/D58)*100,2))</f>
        <v>0</v>
      </c>
      <c r="J58" s="83">
        <f>(I58/100)*'2019 Legal Max'!BS59</f>
        <v>0</v>
      </c>
      <c r="K58" s="302" t="str">
        <f>'2019 Legal Max'!BD59</f>
        <v>A</v>
      </c>
    </row>
    <row r="59" spans="1:11">
      <c r="A59" s="88">
        <v>248</v>
      </c>
      <c r="B59" s="87" t="s">
        <v>28</v>
      </c>
      <c r="C59" s="87" t="s">
        <v>573</v>
      </c>
      <c r="D59" s="89">
        <f>'2019 Legal Max'!CW60-'2019 Legal Max'!Q60-'2019 Legal Max'!AU60</f>
        <v>1783.5</v>
      </c>
      <c r="E59" s="89">
        <f>'2019 Legal Max'!AE60</f>
        <v>177.6</v>
      </c>
      <c r="F59" s="301">
        <f t="shared" si="1"/>
        <v>9.9600000000000009</v>
      </c>
      <c r="G59" s="83">
        <f>(F59/100)*'2019 Legal Max'!BS60</f>
        <v>238221</v>
      </c>
      <c r="H59" s="126">
        <f>'2019 Legal Max'!Y60</f>
        <v>3.9</v>
      </c>
      <c r="I59" s="134">
        <f>IF('2019 Legal Max'!Y60=0,0,ROUND((H59/D59)*100,2))</f>
        <v>0.22</v>
      </c>
      <c r="J59" s="83">
        <f>(I59/100)*'2019 Legal Max'!BS60</f>
        <v>5262</v>
      </c>
      <c r="K59" s="302" t="str">
        <f>'2019 Legal Max'!BD60</f>
        <v>A</v>
      </c>
    </row>
    <row r="60" spans="1:11">
      <c r="A60" s="88">
        <v>249</v>
      </c>
      <c r="B60" s="87" t="s">
        <v>28</v>
      </c>
      <c r="C60" s="87" t="s">
        <v>574</v>
      </c>
      <c r="D60" s="89">
        <f>'2019 Legal Max'!CW61-'2019 Legal Max'!Q61-'2019 Legal Max'!AU61</f>
        <v>1618.7</v>
      </c>
      <c r="E60" s="89">
        <f>'2019 Legal Max'!AE61</f>
        <v>135.5</v>
      </c>
      <c r="F60" s="301">
        <f t="shared" si="1"/>
        <v>8.3699999999999992</v>
      </c>
      <c r="G60" s="83">
        <f>(F60/100)*'2019 Legal Max'!BS61</f>
        <v>180810</v>
      </c>
      <c r="H60" s="126">
        <f>'2019 Legal Max'!Y61</f>
        <v>2.8</v>
      </c>
      <c r="I60" s="134">
        <f>IF('2019 Legal Max'!Y61=0,0,ROUND((H60/D60)*100,2))</f>
        <v>0.17</v>
      </c>
      <c r="J60" s="83">
        <f>(I60/100)*'2019 Legal Max'!BS61</f>
        <v>3672</v>
      </c>
      <c r="K60" s="302" t="str">
        <f>'2019 Legal Max'!BD61</f>
        <v>A</v>
      </c>
    </row>
    <row r="61" spans="1:11">
      <c r="A61" s="88">
        <v>250</v>
      </c>
      <c r="B61" s="87" t="s">
        <v>28</v>
      </c>
      <c r="C61" s="87" t="s">
        <v>575</v>
      </c>
      <c r="D61" s="89">
        <f>'2019 Legal Max'!CW62-'2019 Legal Max'!Q62-'2019 Legal Max'!AU62</f>
        <v>4992.5</v>
      </c>
      <c r="E61" s="89">
        <f>'2019 Legal Max'!AE62</f>
        <v>787</v>
      </c>
      <c r="F61" s="301">
        <f t="shared" si="1"/>
        <v>15.76</v>
      </c>
      <c r="G61" s="83">
        <f>(F61/100)*'2019 Legal Max'!BS62</f>
        <v>1056112</v>
      </c>
      <c r="H61" s="126">
        <f>'2019 Legal Max'!Y62</f>
        <v>64.3</v>
      </c>
      <c r="I61" s="134">
        <f>IF('2019 Legal Max'!Y62=0,0,ROUND((H61/D61)*100,2))</f>
        <v>1.29</v>
      </c>
      <c r="J61" s="83">
        <f>(I61/100)*'2019 Legal Max'!BS62</f>
        <v>86446</v>
      </c>
      <c r="K61" s="302" t="str">
        <f>'2019 Legal Max'!BD62</f>
        <v>A</v>
      </c>
    </row>
    <row r="62" spans="1:11">
      <c r="A62" s="88">
        <v>251</v>
      </c>
      <c r="B62" s="87" t="s">
        <v>30</v>
      </c>
      <c r="C62" s="87" t="s">
        <v>576</v>
      </c>
      <c r="D62" s="89">
        <f>'2019 Legal Max'!CW63-'2019 Legal Max'!Q63-'2019 Legal Max'!AU63</f>
        <v>824.5</v>
      </c>
      <c r="E62" s="89">
        <f>'2019 Legal Max'!AE63</f>
        <v>61</v>
      </c>
      <c r="F62" s="301">
        <f t="shared" si="1"/>
        <v>7.4</v>
      </c>
      <c r="G62" s="83">
        <f>(F62/100)*'2019 Legal Max'!BS63</f>
        <v>89495</v>
      </c>
      <c r="H62" s="126">
        <f>'2019 Legal Max'!Y63</f>
        <v>0</v>
      </c>
      <c r="I62" s="134">
        <f>IF('2019 Legal Max'!Y63=0,0,ROUND((H62/D62)*100,2))</f>
        <v>0</v>
      </c>
      <c r="J62" s="83">
        <f>(I62/100)*'2019 Legal Max'!BS63</f>
        <v>0</v>
      </c>
      <c r="K62" s="302" t="str">
        <f>'2019 Legal Max'!BD63</f>
        <v>A</v>
      </c>
    </row>
    <row r="63" spans="1:11">
      <c r="A63" s="88">
        <v>252</v>
      </c>
      <c r="B63" s="87" t="s">
        <v>30</v>
      </c>
      <c r="C63" s="87" t="s">
        <v>577</v>
      </c>
      <c r="D63" s="89">
        <f>'2019 Legal Max'!CW64-'2019 Legal Max'!Q64-'2019 Legal Max'!AU64</f>
        <v>975.1</v>
      </c>
      <c r="E63" s="89">
        <f>'2019 Legal Max'!AE64</f>
        <v>77.900000000000006</v>
      </c>
      <c r="F63" s="301">
        <f t="shared" si="1"/>
        <v>7.99</v>
      </c>
      <c r="G63" s="83">
        <f>(F63/100)*'2019 Legal Max'!BS64</f>
        <v>104654</v>
      </c>
      <c r="H63" s="126">
        <f>'2019 Legal Max'!Y64</f>
        <v>0</v>
      </c>
      <c r="I63" s="134">
        <f>IF('2019 Legal Max'!Y64=0,0,ROUND((H63/D63)*100,2))</f>
        <v>0</v>
      </c>
      <c r="J63" s="83">
        <f>(I63/100)*'2019 Legal Max'!BS64</f>
        <v>0</v>
      </c>
      <c r="K63" s="302" t="str">
        <f>'2019 Legal Max'!BD64</f>
        <v>A</v>
      </c>
    </row>
    <row r="64" spans="1:11">
      <c r="A64" s="88">
        <v>253</v>
      </c>
      <c r="B64" s="87" t="s">
        <v>30</v>
      </c>
      <c r="C64" s="87" t="s">
        <v>578</v>
      </c>
      <c r="D64" s="89">
        <f>'2019 Legal Max'!CW65-'2019 Legal Max'!Q65-'2019 Legal Max'!AU65</f>
        <v>7335.3</v>
      </c>
      <c r="E64" s="89">
        <f>'2019 Legal Max'!AE65</f>
        <v>990.7</v>
      </c>
      <c r="F64" s="301">
        <f t="shared" si="1"/>
        <v>13.51</v>
      </c>
      <c r="G64" s="83">
        <f>(F64/100)*'2019 Legal Max'!BS65</f>
        <v>1332547</v>
      </c>
      <c r="H64" s="126">
        <f>'2019 Legal Max'!Y65</f>
        <v>322.7</v>
      </c>
      <c r="I64" s="134">
        <f>IF('2019 Legal Max'!Y65=0,0,ROUND((H64/D64)*100,2))</f>
        <v>4.4000000000000004</v>
      </c>
      <c r="J64" s="83">
        <f>(I64/100)*'2019 Legal Max'!BS65</f>
        <v>433990</v>
      </c>
      <c r="K64" s="302" t="str">
        <f>'2019 Legal Max'!BD65</f>
        <v>A</v>
      </c>
    </row>
    <row r="65" spans="1:11">
      <c r="A65" s="88">
        <v>254</v>
      </c>
      <c r="B65" s="87" t="s">
        <v>31</v>
      </c>
      <c r="C65" s="87" t="s">
        <v>579</v>
      </c>
      <c r="D65" s="89">
        <f>'2019 Legal Max'!CW66-'2019 Legal Max'!Q66-'2019 Legal Max'!AU66</f>
        <v>951.2</v>
      </c>
      <c r="E65" s="89">
        <f>'2019 Legal Max'!AE66</f>
        <v>83.7</v>
      </c>
      <c r="F65" s="301">
        <f t="shared" si="1"/>
        <v>8.8000000000000007</v>
      </c>
      <c r="G65" s="83">
        <f>(F65/100)*'2019 Legal Max'!BS66</f>
        <v>112356</v>
      </c>
      <c r="H65" s="126">
        <f>'2019 Legal Max'!Y66</f>
        <v>0.7</v>
      </c>
      <c r="I65" s="134">
        <f>IF('2019 Legal Max'!Y66=0,0,ROUND((H65/D65)*100,2))</f>
        <v>7.0000000000000007E-2</v>
      </c>
      <c r="J65" s="83">
        <f>(I65/100)*'2019 Legal Max'!BS66</f>
        <v>894</v>
      </c>
      <c r="K65" s="302" t="str">
        <f>'2019 Legal Max'!BD66</f>
        <v>A</v>
      </c>
    </row>
    <row r="66" spans="1:11">
      <c r="A66" s="88">
        <v>255</v>
      </c>
      <c r="B66" s="87" t="s">
        <v>31</v>
      </c>
      <c r="C66" s="87" t="s">
        <v>580</v>
      </c>
      <c r="D66" s="89">
        <f>'2019 Legal Max'!CW67-'2019 Legal Max'!Q67-'2019 Legal Max'!AU67</f>
        <v>544.5</v>
      </c>
      <c r="E66" s="89">
        <f>'2019 Legal Max'!AE67</f>
        <v>44</v>
      </c>
      <c r="F66" s="301">
        <f t="shared" si="1"/>
        <v>8.08</v>
      </c>
      <c r="G66" s="83">
        <f>(F66/100)*'2019 Legal Max'!BS67</f>
        <v>58895</v>
      </c>
      <c r="H66" s="126">
        <f>'2019 Legal Max'!Y67</f>
        <v>0.9</v>
      </c>
      <c r="I66" s="134">
        <f>IF('2019 Legal Max'!Y67=0,0,ROUND((H66/D66)*100,2))</f>
        <v>0.17</v>
      </c>
      <c r="J66" s="83">
        <f>(I66/100)*'2019 Legal Max'!BS67</f>
        <v>1239</v>
      </c>
      <c r="K66" s="302" t="str">
        <f>'2019 Legal Max'!BD67</f>
        <v>A</v>
      </c>
    </row>
    <row r="67" spans="1:11">
      <c r="A67" s="88">
        <v>256</v>
      </c>
      <c r="B67" s="87" t="s">
        <v>32</v>
      </c>
      <c r="C67" s="87" t="s">
        <v>581</v>
      </c>
      <c r="D67" s="89">
        <f>'2019 Legal Max'!CW68-'2019 Legal Max'!Q68-'2019 Legal Max'!AU68</f>
        <v>630.4</v>
      </c>
      <c r="E67" s="89">
        <f>'2019 Legal Max'!AE68</f>
        <v>55.7</v>
      </c>
      <c r="F67" s="301">
        <f t="shared" si="1"/>
        <v>8.84</v>
      </c>
      <c r="G67" s="83">
        <f>(F67/100)*'2019 Legal Max'!BS68</f>
        <v>75659</v>
      </c>
      <c r="H67" s="126">
        <f>'2019 Legal Max'!Y68</f>
        <v>0</v>
      </c>
      <c r="I67" s="134">
        <f>IF('2019 Legal Max'!Y68=0,0,ROUND((H67/D67)*100,2))</f>
        <v>0</v>
      </c>
      <c r="J67" s="83">
        <f>(I67/100)*'2019 Legal Max'!BS68</f>
        <v>0</v>
      </c>
      <c r="K67" s="302" t="str">
        <f>'2019 Legal Max'!BD68</f>
        <v>A</v>
      </c>
    </row>
    <row r="68" spans="1:11">
      <c r="A68" s="88">
        <v>257</v>
      </c>
      <c r="B68" s="87" t="s">
        <v>32</v>
      </c>
      <c r="C68" s="87" t="s">
        <v>582</v>
      </c>
      <c r="D68" s="89">
        <f>'2019 Legal Max'!CW69-'2019 Legal Max'!Q69-'2019 Legal Max'!AU69</f>
        <v>2243.8000000000002</v>
      </c>
      <c r="E68" s="89">
        <f>'2019 Legal Max'!AE69</f>
        <v>258</v>
      </c>
      <c r="F68" s="301">
        <f t="shared" si="1"/>
        <v>11.5</v>
      </c>
      <c r="G68" s="83">
        <f>(F68/100)*'2019 Legal Max'!BS69</f>
        <v>346644</v>
      </c>
      <c r="H68" s="126">
        <f>'2019 Legal Max'!Y69</f>
        <v>0.7</v>
      </c>
      <c r="I68" s="134">
        <f>IF('2019 Legal Max'!Y69=0,0,ROUND((H68/D68)*100,2))</f>
        <v>0.03</v>
      </c>
      <c r="J68" s="83">
        <f>(I68/100)*'2019 Legal Max'!BS69</f>
        <v>904</v>
      </c>
      <c r="K68" s="302" t="str">
        <f>'2019 Legal Max'!BD69</f>
        <v>A</v>
      </c>
    </row>
    <row r="69" spans="1:11">
      <c r="A69" s="88">
        <v>258</v>
      </c>
      <c r="B69" s="87" t="s">
        <v>32</v>
      </c>
      <c r="C69" s="87" t="s">
        <v>583</v>
      </c>
      <c r="D69" s="89">
        <f>'2019 Legal Max'!CW70-'2019 Legal Max'!Q70-'2019 Legal Max'!AU70</f>
        <v>1143.8</v>
      </c>
      <c r="E69" s="89">
        <f>'2019 Legal Max'!AE70</f>
        <v>101.2</v>
      </c>
      <c r="F69" s="301">
        <f t="shared" ref="F69:F132" si="2">IF(E69=0,0,ROUND((E69/D69)*100,2))</f>
        <v>8.85</v>
      </c>
      <c r="G69" s="83">
        <f>(F69/100)*'2019 Legal Max'!BS70</f>
        <v>148868</v>
      </c>
      <c r="H69" s="126">
        <f>'2019 Legal Max'!Y70</f>
        <v>0.6</v>
      </c>
      <c r="I69" s="134">
        <f>IF('2019 Legal Max'!Y70=0,0,ROUND((H69/D69)*100,2))</f>
        <v>0.05</v>
      </c>
      <c r="J69" s="83">
        <f>(I69/100)*'2019 Legal Max'!BS70</f>
        <v>841</v>
      </c>
      <c r="K69" s="302" t="str">
        <f>'2019 Legal Max'!BD70</f>
        <v>A</v>
      </c>
    </row>
    <row r="70" spans="1:11">
      <c r="A70" s="88">
        <v>259</v>
      </c>
      <c r="B70" s="87" t="s">
        <v>33</v>
      </c>
      <c r="C70" s="87" t="s">
        <v>584</v>
      </c>
      <c r="D70" s="89">
        <f>'2019 Legal Max'!CW71-'2019 Legal Max'!Q71-'2019 Legal Max'!AU71</f>
        <v>85505.8</v>
      </c>
      <c r="E70" s="89">
        <f>'2019 Legal Max'!AE71</f>
        <v>15874.2</v>
      </c>
      <c r="F70" s="301">
        <f t="shared" si="2"/>
        <v>18.57</v>
      </c>
      <c r="G70" s="83">
        <f>(F70/100)*'2019 Legal Max'!BS71</f>
        <v>21405914</v>
      </c>
      <c r="H70" s="126">
        <f>'2019 Legal Max'!Y71</f>
        <v>2124.9</v>
      </c>
      <c r="I70" s="134">
        <f>IF('2019 Legal Max'!Y71=0,0,ROUND((H70/D70)*100,2))</f>
        <v>2.4900000000000002</v>
      </c>
      <c r="J70" s="83">
        <f>(I70/100)*'2019 Legal Max'!BS71</f>
        <v>2870260</v>
      </c>
      <c r="K70" s="302" t="str">
        <f>'2019 Legal Max'!BD71</f>
        <v>A</v>
      </c>
    </row>
    <row r="71" spans="1:11">
      <c r="A71" s="88">
        <v>260</v>
      </c>
      <c r="B71" s="87" t="s">
        <v>33</v>
      </c>
      <c r="C71" s="87" t="s">
        <v>585</v>
      </c>
      <c r="D71" s="89">
        <f>'2019 Legal Max'!CW72-'2019 Legal Max'!Q72-'2019 Legal Max'!AU72</f>
        <v>10113.799999999999</v>
      </c>
      <c r="E71" s="89">
        <f>'2019 Legal Max'!AE72</f>
        <v>1151.9000000000001</v>
      </c>
      <c r="F71" s="301">
        <f t="shared" si="2"/>
        <v>11.39</v>
      </c>
      <c r="G71" s="83">
        <f>(F71/100)*'2019 Legal Max'!BS72</f>
        <v>1540295</v>
      </c>
      <c r="H71" s="126">
        <f>'2019 Legal Max'!Y72</f>
        <v>114</v>
      </c>
      <c r="I71" s="134">
        <f>IF('2019 Legal Max'!Y72=0,0,ROUND((H71/D71)*100,2))</f>
        <v>1.1299999999999999</v>
      </c>
      <c r="J71" s="83">
        <f>(I71/100)*'2019 Legal Max'!BS72</f>
        <v>152812</v>
      </c>
      <c r="K71" s="302" t="str">
        <f>'2019 Legal Max'!BD72</f>
        <v>A</v>
      </c>
    </row>
    <row r="72" spans="1:11">
      <c r="A72" s="88">
        <v>261</v>
      </c>
      <c r="B72" s="87" t="s">
        <v>33</v>
      </c>
      <c r="C72" s="87" t="s">
        <v>586</v>
      </c>
      <c r="D72" s="89">
        <f>'2019 Legal Max'!CW73-'2019 Legal Max'!Q73-'2019 Legal Max'!AU73</f>
        <v>8935.6</v>
      </c>
      <c r="E72" s="89">
        <f>'2019 Legal Max'!AE73</f>
        <v>1201.8</v>
      </c>
      <c r="F72" s="301">
        <f t="shared" si="2"/>
        <v>13.45</v>
      </c>
      <c r="G72" s="83">
        <f>(F72/100)*'2019 Legal Max'!BS73</f>
        <v>1615321</v>
      </c>
      <c r="H72" s="126">
        <f>'2019 Legal Max'!Y73</f>
        <v>37.4</v>
      </c>
      <c r="I72" s="134">
        <f>IF('2019 Legal Max'!Y73=0,0,ROUND((H72/D72)*100,2))</f>
        <v>0.42</v>
      </c>
      <c r="J72" s="83">
        <f>(I72/100)*'2019 Legal Max'!BS73</f>
        <v>50441</v>
      </c>
      <c r="K72" s="302" t="str">
        <f>'2019 Legal Max'!BD73</f>
        <v>A</v>
      </c>
    </row>
    <row r="73" spans="1:11">
      <c r="A73" s="88">
        <v>262</v>
      </c>
      <c r="B73" s="87" t="s">
        <v>33</v>
      </c>
      <c r="C73" s="87" t="s">
        <v>587</v>
      </c>
      <c r="D73" s="89">
        <f>'2019 Legal Max'!CW74-'2019 Legal Max'!Q74-'2019 Legal Max'!AU74</f>
        <v>4331</v>
      </c>
      <c r="E73" s="89">
        <f>'2019 Legal Max'!AE74</f>
        <v>412.4</v>
      </c>
      <c r="F73" s="301">
        <f t="shared" si="2"/>
        <v>9.52</v>
      </c>
      <c r="G73" s="83">
        <f>(F73/100)*'2019 Legal Max'!BS74</f>
        <v>551342</v>
      </c>
      <c r="H73" s="126">
        <f>'2019 Legal Max'!Y74</f>
        <v>14.4</v>
      </c>
      <c r="I73" s="134">
        <f>IF('2019 Legal Max'!Y74=0,0,ROUND((H73/D73)*100,2))</f>
        <v>0.33</v>
      </c>
      <c r="J73" s="83">
        <f>(I73/100)*'2019 Legal Max'!BS74</f>
        <v>19112</v>
      </c>
      <c r="K73" s="302" t="str">
        <f>'2019 Legal Max'!BD74</f>
        <v>A</v>
      </c>
    </row>
    <row r="74" spans="1:11">
      <c r="A74" s="88">
        <v>263</v>
      </c>
      <c r="B74" s="87" t="s">
        <v>33</v>
      </c>
      <c r="C74" s="87" t="s">
        <v>588</v>
      </c>
      <c r="D74" s="89">
        <f>'2019 Legal Max'!CW75-'2019 Legal Max'!Q75-'2019 Legal Max'!AU75</f>
        <v>2582</v>
      </c>
      <c r="E74" s="89">
        <f>'2019 Legal Max'!AE75</f>
        <v>253.1</v>
      </c>
      <c r="F74" s="301">
        <f t="shared" si="2"/>
        <v>9.8000000000000007</v>
      </c>
      <c r="G74" s="83">
        <f>(F74/100)*'2019 Legal Max'!BS75</f>
        <v>372877</v>
      </c>
      <c r="H74" s="126">
        <f>'2019 Legal Max'!Y75</f>
        <v>2</v>
      </c>
      <c r="I74" s="134">
        <f>IF('2019 Legal Max'!Y75=0,0,ROUND((H74/D74)*100,2))</f>
        <v>0.08</v>
      </c>
      <c r="J74" s="83">
        <f>(I74/100)*'2019 Legal Max'!BS75</f>
        <v>3044</v>
      </c>
      <c r="K74" s="302" t="str">
        <f>'2019 Legal Max'!BD75</f>
        <v>A</v>
      </c>
    </row>
    <row r="75" spans="1:11">
      <c r="A75" s="88">
        <v>264</v>
      </c>
      <c r="B75" s="87" t="s">
        <v>33</v>
      </c>
      <c r="C75" s="87" t="s">
        <v>589</v>
      </c>
      <c r="D75" s="89">
        <f>'2019 Legal Max'!CW76-'2019 Legal Max'!Q76-'2019 Legal Max'!AU76</f>
        <v>1846.4</v>
      </c>
      <c r="E75" s="89">
        <f>'2019 Legal Max'!AE76</f>
        <v>102.6</v>
      </c>
      <c r="F75" s="301">
        <f t="shared" si="2"/>
        <v>5.56</v>
      </c>
      <c r="G75" s="83">
        <f>(F75/100)*'2019 Legal Max'!BS76</f>
        <v>137099</v>
      </c>
      <c r="H75" s="126">
        <f>'2019 Legal Max'!Y76</f>
        <v>0.9</v>
      </c>
      <c r="I75" s="134">
        <f>IF('2019 Legal Max'!Y76=0,0,ROUND((H75/D75)*100,2))</f>
        <v>0.05</v>
      </c>
      <c r="J75" s="83">
        <f>(I75/100)*'2019 Legal Max'!BS76</f>
        <v>1233</v>
      </c>
      <c r="K75" s="302" t="str">
        <f>'2019 Legal Max'!BD76</f>
        <v>A</v>
      </c>
    </row>
    <row r="76" spans="1:11">
      <c r="A76" s="88">
        <v>265</v>
      </c>
      <c r="B76" s="87" t="s">
        <v>33</v>
      </c>
      <c r="C76" s="87" t="s">
        <v>590</v>
      </c>
      <c r="D76" s="89">
        <f>'2019 Legal Max'!CW77-'2019 Legal Max'!Q77-'2019 Legal Max'!AU77</f>
        <v>8293.7999999999993</v>
      </c>
      <c r="E76" s="89">
        <f>'2019 Legal Max'!AE77</f>
        <v>457.4</v>
      </c>
      <c r="F76" s="301">
        <f t="shared" si="2"/>
        <v>5.51</v>
      </c>
      <c r="G76" s="83">
        <f>(F76/100)*'2019 Legal Max'!BS77</f>
        <v>610907</v>
      </c>
      <c r="H76" s="126">
        <f>'2019 Legal Max'!Y77</f>
        <v>28.9</v>
      </c>
      <c r="I76" s="134">
        <f>IF('2019 Legal Max'!Y77=0,0,ROUND((H76/D76)*100,2))</f>
        <v>0.35</v>
      </c>
      <c r="J76" s="83">
        <f>(I76/100)*'2019 Legal Max'!BS77</f>
        <v>38805</v>
      </c>
      <c r="K76" s="302" t="str">
        <f>'2019 Legal Max'!BD77</f>
        <v>A</v>
      </c>
    </row>
    <row r="77" spans="1:11">
      <c r="A77" s="88">
        <v>266</v>
      </c>
      <c r="B77" s="87" t="s">
        <v>33</v>
      </c>
      <c r="C77" s="87" t="s">
        <v>591</v>
      </c>
      <c r="D77" s="89">
        <f>'2019 Legal Max'!CW78-'2019 Legal Max'!Q78-'2019 Legal Max'!AU78</f>
        <v>10182.700000000001</v>
      </c>
      <c r="E77" s="89">
        <f>'2019 Legal Max'!AE78</f>
        <v>517.4</v>
      </c>
      <c r="F77" s="301">
        <f t="shared" si="2"/>
        <v>5.08</v>
      </c>
      <c r="G77" s="83">
        <f>(F77/100)*'2019 Legal Max'!BS78</f>
        <v>689893</v>
      </c>
      <c r="H77" s="126">
        <f>'2019 Legal Max'!Y78</f>
        <v>26.6</v>
      </c>
      <c r="I77" s="134">
        <f>IF('2019 Legal Max'!Y78=0,0,ROUND((H77/D77)*100,2))</f>
        <v>0.26</v>
      </c>
      <c r="J77" s="83">
        <f>(I77/100)*'2019 Legal Max'!BS78</f>
        <v>35309</v>
      </c>
      <c r="K77" s="302" t="str">
        <f>'2019 Legal Max'!BD78</f>
        <v>A</v>
      </c>
    </row>
    <row r="78" spans="1:11">
      <c r="A78" s="88">
        <v>267</v>
      </c>
      <c r="B78" s="87" t="s">
        <v>33</v>
      </c>
      <c r="C78" s="87" t="s">
        <v>592</v>
      </c>
      <c r="D78" s="89">
        <f>'2019 Legal Max'!CW79-'2019 Legal Max'!Q79-'2019 Legal Max'!AU79</f>
        <v>2631.7</v>
      </c>
      <c r="E78" s="89">
        <f>'2019 Legal Max'!AE79</f>
        <v>76.5</v>
      </c>
      <c r="F78" s="301">
        <f t="shared" si="2"/>
        <v>2.91</v>
      </c>
      <c r="G78" s="83">
        <f>(F78/100)*'2019 Legal Max'!BS79</f>
        <v>112093</v>
      </c>
      <c r="H78" s="126">
        <f>'2019 Legal Max'!Y79</f>
        <v>0.2</v>
      </c>
      <c r="I78" s="134">
        <f>IF('2019 Legal Max'!Y79=0,0,ROUND((H78/D78)*100,2))</f>
        <v>0.01</v>
      </c>
      <c r="J78" s="83">
        <f>(I78/100)*'2019 Legal Max'!BS79</f>
        <v>385</v>
      </c>
      <c r="K78" s="302" t="str">
        <f>'2019 Legal Max'!BD79</f>
        <v>A</v>
      </c>
    </row>
    <row r="79" spans="1:11">
      <c r="A79" s="88">
        <v>268</v>
      </c>
      <c r="B79" s="87" t="s">
        <v>33</v>
      </c>
      <c r="C79" s="87" t="s">
        <v>593</v>
      </c>
      <c r="D79" s="89">
        <f>'2019 Legal Max'!CW80-'2019 Legal Max'!Q80-'2019 Legal Max'!AU80</f>
        <v>1352.9</v>
      </c>
      <c r="E79" s="89">
        <f>'2019 Legal Max'!AE80</f>
        <v>60.5</v>
      </c>
      <c r="F79" s="301">
        <f t="shared" si="2"/>
        <v>4.47</v>
      </c>
      <c r="G79" s="83">
        <f>(F79/100)*'2019 Legal Max'!BS80</f>
        <v>89703</v>
      </c>
      <c r="H79" s="126">
        <f>'2019 Legal Max'!Y80</f>
        <v>0</v>
      </c>
      <c r="I79" s="134">
        <f>IF('2019 Legal Max'!Y80=0,0,ROUND((H79/D79)*100,2))</f>
        <v>0</v>
      </c>
      <c r="J79" s="83">
        <f>(I79/100)*'2019 Legal Max'!BS80</f>
        <v>0</v>
      </c>
      <c r="K79" s="302" t="str">
        <f>'2019 Legal Max'!BD80</f>
        <v>A</v>
      </c>
    </row>
    <row r="80" spans="1:11">
      <c r="A80" s="88">
        <v>269</v>
      </c>
      <c r="B80" s="87" t="s">
        <v>35</v>
      </c>
      <c r="C80" s="87" t="s">
        <v>594</v>
      </c>
      <c r="D80" s="89">
        <f>'2019 Legal Max'!CW81-'2019 Legal Max'!Q81-'2019 Legal Max'!AU81</f>
        <v>263.89999999999998</v>
      </c>
      <c r="E80" s="89">
        <f>'2019 Legal Max'!AE81</f>
        <v>13.6</v>
      </c>
      <c r="F80" s="301">
        <f t="shared" si="2"/>
        <v>5.15</v>
      </c>
      <c r="G80" s="83">
        <f>(F80/100)*'2019 Legal Max'!BS81</f>
        <v>22014</v>
      </c>
      <c r="H80" s="126">
        <f>'2019 Legal Max'!Y81</f>
        <v>0</v>
      </c>
      <c r="I80" s="134">
        <f>IF('2019 Legal Max'!Y81=0,0,ROUND((H80/D80)*100,2))</f>
        <v>0</v>
      </c>
      <c r="J80" s="83">
        <f>(I80/100)*'2019 Legal Max'!BS81</f>
        <v>0</v>
      </c>
      <c r="K80" s="302" t="str">
        <f>'2019 Legal Max'!BD81</f>
        <v>A</v>
      </c>
    </row>
    <row r="81" spans="1:11">
      <c r="A81" s="88">
        <v>270</v>
      </c>
      <c r="B81" s="87" t="s">
        <v>35</v>
      </c>
      <c r="C81" s="87" t="s">
        <v>595</v>
      </c>
      <c r="D81" s="89">
        <f>'2019 Legal Max'!CW82-'2019 Legal Max'!Q82-'2019 Legal Max'!AU82</f>
        <v>712.1</v>
      </c>
      <c r="E81" s="89">
        <f>'2019 Legal Max'!AE82</f>
        <v>51.8</v>
      </c>
      <c r="F81" s="301">
        <f t="shared" si="2"/>
        <v>7.27</v>
      </c>
      <c r="G81" s="83">
        <f>(F81/100)*'2019 Legal Max'!BS82</f>
        <v>69283</v>
      </c>
      <c r="H81" s="126">
        <f>'2019 Legal Max'!Y82</f>
        <v>0</v>
      </c>
      <c r="I81" s="134">
        <f>IF('2019 Legal Max'!Y82=0,0,ROUND((H81/D81)*100,2))</f>
        <v>0</v>
      </c>
      <c r="J81" s="83">
        <f>(I81/100)*'2019 Legal Max'!BS82</f>
        <v>0</v>
      </c>
      <c r="K81" s="302" t="str">
        <f>'2019 Legal Max'!BD82</f>
        <v>A</v>
      </c>
    </row>
    <row r="82" spans="1:11">
      <c r="A82" s="88">
        <v>271</v>
      </c>
      <c r="B82" s="87" t="s">
        <v>35</v>
      </c>
      <c r="C82" s="87" t="s">
        <v>596</v>
      </c>
      <c r="D82" s="89">
        <f>'2019 Legal Max'!CW83-'2019 Legal Max'!Q83-'2019 Legal Max'!AU83</f>
        <v>686.3</v>
      </c>
      <c r="E82" s="89">
        <f>'2019 Legal Max'!AE83</f>
        <v>61.5</v>
      </c>
      <c r="F82" s="301">
        <f t="shared" si="2"/>
        <v>8.9600000000000009</v>
      </c>
      <c r="G82" s="83">
        <f>(F82/100)*'2019 Legal Max'!BS83</f>
        <v>82356</v>
      </c>
      <c r="H82" s="126">
        <f>'2019 Legal Max'!Y83</f>
        <v>0.2</v>
      </c>
      <c r="I82" s="134">
        <f>IF('2019 Legal Max'!Y83=0,0,ROUND((H82/D82)*100,2))</f>
        <v>0.03</v>
      </c>
      <c r="J82" s="83">
        <f>(I82/100)*'2019 Legal Max'!BS83</f>
        <v>276</v>
      </c>
      <c r="K82" s="302" t="str">
        <f>'2019 Legal Max'!BD83</f>
        <v>A</v>
      </c>
    </row>
    <row r="83" spans="1:11">
      <c r="A83" s="88">
        <v>272</v>
      </c>
      <c r="B83" s="87" t="s">
        <v>36</v>
      </c>
      <c r="C83" s="87" t="s">
        <v>597</v>
      </c>
      <c r="D83" s="89">
        <f>'2019 Legal Max'!CW84-'2019 Legal Max'!Q84-'2019 Legal Max'!AU84</f>
        <v>634.5</v>
      </c>
      <c r="E83" s="89">
        <f>'2019 Legal Max'!AE84</f>
        <v>43.6</v>
      </c>
      <c r="F83" s="301">
        <f t="shared" si="2"/>
        <v>6.87</v>
      </c>
      <c r="G83" s="83">
        <f>(F83/100)*'2019 Legal Max'!BS84</f>
        <v>59232</v>
      </c>
      <c r="H83" s="126">
        <f>'2019 Legal Max'!Y84</f>
        <v>0</v>
      </c>
      <c r="I83" s="134">
        <f>IF('2019 Legal Max'!Y84=0,0,ROUND((H83/D83)*100,2))</f>
        <v>0</v>
      </c>
      <c r="J83" s="83">
        <f>(I83/100)*'2019 Legal Max'!BS84</f>
        <v>0</v>
      </c>
      <c r="K83" s="302" t="str">
        <f>'2019 Legal Max'!BD84</f>
        <v>A</v>
      </c>
    </row>
    <row r="84" spans="1:11">
      <c r="A84" s="88">
        <v>273</v>
      </c>
      <c r="B84" s="87" t="s">
        <v>36</v>
      </c>
      <c r="C84" s="87" t="s">
        <v>598</v>
      </c>
      <c r="D84" s="89">
        <f>'2019 Legal Max'!CW85-'2019 Legal Max'!Q85-'2019 Legal Max'!AU85</f>
        <v>1447.7</v>
      </c>
      <c r="E84" s="89">
        <f>'2019 Legal Max'!AE85</f>
        <v>118.6</v>
      </c>
      <c r="F84" s="301">
        <f t="shared" si="2"/>
        <v>8.19</v>
      </c>
      <c r="G84" s="83">
        <f>(F84/100)*'2019 Legal Max'!BS85</f>
        <v>159564</v>
      </c>
      <c r="H84" s="126">
        <f>'2019 Legal Max'!Y85</f>
        <v>2.8</v>
      </c>
      <c r="I84" s="134">
        <f>IF('2019 Legal Max'!Y85=0,0,ROUND((H84/D84)*100,2))</f>
        <v>0.19</v>
      </c>
      <c r="J84" s="83">
        <f>(I84/100)*'2019 Legal Max'!BS85</f>
        <v>3702</v>
      </c>
      <c r="K84" s="302" t="str">
        <f>'2019 Legal Max'!BD85</f>
        <v>A</v>
      </c>
    </row>
    <row r="85" spans="1:11">
      <c r="A85" s="88">
        <v>274</v>
      </c>
      <c r="B85" s="87" t="s">
        <v>37</v>
      </c>
      <c r="C85" s="87" t="s">
        <v>599</v>
      </c>
      <c r="D85" s="89">
        <f>'2019 Legal Max'!CW86-'2019 Legal Max'!Q86-'2019 Legal Max'!AU86</f>
        <v>802.2</v>
      </c>
      <c r="E85" s="89">
        <f>'2019 Legal Max'!AE86</f>
        <v>66.8</v>
      </c>
      <c r="F85" s="301">
        <f t="shared" si="2"/>
        <v>8.33</v>
      </c>
      <c r="G85" s="83">
        <f>(F85/100)*'2019 Legal Max'!BS86</f>
        <v>91703</v>
      </c>
      <c r="H85" s="126">
        <f>'2019 Legal Max'!Y86</f>
        <v>2</v>
      </c>
      <c r="I85" s="134">
        <f>IF('2019 Legal Max'!Y86=0,0,ROUND((H85/D85)*100,2))</f>
        <v>0.25</v>
      </c>
      <c r="J85" s="83">
        <f>(I85/100)*'2019 Legal Max'!BS86</f>
        <v>2752</v>
      </c>
      <c r="K85" s="302" t="str">
        <f>'2019 Legal Max'!BD86</f>
        <v>A</v>
      </c>
    </row>
    <row r="86" spans="1:11">
      <c r="A86" s="88">
        <v>275</v>
      </c>
      <c r="B86" s="87" t="s">
        <v>37</v>
      </c>
      <c r="C86" s="87" t="s">
        <v>600</v>
      </c>
      <c r="D86" s="89">
        <f>'2019 Legal Max'!CW87-'2019 Legal Max'!Q87-'2019 Legal Max'!AU87</f>
        <v>186</v>
      </c>
      <c r="E86" s="89">
        <f>'2019 Legal Max'!AE87</f>
        <v>9.1999999999999993</v>
      </c>
      <c r="F86" s="301">
        <f t="shared" si="2"/>
        <v>4.95</v>
      </c>
      <c r="G86" s="83">
        <f>(F86/100)*'2019 Legal Max'!BS87</f>
        <v>13473</v>
      </c>
      <c r="H86" s="126">
        <f>'2019 Legal Max'!Y87</f>
        <v>0</v>
      </c>
      <c r="I86" s="134">
        <f>IF('2019 Legal Max'!Y87=0,0,ROUND((H86/D86)*100,2))</f>
        <v>0</v>
      </c>
      <c r="J86" s="83">
        <f>(I86/100)*'2019 Legal Max'!BS87</f>
        <v>0</v>
      </c>
      <c r="K86" s="302" t="str">
        <f>'2019 Legal Max'!BD87</f>
        <v>A</v>
      </c>
    </row>
    <row r="87" spans="1:11">
      <c r="A87" s="88">
        <v>281</v>
      </c>
      <c r="B87" s="87" t="s">
        <v>38</v>
      </c>
      <c r="C87" s="87" t="s">
        <v>601</v>
      </c>
      <c r="D87" s="89">
        <f>'2019 Legal Max'!CW88-'2019 Legal Max'!Q88-'2019 Legal Max'!AU88</f>
        <v>746.9</v>
      </c>
      <c r="E87" s="89">
        <f>'2019 Legal Max'!AE88</f>
        <v>70.2</v>
      </c>
      <c r="F87" s="301">
        <f t="shared" si="2"/>
        <v>9.4</v>
      </c>
      <c r="G87" s="83">
        <f>(F87/100)*'2019 Legal Max'!BS88</f>
        <v>97894</v>
      </c>
      <c r="H87" s="126">
        <f>'2019 Legal Max'!Y88</f>
        <v>0</v>
      </c>
      <c r="I87" s="134">
        <f>IF('2019 Legal Max'!Y88=0,0,ROUND((H87/D87)*100,2))</f>
        <v>0</v>
      </c>
      <c r="J87" s="83">
        <f>(I87/100)*'2019 Legal Max'!BS88</f>
        <v>0</v>
      </c>
      <c r="K87" s="302" t="str">
        <f>'2019 Legal Max'!BD88</f>
        <v>A</v>
      </c>
    </row>
    <row r="88" spans="1:11">
      <c r="A88" s="88">
        <v>282</v>
      </c>
      <c r="B88" s="87" t="s">
        <v>39</v>
      </c>
      <c r="C88" s="87" t="s">
        <v>602</v>
      </c>
      <c r="D88" s="89">
        <f>'2019 Legal Max'!CW89-'2019 Legal Max'!Q89-'2019 Legal Max'!AU89</f>
        <v>824.5</v>
      </c>
      <c r="E88" s="89">
        <f>'2019 Legal Max'!AE89</f>
        <v>75.5</v>
      </c>
      <c r="F88" s="301">
        <f t="shared" si="2"/>
        <v>9.16</v>
      </c>
      <c r="G88" s="83">
        <f>(F88/100)*'2019 Legal Max'!BS89</f>
        <v>100736</v>
      </c>
      <c r="H88" s="126">
        <f>'2019 Legal Max'!Y89</f>
        <v>0.6</v>
      </c>
      <c r="I88" s="134">
        <f>IF('2019 Legal Max'!Y89=0,0,ROUND((H88/D88)*100,2))</f>
        <v>7.0000000000000007E-2</v>
      </c>
      <c r="J88" s="83">
        <f>(I88/100)*'2019 Legal Max'!BS89</f>
        <v>770</v>
      </c>
      <c r="K88" s="302" t="str">
        <f>'2019 Legal Max'!BD89</f>
        <v>A</v>
      </c>
    </row>
    <row r="89" spans="1:11">
      <c r="A89" s="88">
        <v>283</v>
      </c>
      <c r="B89" s="87" t="s">
        <v>39</v>
      </c>
      <c r="C89" s="87" t="s">
        <v>603</v>
      </c>
      <c r="D89" s="89">
        <f>'2019 Legal Max'!CW90-'2019 Legal Max'!Q90-'2019 Legal Max'!AU90</f>
        <v>342.5</v>
      </c>
      <c r="E89" s="89">
        <f>'2019 Legal Max'!AE90</f>
        <v>33.4</v>
      </c>
      <c r="F89" s="301">
        <f t="shared" si="2"/>
        <v>9.75</v>
      </c>
      <c r="G89" s="83">
        <f>(F89/100)*'2019 Legal Max'!BS90</f>
        <v>45467</v>
      </c>
      <c r="H89" s="126">
        <f>'2019 Legal Max'!Y90</f>
        <v>0</v>
      </c>
      <c r="I89" s="134">
        <f>IF('2019 Legal Max'!Y90=0,0,ROUND((H89/D89)*100,2))</f>
        <v>0</v>
      </c>
      <c r="J89" s="83">
        <f>(I89/100)*'2019 Legal Max'!BS90</f>
        <v>0</v>
      </c>
      <c r="K89" s="302" t="str">
        <f>'2019 Legal Max'!BD90</f>
        <v>A</v>
      </c>
    </row>
    <row r="90" spans="1:11">
      <c r="A90" s="88">
        <v>284</v>
      </c>
      <c r="B90" s="87" t="s">
        <v>40</v>
      </c>
      <c r="C90" s="87" t="s">
        <v>604</v>
      </c>
      <c r="D90" s="89">
        <f>'2019 Legal Max'!CW91-'2019 Legal Max'!Q91-'2019 Legal Max'!AU91</f>
        <v>705.6</v>
      </c>
      <c r="E90" s="89">
        <f>'2019 Legal Max'!AE91</f>
        <v>44.5</v>
      </c>
      <c r="F90" s="301">
        <f t="shared" si="2"/>
        <v>6.31</v>
      </c>
      <c r="G90" s="83">
        <f>(F90/100)*'2019 Legal Max'!BS91</f>
        <v>61305</v>
      </c>
      <c r="H90" s="126">
        <f>'2019 Legal Max'!Y91</f>
        <v>0</v>
      </c>
      <c r="I90" s="134">
        <f>IF('2019 Legal Max'!Y91=0,0,ROUND((H90/D90)*100,2))</f>
        <v>0</v>
      </c>
      <c r="J90" s="83">
        <f>(I90/100)*'2019 Legal Max'!BS91</f>
        <v>0</v>
      </c>
      <c r="K90" s="302" t="str">
        <f>'2019 Legal Max'!BD91</f>
        <v>A</v>
      </c>
    </row>
    <row r="91" spans="1:11">
      <c r="A91" s="88">
        <v>285</v>
      </c>
      <c r="B91" s="87" t="s">
        <v>41</v>
      </c>
      <c r="C91" s="87" t="s">
        <v>605</v>
      </c>
      <c r="D91" s="89">
        <f>'2019 Legal Max'!CW92-'2019 Legal Max'!Q92-'2019 Legal Max'!AU92</f>
        <v>424.5</v>
      </c>
      <c r="E91" s="89">
        <f>'2019 Legal Max'!AE92</f>
        <v>34.4</v>
      </c>
      <c r="F91" s="301">
        <f t="shared" si="2"/>
        <v>8.1</v>
      </c>
      <c r="G91" s="83">
        <f>(F91/100)*'2019 Legal Max'!BS92</f>
        <v>34425</v>
      </c>
      <c r="H91" s="126">
        <f>'2019 Legal Max'!Y92</f>
        <v>0</v>
      </c>
      <c r="I91" s="134">
        <f>IF('2019 Legal Max'!Y92=0,0,ROUND((H91/D91)*100,2))</f>
        <v>0</v>
      </c>
      <c r="J91" s="83">
        <f>(I91/100)*'2019 Legal Max'!BS92</f>
        <v>0</v>
      </c>
      <c r="K91" s="302" t="str">
        <f>'2019 Legal Max'!BD92</f>
        <v>A</v>
      </c>
    </row>
    <row r="92" spans="1:11">
      <c r="A92" s="88">
        <v>286</v>
      </c>
      <c r="B92" s="87" t="s">
        <v>41</v>
      </c>
      <c r="C92" s="87" t="s">
        <v>606</v>
      </c>
      <c r="D92" s="89">
        <f>'2019 Legal Max'!CW93-'2019 Legal Max'!Q93-'2019 Legal Max'!AU93</f>
        <v>785.8</v>
      </c>
      <c r="E92" s="89">
        <f>'2019 Legal Max'!AE93</f>
        <v>84.2</v>
      </c>
      <c r="F92" s="301">
        <f t="shared" si="2"/>
        <v>10.72</v>
      </c>
      <c r="G92" s="83">
        <f>(F92/100)*'2019 Legal Max'!BS93</f>
        <v>113567</v>
      </c>
      <c r="H92" s="126">
        <f>'2019 Legal Max'!Y93</f>
        <v>0</v>
      </c>
      <c r="I92" s="134">
        <f>IF('2019 Legal Max'!Y93=0,0,ROUND((H92/D92)*100,2))</f>
        <v>0</v>
      </c>
      <c r="J92" s="83">
        <f>(I92/100)*'2019 Legal Max'!BS93</f>
        <v>0</v>
      </c>
      <c r="K92" s="302" t="str">
        <f>'2019 Legal Max'!BD93</f>
        <v>A</v>
      </c>
    </row>
    <row r="93" spans="1:11">
      <c r="A93" s="88">
        <v>287</v>
      </c>
      <c r="B93" s="87" t="s">
        <v>42</v>
      </c>
      <c r="C93" s="87" t="s">
        <v>607</v>
      </c>
      <c r="D93" s="89">
        <f>'2019 Legal Max'!CW94-'2019 Legal Max'!Q94-'2019 Legal Max'!AU94</f>
        <v>1253.4000000000001</v>
      </c>
      <c r="E93" s="89">
        <f>'2019 Legal Max'!AE94</f>
        <v>118.1</v>
      </c>
      <c r="F93" s="301">
        <f t="shared" si="2"/>
        <v>9.42</v>
      </c>
      <c r="G93" s="83">
        <f>(F93/100)*'2019 Legal Max'!BS94</f>
        <v>160666</v>
      </c>
      <c r="H93" s="126">
        <f>'2019 Legal Max'!Y94</f>
        <v>0</v>
      </c>
      <c r="I93" s="134">
        <f>IF('2019 Legal Max'!Y94=0,0,ROUND((H93/D93)*100,2))</f>
        <v>0</v>
      </c>
      <c r="J93" s="83">
        <f>(I93/100)*'2019 Legal Max'!BS94</f>
        <v>0</v>
      </c>
      <c r="K93" s="302" t="str">
        <f>'2019 Legal Max'!BD94</f>
        <v>A</v>
      </c>
    </row>
    <row r="94" spans="1:11">
      <c r="A94" s="88">
        <v>288</v>
      </c>
      <c r="B94" s="87" t="s">
        <v>42</v>
      </c>
      <c r="C94" s="87" t="s">
        <v>608</v>
      </c>
      <c r="D94" s="89">
        <f>'2019 Legal Max'!CW95-'2019 Legal Max'!Q95-'2019 Legal Max'!AU95</f>
        <v>1135.5999999999999</v>
      </c>
      <c r="E94" s="89">
        <f>'2019 Legal Max'!AE95</f>
        <v>114.2</v>
      </c>
      <c r="F94" s="301">
        <f t="shared" si="2"/>
        <v>10.06</v>
      </c>
      <c r="G94" s="83">
        <f>(F94/100)*'2019 Legal Max'!BS95</f>
        <v>153037</v>
      </c>
      <c r="H94" s="126">
        <f>'2019 Legal Max'!Y95</f>
        <v>0.2</v>
      </c>
      <c r="I94" s="134">
        <f>IF('2019 Legal Max'!Y95=0,0,ROUND((H94/D94)*100,2))</f>
        <v>0.02</v>
      </c>
      <c r="J94" s="83">
        <f>(I94/100)*'2019 Legal Max'!BS95</f>
        <v>304</v>
      </c>
      <c r="K94" s="302" t="str">
        <f>'2019 Legal Max'!BD95</f>
        <v>A</v>
      </c>
    </row>
    <row r="95" spans="1:11">
      <c r="A95" s="88">
        <v>289</v>
      </c>
      <c r="B95" s="87" t="s">
        <v>42</v>
      </c>
      <c r="C95" s="87" t="s">
        <v>609</v>
      </c>
      <c r="D95" s="89">
        <f>'2019 Legal Max'!CW96-'2019 Legal Max'!Q96-'2019 Legal Max'!AU96</f>
        <v>1391.4</v>
      </c>
      <c r="E95" s="89">
        <f>'2019 Legal Max'!AE96</f>
        <v>82.3</v>
      </c>
      <c r="F95" s="301">
        <f t="shared" si="2"/>
        <v>5.91</v>
      </c>
      <c r="G95" s="83">
        <f>(F95/100)*'2019 Legal Max'!BS96</f>
        <v>109573</v>
      </c>
      <c r="H95" s="126">
        <f>'2019 Legal Max'!Y96</f>
        <v>0</v>
      </c>
      <c r="I95" s="134">
        <f>IF('2019 Legal Max'!Y96=0,0,ROUND((H95/D95)*100,2))</f>
        <v>0</v>
      </c>
      <c r="J95" s="83">
        <f>(I95/100)*'2019 Legal Max'!BS96</f>
        <v>0</v>
      </c>
      <c r="K95" s="302" t="str">
        <f>'2019 Legal Max'!BD96</f>
        <v>A</v>
      </c>
    </row>
    <row r="96" spans="1:11">
      <c r="A96" s="88">
        <v>290</v>
      </c>
      <c r="B96" s="87" t="s">
        <v>42</v>
      </c>
      <c r="C96" s="87" t="s">
        <v>610</v>
      </c>
      <c r="D96" s="89">
        <f>'2019 Legal Max'!CW97-'2019 Legal Max'!Q97-'2019 Legal Max'!AU97</f>
        <v>3896.9</v>
      </c>
      <c r="E96" s="89">
        <f>'2019 Legal Max'!AE97</f>
        <v>457.9</v>
      </c>
      <c r="F96" s="301">
        <f t="shared" si="2"/>
        <v>11.75</v>
      </c>
      <c r="G96" s="83">
        <f>(F96/100)*'2019 Legal Max'!BS97</f>
        <v>612236</v>
      </c>
      <c r="H96" s="126">
        <f>'2019 Legal Max'!Y97</f>
        <v>3.7</v>
      </c>
      <c r="I96" s="134">
        <f>IF('2019 Legal Max'!Y97=0,0,ROUND((H96/D96)*100,2))</f>
        <v>0.09</v>
      </c>
      <c r="J96" s="83">
        <f>(I96/100)*'2019 Legal Max'!BS97</f>
        <v>4689</v>
      </c>
      <c r="K96" s="302" t="str">
        <f>'2019 Legal Max'!BD97</f>
        <v>A</v>
      </c>
    </row>
    <row r="97" spans="1:11">
      <c r="A97" s="88">
        <v>291</v>
      </c>
      <c r="B97" s="87" t="s">
        <v>43</v>
      </c>
      <c r="C97" s="87" t="s">
        <v>611</v>
      </c>
      <c r="D97" s="89">
        <f>'2019 Legal Max'!CW98-'2019 Legal Max'!Q98-'2019 Legal Max'!AU98</f>
        <v>217.3</v>
      </c>
      <c r="E97" s="89">
        <f>'2019 Legal Max'!AE98</f>
        <v>13.1</v>
      </c>
      <c r="F97" s="301">
        <f t="shared" si="2"/>
        <v>6.03</v>
      </c>
      <c r="G97" s="83">
        <f>(F97/100)*'2019 Legal Max'!BS98</f>
        <v>15919</v>
      </c>
      <c r="H97" s="126">
        <f>'2019 Legal Max'!Y98</f>
        <v>0</v>
      </c>
      <c r="I97" s="134">
        <f>IF('2019 Legal Max'!Y98=0,0,ROUND((H97/D97)*100,2))</f>
        <v>0</v>
      </c>
      <c r="J97" s="83">
        <f>(I97/100)*'2019 Legal Max'!BS98</f>
        <v>0</v>
      </c>
      <c r="K97" s="302" t="str">
        <f>'2019 Legal Max'!BD98</f>
        <v>A</v>
      </c>
    </row>
    <row r="98" spans="1:11">
      <c r="A98" s="88">
        <v>292</v>
      </c>
      <c r="B98" s="87" t="s">
        <v>43</v>
      </c>
      <c r="C98" s="87" t="s">
        <v>612</v>
      </c>
      <c r="D98" s="89">
        <f>'2019 Legal Max'!CW99-'2019 Legal Max'!Q99-'2019 Legal Max'!AU99</f>
        <v>303.2</v>
      </c>
      <c r="E98" s="89">
        <f>'2019 Legal Max'!AE99</f>
        <v>16</v>
      </c>
      <c r="F98" s="301">
        <f t="shared" si="2"/>
        <v>5.28</v>
      </c>
      <c r="G98" s="83">
        <f>(F98/100)*'2019 Legal Max'!BS99</f>
        <v>21982</v>
      </c>
      <c r="H98" s="126">
        <f>'2019 Legal Max'!Y99</f>
        <v>0</v>
      </c>
      <c r="I98" s="134">
        <f>IF('2019 Legal Max'!Y99=0,0,ROUND((H98/D98)*100,2))</f>
        <v>0</v>
      </c>
      <c r="J98" s="83">
        <f>(I98/100)*'2019 Legal Max'!BS99</f>
        <v>0</v>
      </c>
      <c r="K98" s="302" t="str">
        <f>'2019 Legal Max'!BD99</f>
        <v>A</v>
      </c>
    </row>
    <row r="99" spans="1:11">
      <c r="A99" s="88">
        <v>293</v>
      </c>
      <c r="B99" s="87" t="s">
        <v>43</v>
      </c>
      <c r="C99" s="87" t="s">
        <v>613</v>
      </c>
      <c r="D99" s="89">
        <f>'2019 Legal Max'!CW100-'2019 Legal Max'!Q100-'2019 Legal Max'!AU100</f>
        <v>601.29999999999995</v>
      </c>
      <c r="E99" s="89">
        <f>'2019 Legal Max'!AE100</f>
        <v>34.799999999999997</v>
      </c>
      <c r="F99" s="301">
        <f t="shared" si="2"/>
        <v>5.79</v>
      </c>
      <c r="G99" s="83">
        <f>(F99/100)*'2019 Legal Max'!BS100</f>
        <v>48237</v>
      </c>
      <c r="H99" s="126">
        <f>'2019 Legal Max'!Y100</f>
        <v>1.9</v>
      </c>
      <c r="I99" s="134">
        <f>IF('2019 Legal Max'!Y100=0,0,ROUND((H99/D99)*100,2))</f>
        <v>0.32</v>
      </c>
      <c r="J99" s="83">
        <f>(I99/100)*'2019 Legal Max'!BS100</f>
        <v>2666</v>
      </c>
      <c r="K99" s="302" t="str">
        <f>'2019 Legal Max'!BD100</f>
        <v>A</v>
      </c>
    </row>
    <row r="100" spans="1:11">
      <c r="A100" s="88">
        <v>294</v>
      </c>
      <c r="B100" s="87" t="s">
        <v>44</v>
      </c>
      <c r="C100" s="87" t="s">
        <v>614</v>
      </c>
      <c r="D100" s="89">
        <f>'2019 Legal Max'!CW101-'2019 Legal Max'!Q101-'2019 Legal Max'!AU101</f>
        <v>676</v>
      </c>
      <c r="E100" s="89">
        <f>'2019 Legal Max'!AE101</f>
        <v>53.2</v>
      </c>
      <c r="F100" s="301">
        <f t="shared" si="2"/>
        <v>7.87</v>
      </c>
      <c r="G100" s="83">
        <f>(F100/100)*'2019 Legal Max'!BS101</f>
        <v>71857</v>
      </c>
      <c r="H100" s="126">
        <f>'2019 Legal Max'!Y101</f>
        <v>0</v>
      </c>
      <c r="I100" s="134">
        <f>IF('2019 Legal Max'!Y101=0,0,ROUND((H100/D100)*100,2))</f>
        <v>0</v>
      </c>
      <c r="J100" s="83">
        <f>(I100/100)*'2019 Legal Max'!BS101</f>
        <v>0</v>
      </c>
      <c r="K100" s="302" t="str">
        <f>'2019 Legal Max'!BD101</f>
        <v>A</v>
      </c>
    </row>
    <row r="101" spans="1:11">
      <c r="A101" s="88">
        <v>297</v>
      </c>
      <c r="B101" s="87" t="s">
        <v>6</v>
      </c>
      <c r="C101" s="87" t="s">
        <v>615</v>
      </c>
      <c r="D101" s="89">
        <f>'2019 Legal Max'!CW102-'2019 Legal Max'!Q102-'2019 Legal Max'!AU102</f>
        <v>562.70000000000005</v>
      </c>
      <c r="E101" s="89">
        <f>'2019 Legal Max'!AE102</f>
        <v>38.200000000000003</v>
      </c>
      <c r="F101" s="301">
        <f t="shared" si="2"/>
        <v>6.79</v>
      </c>
      <c r="G101" s="83">
        <f>(F101/100)*'2019 Legal Max'!BS102</f>
        <v>51083</v>
      </c>
      <c r="H101" s="126">
        <f>'2019 Legal Max'!Y102</f>
        <v>3.7</v>
      </c>
      <c r="I101" s="134">
        <f>IF('2019 Legal Max'!Y102=0,0,ROUND((H101/D101)*100,2))</f>
        <v>0.66</v>
      </c>
      <c r="J101" s="83">
        <f>(I101/100)*'2019 Legal Max'!BS102</f>
        <v>4965</v>
      </c>
      <c r="K101" s="302" t="str">
        <f>'2019 Legal Max'!BD102</f>
        <v>A</v>
      </c>
    </row>
    <row r="102" spans="1:11">
      <c r="A102" s="88">
        <v>298</v>
      </c>
      <c r="B102" s="87" t="s">
        <v>45</v>
      </c>
      <c r="C102" s="87" t="s">
        <v>616</v>
      </c>
      <c r="D102" s="89">
        <f>'2019 Legal Max'!CW103-'2019 Legal Max'!Q103-'2019 Legal Max'!AU103</f>
        <v>712.7</v>
      </c>
      <c r="E102" s="89">
        <f>'2019 Legal Max'!AE103</f>
        <v>61</v>
      </c>
      <c r="F102" s="301">
        <f t="shared" si="2"/>
        <v>8.56</v>
      </c>
      <c r="G102" s="83">
        <f>(F102/100)*'2019 Legal Max'!BS103</f>
        <v>81977</v>
      </c>
      <c r="H102" s="126">
        <f>'2019 Legal Max'!Y103</f>
        <v>0.4</v>
      </c>
      <c r="I102" s="134">
        <f>IF('2019 Legal Max'!Y103=0,0,ROUND((H102/D102)*100,2))</f>
        <v>0.06</v>
      </c>
      <c r="J102" s="83">
        <f>(I102/100)*'2019 Legal Max'!BS103</f>
        <v>575</v>
      </c>
      <c r="K102" s="302" t="str">
        <f>'2019 Legal Max'!BD103</f>
        <v>A</v>
      </c>
    </row>
    <row r="103" spans="1:11">
      <c r="A103" s="88">
        <v>299</v>
      </c>
      <c r="B103" s="87" t="s">
        <v>45</v>
      </c>
      <c r="C103" s="87" t="s">
        <v>617</v>
      </c>
      <c r="D103" s="89">
        <f>'2019 Legal Max'!CW104-'2019 Legal Max'!Q104-'2019 Legal Max'!AU104</f>
        <v>568.79999999999995</v>
      </c>
      <c r="E103" s="89">
        <f>'2019 Legal Max'!AE104</f>
        <v>43.1</v>
      </c>
      <c r="F103" s="301">
        <f t="shared" si="2"/>
        <v>7.58</v>
      </c>
      <c r="G103" s="83">
        <f>(F103/100)*'2019 Legal Max'!BS104</f>
        <v>45480</v>
      </c>
      <c r="H103" s="126">
        <f>'2019 Legal Max'!Y104</f>
        <v>0</v>
      </c>
      <c r="I103" s="134">
        <f>IF('2019 Legal Max'!Y104=0,0,ROUND((H103/D103)*100,2))</f>
        <v>0</v>
      </c>
      <c r="J103" s="83">
        <f>(I103/100)*'2019 Legal Max'!BS104</f>
        <v>0</v>
      </c>
      <c r="K103" s="302" t="str">
        <f>'2019 Legal Max'!BD104</f>
        <v>A</v>
      </c>
    </row>
    <row r="104" spans="1:11">
      <c r="A104" s="88">
        <v>300</v>
      </c>
      <c r="B104" s="87" t="s">
        <v>46</v>
      </c>
      <c r="C104" s="87" t="s">
        <v>618</v>
      </c>
      <c r="D104" s="89">
        <f>'2019 Legal Max'!CW105-'2019 Legal Max'!Q105-'2019 Legal Max'!AU105</f>
        <v>695</v>
      </c>
      <c r="E104" s="89">
        <f>'2019 Legal Max'!AE105</f>
        <v>40.700000000000003</v>
      </c>
      <c r="F104" s="301">
        <f t="shared" si="2"/>
        <v>5.86</v>
      </c>
      <c r="G104" s="83">
        <f>(F104/100)*'2019 Legal Max'!BS105</f>
        <v>54244</v>
      </c>
      <c r="H104" s="126">
        <f>'2019 Legal Max'!Y105</f>
        <v>0</v>
      </c>
      <c r="I104" s="134">
        <f>IF('2019 Legal Max'!Y105=0,0,ROUND((H104/D104)*100,2))</f>
        <v>0</v>
      </c>
      <c r="J104" s="83">
        <f>(I104/100)*'2019 Legal Max'!BS105</f>
        <v>0</v>
      </c>
      <c r="K104" s="302" t="str">
        <f>'2019 Legal Max'!BD105</f>
        <v>A</v>
      </c>
    </row>
    <row r="105" spans="1:11">
      <c r="A105" s="88">
        <v>303</v>
      </c>
      <c r="B105" s="87" t="s">
        <v>47</v>
      </c>
      <c r="C105" s="87" t="s">
        <v>619</v>
      </c>
      <c r="D105" s="89">
        <f>'2019 Legal Max'!CW106-'2019 Legal Max'!Q106-'2019 Legal Max'!AU106</f>
        <v>572.9</v>
      </c>
      <c r="E105" s="89">
        <f>'2019 Legal Max'!AE106</f>
        <v>42.1</v>
      </c>
      <c r="F105" s="301">
        <f t="shared" si="2"/>
        <v>7.35</v>
      </c>
      <c r="G105" s="83">
        <f>(F105/100)*'2019 Legal Max'!BS106</f>
        <v>54390</v>
      </c>
      <c r="H105" s="126">
        <f>'2019 Legal Max'!Y106</f>
        <v>7.8</v>
      </c>
      <c r="I105" s="134">
        <f>IF('2019 Legal Max'!Y106=0,0,ROUND((H105/D105)*100,2))</f>
        <v>1.36</v>
      </c>
      <c r="J105" s="83">
        <f>(I105/100)*'2019 Legal Max'!BS106</f>
        <v>10064</v>
      </c>
      <c r="K105" s="302" t="str">
        <f>'2019 Legal Max'!BD106</f>
        <v>A</v>
      </c>
    </row>
    <row r="106" spans="1:11">
      <c r="A106" s="88">
        <v>305</v>
      </c>
      <c r="B106" s="87" t="s">
        <v>48</v>
      </c>
      <c r="C106" s="87" t="s">
        <v>620</v>
      </c>
      <c r="D106" s="89">
        <f>'2019 Legal Max'!CW107-'2019 Legal Max'!Q107-'2019 Legal Max'!AU107</f>
        <v>11796.1</v>
      </c>
      <c r="E106" s="89">
        <f>'2019 Legal Max'!AE107</f>
        <v>1578.3</v>
      </c>
      <c r="F106" s="301">
        <f t="shared" si="2"/>
        <v>13.38</v>
      </c>
      <c r="G106" s="83">
        <f>(F106/100)*'2019 Legal Max'!BS107</f>
        <v>2221080</v>
      </c>
      <c r="H106" s="126">
        <f>'2019 Legal Max'!Y107</f>
        <v>129.69999999999999</v>
      </c>
      <c r="I106" s="134">
        <f>IF('2019 Legal Max'!Y107=0,0,ROUND((H106/D106)*100,2))</f>
        <v>1.1000000000000001</v>
      </c>
      <c r="J106" s="83">
        <f>(I106/100)*'2019 Legal Max'!BS107</f>
        <v>182600</v>
      </c>
      <c r="K106" s="302" t="str">
        <f>'2019 Legal Max'!BD107</f>
        <v>A</v>
      </c>
    </row>
    <row r="107" spans="1:11">
      <c r="A107" s="88">
        <v>306</v>
      </c>
      <c r="B107" s="87" t="s">
        <v>48</v>
      </c>
      <c r="C107" s="87" t="s">
        <v>621</v>
      </c>
      <c r="D107" s="89">
        <f>'2019 Legal Max'!CW108-'2019 Legal Max'!Q108-'2019 Legal Max'!AU108</f>
        <v>1273.3</v>
      </c>
      <c r="E107" s="89">
        <f>'2019 Legal Max'!AE108</f>
        <v>64.900000000000006</v>
      </c>
      <c r="F107" s="301">
        <f t="shared" si="2"/>
        <v>5.0999999999999996</v>
      </c>
      <c r="G107" s="83">
        <f>(F107/100)*'2019 Legal Max'!BS108</f>
        <v>86372</v>
      </c>
      <c r="H107" s="126">
        <f>'2019 Legal Max'!Y108</f>
        <v>0</v>
      </c>
      <c r="I107" s="134">
        <f>IF('2019 Legal Max'!Y108=0,0,ROUND((H107/D107)*100,2))</f>
        <v>0</v>
      </c>
      <c r="J107" s="83">
        <f>(I107/100)*'2019 Legal Max'!BS108</f>
        <v>0</v>
      </c>
      <c r="K107" s="302" t="str">
        <f>'2019 Legal Max'!BD108</f>
        <v>A</v>
      </c>
    </row>
    <row r="108" spans="1:11">
      <c r="A108" s="88">
        <v>307</v>
      </c>
      <c r="B108" s="87" t="s">
        <v>48</v>
      </c>
      <c r="C108" s="87" t="s">
        <v>622</v>
      </c>
      <c r="D108" s="89">
        <f>'2019 Legal Max'!CW109-'2019 Legal Max'!Q109-'2019 Legal Max'!AU109</f>
        <v>898.4</v>
      </c>
      <c r="E108" s="89">
        <f>'2019 Legal Max'!AE109</f>
        <v>60</v>
      </c>
      <c r="F108" s="301">
        <f t="shared" si="2"/>
        <v>6.68</v>
      </c>
      <c r="G108" s="83">
        <f>(F108/100)*'2019 Legal Max'!BS109</f>
        <v>88845</v>
      </c>
      <c r="H108" s="126">
        <f>'2019 Legal Max'!Y109</f>
        <v>3.9</v>
      </c>
      <c r="I108" s="134">
        <f>IF('2019 Legal Max'!Y109=0,0,ROUND((H108/D108)*100,2))</f>
        <v>0.43</v>
      </c>
      <c r="J108" s="83">
        <f>(I108/100)*'2019 Legal Max'!BS109</f>
        <v>5719</v>
      </c>
      <c r="K108" s="302" t="str">
        <f>'2019 Legal Max'!BD109</f>
        <v>A</v>
      </c>
    </row>
    <row r="109" spans="1:11">
      <c r="A109" s="88">
        <v>308</v>
      </c>
      <c r="B109" s="87" t="s">
        <v>49</v>
      </c>
      <c r="C109" s="87" t="s">
        <v>623</v>
      </c>
      <c r="D109" s="89">
        <f>'2019 Legal Max'!CW110-'2019 Legal Max'!Q110-'2019 Legal Max'!AU110</f>
        <v>7340.6</v>
      </c>
      <c r="E109" s="89">
        <f>'2019 Legal Max'!AE110</f>
        <v>1146.5999999999999</v>
      </c>
      <c r="F109" s="301">
        <f t="shared" si="2"/>
        <v>15.62</v>
      </c>
      <c r="G109" s="83">
        <f>(F109/100)*'2019 Legal Max'!BS110</f>
        <v>1530875</v>
      </c>
      <c r="H109" s="126">
        <f>'2019 Legal Max'!Y110</f>
        <v>35</v>
      </c>
      <c r="I109" s="134">
        <f>IF('2019 Legal Max'!Y110=0,0,ROUND((H109/D109)*100,2))</f>
        <v>0.48</v>
      </c>
      <c r="J109" s="83">
        <f>(I109/100)*'2019 Legal Max'!BS110</f>
        <v>47044</v>
      </c>
      <c r="K109" s="302" t="str">
        <f>'2019 Legal Max'!BD110</f>
        <v>A</v>
      </c>
    </row>
    <row r="110" spans="1:11">
      <c r="A110" s="88">
        <v>309</v>
      </c>
      <c r="B110" s="87" t="s">
        <v>49</v>
      </c>
      <c r="C110" s="87" t="s">
        <v>624</v>
      </c>
      <c r="D110" s="89">
        <f>'2019 Legal Max'!CW111-'2019 Legal Max'!Q111-'2019 Legal Max'!AU111</f>
        <v>2060.1</v>
      </c>
      <c r="E110" s="89">
        <f>'2019 Legal Max'!AE111</f>
        <v>256</v>
      </c>
      <c r="F110" s="301">
        <f t="shared" si="2"/>
        <v>12.43</v>
      </c>
      <c r="G110" s="83">
        <f>(F110/100)*'2019 Legal Max'!BS111</f>
        <v>342852</v>
      </c>
      <c r="H110" s="126">
        <f>'2019 Legal Max'!Y111</f>
        <v>2.8</v>
      </c>
      <c r="I110" s="134">
        <f>IF('2019 Legal Max'!Y111=0,0,ROUND((H110/D110)*100,2))</f>
        <v>0.14000000000000001</v>
      </c>
      <c r="J110" s="83">
        <f>(I110/100)*'2019 Legal Max'!BS111</f>
        <v>3862</v>
      </c>
      <c r="K110" s="302" t="str">
        <f>'2019 Legal Max'!BD111</f>
        <v>A</v>
      </c>
    </row>
    <row r="111" spans="1:11">
      <c r="A111" s="88">
        <v>310</v>
      </c>
      <c r="B111" s="87" t="s">
        <v>49</v>
      </c>
      <c r="C111" s="87" t="s">
        <v>625</v>
      </c>
      <c r="D111" s="89">
        <f>'2019 Legal Max'!CW112-'2019 Legal Max'!Q112-'2019 Legal Max'!AU112</f>
        <v>681.4</v>
      </c>
      <c r="E111" s="89">
        <f>'2019 Legal Max'!AE112</f>
        <v>65.8</v>
      </c>
      <c r="F111" s="301">
        <f t="shared" si="2"/>
        <v>9.66</v>
      </c>
      <c r="G111" s="83">
        <f>(F111/100)*'2019 Legal Max'!BS112</f>
        <v>89685</v>
      </c>
      <c r="H111" s="126">
        <f>'2019 Legal Max'!Y112</f>
        <v>3.1</v>
      </c>
      <c r="I111" s="134">
        <f>IF('2019 Legal Max'!Y112=0,0,ROUND((H111/D111)*100,2))</f>
        <v>0.45</v>
      </c>
      <c r="J111" s="83">
        <f>(I111/100)*'2019 Legal Max'!BS112</f>
        <v>4178</v>
      </c>
      <c r="K111" s="302" t="str">
        <f>'2019 Legal Max'!BD112</f>
        <v>A</v>
      </c>
    </row>
    <row r="112" spans="1:11">
      <c r="A112" s="88">
        <v>311</v>
      </c>
      <c r="B112" s="87" t="s">
        <v>49</v>
      </c>
      <c r="C112" s="87" t="s">
        <v>626</v>
      </c>
      <c r="D112" s="89">
        <f>'2019 Legal Max'!CW113-'2019 Legal Max'!Q113-'2019 Legal Max'!AU113</f>
        <v>554.70000000000005</v>
      </c>
      <c r="E112" s="89">
        <f>'2019 Legal Max'!AE113</f>
        <v>36.799999999999997</v>
      </c>
      <c r="F112" s="301">
        <f t="shared" si="2"/>
        <v>6.63</v>
      </c>
      <c r="G112" s="83">
        <f>(F112/100)*'2019 Legal Max'!BS113</f>
        <v>49314</v>
      </c>
      <c r="H112" s="126">
        <f>'2019 Legal Max'!Y113</f>
        <v>0</v>
      </c>
      <c r="I112" s="134">
        <f>IF('2019 Legal Max'!Y113=0,0,ROUND((H112/D112)*100,2))</f>
        <v>0</v>
      </c>
      <c r="J112" s="83">
        <f>(I112/100)*'2019 Legal Max'!BS113</f>
        <v>0</v>
      </c>
      <c r="K112" s="302" t="str">
        <f>'2019 Legal Max'!BD113</f>
        <v>A</v>
      </c>
    </row>
    <row r="113" spans="1:11">
      <c r="A113" s="88">
        <v>312</v>
      </c>
      <c r="B113" s="87" t="s">
        <v>49</v>
      </c>
      <c r="C113" s="87" t="s">
        <v>627</v>
      </c>
      <c r="D113" s="89">
        <f>'2019 Legal Max'!CW114-'2019 Legal Max'!Q114-'2019 Legal Max'!AU114</f>
        <v>1609.1</v>
      </c>
      <c r="E113" s="89">
        <f>'2019 Legal Max'!AE114</f>
        <v>114.2</v>
      </c>
      <c r="F113" s="301">
        <f t="shared" si="2"/>
        <v>7.1</v>
      </c>
      <c r="G113" s="83">
        <f>(F113/100)*'2019 Legal Max'!BS114</f>
        <v>159229</v>
      </c>
      <c r="H113" s="126">
        <f>'2019 Legal Max'!Y114</f>
        <v>8.1</v>
      </c>
      <c r="I113" s="134">
        <f>IF('2019 Legal Max'!Y114=0,0,ROUND((H113/D113)*100,2))</f>
        <v>0.5</v>
      </c>
      <c r="J113" s="83">
        <f>(I113/100)*'2019 Legal Max'!BS114</f>
        <v>11213</v>
      </c>
      <c r="K113" s="302" t="str">
        <f>'2019 Legal Max'!BD114</f>
        <v>A</v>
      </c>
    </row>
    <row r="114" spans="1:11">
      <c r="A114" s="88">
        <v>313</v>
      </c>
      <c r="B114" s="87" t="s">
        <v>49</v>
      </c>
      <c r="C114" s="87" t="s">
        <v>628</v>
      </c>
      <c r="D114" s="89">
        <f>'2019 Legal Max'!CW115-'2019 Legal Max'!Q115-'2019 Legal Max'!AU115</f>
        <v>3468.1</v>
      </c>
      <c r="E114" s="89">
        <f>'2019 Legal Max'!AE115</f>
        <v>289.39999999999998</v>
      </c>
      <c r="F114" s="301">
        <f t="shared" si="2"/>
        <v>8.34</v>
      </c>
      <c r="G114" s="83">
        <f>(F114/100)*'2019 Legal Max'!BS115</f>
        <v>385739</v>
      </c>
      <c r="H114" s="126">
        <f>'2019 Legal Max'!Y115</f>
        <v>4.5999999999999996</v>
      </c>
      <c r="I114" s="134">
        <f>IF('2019 Legal Max'!Y115=0,0,ROUND((H114/D114)*100,2))</f>
        <v>0.13</v>
      </c>
      <c r="J114" s="83">
        <f>(I114/100)*'2019 Legal Max'!BS115</f>
        <v>6013</v>
      </c>
      <c r="K114" s="302" t="str">
        <f>'2019 Legal Max'!BD115</f>
        <v>A</v>
      </c>
    </row>
    <row r="115" spans="1:11">
      <c r="A115" s="88">
        <v>314</v>
      </c>
      <c r="B115" s="87" t="s">
        <v>50</v>
      </c>
      <c r="C115" s="87" t="s">
        <v>629</v>
      </c>
      <c r="D115" s="89">
        <f>'2019 Legal Max'!CW116-'2019 Legal Max'!Q116-'2019 Legal Max'!AU116</f>
        <v>343</v>
      </c>
      <c r="E115" s="89">
        <f>'2019 Legal Max'!AE116</f>
        <v>17.899999999999999</v>
      </c>
      <c r="F115" s="301">
        <f t="shared" si="2"/>
        <v>5.22</v>
      </c>
      <c r="G115" s="83">
        <f>(F115/100)*'2019 Legal Max'!BS116</f>
        <v>23936</v>
      </c>
      <c r="H115" s="126">
        <f>'2019 Legal Max'!Y116</f>
        <v>0</v>
      </c>
      <c r="I115" s="134">
        <f>IF('2019 Legal Max'!Y116=0,0,ROUND((H115/D115)*100,2))</f>
        <v>0</v>
      </c>
      <c r="J115" s="83">
        <f>(I115/100)*'2019 Legal Max'!BS116</f>
        <v>0</v>
      </c>
      <c r="K115" s="302" t="str">
        <f>'2019 Legal Max'!BD116</f>
        <v>A</v>
      </c>
    </row>
    <row r="116" spans="1:11">
      <c r="A116" s="88">
        <v>315</v>
      </c>
      <c r="B116" s="87" t="s">
        <v>50</v>
      </c>
      <c r="C116" s="87" t="s">
        <v>630</v>
      </c>
      <c r="D116" s="89">
        <f>'2019 Legal Max'!CW117-'2019 Legal Max'!Q117-'2019 Legal Max'!AU117</f>
        <v>1512.9</v>
      </c>
      <c r="E116" s="89">
        <f>'2019 Legal Max'!AE117</f>
        <v>123.9</v>
      </c>
      <c r="F116" s="301">
        <f t="shared" si="2"/>
        <v>8.19</v>
      </c>
      <c r="G116" s="83">
        <f>(F116/100)*'2019 Legal Max'!BS117</f>
        <v>175476</v>
      </c>
      <c r="H116" s="126">
        <f>'2019 Legal Max'!Y117</f>
        <v>9.4</v>
      </c>
      <c r="I116" s="134">
        <f>IF('2019 Legal Max'!Y117=0,0,ROUND((H116/D116)*100,2))</f>
        <v>0.62</v>
      </c>
      <c r="J116" s="83">
        <f>(I116/100)*'2019 Legal Max'!BS117</f>
        <v>13284</v>
      </c>
      <c r="K116" s="302" t="str">
        <f>'2019 Legal Max'!BD117</f>
        <v>A</v>
      </c>
    </row>
    <row r="117" spans="1:11">
      <c r="A117" s="88">
        <v>316</v>
      </c>
      <c r="B117" s="87" t="s">
        <v>50</v>
      </c>
      <c r="C117" s="87" t="s">
        <v>631</v>
      </c>
      <c r="D117" s="89">
        <f>'2019 Legal Max'!CW118-'2019 Legal Max'!Q118-'2019 Legal Max'!AU118</f>
        <v>479.8</v>
      </c>
      <c r="E117" s="89">
        <f>'2019 Legal Max'!AE118</f>
        <v>49.4</v>
      </c>
      <c r="F117" s="301">
        <f t="shared" si="2"/>
        <v>10.3</v>
      </c>
      <c r="G117" s="83">
        <f>(F117/100)*'2019 Legal Max'!BS118</f>
        <v>68127</v>
      </c>
      <c r="H117" s="126">
        <f>'2019 Legal Max'!Y118</f>
        <v>5</v>
      </c>
      <c r="I117" s="134">
        <f>IF('2019 Legal Max'!Y118=0,0,ROUND((H117/D117)*100,2))</f>
        <v>1.04</v>
      </c>
      <c r="J117" s="83">
        <f>(I117/100)*'2019 Legal Max'!BS118</f>
        <v>6879</v>
      </c>
      <c r="K117" s="302" t="str">
        <f>'2019 Legal Max'!BD118</f>
        <v>A</v>
      </c>
    </row>
    <row r="118" spans="1:11">
      <c r="A118" s="88">
        <v>320</v>
      </c>
      <c r="B118" s="87" t="s">
        <v>52</v>
      </c>
      <c r="C118" s="87" t="s">
        <v>632</v>
      </c>
      <c r="D118" s="89">
        <f>'2019 Legal Max'!CW119-'2019 Legal Max'!Q119-'2019 Legal Max'!AU119</f>
        <v>2277.1</v>
      </c>
      <c r="E118" s="89">
        <f>'2019 Legal Max'!AE119</f>
        <v>151.5</v>
      </c>
      <c r="F118" s="301">
        <f t="shared" si="2"/>
        <v>6.65</v>
      </c>
      <c r="G118" s="83">
        <f>(F118/100)*'2019 Legal Max'!BS119</f>
        <v>201418</v>
      </c>
      <c r="H118" s="126">
        <f>'2019 Legal Max'!Y119</f>
        <v>2.8</v>
      </c>
      <c r="I118" s="134">
        <f>IF('2019 Legal Max'!Y119=0,0,ROUND((H118/D118)*100,2))</f>
        <v>0.12</v>
      </c>
      <c r="J118" s="83">
        <f>(I118/100)*'2019 Legal Max'!BS119</f>
        <v>3635</v>
      </c>
      <c r="K118" s="302" t="str">
        <f>'2019 Legal Max'!BD119</f>
        <v>A</v>
      </c>
    </row>
    <row r="119" spans="1:11">
      <c r="A119" s="88">
        <v>321</v>
      </c>
      <c r="B119" s="87" t="s">
        <v>52</v>
      </c>
      <c r="C119" s="87" t="s">
        <v>633</v>
      </c>
      <c r="D119" s="89">
        <f>'2019 Legal Max'!CW120-'2019 Legal Max'!Q120-'2019 Legal Max'!AU120</f>
        <v>2053.5</v>
      </c>
      <c r="E119" s="89">
        <f>'2019 Legal Max'!AE120</f>
        <v>150</v>
      </c>
      <c r="F119" s="301">
        <f t="shared" si="2"/>
        <v>7.3</v>
      </c>
      <c r="G119" s="83">
        <f>(F119/100)*'2019 Legal Max'!BS120</f>
        <v>219853</v>
      </c>
      <c r="H119" s="126">
        <f>'2019 Legal Max'!Y120</f>
        <v>0.6</v>
      </c>
      <c r="I119" s="134">
        <f>IF('2019 Legal Max'!Y120=0,0,ROUND((H119/D119)*100,2))</f>
        <v>0.03</v>
      </c>
      <c r="J119" s="83">
        <f>(I119/100)*'2019 Legal Max'!BS120</f>
        <v>904</v>
      </c>
      <c r="K119" s="302" t="str">
        <f>'2019 Legal Max'!BD120</f>
        <v>A</v>
      </c>
    </row>
    <row r="120" spans="1:11">
      <c r="A120" s="88">
        <v>322</v>
      </c>
      <c r="B120" s="87" t="s">
        <v>52</v>
      </c>
      <c r="C120" s="87" t="s">
        <v>634</v>
      </c>
      <c r="D120" s="89">
        <f>'2019 Legal Max'!CW121-'2019 Legal Max'!Q121-'2019 Legal Max'!AU121</f>
        <v>596.20000000000005</v>
      </c>
      <c r="E120" s="89">
        <f>'2019 Legal Max'!AE121</f>
        <v>46</v>
      </c>
      <c r="F120" s="301">
        <f t="shared" si="2"/>
        <v>7.72</v>
      </c>
      <c r="G120" s="83">
        <f>(F120/100)*'2019 Legal Max'!BS121</f>
        <v>63447</v>
      </c>
      <c r="H120" s="126">
        <f>'2019 Legal Max'!Y121</f>
        <v>0</v>
      </c>
      <c r="I120" s="134">
        <f>IF('2019 Legal Max'!Y121=0,0,ROUND((H120/D120)*100,2))</f>
        <v>0</v>
      </c>
      <c r="J120" s="83">
        <f>(I120/100)*'2019 Legal Max'!BS121</f>
        <v>0</v>
      </c>
      <c r="K120" s="302" t="str">
        <f>'2019 Legal Max'!BD121</f>
        <v>A</v>
      </c>
    </row>
    <row r="121" spans="1:11">
      <c r="A121" s="88">
        <v>323</v>
      </c>
      <c r="B121" s="87" t="s">
        <v>52</v>
      </c>
      <c r="C121" s="87" t="s">
        <v>635</v>
      </c>
      <c r="D121" s="89">
        <f>'2019 Legal Max'!CW122-'2019 Legal Max'!Q122-'2019 Legal Max'!AU122</f>
        <v>1792.9</v>
      </c>
      <c r="E121" s="89">
        <f>'2019 Legal Max'!AE122</f>
        <v>89.1</v>
      </c>
      <c r="F121" s="301">
        <f t="shared" si="2"/>
        <v>4.97</v>
      </c>
      <c r="G121" s="83">
        <f>(F121/100)*'2019 Legal Max'!BS122</f>
        <v>118740</v>
      </c>
      <c r="H121" s="126">
        <f>'2019 Legal Max'!Y122</f>
        <v>2</v>
      </c>
      <c r="I121" s="134">
        <f>IF('2019 Legal Max'!Y122=0,0,ROUND((H121/D121)*100,2))</f>
        <v>0.11</v>
      </c>
      <c r="J121" s="83">
        <f>(I121/100)*'2019 Legal Max'!BS122</f>
        <v>2628</v>
      </c>
      <c r="K121" s="302" t="str">
        <f>'2019 Legal Max'!BD122</f>
        <v>A</v>
      </c>
    </row>
    <row r="122" spans="1:11">
      <c r="A122" s="88">
        <v>325</v>
      </c>
      <c r="B122" s="87" t="s">
        <v>53</v>
      </c>
      <c r="C122" s="87" t="s">
        <v>636</v>
      </c>
      <c r="D122" s="89">
        <f>'2019 Legal Max'!CW123-'2019 Legal Max'!Q123-'2019 Legal Max'!AU123</f>
        <v>1171.2</v>
      </c>
      <c r="E122" s="89">
        <f>'2019 Legal Max'!AE123</f>
        <v>81.8</v>
      </c>
      <c r="F122" s="301">
        <f t="shared" si="2"/>
        <v>6.98</v>
      </c>
      <c r="G122" s="83">
        <f>(F122/100)*'2019 Legal Max'!BS123</f>
        <v>109252</v>
      </c>
      <c r="H122" s="126">
        <f>'2019 Legal Max'!Y123</f>
        <v>0</v>
      </c>
      <c r="I122" s="134">
        <f>IF('2019 Legal Max'!Y123=0,0,ROUND((H122/D122)*100,2))</f>
        <v>0</v>
      </c>
      <c r="J122" s="83">
        <f>(I122/100)*'2019 Legal Max'!BS123</f>
        <v>0</v>
      </c>
      <c r="K122" s="302" t="str">
        <f>'2019 Legal Max'!BD123</f>
        <v>A</v>
      </c>
    </row>
    <row r="123" spans="1:11">
      <c r="A123" s="88">
        <v>326</v>
      </c>
      <c r="B123" s="87" t="s">
        <v>53</v>
      </c>
      <c r="C123" s="87" t="s">
        <v>637</v>
      </c>
      <c r="D123" s="89">
        <f>'2019 Legal Max'!CW124-'2019 Legal Max'!Q124-'2019 Legal Max'!AU124</f>
        <v>369.8</v>
      </c>
      <c r="E123" s="89">
        <f>'2019 Legal Max'!AE124</f>
        <v>15.5</v>
      </c>
      <c r="F123" s="301">
        <f t="shared" si="2"/>
        <v>4.1900000000000004</v>
      </c>
      <c r="G123" s="83">
        <f>(F123/100)*'2019 Legal Max'!BS124</f>
        <v>21206</v>
      </c>
      <c r="H123" s="126">
        <f>'2019 Legal Max'!Y124</f>
        <v>0</v>
      </c>
      <c r="I123" s="134">
        <f>IF('2019 Legal Max'!Y124=0,0,ROUND((H123/D123)*100,2))</f>
        <v>0</v>
      </c>
      <c r="J123" s="83">
        <f>(I123/100)*'2019 Legal Max'!BS124</f>
        <v>0</v>
      </c>
      <c r="K123" s="302" t="str">
        <f>'2019 Legal Max'!BD124</f>
        <v>A</v>
      </c>
    </row>
    <row r="124" spans="1:11">
      <c r="A124" s="88">
        <v>327</v>
      </c>
      <c r="B124" s="87" t="s">
        <v>54</v>
      </c>
      <c r="C124" s="87" t="s">
        <v>638</v>
      </c>
      <c r="D124" s="89">
        <f>'2019 Legal Max'!CW125-'2019 Legal Max'!Q125-'2019 Legal Max'!AU125</f>
        <v>1185.9000000000001</v>
      </c>
      <c r="E124" s="89">
        <f>'2019 Legal Max'!AE125</f>
        <v>74.099999999999994</v>
      </c>
      <c r="F124" s="301">
        <f t="shared" si="2"/>
        <v>6.25</v>
      </c>
      <c r="G124" s="83">
        <f>(F124/100)*'2019 Legal Max'!BS125</f>
        <v>98916</v>
      </c>
      <c r="H124" s="126">
        <f>'2019 Legal Max'!Y125</f>
        <v>0</v>
      </c>
      <c r="I124" s="134">
        <f>IF('2019 Legal Max'!Y125=0,0,ROUND((H124/D124)*100,2))</f>
        <v>0</v>
      </c>
      <c r="J124" s="83">
        <f>(I124/100)*'2019 Legal Max'!BS125</f>
        <v>0</v>
      </c>
      <c r="K124" s="302" t="str">
        <f>'2019 Legal Max'!BD125</f>
        <v>A</v>
      </c>
    </row>
    <row r="125" spans="1:11">
      <c r="A125" s="88">
        <v>329</v>
      </c>
      <c r="B125" s="87" t="s">
        <v>55</v>
      </c>
      <c r="C125" s="87" t="s">
        <v>639</v>
      </c>
      <c r="D125" s="89">
        <f>'2019 Legal Max'!CW126-'2019 Legal Max'!Q126-'2019 Legal Max'!AU126</f>
        <v>890.4</v>
      </c>
      <c r="E125" s="89">
        <f>'2019 Legal Max'!AE126</f>
        <v>37.299999999999997</v>
      </c>
      <c r="F125" s="301">
        <f t="shared" si="2"/>
        <v>4.1900000000000004</v>
      </c>
      <c r="G125" s="83">
        <f>(F125/100)*'2019 Legal Max'!BS126</f>
        <v>55545</v>
      </c>
      <c r="H125" s="126">
        <f>'2019 Legal Max'!Y126</f>
        <v>0</v>
      </c>
      <c r="I125" s="134">
        <f>IF('2019 Legal Max'!Y126=0,0,ROUND((H125/D125)*100,2))</f>
        <v>0</v>
      </c>
      <c r="J125" s="83">
        <f>(I125/100)*'2019 Legal Max'!BS126</f>
        <v>0</v>
      </c>
      <c r="K125" s="302" t="str">
        <f>'2019 Legal Max'!BD126</f>
        <v>A</v>
      </c>
    </row>
    <row r="126" spans="1:11">
      <c r="A126" s="88">
        <v>330</v>
      </c>
      <c r="B126" s="87" t="s">
        <v>55</v>
      </c>
      <c r="C126" s="87" t="s">
        <v>640</v>
      </c>
      <c r="D126" s="89">
        <f>'2019 Legal Max'!CW127-'2019 Legal Max'!Q127-'2019 Legal Max'!AU127</f>
        <v>1007.3</v>
      </c>
      <c r="E126" s="89">
        <f>'2019 Legal Max'!AE127</f>
        <v>53.2</v>
      </c>
      <c r="F126" s="301">
        <f t="shared" si="2"/>
        <v>5.28</v>
      </c>
      <c r="G126" s="83">
        <f>(F126/100)*'2019 Legal Max'!BS127</f>
        <v>72538</v>
      </c>
      <c r="H126" s="126">
        <f>'2019 Legal Max'!Y127</f>
        <v>0</v>
      </c>
      <c r="I126" s="134">
        <f>IF('2019 Legal Max'!Y127=0,0,ROUND((H126/D126)*100,2))</f>
        <v>0</v>
      </c>
      <c r="J126" s="83">
        <f>(I126/100)*'2019 Legal Max'!BS127</f>
        <v>0</v>
      </c>
      <c r="K126" s="302" t="str">
        <f>'2019 Legal Max'!BD127</f>
        <v>A</v>
      </c>
    </row>
    <row r="127" spans="1:11">
      <c r="A127" s="88">
        <v>331</v>
      </c>
      <c r="B127" s="87" t="s">
        <v>56</v>
      </c>
      <c r="C127" s="87" t="s">
        <v>641</v>
      </c>
      <c r="D127" s="89">
        <f>'2019 Legal Max'!CW128-'2019 Legal Max'!Q128-'2019 Legal Max'!AU128</f>
        <v>1720.2</v>
      </c>
      <c r="E127" s="89">
        <f>'2019 Legal Max'!AE128</f>
        <v>155.80000000000001</v>
      </c>
      <c r="F127" s="301">
        <f t="shared" si="2"/>
        <v>9.06</v>
      </c>
      <c r="G127" s="83">
        <f>(F127/100)*'2019 Legal Max'!BS128</f>
        <v>211030</v>
      </c>
      <c r="H127" s="126">
        <f>'2019 Legal Max'!Y128</f>
        <v>0.2</v>
      </c>
      <c r="I127" s="134">
        <f>IF('2019 Legal Max'!Y128=0,0,ROUND((H127/D127)*100,2))</f>
        <v>0.01</v>
      </c>
      <c r="J127" s="83">
        <f>(I127/100)*'2019 Legal Max'!BS128</f>
        <v>233</v>
      </c>
      <c r="K127" s="302" t="str">
        <f>'2019 Legal Max'!BD128</f>
        <v>A</v>
      </c>
    </row>
    <row r="128" spans="1:11">
      <c r="A128" s="88">
        <v>332</v>
      </c>
      <c r="B128" s="87" t="s">
        <v>56</v>
      </c>
      <c r="C128" s="87" t="s">
        <v>642</v>
      </c>
      <c r="D128" s="89">
        <f>'2019 Legal Max'!CW129-'2019 Legal Max'!Q129-'2019 Legal Max'!AU129</f>
        <v>399.7</v>
      </c>
      <c r="E128" s="89">
        <f>'2019 Legal Max'!AE129</f>
        <v>23.2</v>
      </c>
      <c r="F128" s="301">
        <f t="shared" si="2"/>
        <v>5.8</v>
      </c>
      <c r="G128" s="83">
        <f>(F128/100)*'2019 Legal Max'!BS129</f>
        <v>31233</v>
      </c>
      <c r="H128" s="126">
        <f>'2019 Legal Max'!Y129</f>
        <v>0</v>
      </c>
      <c r="I128" s="134">
        <f>IF('2019 Legal Max'!Y129=0,0,ROUND((H128/D128)*100,2))</f>
        <v>0</v>
      </c>
      <c r="J128" s="83">
        <f>(I128/100)*'2019 Legal Max'!BS129</f>
        <v>0</v>
      </c>
      <c r="K128" s="302" t="str">
        <f>'2019 Legal Max'!BD129</f>
        <v>A</v>
      </c>
    </row>
    <row r="129" spans="1:11">
      <c r="A129" s="88">
        <v>333</v>
      </c>
      <c r="B129" s="87" t="s">
        <v>57</v>
      </c>
      <c r="C129" s="87" t="s">
        <v>643</v>
      </c>
      <c r="D129" s="89">
        <f>'2019 Legal Max'!CW130-'2019 Legal Max'!Q130-'2019 Legal Max'!AU130</f>
        <v>1877.9</v>
      </c>
      <c r="E129" s="89">
        <f>'2019 Legal Max'!AE130</f>
        <v>201.3</v>
      </c>
      <c r="F129" s="301">
        <f t="shared" si="2"/>
        <v>10.72</v>
      </c>
      <c r="G129" s="83">
        <f>(F129/100)*'2019 Legal Max'!BS130</f>
        <v>272515</v>
      </c>
      <c r="H129" s="126">
        <f>'2019 Legal Max'!Y130</f>
        <v>4.3</v>
      </c>
      <c r="I129" s="134">
        <f>IF('2019 Legal Max'!Y130=0,0,ROUND((H129/D129)*100,2))</f>
        <v>0.23</v>
      </c>
      <c r="J129" s="83">
        <f>(I129/100)*'2019 Legal Max'!BS130</f>
        <v>5847</v>
      </c>
      <c r="K129" s="302" t="str">
        <f>'2019 Legal Max'!BD130</f>
        <v>A</v>
      </c>
    </row>
    <row r="130" spans="1:11">
      <c r="A130" s="88">
        <v>334</v>
      </c>
      <c r="B130" s="87" t="s">
        <v>57</v>
      </c>
      <c r="C130" s="87" t="s">
        <v>644</v>
      </c>
      <c r="D130" s="89">
        <f>'2019 Legal Max'!CW131-'2019 Legal Max'!Q131-'2019 Legal Max'!AU131</f>
        <v>449</v>
      </c>
      <c r="E130" s="89">
        <f>'2019 Legal Max'!AE131</f>
        <v>39.700000000000003</v>
      </c>
      <c r="F130" s="301">
        <f t="shared" si="2"/>
        <v>8.84</v>
      </c>
      <c r="G130" s="83">
        <f>(F130/100)*'2019 Legal Max'!BS131</f>
        <v>59712</v>
      </c>
      <c r="H130" s="126">
        <f>'2019 Legal Max'!Y131</f>
        <v>0</v>
      </c>
      <c r="I130" s="134">
        <f>IF('2019 Legal Max'!Y131=0,0,ROUND((H130/D130)*100,2))</f>
        <v>0</v>
      </c>
      <c r="J130" s="83">
        <f>(I130/100)*'2019 Legal Max'!BS131</f>
        <v>0</v>
      </c>
      <c r="K130" s="302" t="str">
        <f>'2019 Legal Max'!BD131</f>
        <v>A</v>
      </c>
    </row>
    <row r="131" spans="1:11">
      <c r="A131" s="88">
        <v>335</v>
      </c>
      <c r="B131" s="87" t="s">
        <v>58</v>
      </c>
      <c r="C131" s="87" t="s">
        <v>645</v>
      </c>
      <c r="D131" s="89">
        <f>'2019 Legal Max'!CW132-'2019 Legal Max'!Q132-'2019 Legal Max'!AU132</f>
        <v>754</v>
      </c>
      <c r="E131" s="89">
        <f>'2019 Legal Max'!AE132</f>
        <v>55.7</v>
      </c>
      <c r="F131" s="301">
        <f t="shared" si="2"/>
        <v>7.39</v>
      </c>
      <c r="G131" s="83">
        <f>(F131/100)*'2019 Legal Max'!BS132</f>
        <v>75540</v>
      </c>
      <c r="H131" s="126">
        <f>'2019 Legal Max'!Y132</f>
        <v>0</v>
      </c>
      <c r="I131" s="134">
        <f>IF('2019 Legal Max'!Y132=0,0,ROUND((H131/D131)*100,2))</f>
        <v>0</v>
      </c>
      <c r="J131" s="83">
        <f>(I131/100)*'2019 Legal Max'!BS132</f>
        <v>0</v>
      </c>
      <c r="K131" s="302" t="str">
        <f>'2019 Legal Max'!BD132</f>
        <v>A</v>
      </c>
    </row>
    <row r="132" spans="1:11">
      <c r="A132" s="88">
        <v>336</v>
      </c>
      <c r="B132" s="87" t="s">
        <v>58</v>
      </c>
      <c r="C132" s="87" t="s">
        <v>646</v>
      </c>
      <c r="D132" s="89">
        <f>'2019 Legal Max'!CW133-'2019 Legal Max'!Q133-'2019 Legal Max'!AU133</f>
        <v>1811.5</v>
      </c>
      <c r="E132" s="89">
        <f>'2019 Legal Max'!AE133</f>
        <v>167.9</v>
      </c>
      <c r="F132" s="301">
        <f t="shared" si="2"/>
        <v>9.27</v>
      </c>
      <c r="G132" s="83">
        <f>(F132/100)*'2019 Legal Max'!BS133</f>
        <v>228501</v>
      </c>
      <c r="H132" s="126">
        <f>'2019 Legal Max'!Y133</f>
        <v>6.8</v>
      </c>
      <c r="I132" s="134">
        <f>IF('2019 Legal Max'!Y133=0,0,ROUND((H132/D132)*100,2))</f>
        <v>0.38</v>
      </c>
      <c r="J132" s="83">
        <f>(I132/100)*'2019 Legal Max'!BS133</f>
        <v>9367</v>
      </c>
      <c r="K132" s="302" t="str">
        <f>'2019 Legal Max'!BD133</f>
        <v>A</v>
      </c>
    </row>
    <row r="133" spans="1:11">
      <c r="A133" s="88">
        <v>337</v>
      </c>
      <c r="B133" s="87" t="s">
        <v>58</v>
      </c>
      <c r="C133" s="87" t="s">
        <v>647</v>
      </c>
      <c r="D133" s="89">
        <f>'2019 Legal Max'!CW134-'2019 Legal Max'!Q134-'2019 Legal Max'!AU134</f>
        <v>1573.5</v>
      </c>
      <c r="E133" s="89">
        <f>'2019 Legal Max'!AE134</f>
        <v>158.30000000000001</v>
      </c>
      <c r="F133" s="301">
        <f t="shared" ref="F133:F196" si="3">IF(E133=0,0,ROUND((E133/D133)*100,2))</f>
        <v>10.06</v>
      </c>
      <c r="G133" s="83">
        <f>(F133/100)*'2019 Legal Max'!BS134</f>
        <v>217742</v>
      </c>
      <c r="H133" s="126">
        <f>'2019 Legal Max'!Y134</f>
        <v>0</v>
      </c>
      <c r="I133" s="134">
        <f>IF('2019 Legal Max'!Y134=0,0,ROUND((H133/D133)*100,2))</f>
        <v>0</v>
      </c>
      <c r="J133" s="83">
        <f>(I133/100)*'2019 Legal Max'!BS134</f>
        <v>0</v>
      </c>
      <c r="K133" s="302" t="str">
        <f>'2019 Legal Max'!BD134</f>
        <v>A</v>
      </c>
    </row>
    <row r="134" spans="1:11">
      <c r="A134" s="88">
        <v>338</v>
      </c>
      <c r="B134" s="87" t="s">
        <v>59</v>
      </c>
      <c r="C134" s="87" t="s">
        <v>648</v>
      </c>
      <c r="D134" s="89">
        <f>'2019 Legal Max'!CW135-'2019 Legal Max'!Q135-'2019 Legal Max'!AU135</f>
        <v>777.4</v>
      </c>
      <c r="E134" s="89">
        <f>'2019 Legal Max'!AE135</f>
        <v>45.5</v>
      </c>
      <c r="F134" s="301">
        <f t="shared" si="3"/>
        <v>5.85</v>
      </c>
      <c r="G134" s="83">
        <f>(F134/100)*'2019 Legal Max'!BS135</f>
        <v>66730</v>
      </c>
      <c r="H134" s="126">
        <f>'2019 Legal Max'!Y135</f>
        <v>0</v>
      </c>
      <c r="I134" s="134">
        <f>IF('2019 Legal Max'!Y135=0,0,ROUND((H134/D134)*100,2))</f>
        <v>0</v>
      </c>
      <c r="J134" s="83">
        <f>(I134/100)*'2019 Legal Max'!BS135</f>
        <v>0</v>
      </c>
      <c r="K134" s="302" t="str">
        <f>'2019 Legal Max'!BD135</f>
        <v>A</v>
      </c>
    </row>
    <row r="135" spans="1:11">
      <c r="A135" s="88">
        <v>339</v>
      </c>
      <c r="B135" s="87" t="s">
        <v>59</v>
      </c>
      <c r="C135" s="87" t="s">
        <v>649</v>
      </c>
      <c r="D135" s="89">
        <f>'2019 Legal Max'!CW136-'2019 Legal Max'!Q136-'2019 Legal Max'!AU136</f>
        <v>933.9</v>
      </c>
      <c r="E135" s="89">
        <f>'2019 Legal Max'!AE136</f>
        <v>55.7</v>
      </c>
      <c r="F135" s="301">
        <f t="shared" si="3"/>
        <v>5.96</v>
      </c>
      <c r="G135" s="83">
        <f>(F135/100)*'2019 Legal Max'!BS136</f>
        <v>74502</v>
      </c>
      <c r="H135" s="126">
        <f>'2019 Legal Max'!Y136</f>
        <v>0</v>
      </c>
      <c r="I135" s="134">
        <f>IF('2019 Legal Max'!Y136=0,0,ROUND((H135/D135)*100,2))</f>
        <v>0</v>
      </c>
      <c r="J135" s="83">
        <f>(I135/100)*'2019 Legal Max'!BS136</f>
        <v>0</v>
      </c>
      <c r="K135" s="302" t="str">
        <f>'2019 Legal Max'!BD136</f>
        <v>A</v>
      </c>
    </row>
    <row r="136" spans="1:11">
      <c r="A136" s="88">
        <v>340</v>
      </c>
      <c r="B136" s="87" t="s">
        <v>59</v>
      </c>
      <c r="C136" s="87" t="s">
        <v>650</v>
      </c>
      <c r="D136" s="89">
        <f>'2019 Legal Max'!CW137-'2019 Legal Max'!Q137-'2019 Legal Max'!AU137</f>
        <v>1630.6</v>
      </c>
      <c r="E136" s="89">
        <f>'2019 Legal Max'!AE137</f>
        <v>92.9</v>
      </c>
      <c r="F136" s="301">
        <f t="shared" si="3"/>
        <v>5.7</v>
      </c>
      <c r="G136" s="83">
        <f>(F136/100)*'2019 Legal Max'!BS137</f>
        <v>123378</v>
      </c>
      <c r="H136" s="126">
        <f>'2019 Legal Max'!Y137</f>
        <v>0</v>
      </c>
      <c r="I136" s="134">
        <f>IF('2019 Legal Max'!Y137=0,0,ROUND((H136/D136)*100,2))</f>
        <v>0</v>
      </c>
      <c r="J136" s="83">
        <f>(I136/100)*'2019 Legal Max'!BS137</f>
        <v>0</v>
      </c>
      <c r="K136" s="302" t="str">
        <f>'2019 Legal Max'!BD137</f>
        <v>A</v>
      </c>
    </row>
    <row r="137" spans="1:11">
      <c r="A137" s="88">
        <v>341</v>
      </c>
      <c r="B137" s="87" t="s">
        <v>59</v>
      </c>
      <c r="C137" s="87" t="s">
        <v>651</v>
      </c>
      <c r="D137" s="89">
        <f>'2019 Legal Max'!CW138-'2019 Legal Max'!Q138-'2019 Legal Max'!AU138</f>
        <v>1275.0999999999999</v>
      </c>
      <c r="E137" s="89">
        <f>'2019 Legal Max'!AE138</f>
        <v>121.5</v>
      </c>
      <c r="F137" s="301">
        <f t="shared" si="3"/>
        <v>9.5299999999999994</v>
      </c>
      <c r="G137" s="83">
        <f>(F137/100)*'2019 Legal Max'!BS138</f>
        <v>162464</v>
      </c>
      <c r="H137" s="126">
        <f>'2019 Legal Max'!Y138</f>
        <v>0</v>
      </c>
      <c r="I137" s="134">
        <f>IF('2019 Legal Max'!Y138=0,0,ROUND((H137/D137)*100,2))</f>
        <v>0</v>
      </c>
      <c r="J137" s="83">
        <f>(I137/100)*'2019 Legal Max'!BS138</f>
        <v>0</v>
      </c>
      <c r="K137" s="302" t="str">
        <f>'2019 Legal Max'!BD138</f>
        <v>A</v>
      </c>
    </row>
    <row r="138" spans="1:11">
      <c r="A138" s="88">
        <v>342</v>
      </c>
      <c r="B138" s="87" t="s">
        <v>59</v>
      </c>
      <c r="C138" s="87" t="s">
        <v>652</v>
      </c>
      <c r="D138" s="89">
        <f>'2019 Legal Max'!CW139-'2019 Legal Max'!Q139-'2019 Legal Max'!AU139</f>
        <v>995.2</v>
      </c>
      <c r="E138" s="89">
        <f>'2019 Legal Max'!AE139</f>
        <v>69.7</v>
      </c>
      <c r="F138" s="301">
        <f t="shared" si="3"/>
        <v>7</v>
      </c>
      <c r="G138" s="83">
        <f>(F138/100)*'2019 Legal Max'!BS139</f>
        <v>93494</v>
      </c>
      <c r="H138" s="126">
        <f>'2019 Legal Max'!Y139</f>
        <v>0</v>
      </c>
      <c r="I138" s="134">
        <f>IF('2019 Legal Max'!Y139=0,0,ROUND((H138/D138)*100,2))</f>
        <v>0</v>
      </c>
      <c r="J138" s="83">
        <f>(I138/100)*'2019 Legal Max'!BS139</f>
        <v>0</v>
      </c>
      <c r="K138" s="302" t="str">
        <f>'2019 Legal Max'!BD139</f>
        <v>A</v>
      </c>
    </row>
    <row r="139" spans="1:11">
      <c r="A139" s="88">
        <v>343</v>
      </c>
      <c r="B139" s="87" t="s">
        <v>59</v>
      </c>
      <c r="C139" s="87" t="s">
        <v>653</v>
      </c>
      <c r="D139" s="89">
        <f>'2019 Legal Max'!CW140-'2019 Legal Max'!Q140-'2019 Legal Max'!AU140</f>
        <v>1441.7</v>
      </c>
      <c r="E139" s="89">
        <f>'2019 Legal Max'!AE140</f>
        <v>94.9</v>
      </c>
      <c r="F139" s="301">
        <f t="shared" si="3"/>
        <v>6.58</v>
      </c>
      <c r="G139" s="83">
        <f>(F139/100)*'2019 Legal Max'!BS140</f>
        <v>126766</v>
      </c>
      <c r="H139" s="126">
        <f>'2019 Legal Max'!Y140</f>
        <v>0</v>
      </c>
      <c r="I139" s="134">
        <f>IF('2019 Legal Max'!Y140=0,0,ROUND((H139/D139)*100,2))</f>
        <v>0</v>
      </c>
      <c r="J139" s="83">
        <f>(I139/100)*'2019 Legal Max'!BS140</f>
        <v>0</v>
      </c>
      <c r="K139" s="302" t="str">
        <f>'2019 Legal Max'!BD140</f>
        <v>A</v>
      </c>
    </row>
    <row r="140" spans="1:11">
      <c r="A140" s="88">
        <v>344</v>
      </c>
      <c r="B140" s="87" t="s">
        <v>60</v>
      </c>
      <c r="C140" s="87" t="s">
        <v>654</v>
      </c>
      <c r="D140" s="89">
        <f>'2019 Legal Max'!CW141-'2019 Legal Max'!Q141-'2019 Legal Max'!AU141</f>
        <v>689.1</v>
      </c>
      <c r="E140" s="89">
        <f>'2019 Legal Max'!AE141</f>
        <v>64.900000000000006</v>
      </c>
      <c r="F140" s="301">
        <f t="shared" si="3"/>
        <v>9.42</v>
      </c>
      <c r="G140" s="83">
        <f>(F140/100)*'2019 Legal Max'!BS141</f>
        <v>96323</v>
      </c>
      <c r="H140" s="126">
        <f>'2019 Legal Max'!Y141</f>
        <v>0</v>
      </c>
      <c r="I140" s="134">
        <f>IF('2019 Legal Max'!Y141=0,0,ROUND((H140/D140)*100,2))</f>
        <v>0</v>
      </c>
      <c r="J140" s="83">
        <f>(I140/100)*'2019 Legal Max'!BS141</f>
        <v>0</v>
      </c>
      <c r="K140" s="302" t="str">
        <f>'2019 Legal Max'!BD141</f>
        <v>A</v>
      </c>
    </row>
    <row r="141" spans="1:11">
      <c r="A141" s="88">
        <v>345</v>
      </c>
      <c r="B141" s="87" t="s">
        <v>61</v>
      </c>
      <c r="C141" s="87" t="s">
        <v>655</v>
      </c>
      <c r="D141" s="89">
        <f>'2019 Legal Max'!CW142-'2019 Legal Max'!Q142-'2019 Legal Max'!AU142</f>
        <v>5997.7</v>
      </c>
      <c r="E141" s="89">
        <f>'2019 Legal Max'!AE142</f>
        <v>491.3</v>
      </c>
      <c r="F141" s="301">
        <f t="shared" si="3"/>
        <v>8.19</v>
      </c>
      <c r="G141" s="83">
        <f>(F141/100)*'2019 Legal Max'!BS142</f>
        <v>655749</v>
      </c>
      <c r="H141" s="126">
        <f>'2019 Legal Max'!Y142</f>
        <v>5.4</v>
      </c>
      <c r="I141" s="134">
        <f>IF('2019 Legal Max'!Y142=0,0,ROUND((H141/D141)*100,2))</f>
        <v>0.09</v>
      </c>
      <c r="J141" s="83">
        <f>(I141/100)*'2019 Legal Max'!BS142</f>
        <v>7206</v>
      </c>
      <c r="K141" s="302" t="str">
        <f>'2019 Legal Max'!BD142</f>
        <v>A</v>
      </c>
    </row>
    <row r="142" spans="1:11">
      <c r="A142" s="88">
        <v>346</v>
      </c>
      <c r="B142" s="87" t="s">
        <v>60</v>
      </c>
      <c r="C142" s="87" t="s">
        <v>656</v>
      </c>
      <c r="D142" s="89">
        <f>'2019 Legal Max'!CW143-'2019 Legal Max'!Q143-'2019 Legal Max'!AU143</f>
        <v>1230.4000000000001</v>
      </c>
      <c r="E142" s="89">
        <f>'2019 Legal Max'!AE143</f>
        <v>130.19999999999999</v>
      </c>
      <c r="F142" s="301">
        <f t="shared" si="3"/>
        <v>10.58</v>
      </c>
      <c r="G142" s="83">
        <f>(F142/100)*'2019 Legal Max'!BS143</f>
        <v>174358</v>
      </c>
      <c r="H142" s="126">
        <f>'2019 Legal Max'!Y143</f>
        <v>1.5</v>
      </c>
      <c r="I142" s="134">
        <f>IF('2019 Legal Max'!Y143=0,0,ROUND((H142/D142)*100,2))</f>
        <v>0.12</v>
      </c>
      <c r="J142" s="83">
        <f>(I142/100)*'2019 Legal Max'!BS143</f>
        <v>1978</v>
      </c>
      <c r="K142" s="302" t="str">
        <f>'2019 Legal Max'!BD143</f>
        <v>A</v>
      </c>
    </row>
    <row r="143" spans="1:11">
      <c r="A143" s="88">
        <v>347</v>
      </c>
      <c r="B143" s="87" t="s">
        <v>62</v>
      </c>
      <c r="C143" s="87" t="s">
        <v>657</v>
      </c>
      <c r="D143" s="89">
        <f>'2019 Legal Max'!CW144-'2019 Legal Max'!Q144-'2019 Legal Max'!AU144</f>
        <v>722.5</v>
      </c>
      <c r="E143" s="89">
        <f>'2019 Legal Max'!AE144</f>
        <v>63.9</v>
      </c>
      <c r="F143" s="301">
        <f t="shared" si="3"/>
        <v>8.84</v>
      </c>
      <c r="G143" s="83">
        <f>(F143/100)*'2019 Legal Max'!BS144</f>
        <v>86756</v>
      </c>
      <c r="H143" s="126">
        <f>'2019 Legal Max'!Y144</f>
        <v>14.2</v>
      </c>
      <c r="I143" s="134">
        <f>IF('2019 Legal Max'!Y144=0,0,ROUND((H143/D143)*100,2))</f>
        <v>1.97</v>
      </c>
      <c r="J143" s="83">
        <f>(I143/100)*'2019 Legal Max'!BS144</f>
        <v>19334</v>
      </c>
      <c r="K143" s="302" t="str">
        <f>'2019 Legal Max'!BD144</f>
        <v>A</v>
      </c>
    </row>
    <row r="144" spans="1:11">
      <c r="A144" s="88">
        <v>348</v>
      </c>
      <c r="B144" s="87" t="s">
        <v>63</v>
      </c>
      <c r="C144" s="87" t="s">
        <v>658</v>
      </c>
      <c r="D144" s="89">
        <f>'2019 Legal Max'!CW145-'2019 Legal Max'!Q145-'2019 Legal Max'!AU145</f>
        <v>2173.6999999999998</v>
      </c>
      <c r="E144" s="89">
        <f>'2019 Legal Max'!AE145</f>
        <v>137</v>
      </c>
      <c r="F144" s="301">
        <f t="shared" si="3"/>
        <v>6.3</v>
      </c>
      <c r="G144" s="83">
        <f>(F144/100)*'2019 Legal Max'!BS145</f>
        <v>192137</v>
      </c>
      <c r="H144" s="126">
        <f>'2019 Legal Max'!Y145</f>
        <v>0</v>
      </c>
      <c r="I144" s="134">
        <f>IF('2019 Legal Max'!Y145=0,0,ROUND((H144/D144)*100,2))</f>
        <v>0</v>
      </c>
      <c r="J144" s="83">
        <f>(I144/100)*'2019 Legal Max'!BS145</f>
        <v>0</v>
      </c>
      <c r="K144" s="302" t="str">
        <f>'2019 Legal Max'!BD145</f>
        <v>A</v>
      </c>
    </row>
    <row r="145" spans="1:11">
      <c r="A145" s="88">
        <v>349</v>
      </c>
      <c r="B145" s="87" t="s">
        <v>64</v>
      </c>
      <c r="C145" s="87" t="s">
        <v>659</v>
      </c>
      <c r="D145" s="89">
        <f>'2019 Legal Max'!CW146-'2019 Legal Max'!Q146-'2019 Legal Max'!AU146</f>
        <v>535.4</v>
      </c>
      <c r="E145" s="89">
        <f>'2019 Legal Max'!AE146</f>
        <v>49.4</v>
      </c>
      <c r="F145" s="301">
        <f t="shared" si="3"/>
        <v>9.23</v>
      </c>
      <c r="G145" s="83">
        <f>(F145/100)*'2019 Legal Max'!BS146</f>
        <v>66736</v>
      </c>
      <c r="H145" s="126">
        <f>'2019 Legal Max'!Y146</f>
        <v>3.7</v>
      </c>
      <c r="I145" s="134">
        <f>IF('2019 Legal Max'!Y146=0,0,ROUND((H145/D145)*100,2))</f>
        <v>0.69</v>
      </c>
      <c r="J145" s="83">
        <f>(I145/100)*'2019 Legal Max'!BS146</f>
        <v>4989</v>
      </c>
      <c r="K145" s="302" t="str">
        <f>'2019 Legal Max'!BD146</f>
        <v>A</v>
      </c>
    </row>
    <row r="146" spans="1:11">
      <c r="A146" s="88">
        <v>350</v>
      </c>
      <c r="B146" s="87" t="s">
        <v>64</v>
      </c>
      <c r="C146" s="87" t="s">
        <v>660</v>
      </c>
      <c r="D146" s="89">
        <f>'2019 Legal Max'!CW147-'2019 Legal Max'!Q147-'2019 Legal Max'!AU147</f>
        <v>678.1</v>
      </c>
      <c r="E146" s="89">
        <f>'2019 Legal Max'!AE147</f>
        <v>64.400000000000006</v>
      </c>
      <c r="F146" s="301">
        <f t="shared" si="3"/>
        <v>9.5</v>
      </c>
      <c r="G146" s="83">
        <f>(F146/100)*'2019 Legal Max'!BS147</f>
        <v>95612</v>
      </c>
      <c r="H146" s="126">
        <f>'2019 Legal Max'!Y147</f>
        <v>7.6</v>
      </c>
      <c r="I146" s="134">
        <f>IF('2019 Legal Max'!Y147=0,0,ROUND((H146/D146)*100,2))</f>
        <v>1.1200000000000001</v>
      </c>
      <c r="J146" s="83">
        <f>(I146/100)*'2019 Legal Max'!BS147</f>
        <v>11272</v>
      </c>
      <c r="K146" s="302" t="str">
        <f>'2019 Legal Max'!BD147</f>
        <v>A</v>
      </c>
    </row>
    <row r="147" spans="1:11">
      <c r="A147" s="88">
        <v>351</v>
      </c>
      <c r="B147" s="87" t="s">
        <v>64</v>
      </c>
      <c r="C147" s="87" t="s">
        <v>661</v>
      </c>
      <c r="D147" s="89">
        <f>'2019 Legal Max'!CW148-'2019 Legal Max'!Q148-'2019 Legal Max'!AU148</f>
        <v>553.5</v>
      </c>
      <c r="E147" s="89">
        <f>'2019 Legal Max'!AE148</f>
        <v>52.3</v>
      </c>
      <c r="F147" s="301">
        <f t="shared" si="3"/>
        <v>9.4499999999999993</v>
      </c>
      <c r="G147" s="83">
        <f>(F147/100)*'2019 Legal Max'!BS148</f>
        <v>71292</v>
      </c>
      <c r="H147" s="126">
        <f>'2019 Legal Max'!Y148</f>
        <v>12.1</v>
      </c>
      <c r="I147" s="134">
        <f>IF('2019 Legal Max'!Y148=0,0,ROUND((H147/D147)*100,2))</f>
        <v>2.19</v>
      </c>
      <c r="J147" s="83">
        <f>(I147/100)*'2019 Legal Max'!BS148</f>
        <v>16522</v>
      </c>
      <c r="K147" s="302" t="str">
        <f>'2019 Legal Max'!BD148</f>
        <v>A</v>
      </c>
    </row>
    <row r="148" spans="1:11">
      <c r="A148" s="88">
        <v>352</v>
      </c>
      <c r="B148" s="87" t="s">
        <v>65</v>
      </c>
      <c r="C148" s="87" t="s">
        <v>662</v>
      </c>
      <c r="D148" s="89">
        <f>'2019 Legal Max'!CW149-'2019 Legal Max'!Q149-'2019 Legal Max'!AU149</f>
        <v>1673.2</v>
      </c>
      <c r="E148" s="89">
        <f>'2019 Legal Max'!AE149</f>
        <v>185.4</v>
      </c>
      <c r="F148" s="301">
        <f t="shared" si="3"/>
        <v>11.08</v>
      </c>
      <c r="G148" s="83">
        <f>(F148/100)*'2019 Legal Max'!BS149</f>
        <v>249124</v>
      </c>
      <c r="H148" s="126">
        <f>'2019 Legal Max'!Y149</f>
        <v>18</v>
      </c>
      <c r="I148" s="134">
        <f>IF('2019 Legal Max'!Y149=0,0,ROUND((H148/D148)*100,2))</f>
        <v>1.08</v>
      </c>
      <c r="J148" s="83">
        <f>(I148/100)*'2019 Legal Max'!BS149</f>
        <v>24283</v>
      </c>
      <c r="K148" s="302" t="str">
        <f>'2019 Legal Max'!BD149</f>
        <v>A</v>
      </c>
    </row>
    <row r="149" spans="1:11">
      <c r="A149" s="88">
        <v>353</v>
      </c>
      <c r="B149" s="87" t="s">
        <v>66</v>
      </c>
      <c r="C149" s="87" t="s">
        <v>663</v>
      </c>
      <c r="D149" s="89">
        <f>'2019 Legal Max'!CW150-'2019 Legal Max'!Q150-'2019 Legal Max'!AU150</f>
        <v>2687.5</v>
      </c>
      <c r="E149" s="89">
        <f>'2019 Legal Max'!AE150</f>
        <v>336.4</v>
      </c>
      <c r="F149" s="301">
        <f t="shared" si="3"/>
        <v>12.52</v>
      </c>
      <c r="G149" s="83">
        <f>(F149/100)*'2019 Legal Max'!BS150</f>
        <v>446754</v>
      </c>
      <c r="H149" s="126">
        <f>'2019 Legal Max'!Y150</f>
        <v>3.9</v>
      </c>
      <c r="I149" s="134">
        <f>IF('2019 Legal Max'!Y150=0,0,ROUND((H149/D149)*100,2))</f>
        <v>0.15</v>
      </c>
      <c r="J149" s="83">
        <f>(I149/100)*'2019 Legal Max'!BS150</f>
        <v>5352</v>
      </c>
      <c r="K149" s="302" t="str">
        <f>'2019 Legal Max'!BD150</f>
        <v>A</v>
      </c>
    </row>
    <row r="150" spans="1:11">
      <c r="A150" s="88">
        <v>355</v>
      </c>
      <c r="B150" s="87" t="s">
        <v>67</v>
      </c>
      <c r="C150" s="87" t="s">
        <v>664</v>
      </c>
      <c r="D150" s="89">
        <f>'2019 Legal Max'!CW151-'2019 Legal Max'!Q151-'2019 Legal Max'!AU151</f>
        <v>871.3</v>
      </c>
      <c r="E150" s="89">
        <f>'2019 Legal Max'!AE151</f>
        <v>69.7</v>
      </c>
      <c r="F150" s="301">
        <f t="shared" si="3"/>
        <v>8</v>
      </c>
      <c r="G150" s="83">
        <f>(F150/100)*'2019 Legal Max'!BS151</f>
        <v>102222</v>
      </c>
      <c r="H150" s="126">
        <f>'2019 Legal Max'!Y151</f>
        <v>0</v>
      </c>
      <c r="I150" s="134">
        <f>IF('2019 Legal Max'!Y151=0,0,ROUND((H150/D150)*100,2))</f>
        <v>0</v>
      </c>
      <c r="J150" s="83">
        <f>(I150/100)*'2019 Legal Max'!BS151</f>
        <v>0</v>
      </c>
      <c r="K150" s="302" t="str">
        <f>'2019 Legal Max'!BD151</f>
        <v>A</v>
      </c>
    </row>
    <row r="151" spans="1:11">
      <c r="A151" s="88">
        <v>356</v>
      </c>
      <c r="B151" s="87" t="s">
        <v>66</v>
      </c>
      <c r="C151" s="87" t="s">
        <v>665</v>
      </c>
      <c r="D151" s="89">
        <f>'2019 Legal Max'!CW152-'2019 Legal Max'!Q152-'2019 Legal Max'!AU152</f>
        <v>881</v>
      </c>
      <c r="E151" s="89">
        <f>'2019 Legal Max'!AE152</f>
        <v>42.6</v>
      </c>
      <c r="F151" s="301">
        <f t="shared" si="3"/>
        <v>4.84</v>
      </c>
      <c r="G151" s="83">
        <f>(F151/100)*'2019 Legal Max'!BS152</f>
        <v>56881</v>
      </c>
      <c r="H151" s="126">
        <f>'2019 Legal Max'!Y152</f>
        <v>0</v>
      </c>
      <c r="I151" s="134">
        <f>IF('2019 Legal Max'!Y152=0,0,ROUND((H151/D151)*100,2))</f>
        <v>0</v>
      </c>
      <c r="J151" s="83">
        <f>(I151/100)*'2019 Legal Max'!BS152</f>
        <v>0</v>
      </c>
      <c r="K151" s="302" t="str">
        <f>'2019 Legal Max'!BD152</f>
        <v>A</v>
      </c>
    </row>
    <row r="152" spans="1:11">
      <c r="A152" s="88">
        <v>357</v>
      </c>
      <c r="B152" s="87" t="s">
        <v>66</v>
      </c>
      <c r="C152" s="87" t="s">
        <v>666</v>
      </c>
      <c r="D152" s="89">
        <f>'2019 Legal Max'!CW153-'2019 Legal Max'!Q153-'2019 Legal Max'!AU153</f>
        <v>1223.5</v>
      </c>
      <c r="E152" s="89">
        <f>'2019 Legal Max'!AE153</f>
        <v>97.8</v>
      </c>
      <c r="F152" s="301">
        <f t="shared" si="3"/>
        <v>7.99</v>
      </c>
      <c r="G152" s="83">
        <f>(F152/100)*'2019 Legal Max'!BS153</f>
        <v>148117</v>
      </c>
      <c r="H152" s="126">
        <f>'2019 Legal Max'!Y153</f>
        <v>0</v>
      </c>
      <c r="I152" s="134">
        <f>IF('2019 Legal Max'!Y153=0,0,ROUND((H152/D152)*100,2))</f>
        <v>0</v>
      </c>
      <c r="J152" s="83">
        <f>(I152/100)*'2019 Legal Max'!BS153</f>
        <v>0</v>
      </c>
      <c r="K152" s="302" t="str">
        <f>'2019 Legal Max'!BD153</f>
        <v>A</v>
      </c>
    </row>
    <row r="153" spans="1:11">
      <c r="A153" s="88">
        <v>358</v>
      </c>
      <c r="B153" s="87" t="s">
        <v>66</v>
      </c>
      <c r="C153" s="87" t="s">
        <v>667</v>
      </c>
      <c r="D153" s="89">
        <f>'2019 Legal Max'!CW154-'2019 Legal Max'!Q154-'2019 Legal Max'!AU154</f>
        <v>749.7</v>
      </c>
      <c r="E153" s="89">
        <f>'2019 Legal Max'!AE154</f>
        <v>58.6</v>
      </c>
      <c r="F153" s="301">
        <f t="shared" si="3"/>
        <v>7.82</v>
      </c>
      <c r="G153" s="83">
        <f>(F153/100)*'2019 Legal Max'!BS154</f>
        <v>79181</v>
      </c>
      <c r="H153" s="126">
        <f>'2019 Legal Max'!Y154</f>
        <v>0.4</v>
      </c>
      <c r="I153" s="134">
        <f>IF('2019 Legal Max'!Y154=0,0,ROUND((H153/D153)*100,2))</f>
        <v>0.05</v>
      </c>
      <c r="J153" s="83">
        <f>(I153/100)*'2019 Legal Max'!BS154</f>
        <v>506</v>
      </c>
      <c r="K153" s="302" t="str">
        <f>'2019 Legal Max'!BD154</f>
        <v>A</v>
      </c>
    </row>
    <row r="154" spans="1:11">
      <c r="A154" s="88">
        <v>359</v>
      </c>
      <c r="B154" s="87" t="s">
        <v>66</v>
      </c>
      <c r="C154" s="87" t="s">
        <v>668</v>
      </c>
      <c r="D154" s="89">
        <f>'2019 Legal Max'!CW155-'2019 Legal Max'!Q155-'2019 Legal Max'!AU155</f>
        <v>459.1</v>
      </c>
      <c r="E154" s="89">
        <f>'2019 Legal Max'!AE155</f>
        <v>32.4</v>
      </c>
      <c r="F154" s="301">
        <f t="shared" si="3"/>
        <v>7.06</v>
      </c>
      <c r="G154" s="83">
        <f>(F154/100)*'2019 Legal Max'!BS155</f>
        <v>43382</v>
      </c>
      <c r="H154" s="126">
        <f>'2019 Legal Max'!Y155</f>
        <v>0</v>
      </c>
      <c r="I154" s="134">
        <f>IF('2019 Legal Max'!Y155=0,0,ROUND((H154/D154)*100,2))</f>
        <v>0</v>
      </c>
      <c r="J154" s="83">
        <f>(I154/100)*'2019 Legal Max'!BS155</f>
        <v>0</v>
      </c>
      <c r="K154" s="302" t="str">
        <f>'2019 Legal Max'!BD155</f>
        <v>A</v>
      </c>
    </row>
    <row r="155" spans="1:11">
      <c r="A155" s="88">
        <v>360</v>
      </c>
      <c r="B155" s="87" t="s">
        <v>66</v>
      </c>
      <c r="C155" s="87" t="s">
        <v>669</v>
      </c>
      <c r="D155" s="89">
        <f>'2019 Legal Max'!CW156-'2019 Legal Max'!Q156-'2019 Legal Max'!AU156</f>
        <v>564.20000000000005</v>
      </c>
      <c r="E155" s="89">
        <f>'2019 Legal Max'!AE156</f>
        <v>57.1</v>
      </c>
      <c r="F155" s="301">
        <f t="shared" si="3"/>
        <v>10.119999999999999</v>
      </c>
      <c r="G155" s="83">
        <f>(F155/100)*'2019 Legal Max'!BS156</f>
        <v>84482</v>
      </c>
      <c r="H155" s="126">
        <f>'2019 Legal Max'!Y156</f>
        <v>0</v>
      </c>
      <c r="I155" s="134">
        <f>IF('2019 Legal Max'!Y156=0,0,ROUND((H155/D155)*100,2))</f>
        <v>0</v>
      </c>
      <c r="J155" s="83">
        <f>(I155/100)*'2019 Legal Max'!BS156</f>
        <v>0</v>
      </c>
      <c r="K155" s="302" t="str">
        <f>'2019 Legal Max'!BD156</f>
        <v>A</v>
      </c>
    </row>
    <row r="156" spans="1:11">
      <c r="A156" s="88">
        <v>361</v>
      </c>
      <c r="B156" s="87" t="s">
        <v>68</v>
      </c>
      <c r="C156" s="87" t="s">
        <v>670</v>
      </c>
      <c r="D156" s="89">
        <f>'2019 Legal Max'!CW157-'2019 Legal Max'!Q157-'2019 Legal Max'!AU157</f>
        <v>1636.4</v>
      </c>
      <c r="E156" s="89">
        <f>'2019 Legal Max'!AE157</f>
        <v>186.3</v>
      </c>
      <c r="F156" s="301">
        <f t="shared" si="3"/>
        <v>11.38</v>
      </c>
      <c r="G156" s="83">
        <f>(F156/100)*'2019 Legal Max'!BS157</f>
        <v>225070</v>
      </c>
      <c r="H156" s="126">
        <f>'2019 Legal Max'!Y157</f>
        <v>10.5</v>
      </c>
      <c r="I156" s="134">
        <f>IF('2019 Legal Max'!Y157=0,0,ROUND((H156/D156)*100,2))</f>
        <v>0.64</v>
      </c>
      <c r="J156" s="83">
        <f>(I156/100)*'2019 Legal Max'!BS157</f>
        <v>12658</v>
      </c>
      <c r="K156" s="302" t="str">
        <f>'2019 Legal Max'!BD157</f>
        <v>A</v>
      </c>
    </row>
    <row r="157" spans="1:11">
      <c r="A157" s="88">
        <v>362</v>
      </c>
      <c r="B157" s="87" t="s">
        <v>60</v>
      </c>
      <c r="C157" s="87" t="s">
        <v>671</v>
      </c>
      <c r="D157" s="89">
        <f>'2019 Legal Max'!CW158-'2019 Legal Max'!Q158-'2019 Legal Max'!AU158</f>
        <v>1794.7</v>
      </c>
      <c r="E157" s="89">
        <f>'2019 Legal Max'!AE158</f>
        <v>151.5</v>
      </c>
      <c r="F157" s="301">
        <f t="shared" si="3"/>
        <v>8.44</v>
      </c>
      <c r="G157" s="83">
        <f>(F157/100)*'2019 Legal Max'!BS158</f>
        <v>224215</v>
      </c>
      <c r="H157" s="126">
        <f>'2019 Legal Max'!Y158</f>
        <v>1.7</v>
      </c>
      <c r="I157" s="134">
        <f>IF('2019 Legal Max'!Y158=0,0,ROUND((H157/D157)*100,2))</f>
        <v>0.09</v>
      </c>
      <c r="J157" s="83">
        <f>(I157/100)*'2019 Legal Max'!BS158</f>
        <v>2391</v>
      </c>
      <c r="K157" s="302" t="str">
        <f>'2019 Legal Max'!BD158</f>
        <v>A</v>
      </c>
    </row>
    <row r="158" spans="1:11">
      <c r="A158" s="88">
        <v>363</v>
      </c>
      <c r="B158" s="87" t="s">
        <v>69</v>
      </c>
      <c r="C158" s="87" t="s">
        <v>672</v>
      </c>
      <c r="D158" s="89">
        <f>'2019 Legal Max'!CW159-'2019 Legal Max'!Q159-'2019 Legal Max'!AU159</f>
        <v>1603.9</v>
      </c>
      <c r="E158" s="89">
        <f>'2019 Legal Max'!AE159</f>
        <v>160.69999999999999</v>
      </c>
      <c r="F158" s="301">
        <f t="shared" si="3"/>
        <v>10.02</v>
      </c>
      <c r="G158" s="83">
        <f>(F158/100)*'2019 Legal Max'!BS159</f>
        <v>216536</v>
      </c>
      <c r="H158" s="126">
        <f>'2019 Legal Max'!Y159</f>
        <v>36.4</v>
      </c>
      <c r="I158" s="134">
        <f>IF('2019 Legal Max'!Y159=0,0,ROUND((H158/D158)*100,2))</f>
        <v>2.27</v>
      </c>
      <c r="J158" s="83">
        <f>(I158/100)*'2019 Legal Max'!BS159</f>
        <v>49056</v>
      </c>
      <c r="K158" s="302" t="str">
        <f>'2019 Legal Max'!BD159</f>
        <v>A</v>
      </c>
    </row>
    <row r="159" spans="1:11">
      <c r="A159" s="88">
        <v>364</v>
      </c>
      <c r="B159" s="87" t="s">
        <v>70</v>
      </c>
      <c r="C159" s="87" t="s">
        <v>673</v>
      </c>
      <c r="D159" s="89">
        <f>'2019 Legal Max'!CW160-'2019 Legal Max'!Q160-'2019 Legal Max'!AU160</f>
        <v>1354.1</v>
      </c>
      <c r="E159" s="89">
        <f>'2019 Legal Max'!AE160</f>
        <v>116.2</v>
      </c>
      <c r="F159" s="301">
        <f t="shared" si="3"/>
        <v>8.58</v>
      </c>
      <c r="G159" s="83">
        <f>(F159/100)*'2019 Legal Max'!BS160</f>
        <v>159875</v>
      </c>
      <c r="H159" s="126">
        <f>'2019 Legal Max'!Y160</f>
        <v>1.1000000000000001</v>
      </c>
      <c r="I159" s="134">
        <f>IF('2019 Legal Max'!Y160=0,0,ROUND((H159/D159)*100,2))</f>
        <v>0.08</v>
      </c>
      <c r="J159" s="83">
        <f>(I159/100)*'2019 Legal Max'!BS160</f>
        <v>1491</v>
      </c>
      <c r="K159" s="302" t="str">
        <f>'2019 Legal Max'!BD160</f>
        <v>A</v>
      </c>
    </row>
    <row r="160" spans="1:11">
      <c r="A160" s="88">
        <v>365</v>
      </c>
      <c r="B160" s="87" t="s">
        <v>71</v>
      </c>
      <c r="C160" s="87" t="s">
        <v>674</v>
      </c>
      <c r="D160" s="89">
        <f>'2019 Legal Max'!CW161-'2019 Legal Max'!Q161-'2019 Legal Max'!AU161</f>
        <v>1784.6</v>
      </c>
      <c r="E160" s="89">
        <f>'2019 Legal Max'!AE161</f>
        <v>175.7</v>
      </c>
      <c r="F160" s="301">
        <f t="shared" si="3"/>
        <v>9.85</v>
      </c>
      <c r="G160" s="83">
        <f>(F160/100)*'2019 Legal Max'!BS161</f>
        <v>254130</v>
      </c>
      <c r="H160" s="126">
        <f>'2019 Legal Max'!Y161</f>
        <v>0</v>
      </c>
      <c r="I160" s="134">
        <f>IF('2019 Legal Max'!Y161=0,0,ROUND((H160/D160)*100,2))</f>
        <v>0</v>
      </c>
      <c r="J160" s="83">
        <f>(I160/100)*'2019 Legal Max'!BS161</f>
        <v>0</v>
      </c>
      <c r="K160" s="302" t="str">
        <f>'2019 Legal Max'!BD161</f>
        <v>A</v>
      </c>
    </row>
    <row r="161" spans="1:11">
      <c r="A161" s="88">
        <v>366</v>
      </c>
      <c r="B161" s="87" t="s">
        <v>72</v>
      </c>
      <c r="C161" s="87" t="s">
        <v>675</v>
      </c>
      <c r="D161" s="89">
        <f>'2019 Legal Max'!CW162-'2019 Legal Max'!Q162-'2019 Legal Max'!AU162</f>
        <v>968</v>
      </c>
      <c r="E161" s="89">
        <f>'2019 Legal Max'!AE162</f>
        <v>95.8</v>
      </c>
      <c r="F161" s="301">
        <f t="shared" si="3"/>
        <v>9.9</v>
      </c>
      <c r="G161" s="83">
        <f>(F161/100)*'2019 Legal Max'!BS162</f>
        <v>128526</v>
      </c>
      <c r="H161" s="126">
        <f>'2019 Legal Max'!Y162</f>
        <v>0</v>
      </c>
      <c r="I161" s="134">
        <f>IF('2019 Legal Max'!Y162=0,0,ROUND((H161/D161)*100,2))</f>
        <v>0</v>
      </c>
      <c r="J161" s="83">
        <f>(I161/100)*'2019 Legal Max'!BS162</f>
        <v>0</v>
      </c>
      <c r="K161" s="302" t="str">
        <f>'2019 Legal Max'!BD162</f>
        <v>A</v>
      </c>
    </row>
    <row r="162" spans="1:11">
      <c r="A162" s="88">
        <v>367</v>
      </c>
      <c r="B162" s="87" t="s">
        <v>73</v>
      </c>
      <c r="C162" s="87" t="s">
        <v>676</v>
      </c>
      <c r="D162" s="89">
        <f>'2019 Legal Max'!CW163-'2019 Legal Max'!Q163-'2019 Legal Max'!AU163</f>
        <v>2222.1999999999998</v>
      </c>
      <c r="E162" s="89">
        <f>'2019 Legal Max'!AE163</f>
        <v>288</v>
      </c>
      <c r="F162" s="301">
        <f t="shared" si="3"/>
        <v>12.96</v>
      </c>
      <c r="G162" s="83">
        <f>(F162/100)*'2019 Legal Max'!BS163</f>
        <v>421979</v>
      </c>
      <c r="H162" s="126">
        <f>'2019 Legal Max'!Y163</f>
        <v>0</v>
      </c>
      <c r="I162" s="134">
        <f>IF('2019 Legal Max'!Y163=0,0,ROUND((H162/D162)*100,2))</f>
        <v>0</v>
      </c>
      <c r="J162" s="83">
        <f>(I162/100)*'2019 Legal Max'!BS163</f>
        <v>0</v>
      </c>
      <c r="K162" s="302" t="str">
        <f>'2019 Legal Max'!BD163</f>
        <v>A</v>
      </c>
    </row>
    <row r="163" spans="1:11">
      <c r="A163" s="88">
        <v>368</v>
      </c>
      <c r="B163" s="87" t="s">
        <v>73</v>
      </c>
      <c r="C163" s="87" t="s">
        <v>677</v>
      </c>
      <c r="D163" s="89">
        <f>'2019 Legal Max'!CW164-'2019 Legal Max'!Q164-'2019 Legal Max'!AU164</f>
        <v>3097.2</v>
      </c>
      <c r="E163" s="89">
        <f>'2019 Legal Max'!AE164</f>
        <v>275.89999999999998</v>
      </c>
      <c r="F163" s="301">
        <f t="shared" si="3"/>
        <v>8.91</v>
      </c>
      <c r="G163" s="83">
        <f>(F163/100)*'2019 Legal Max'!BS164</f>
        <v>403823</v>
      </c>
      <c r="H163" s="126">
        <f>'2019 Legal Max'!Y164</f>
        <v>3.1</v>
      </c>
      <c r="I163" s="134">
        <f>IF('2019 Legal Max'!Y164=0,0,ROUND((H163/D163)*100,2))</f>
        <v>0.1</v>
      </c>
      <c r="J163" s="83">
        <f>(I163/100)*'2019 Legal Max'!BS164</f>
        <v>4532</v>
      </c>
      <c r="K163" s="302" t="str">
        <f>'2019 Legal Max'!BD164</f>
        <v>A</v>
      </c>
    </row>
    <row r="164" spans="1:11">
      <c r="A164" s="88">
        <v>369</v>
      </c>
      <c r="B164" s="87" t="s">
        <v>74</v>
      </c>
      <c r="C164" s="87" t="s">
        <v>678</v>
      </c>
      <c r="D164" s="89">
        <f>'2019 Legal Max'!CW165-'2019 Legal Max'!Q165-'2019 Legal Max'!AU165</f>
        <v>513.79999999999995</v>
      </c>
      <c r="E164" s="89">
        <f>'2019 Legal Max'!AE165</f>
        <v>45</v>
      </c>
      <c r="F164" s="301">
        <f t="shared" si="3"/>
        <v>8.76</v>
      </c>
      <c r="G164" s="83">
        <f>(F164/100)*'2019 Legal Max'!BS165</f>
        <v>60535</v>
      </c>
      <c r="H164" s="126">
        <f>'2019 Legal Max'!Y165</f>
        <v>1.5</v>
      </c>
      <c r="I164" s="134">
        <f>IF('2019 Legal Max'!Y165=0,0,ROUND((H164/D164)*100,2))</f>
        <v>0.28999999999999998</v>
      </c>
      <c r="J164" s="83">
        <f>(I164/100)*'2019 Legal Max'!BS165</f>
        <v>2004</v>
      </c>
      <c r="K164" s="302" t="str">
        <f>'2019 Legal Max'!BD165</f>
        <v>A</v>
      </c>
    </row>
    <row r="165" spans="1:11">
      <c r="A165" s="88">
        <v>371</v>
      </c>
      <c r="B165" s="87" t="s">
        <v>5</v>
      </c>
      <c r="C165" s="87" t="s">
        <v>679</v>
      </c>
      <c r="D165" s="89">
        <f>'2019 Legal Max'!CW166-'2019 Legal Max'!Q166-'2019 Legal Max'!AU166</f>
        <v>440.1</v>
      </c>
      <c r="E165" s="89">
        <f>'2019 Legal Max'!AE166</f>
        <v>18.399999999999999</v>
      </c>
      <c r="F165" s="301">
        <f t="shared" si="3"/>
        <v>4.18</v>
      </c>
      <c r="G165" s="83">
        <f>(F165/100)*'2019 Legal Max'!BS166</f>
        <v>25029</v>
      </c>
      <c r="H165" s="126">
        <f>'2019 Legal Max'!Y166</f>
        <v>9.9</v>
      </c>
      <c r="I165" s="134">
        <f>IF('2019 Legal Max'!Y166=0,0,ROUND((H165/D165)*100,2))</f>
        <v>2.25</v>
      </c>
      <c r="J165" s="83">
        <f>(I165/100)*'2019 Legal Max'!BS166</f>
        <v>13473</v>
      </c>
      <c r="K165" s="302" t="str">
        <f>'2019 Legal Max'!BD166</f>
        <v>A</v>
      </c>
    </row>
    <row r="166" spans="1:11">
      <c r="A166" s="88">
        <v>372</v>
      </c>
      <c r="B166" s="87" t="s">
        <v>61</v>
      </c>
      <c r="C166" s="87" t="s">
        <v>680</v>
      </c>
      <c r="D166" s="89">
        <f>'2019 Legal Max'!CW167-'2019 Legal Max'!Q167-'2019 Legal Max'!AU167</f>
        <v>1187.9000000000001</v>
      </c>
      <c r="E166" s="89">
        <f>'2019 Legal Max'!AE167</f>
        <v>37.799999999999997</v>
      </c>
      <c r="F166" s="301">
        <f t="shared" si="3"/>
        <v>3.18</v>
      </c>
      <c r="G166" s="83">
        <f>(F166/100)*'2019 Legal Max'!BS167</f>
        <v>51304</v>
      </c>
      <c r="H166" s="126">
        <f>'2019 Legal Max'!Y167</f>
        <v>0</v>
      </c>
      <c r="I166" s="134">
        <f>IF('2019 Legal Max'!Y167=0,0,ROUND((H166/D166)*100,2))</f>
        <v>0</v>
      </c>
      <c r="J166" s="83">
        <f>(I166/100)*'2019 Legal Max'!BS167</f>
        <v>0</v>
      </c>
      <c r="K166" s="302" t="str">
        <f>'2019 Legal Max'!BD167</f>
        <v>A</v>
      </c>
    </row>
    <row r="167" spans="1:11">
      <c r="A167" s="88">
        <v>373</v>
      </c>
      <c r="B167" s="87" t="s">
        <v>74</v>
      </c>
      <c r="C167" s="87" t="s">
        <v>681</v>
      </c>
      <c r="D167" s="89">
        <f>'2019 Legal Max'!CW168-'2019 Legal Max'!Q168-'2019 Legal Max'!AU168</f>
        <v>5206.3</v>
      </c>
      <c r="E167" s="89">
        <f>'2019 Legal Max'!AE168</f>
        <v>692.1</v>
      </c>
      <c r="F167" s="301">
        <f t="shared" si="3"/>
        <v>13.29</v>
      </c>
      <c r="G167" s="83">
        <f>(F167/100)*'2019 Legal Max'!BS168</f>
        <v>920232</v>
      </c>
      <c r="H167" s="126">
        <f>'2019 Legal Max'!Y168</f>
        <v>37.4</v>
      </c>
      <c r="I167" s="134">
        <f>IF('2019 Legal Max'!Y168=0,0,ROUND((H167/D167)*100,2))</f>
        <v>0.72</v>
      </c>
      <c r="J167" s="83">
        <f>(I167/100)*'2019 Legal Max'!BS168</f>
        <v>49855</v>
      </c>
      <c r="K167" s="302" t="str">
        <f>'2019 Legal Max'!BD168</f>
        <v>A</v>
      </c>
    </row>
    <row r="168" spans="1:11">
      <c r="A168" s="88">
        <v>374</v>
      </c>
      <c r="B168" s="87" t="s">
        <v>75</v>
      </c>
      <c r="C168" s="87" t="s">
        <v>682</v>
      </c>
      <c r="D168" s="89">
        <f>'2019 Legal Max'!CW169-'2019 Legal Max'!Q169-'2019 Legal Max'!AU169</f>
        <v>898.9</v>
      </c>
      <c r="E168" s="89">
        <f>'2019 Legal Max'!AE169</f>
        <v>98.3</v>
      </c>
      <c r="F168" s="301">
        <f t="shared" si="3"/>
        <v>10.94</v>
      </c>
      <c r="G168" s="83">
        <f>(F168/100)*'2019 Legal Max'!BS169</f>
        <v>134272</v>
      </c>
      <c r="H168" s="126">
        <f>'2019 Legal Max'!Y169</f>
        <v>45</v>
      </c>
      <c r="I168" s="134">
        <f>IF('2019 Legal Max'!Y169=0,0,ROUND((H168/D168)*100,2))</f>
        <v>5.01</v>
      </c>
      <c r="J168" s="83">
        <f>(I168/100)*'2019 Legal Max'!BS169</f>
        <v>61490</v>
      </c>
      <c r="K168" s="302" t="str">
        <f>'2019 Legal Max'!BD169</f>
        <v>A</v>
      </c>
    </row>
    <row r="169" spans="1:11">
      <c r="A169" s="88">
        <v>375</v>
      </c>
      <c r="B169" s="87" t="s">
        <v>10</v>
      </c>
      <c r="C169" s="87" t="s">
        <v>683</v>
      </c>
      <c r="D169" s="89">
        <f>'2019 Legal Max'!CW170-'2019 Legal Max'!Q170-'2019 Legal Max'!AU170</f>
        <v>2777.3</v>
      </c>
      <c r="E169" s="89">
        <f>'2019 Legal Max'!AE170</f>
        <v>211.5</v>
      </c>
      <c r="F169" s="301">
        <f t="shared" si="3"/>
        <v>7.62</v>
      </c>
      <c r="G169" s="83">
        <f>(F169/100)*'2019 Legal Max'!BS170</f>
        <v>283116</v>
      </c>
      <c r="H169" s="126">
        <f>'2019 Legal Max'!Y170</f>
        <v>3.5</v>
      </c>
      <c r="I169" s="134">
        <f>IF('2019 Legal Max'!Y170=0,0,ROUND((H169/D169)*100,2))</f>
        <v>0.13</v>
      </c>
      <c r="J169" s="83">
        <f>(I169/100)*'2019 Legal Max'!BS170</f>
        <v>4830</v>
      </c>
      <c r="K169" s="302" t="str">
        <f>'2019 Legal Max'!BD170</f>
        <v>A</v>
      </c>
    </row>
    <row r="170" spans="1:11">
      <c r="A170" s="88">
        <v>376</v>
      </c>
      <c r="B170" s="87" t="s">
        <v>76</v>
      </c>
      <c r="C170" s="87" t="s">
        <v>684</v>
      </c>
      <c r="D170" s="89">
        <f>'2019 Legal Max'!CW171-'2019 Legal Max'!Q171-'2019 Legal Max'!AU171</f>
        <v>949.7</v>
      </c>
      <c r="E170" s="89">
        <f>'2019 Legal Max'!AE171</f>
        <v>67.3</v>
      </c>
      <c r="F170" s="301">
        <f t="shared" si="3"/>
        <v>7.09</v>
      </c>
      <c r="G170" s="83">
        <f>(F170/100)*'2019 Legal Max'!BS171</f>
        <v>92025</v>
      </c>
      <c r="H170" s="126">
        <f>'2019 Legal Max'!Y171</f>
        <v>0.4</v>
      </c>
      <c r="I170" s="134">
        <f>IF('2019 Legal Max'!Y171=0,0,ROUND((H170/D170)*100,2))</f>
        <v>0.04</v>
      </c>
      <c r="J170" s="83">
        <f>(I170/100)*'2019 Legal Max'!BS171</f>
        <v>519</v>
      </c>
      <c r="K170" s="302" t="str">
        <f>'2019 Legal Max'!BD171</f>
        <v>A</v>
      </c>
    </row>
    <row r="171" spans="1:11">
      <c r="A171" s="88">
        <v>377</v>
      </c>
      <c r="B171" s="87" t="s">
        <v>77</v>
      </c>
      <c r="C171" s="87" t="s">
        <v>685</v>
      </c>
      <c r="D171" s="89">
        <f>'2019 Legal Max'!CW172-'2019 Legal Max'!Q172-'2019 Legal Max'!AU172</f>
        <v>1090.9000000000001</v>
      </c>
      <c r="E171" s="89">
        <f>'2019 Legal Max'!AE172</f>
        <v>76</v>
      </c>
      <c r="F171" s="301">
        <f t="shared" si="3"/>
        <v>6.97</v>
      </c>
      <c r="G171" s="83">
        <f>(F171/100)*'2019 Legal Max'!BS172</f>
        <v>113489</v>
      </c>
      <c r="H171" s="126">
        <f>'2019 Legal Max'!Y172</f>
        <v>0.4</v>
      </c>
      <c r="I171" s="134">
        <f>IF('2019 Legal Max'!Y172=0,0,ROUND((H171/D171)*100,2))</f>
        <v>0.04</v>
      </c>
      <c r="J171" s="83">
        <f>(I171/100)*'2019 Legal Max'!BS172</f>
        <v>651</v>
      </c>
      <c r="K171" s="302" t="str">
        <f>'2019 Legal Max'!BD172</f>
        <v>A</v>
      </c>
    </row>
    <row r="172" spans="1:11">
      <c r="A172" s="88">
        <v>378</v>
      </c>
      <c r="B172" s="87" t="s">
        <v>78</v>
      </c>
      <c r="C172" s="87" t="s">
        <v>686</v>
      </c>
      <c r="D172" s="89">
        <f>'2019 Legal Max'!CW173-'2019 Legal Max'!Q173-'2019 Legal Max'!AU173</f>
        <v>1266.3</v>
      </c>
      <c r="E172" s="89">
        <f>'2019 Legal Max'!AE173</f>
        <v>68.7</v>
      </c>
      <c r="F172" s="301">
        <f t="shared" si="3"/>
        <v>5.43</v>
      </c>
      <c r="G172" s="83">
        <f>(F172/100)*'2019 Legal Max'!BS173</f>
        <v>91673</v>
      </c>
      <c r="H172" s="126">
        <f>'2019 Legal Max'!Y173</f>
        <v>0.9</v>
      </c>
      <c r="I172" s="134">
        <f>IF('2019 Legal Max'!Y173=0,0,ROUND((H172/D172)*100,2))</f>
        <v>7.0000000000000007E-2</v>
      </c>
      <c r="J172" s="83">
        <f>(I172/100)*'2019 Legal Max'!BS173</f>
        <v>1182</v>
      </c>
      <c r="K172" s="302" t="str">
        <f>'2019 Legal Max'!BD173</f>
        <v>A</v>
      </c>
    </row>
    <row r="173" spans="1:11">
      <c r="A173" s="88">
        <v>379</v>
      </c>
      <c r="B173" s="87" t="s">
        <v>79</v>
      </c>
      <c r="C173" s="87" t="s">
        <v>687</v>
      </c>
      <c r="D173" s="89">
        <f>'2019 Legal Max'!CW174-'2019 Legal Max'!Q174-'2019 Legal Max'!AU174</f>
        <v>2147.8000000000002</v>
      </c>
      <c r="E173" s="89">
        <f>'2019 Legal Max'!AE174</f>
        <v>191.2</v>
      </c>
      <c r="F173" s="301">
        <f t="shared" si="3"/>
        <v>8.9</v>
      </c>
      <c r="G173" s="83">
        <f>(F173/100)*'2019 Legal Max'!BS174</f>
        <v>255137</v>
      </c>
      <c r="H173" s="126">
        <f>'2019 Legal Max'!Y174</f>
        <v>0.7</v>
      </c>
      <c r="I173" s="134">
        <f>IF('2019 Legal Max'!Y174=0,0,ROUND((H173/D173)*100,2))</f>
        <v>0.03</v>
      </c>
      <c r="J173" s="83">
        <f>(I173/100)*'2019 Legal Max'!BS174</f>
        <v>860</v>
      </c>
      <c r="K173" s="302" t="str">
        <f>'2019 Legal Max'!BD174</f>
        <v>A</v>
      </c>
    </row>
    <row r="174" spans="1:11">
      <c r="A174" s="88">
        <v>380</v>
      </c>
      <c r="B174" s="87" t="s">
        <v>70</v>
      </c>
      <c r="C174" s="87" t="s">
        <v>688</v>
      </c>
      <c r="D174" s="89">
        <f>'2019 Legal Max'!CW175-'2019 Legal Max'!Q175-'2019 Legal Max'!AU175</f>
        <v>991.2</v>
      </c>
      <c r="E174" s="89">
        <f>'2019 Legal Max'!AE175</f>
        <v>48.9</v>
      </c>
      <c r="F174" s="301">
        <f t="shared" si="3"/>
        <v>4.93</v>
      </c>
      <c r="G174" s="83">
        <f>(F174/100)*'2019 Legal Max'!BS175</f>
        <v>67339</v>
      </c>
      <c r="H174" s="126">
        <f>'2019 Legal Max'!Y175</f>
        <v>0.2</v>
      </c>
      <c r="I174" s="134">
        <f>IF('2019 Legal Max'!Y175=0,0,ROUND((H174/D174)*100,2))</f>
        <v>0.02</v>
      </c>
      <c r="J174" s="83">
        <f>(I174/100)*'2019 Legal Max'!BS175</f>
        <v>273</v>
      </c>
      <c r="K174" s="302" t="str">
        <f>'2019 Legal Max'!BD175</f>
        <v>A</v>
      </c>
    </row>
    <row r="175" spans="1:11">
      <c r="A175" s="88">
        <v>381</v>
      </c>
      <c r="B175" s="87" t="s">
        <v>80</v>
      </c>
      <c r="C175" s="87" t="s">
        <v>689</v>
      </c>
      <c r="D175" s="89">
        <f>'2019 Legal Max'!CW176-'2019 Legal Max'!Q176-'2019 Legal Max'!AU176</f>
        <v>637.20000000000005</v>
      </c>
      <c r="E175" s="89">
        <f>'2019 Legal Max'!AE176</f>
        <v>32.4</v>
      </c>
      <c r="F175" s="301">
        <f t="shared" si="3"/>
        <v>5.08</v>
      </c>
      <c r="G175" s="83">
        <f>(F175/100)*'2019 Legal Max'!BS176</f>
        <v>44677</v>
      </c>
      <c r="H175" s="126">
        <f>'2019 Legal Max'!Y176</f>
        <v>2.8</v>
      </c>
      <c r="I175" s="134">
        <f>IF('2019 Legal Max'!Y176=0,0,ROUND((H175/D175)*100,2))</f>
        <v>0.44</v>
      </c>
      <c r="J175" s="83">
        <f>(I175/100)*'2019 Legal Max'!BS176</f>
        <v>3870</v>
      </c>
      <c r="K175" s="302" t="str">
        <f>'2019 Legal Max'!BD176</f>
        <v>A</v>
      </c>
    </row>
    <row r="176" spans="1:11">
      <c r="A176" s="88">
        <v>382</v>
      </c>
      <c r="B176" s="87" t="s">
        <v>81</v>
      </c>
      <c r="C176" s="87" t="s">
        <v>690</v>
      </c>
      <c r="D176" s="89">
        <f>'2019 Legal Max'!CW177-'2019 Legal Max'!Q177-'2019 Legal Max'!AU177</f>
        <v>1950.2</v>
      </c>
      <c r="E176" s="89">
        <f>'2019 Legal Max'!AE177</f>
        <v>201.8</v>
      </c>
      <c r="F176" s="301">
        <f t="shared" si="3"/>
        <v>10.35</v>
      </c>
      <c r="G176" s="83">
        <f>(F176/100)*'2019 Legal Max'!BS177</f>
        <v>270212</v>
      </c>
      <c r="H176" s="126">
        <f>'2019 Legal Max'!Y177</f>
        <v>24.2</v>
      </c>
      <c r="I176" s="134">
        <f>IF('2019 Legal Max'!Y177=0,0,ROUND((H176/D176)*100,2))</f>
        <v>1.24</v>
      </c>
      <c r="J176" s="83">
        <f>(I176/100)*'2019 Legal Max'!BS177</f>
        <v>32373</v>
      </c>
      <c r="K176" s="302" t="str">
        <f>'2019 Legal Max'!BD177</f>
        <v>A</v>
      </c>
    </row>
    <row r="177" spans="1:11">
      <c r="A177" s="88">
        <v>383</v>
      </c>
      <c r="B177" s="87" t="s">
        <v>78</v>
      </c>
      <c r="C177" s="87" t="s">
        <v>691</v>
      </c>
      <c r="D177" s="89">
        <f>'2019 Legal Max'!CW178-'2019 Legal Max'!Q178-'2019 Legal Max'!AU178</f>
        <v>10070.5</v>
      </c>
      <c r="E177" s="89">
        <f>'2019 Legal Max'!AE178</f>
        <v>993.2</v>
      </c>
      <c r="F177" s="301">
        <f t="shared" si="3"/>
        <v>9.86</v>
      </c>
      <c r="G177" s="83">
        <f>(F177/100)*'2019 Legal Max'!BS178</f>
        <v>1454268</v>
      </c>
      <c r="H177" s="126">
        <f>'2019 Legal Max'!Y178</f>
        <v>89.9</v>
      </c>
      <c r="I177" s="134">
        <f>IF('2019 Legal Max'!Y178=0,0,ROUND((H177/D177)*100,2))</f>
        <v>0.89</v>
      </c>
      <c r="J177" s="83">
        <f>(I177/100)*'2019 Legal Max'!BS178</f>
        <v>131268</v>
      </c>
      <c r="K177" s="302" t="str">
        <f>'2019 Legal Max'!BD178</f>
        <v>A</v>
      </c>
    </row>
    <row r="178" spans="1:11">
      <c r="A178" s="88">
        <v>384</v>
      </c>
      <c r="B178" s="87" t="s">
        <v>78</v>
      </c>
      <c r="C178" s="87" t="s">
        <v>556</v>
      </c>
      <c r="D178" s="89">
        <f>'2019 Legal Max'!CW179-'2019 Legal Max'!Q179-'2019 Legal Max'!AU179</f>
        <v>506.9</v>
      </c>
      <c r="E178" s="89">
        <f>'2019 Legal Max'!AE179</f>
        <v>18.399999999999999</v>
      </c>
      <c r="F178" s="301">
        <f t="shared" si="3"/>
        <v>3.63</v>
      </c>
      <c r="G178" s="83">
        <f>(F178/100)*'2019 Legal Max'!BS179</f>
        <v>27114</v>
      </c>
      <c r="H178" s="126">
        <f>'2019 Legal Max'!Y179</f>
        <v>0</v>
      </c>
      <c r="I178" s="134">
        <f>IF('2019 Legal Max'!Y179=0,0,ROUND((H178/D178)*100,2))</f>
        <v>0</v>
      </c>
      <c r="J178" s="83">
        <f>(I178/100)*'2019 Legal Max'!BS179</f>
        <v>0</v>
      </c>
      <c r="K178" s="302" t="str">
        <f>'2019 Legal Max'!BD179</f>
        <v>A</v>
      </c>
    </row>
    <row r="179" spans="1:11">
      <c r="A179" s="88">
        <v>385</v>
      </c>
      <c r="B179" s="87" t="s">
        <v>10</v>
      </c>
      <c r="C179" s="87" t="s">
        <v>692</v>
      </c>
      <c r="D179" s="89">
        <f>'2019 Legal Max'!CW180-'2019 Legal Max'!Q180-'2019 Legal Max'!AU180</f>
        <v>7296.6</v>
      </c>
      <c r="E179" s="89">
        <f>'2019 Legal Max'!AE180</f>
        <v>311.7</v>
      </c>
      <c r="F179" s="301">
        <f t="shared" si="3"/>
        <v>4.2699999999999996</v>
      </c>
      <c r="G179" s="83">
        <f>(F179/100)*'2019 Legal Max'!BS180</f>
        <v>429736</v>
      </c>
      <c r="H179" s="126">
        <f>'2019 Legal Max'!Y180</f>
        <v>29.4</v>
      </c>
      <c r="I179" s="134">
        <f>IF('2019 Legal Max'!Y180=0,0,ROUND((H179/D179)*100,2))</f>
        <v>0.4</v>
      </c>
      <c r="J179" s="83">
        <f>(I179/100)*'2019 Legal Max'!BS180</f>
        <v>40256</v>
      </c>
      <c r="K179" s="302" t="str">
        <f>'2019 Legal Max'!BD180</f>
        <v>A</v>
      </c>
    </row>
    <row r="180" spans="1:11">
      <c r="A180" s="88">
        <v>386</v>
      </c>
      <c r="B180" s="87" t="s">
        <v>82</v>
      </c>
      <c r="C180" s="87" t="s">
        <v>693</v>
      </c>
      <c r="D180" s="89">
        <f>'2019 Legal Max'!CW181-'2019 Legal Max'!Q181-'2019 Legal Max'!AU181</f>
        <v>526.5</v>
      </c>
      <c r="E180" s="89">
        <f>'2019 Legal Max'!AE181</f>
        <v>36.799999999999997</v>
      </c>
      <c r="F180" s="301">
        <f t="shared" si="3"/>
        <v>6.99</v>
      </c>
      <c r="G180" s="83">
        <f>(F180/100)*'2019 Legal Max'!BS181</f>
        <v>49176</v>
      </c>
      <c r="H180" s="126">
        <f>'2019 Legal Max'!Y181</f>
        <v>0</v>
      </c>
      <c r="I180" s="134">
        <f>IF('2019 Legal Max'!Y181=0,0,ROUND((H180/D180)*100,2))</f>
        <v>0</v>
      </c>
      <c r="J180" s="83">
        <f>(I180/100)*'2019 Legal Max'!BS181</f>
        <v>0</v>
      </c>
      <c r="K180" s="302" t="str">
        <f>'2019 Legal Max'!BD181</f>
        <v>A</v>
      </c>
    </row>
    <row r="181" spans="1:11">
      <c r="A181" s="88">
        <v>387</v>
      </c>
      <c r="B181" s="87" t="s">
        <v>83</v>
      </c>
      <c r="C181" s="87" t="s">
        <v>694</v>
      </c>
      <c r="D181" s="89">
        <f>'2019 Legal Max'!CW182-'2019 Legal Max'!Q182-'2019 Legal Max'!AU182</f>
        <v>460.4</v>
      </c>
      <c r="E181" s="89">
        <f>'2019 Legal Max'!AE182</f>
        <v>42.6</v>
      </c>
      <c r="F181" s="301">
        <f t="shared" si="3"/>
        <v>9.25</v>
      </c>
      <c r="G181" s="83">
        <f>(F181/100)*'2019 Legal Max'!BS182</f>
        <v>56888</v>
      </c>
      <c r="H181" s="126">
        <f>'2019 Legal Max'!Y182</f>
        <v>0</v>
      </c>
      <c r="I181" s="134">
        <f>IF('2019 Legal Max'!Y182=0,0,ROUND((H181/D181)*100,2))</f>
        <v>0</v>
      </c>
      <c r="J181" s="83">
        <f>(I181/100)*'2019 Legal Max'!BS182</f>
        <v>0</v>
      </c>
      <c r="K181" s="302" t="str">
        <f>'2019 Legal Max'!BD182</f>
        <v>A</v>
      </c>
    </row>
    <row r="182" spans="1:11">
      <c r="A182" s="88">
        <v>388</v>
      </c>
      <c r="B182" s="87" t="s">
        <v>84</v>
      </c>
      <c r="C182" s="87" t="s">
        <v>695</v>
      </c>
      <c r="D182" s="89">
        <f>'2019 Legal Max'!CW183-'2019 Legal Max'!Q183-'2019 Legal Max'!AU183</f>
        <v>788.9</v>
      </c>
      <c r="E182" s="89">
        <f>'2019 Legal Max'!AE183</f>
        <v>43.1</v>
      </c>
      <c r="F182" s="301">
        <f t="shared" si="3"/>
        <v>5.46</v>
      </c>
      <c r="G182" s="83">
        <f>(F182/100)*'2019 Legal Max'!BS183</f>
        <v>57526</v>
      </c>
      <c r="H182" s="126">
        <f>'2019 Legal Max'!Y183</f>
        <v>0</v>
      </c>
      <c r="I182" s="134">
        <f>IF('2019 Legal Max'!Y183=0,0,ROUND((H182/D182)*100,2))</f>
        <v>0</v>
      </c>
      <c r="J182" s="83">
        <f>(I182/100)*'2019 Legal Max'!BS183</f>
        <v>0</v>
      </c>
      <c r="K182" s="302" t="str">
        <f>'2019 Legal Max'!BD183</f>
        <v>A</v>
      </c>
    </row>
    <row r="183" spans="1:11">
      <c r="A183" s="88">
        <v>389</v>
      </c>
      <c r="B183" s="87" t="s">
        <v>82</v>
      </c>
      <c r="C183" s="87" t="s">
        <v>696</v>
      </c>
      <c r="D183" s="89">
        <f>'2019 Legal Max'!CW184-'2019 Legal Max'!Q184-'2019 Legal Max'!AU184</f>
        <v>1308.3</v>
      </c>
      <c r="E183" s="89">
        <f>'2019 Legal Max'!AE184</f>
        <v>172.3</v>
      </c>
      <c r="F183" s="301">
        <f t="shared" si="3"/>
        <v>13.17</v>
      </c>
      <c r="G183" s="83">
        <f>(F183/100)*'2019 Legal Max'!BS184</f>
        <v>233172</v>
      </c>
      <c r="H183" s="126">
        <f>'2019 Legal Max'!Y184</f>
        <v>1.3</v>
      </c>
      <c r="I183" s="134">
        <f>IF('2019 Legal Max'!Y184=0,0,ROUND((H183/D183)*100,2))</f>
        <v>0.1</v>
      </c>
      <c r="J183" s="83">
        <f>(I183/100)*'2019 Legal Max'!BS184</f>
        <v>1770</v>
      </c>
      <c r="K183" s="302" t="str">
        <f>'2019 Legal Max'!BD184</f>
        <v>A</v>
      </c>
    </row>
    <row r="184" spans="1:11">
      <c r="A184" s="88">
        <v>390</v>
      </c>
      <c r="B184" s="87" t="s">
        <v>82</v>
      </c>
      <c r="C184" s="87" t="s">
        <v>697</v>
      </c>
      <c r="D184" s="89">
        <f>'2019 Legal Max'!CW185-'2019 Legal Max'!Q185-'2019 Legal Max'!AU185</f>
        <v>188.1</v>
      </c>
      <c r="E184" s="89">
        <f>'2019 Legal Max'!AE185</f>
        <v>18.899999999999999</v>
      </c>
      <c r="F184" s="301">
        <f t="shared" si="3"/>
        <v>10.050000000000001</v>
      </c>
      <c r="G184" s="83">
        <f>(F184/100)*'2019 Legal Max'!BS185</f>
        <v>25178</v>
      </c>
      <c r="H184" s="126">
        <f>'2019 Legal Max'!Y185</f>
        <v>0</v>
      </c>
      <c r="I184" s="134">
        <f>IF('2019 Legal Max'!Y185=0,0,ROUND((H184/D184)*100,2))</f>
        <v>0</v>
      </c>
      <c r="J184" s="83">
        <f>(I184/100)*'2019 Legal Max'!BS185</f>
        <v>0</v>
      </c>
      <c r="K184" s="302" t="str">
        <f>'2019 Legal Max'!BD185</f>
        <v>A</v>
      </c>
    </row>
    <row r="185" spans="1:11">
      <c r="A185" s="88">
        <v>392</v>
      </c>
      <c r="B185" s="87" t="s">
        <v>86</v>
      </c>
      <c r="C185" s="87" t="s">
        <v>698</v>
      </c>
      <c r="D185" s="89">
        <f>'2019 Legal Max'!CW186-'2019 Legal Max'!Q186-'2019 Legal Max'!AU186</f>
        <v>591</v>
      </c>
      <c r="E185" s="89">
        <f>'2019 Legal Max'!AE186</f>
        <v>48.4</v>
      </c>
      <c r="F185" s="301">
        <f t="shared" si="3"/>
        <v>8.19</v>
      </c>
      <c r="G185" s="83">
        <f>(F185/100)*'2019 Legal Max'!BS186</f>
        <v>66122</v>
      </c>
      <c r="H185" s="126">
        <f>'2019 Legal Max'!Y186</f>
        <v>0</v>
      </c>
      <c r="I185" s="134">
        <f>IF('2019 Legal Max'!Y186=0,0,ROUND((H185/D185)*100,2))</f>
        <v>0</v>
      </c>
      <c r="J185" s="83">
        <f>(I185/100)*'2019 Legal Max'!BS186</f>
        <v>0</v>
      </c>
      <c r="K185" s="302" t="str">
        <f>'2019 Legal Max'!BD186</f>
        <v>A</v>
      </c>
    </row>
    <row r="186" spans="1:11">
      <c r="A186" s="88">
        <v>393</v>
      </c>
      <c r="B186" s="87" t="s">
        <v>87</v>
      </c>
      <c r="C186" s="87" t="s">
        <v>699</v>
      </c>
      <c r="D186" s="89">
        <f>'2019 Legal Max'!CW187-'2019 Legal Max'!Q187-'2019 Legal Max'!AU187</f>
        <v>656.4</v>
      </c>
      <c r="E186" s="89">
        <f>'2019 Legal Max'!AE187</f>
        <v>66.8</v>
      </c>
      <c r="F186" s="301">
        <f t="shared" si="3"/>
        <v>10.18</v>
      </c>
      <c r="G186" s="83">
        <f>(F186/100)*'2019 Legal Max'!BS187</f>
        <v>89111</v>
      </c>
      <c r="H186" s="126">
        <f>'2019 Legal Max'!Y187</f>
        <v>0</v>
      </c>
      <c r="I186" s="134">
        <f>IF('2019 Legal Max'!Y187=0,0,ROUND((H186/D186)*100,2))</f>
        <v>0</v>
      </c>
      <c r="J186" s="83">
        <f>(I186/100)*'2019 Legal Max'!BS187</f>
        <v>0</v>
      </c>
      <c r="K186" s="302" t="str">
        <f>'2019 Legal Max'!BD187</f>
        <v>A</v>
      </c>
    </row>
    <row r="187" spans="1:11">
      <c r="A187" s="88">
        <v>394</v>
      </c>
      <c r="B187" s="87" t="s">
        <v>10</v>
      </c>
      <c r="C187" s="87" t="s">
        <v>700</v>
      </c>
      <c r="D187" s="89">
        <f>'2019 Legal Max'!CW188-'2019 Legal Max'!Q188-'2019 Legal Max'!AU188</f>
        <v>2242.1</v>
      </c>
      <c r="E187" s="89">
        <f>'2019 Legal Max'!AE188</f>
        <v>157.80000000000001</v>
      </c>
      <c r="F187" s="301">
        <f t="shared" si="3"/>
        <v>7.04</v>
      </c>
      <c r="G187" s="83">
        <f>(F187/100)*'2019 Legal Max'!BS188</f>
        <v>233131</v>
      </c>
      <c r="H187" s="126">
        <f>'2019 Legal Max'!Y188</f>
        <v>6.7</v>
      </c>
      <c r="I187" s="134">
        <f>IF('2019 Legal Max'!Y188=0,0,ROUND((H187/D187)*100,2))</f>
        <v>0.3</v>
      </c>
      <c r="J187" s="83">
        <f>(I187/100)*'2019 Legal Max'!BS188</f>
        <v>9935</v>
      </c>
      <c r="K187" s="302" t="str">
        <f>'2019 Legal Max'!BD188</f>
        <v>A</v>
      </c>
    </row>
    <row r="188" spans="1:11">
      <c r="A188" s="88">
        <v>395</v>
      </c>
      <c r="B188" s="87" t="s">
        <v>88</v>
      </c>
      <c r="C188" s="87" t="s">
        <v>701</v>
      </c>
      <c r="D188" s="89">
        <f>'2019 Legal Max'!CW189-'2019 Legal Max'!Q189-'2019 Legal Max'!AU189</f>
        <v>608.79999999999995</v>
      </c>
      <c r="E188" s="89">
        <f>'2019 Legal Max'!AE189</f>
        <v>51.3</v>
      </c>
      <c r="F188" s="301">
        <f t="shared" si="3"/>
        <v>8.43</v>
      </c>
      <c r="G188" s="83">
        <f>(F188/100)*'2019 Legal Max'!BS189</f>
        <v>70300</v>
      </c>
      <c r="H188" s="126">
        <f>'2019 Legal Max'!Y189</f>
        <v>0</v>
      </c>
      <c r="I188" s="134">
        <f>IF('2019 Legal Max'!Y189=0,0,ROUND((H188/D188)*100,2))</f>
        <v>0</v>
      </c>
      <c r="J188" s="83">
        <f>(I188/100)*'2019 Legal Max'!BS189</f>
        <v>0</v>
      </c>
      <c r="K188" s="302" t="str">
        <f>'2019 Legal Max'!BD189</f>
        <v>A</v>
      </c>
    </row>
    <row r="189" spans="1:11">
      <c r="A189" s="88">
        <v>396</v>
      </c>
      <c r="B189" s="87" t="s">
        <v>10</v>
      </c>
      <c r="C189" s="87" t="s">
        <v>702</v>
      </c>
      <c r="D189" s="89">
        <f>'2019 Legal Max'!CW190-'2019 Legal Max'!Q190-'2019 Legal Max'!AU190</f>
        <v>1233.0999999999999</v>
      </c>
      <c r="E189" s="89">
        <f>'2019 Legal Max'!AE190</f>
        <v>83.2</v>
      </c>
      <c r="F189" s="301">
        <f t="shared" si="3"/>
        <v>6.75</v>
      </c>
      <c r="G189" s="83">
        <f>(F189/100)*'2019 Legal Max'!BS190</f>
        <v>123214</v>
      </c>
      <c r="H189" s="126">
        <f>'2019 Legal Max'!Y190</f>
        <v>1.1000000000000001</v>
      </c>
      <c r="I189" s="134">
        <f>IF('2019 Legal Max'!Y190=0,0,ROUND((H189/D189)*100,2))</f>
        <v>0.09</v>
      </c>
      <c r="J189" s="83">
        <f>(I189/100)*'2019 Legal Max'!BS190</f>
        <v>1643</v>
      </c>
      <c r="K189" s="302" t="str">
        <f>'2019 Legal Max'!BD190</f>
        <v>A</v>
      </c>
    </row>
    <row r="190" spans="1:11">
      <c r="A190" s="88">
        <v>397</v>
      </c>
      <c r="B190" s="87" t="s">
        <v>89</v>
      </c>
      <c r="C190" s="87" t="s">
        <v>703</v>
      </c>
      <c r="D190" s="89">
        <f>'2019 Legal Max'!CW191-'2019 Legal Max'!Q191-'2019 Legal Max'!AU191</f>
        <v>547.9</v>
      </c>
      <c r="E190" s="89">
        <f>'2019 Legal Max'!AE191</f>
        <v>29.5</v>
      </c>
      <c r="F190" s="301">
        <f t="shared" si="3"/>
        <v>5.38</v>
      </c>
      <c r="G190" s="83">
        <f>(F190/100)*'2019 Legal Max'!BS191</f>
        <v>39222</v>
      </c>
      <c r="H190" s="126">
        <f>'2019 Legal Max'!Y191</f>
        <v>0</v>
      </c>
      <c r="I190" s="134">
        <f>IF('2019 Legal Max'!Y191=0,0,ROUND((H190/D190)*100,2))</f>
        <v>0</v>
      </c>
      <c r="J190" s="83">
        <f>(I190/100)*'2019 Legal Max'!BS191</f>
        <v>0</v>
      </c>
      <c r="K190" s="302" t="str">
        <f>'2019 Legal Max'!BD191</f>
        <v>A</v>
      </c>
    </row>
    <row r="191" spans="1:11">
      <c r="A191" s="88">
        <v>398</v>
      </c>
      <c r="B191" s="87" t="s">
        <v>89</v>
      </c>
      <c r="C191" s="87" t="s">
        <v>704</v>
      </c>
      <c r="D191" s="89">
        <f>'2019 Legal Max'!CW192-'2019 Legal Max'!Q192-'2019 Legal Max'!AU192</f>
        <v>593.1</v>
      </c>
      <c r="E191" s="89">
        <f>'2019 Legal Max'!AE192</f>
        <v>56.1</v>
      </c>
      <c r="F191" s="301">
        <f t="shared" si="3"/>
        <v>9.4600000000000009</v>
      </c>
      <c r="G191" s="83">
        <f>(F191/100)*'2019 Legal Max'!BS192</f>
        <v>83588</v>
      </c>
      <c r="H191" s="126">
        <f>'2019 Legal Max'!Y192</f>
        <v>0</v>
      </c>
      <c r="I191" s="134">
        <f>IF('2019 Legal Max'!Y192=0,0,ROUND((H191/D191)*100,2))</f>
        <v>0</v>
      </c>
      <c r="J191" s="83">
        <f>(I191/100)*'2019 Legal Max'!BS192</f>
        <v>0</v>
      </c>
      <c r="K191" s="302" t="str">
        <f>'2019 Legal Max'!BD192</f>
        <v>A</v>
      </c>
    </row>
    <row r="192" spans="1:11">
      <c r="A192" s="88">
        <v>399</v>
      </c>
      <c r="B192" s="87" t="s">
        <v>90</v>
      </c>
      <c r="C192" s="87" t="s">
        <v>705</v>
      </c>
      <c r="D192" s="89">
        <f>'2019 Legal Max'!CW193-'2019 Legal Max'!Q193-'2019 Legal Max'!AU193</f>
        <v>298.5</v>
      </c>
      <c r="E192" s="89">
        <f>'2019 Legal Max'!AE193</f>
        <v>22.7</v>
      </c>
      <c r="F192" s="301">
        <f t="shared" si="3"/>
        <v>7.6</v>
      </c>
      <c r="G192" s="83">
        <f>(F192/100)*'2019 Legal Max'!BS193</f>
        <v>34713</v>
      </c>
      <c r="H192" s="126">
        <f>'2019 Legal Max'!Y193</f>
        <v>0</v>
      </c>
      <c r="I192" s="134">
        <f>IF('2019 Legal Max'!Y193=0,0,ROUND((H192/D192)*100,2))</f>
        <v>0</v>
      </c>
      <c r="J192" s="83">
        <f>(I192/100)*'2019 Legal Max'!BS193</f>
        <v>0</v>
      </c>
      <c r="K192" s="302" t="str">
        <f>'2019 Legal Max'!BD193</f>
        <v>A</v>
      </c>
    </row>
    <row r="193" spans="1:11">
      <c r="A193" s="88">
        <v>400</v>
      </c>
      <c r="B193" s="87" t="s">
        <v>91</v>
      </c>
      <c r="C193" s="87" t="s">
        <v>706</v>
      </c>
      <c r="D193" s="89">
        <f>'2019 Legal Max'!CW194-'2019 Legal Max'!Q194-'2019 Legal Max'!AU194</f>
        <v>1576.7</v>
      </c>
      <c r="E193" s="89">
        <f>'2019 Legal Max'!AE194</f>
        <v>88.6</v>
      </c>
      <c r="F193" s="301">
        <f t="shared" si="3"/>
        <v>5.62</v>
      </c>
      <c r="G193" s="83">
        <f>(F193/100)*'2019 Legal Max'!BS194</f>
        <v>130171</v>
      </c>
      <c r="H193" s="126">
        <f>'2019 Legal Max'!Y194</f>
        <v>0.4</v>
      </c>
      <c r="I193" s="134">
        <f>IF('2019 Legal Max'!Y194=0,0,ROUND((H193/D193)*100,2))</f>
        <v>0.03</v>
      </c>
      <c r="J193" s="83">
        <f>(I193/100)*'2019 Legal Max'!BS194</f>
        <v>695</v>
      </c>
      <c r="K193" s="302" t="str">
        <f>'2019 Legal Max'!BD194</f>
        <v>A</v>
      </c>
    </row>
    <row r="194" spans="1:11">
      <c r="A194" s="88">
        <v>401</v>
      </c>
      <c r="B194" s="87" t="s">
        <v>76</v>
      </c>
      <c r="C194" s="87" t="s">
        <v>707</v>
      </c>
      <c r="D194" s="89">
        <f>'2019 Legal Max'!CW195-'2019 Legal Max'!Q195-'2019 Legal Max'!AU195</f>
        <v>415.4</v>
      </c>
      <c r="E194" s="89">
        <f>'2019 Legal Max'!AE195</f>
        <v>44</v>
      </c>
      <c r="F194" s="301">
        <f t="shared" si="3"/>
        <v>10.59</v>
      </c>
      <c r="G194" s="83">
        <f>(F194/100)*'2019 Legal Max'!BS195</f>
        <v>59173</v>
      </c>
      <c r="H194" s="126">
        <f>'2019 Legal Max'!Y195</f>
        <v>1.1000000000000001</v>
      </c>
      <c r="I194" s="134">
        <f>IF('2019 Legal Max'!Y195=0,0,ROUND((H194/D194)*100,2))</f>
        <v>0.26</v>
      </c>
      <c r="J194" s="83">
        <f>(I194/100)*'2019 Legal Max'!BS195</f>
        <v>1453</v>
      </c>
      <c r="K194" s="302" t="str">
        <f>'2019 Legal Max'!BD195</f>
        <v>A</v>
      </c>
    </row>
    <row r="195" spans="1:11">
      <c r="A195" s="88">
        <v>402</v>
      </c>
      <c r="B195" s="87" t="s">
        <v>10</v>
      </c>
      <c r="C195" s="87" t="s">
        <v>708</v>
      </c>
      <c r="D195" s="89">
        <f>'2019 Legal Max'!CW196-'2019 Legal Max'!Q196-'2019 Legal Max'!AU196</f>
        <v>3132.2</v>
      </c>
      <c r="E195" s="89">
        <f>'2019 Legal Max'!AE196</f>
        <v>327.7</v>
      </c>
      <c r="F195" s="301">
        <f t="shared" si="3"/>
        <v>10.46</v>
      </c>
      <c r="G195" s="83">
        <f>(F195/100)*'2019 Legal Max'!BS196</f>
        <v>482301</v>
      </c>
      <c r="H195" s="126">
        <f>'2019 Legal Max'!Y196</f>
        <v>3.5</v>
      </c>
      <c r="I195" s="134">
        <f>IF('2019 Legal Max'!Y196=0,0,ROUND((H195/D195)*100,2))</f>
        <v>0.11</v>
      </c>
      <c r="J195" s="83">
        <f>(I195/100)*'2019 Legal Max'!BS196</f>
        <v>5072</v>
      </c>
      <c r="K195" s="302" t="str">
        <f>'2019 Legal Max'!BD196</f>
        <v>A</v>
      </c>
    </row>
    <row r="196" spans="1:11">
      <c r="A196" s="88">
        <v>403</v>
      </c>
      <c r="B196" s="87" t="s">
        <v>88</v>
      </c>
      <c r="C196" s="87" t="s">
        <v>709</v>
      </c>
      <c r="D196" s="89">
        <f>'2019 Legal Max'!CW197-'2019 Legal Max'!Q197-'2019 Legal Max'!AU197</f>
        <v>538.1</v>
      </c>
      <c r="E196" s="89">
        <f>'2019 Legal Max'!AE197</f>
        <v>31</v>
      </c>
      <c r="F196" s="301">
        <f t="shared" si="3"/>
        <v>5.76</v>
      </c>
      <c r="G196" s="83">
        <f>(F196/100)*'2019 Legal Max'!BS197</f>
        <v>41504</v>
      </c>
      <c r="H196" s="126">
        <f>'2019 Legal Max'!Y197</f>
        <v>1.1000000000000001</v>
      </c>
      <c r="I196" s="134">
        <f>IF('2019 Legal Max'!Y197=0,0,ROUND((H196/D196)*100,2))</f>
        <v>0.2</v>
      </c>
      <c r="J196" s="83">
        <f>(I196/100)*'2019 Legal Max'!BS197</f>
        <v>1441</v>
      </c>
      <c r="K196" s="302" t="str">
        <f>'2019 Legal Max'!BD197</f>
        <v>A</v>
      </c>
    </row>
    <row r="197" spans="1:11">
      <c r="A197" s="88">
        <v>404</v>
      </c>
      <c r="B197" s="87" t="s">
        <v>29</v>
      </c>
      <c r="C197" s="87" t="s">
        <v>710</v>
      </c>
      <c r="D197" s="89">
        <f>'2019 Legal Max'!CW198-'2019 Legal Max'!Q198-'2019 Legal Max'!AU198</f>
        <v>1419.9</v>
      </c>
      <c r="E197" s="89">
        <f>'2019 Legal Max'!AE198</f>
        <v>150</v>
      </c>
      <c r="F197" s="301">
        <f t="shared" ref="F197:F260" si="4">IF(E197=0,0,ROUND((E197/D197)*100,2))</f>
        <v>10.56</v>
      </c>
      <c r="G197" s="83">
        <f>(F197/100)*'2019 Legal Max'!BS198</f>
        <v>200927</v>
      </c>
      <c r="H197" s="126">
        <f>'2019 Legal Max'!Y198</f>
        <v>0.4</v>
      </c>
      <c r="I197" s="134">
        <f>IF('2019 Legal Max'!Y198=0,0,ROUND((H197/D197)*100,2))</f>
        <v>0.03</v>
      </c>
      <c r="J197" s="83">
        <f>(I197/100)*'2019 Legal Max'!BS198</f>
        <v>571</v>
      </c>
      <c r="K197" s="302" t="str">
        <f>'2019 Legal Max'!BD198</f>
        <v>A</v>
      </c>
    </row>
    <row r="198" spans="1:11">
      <c r="A198" s="88">
        <v>405</v>
      </c>
      <c r="B198" s="87" t="s">
        <v>76</v>
      </c>
      <c r="C198" s="87" t="s">
        <v>711</v>
      </c>
      <c r="D198" s="89">
        <f>'2019 Legal Max'!CW199-'2019 Legal Max'!Q199-'2019 Legal Max'!AU199</f>
        <v>1599</v>
      </c>
      <c r="E198" s="89">
        <f>'2019 Legal Max'!AE199</f>
        <v>234.3</v>
      </c>
      <c r="F198" s="301">
        <f t="shared" si="4"/>
        <v>14.65</v>
      </c>
      <c r="G198" s="83">
        <f>(F198/100)*'2019 Legal Max'!BS199</f>
        <v>275748</v>
      </c>
      <c r="H198" s="126">
        <f>'2019 Legal Max'!Y199</f>
        <v>29.5</v>
      </c>
      <c r="I198" s="134">
        <f>IF('2019 Legal Max'!Y199=0,0,ROUND((H198/D198)*100,2))</f>
        <v>1.84</v>
      </c>
      <c r="J198" s="83">
        <f>(I198/100)*'2019 Legal Max'!BS199</f>
        <v>34633</v>
      </c>
      <c r="K198" s="302" t="str">
        <f>'2019 Legal Max'!BD199</f>
        <v>A</v>
      </c>
    </row>
    <row r="199" spans="1:11">
      <c r="A199" s="88">
        <v>407</v>
      </c>
      <c r="B199" s="87" t="s">
        <v>90</v>
      </c>
      <c r="C199" s="87" t="s">
        <v>712</v>
      </c>
      <c r="D199" s="89">
        <f>'2019 Legal Max'!CW200-'2019 Legal Max'!Q200-'2019 Legal Max'!AU200</f>
        <v>1546</v>
      </c>
      <c r="E199" s="89">
        <f>'2019 Legal Max'!AE200</f>
        <v>183.4</v>
      </c>
      <c r="F199" s="301">
        <f t="shared" si="4"/>
        <v>11.86</v>
      </c>
      <c r="G199" s="83">
        <f>(F199/100)*'2019 Legal Max'!BS200</f>
        <v>272267</v>
      </c>
      <c r="H199" s="126">
        <f>'2019 Legal Max'!Y200</f>
        <v>0.7</v>
      </c>
      <c r="I199" s="134">
        <f>IF('2019 Legal Max'!Y200=0,0,ROUND((H199/D199)*100,2))</f>
        <v>0.05</v>
      </c>
      <c r="J199" s="83">
        <f>(I199/100)*'2019 Legal Max'!BS200</f>
        <v>1148</v>
      </c>
      <c r="K199" s="302" t="str">
        <f>'2019 Legal Max'!BD200</f>
        <v>A</v>
      </c>
    </row>
    <row r="200" spans="1:11">
      <c r="A200" s="88">
        <v>408</v>
      </c>
      <c r="B200" s="87" t="s">
        <v>89</v>
      </c>
      <c r="C200" s="87" t="s">
        <v>713</v>
      </c>
      <c r="D200" s="89">
        <f>'2019 Legal Max'!CW201-'2019 Legal Max'!Q201-'2019 Legal Max'!AU201</f>
        <v>1026.3</v>
      </c>
      <c r="E200" s="89">
        <f>'2019 Legal Max'!AE201</f>
        <v>76</v>
      </c>
      <c r="F200" s="301">
        <f t="shared" si="4"/>
        <v>7.41</v>
      </c>
      <c r="G200" s="83">
        <f>(F200/100)*'2019 Legal Max'!BS201</f>
        <v>101125</v>
      </c>
      <c r="H200" s="126">
        <f>'2019 Legal Max'!Y201</f>
        <v>0</v>
      </c>
      <c r="I200" s="134">
        <f>IF('2019 Legal Max'!Y201=0,0,ROUND((H200/D200)*100,2))</f>
        <v>0</v>
      </c>
      <c r="J200" s="83">
        <f>(I200/100)*'2019 Legal Max'!BS201</f>
        <v>0</v>
      </c>
      <c r="K200" s="302" t="str">
        <f>'2019 Legal Max'!BD201</f>
        <v>A</v>
      </c>
    </row>
    <row r="201" spans="1:11">
      <c r="A201" s="88">
        <v>409</v>
      </c>
      <c r="B201" s="87" t="s">
        <v>77</v>
      </c>
      <c r="C201" s="87" t="s">
        <v>714</v>
      </c>
      <c r="D201" s="89">
        <f>'2019 Legal Max'!CW202-'2019 Legal Max'!Q202-'2019 Legal Max'!AU202</f>
        <v>2857.4</v>
      </c>
      <c r="E201" s="89">
        <f>'2019 Legal Max'!AE202</f>
        <v>439</v>
      </c>
      <c r="F201" s="301">
        <f t="shared" si="4"/>
        <v>15.36</v>
      </c>
      <c r="G201" s="83">
        <f>(F201/100)*'2019 Legal Max'!BS202</f>
        <v>587072</v>
      </c>
      <c r="H201" s="126">
        <f>'2019 Legal Max'!Y202</f>
        <v>2.6</v>
      </c>
      <c r="I201" s="134">
        <f>IF('2019 Legal Max'!Y202=0,0,ROUND((H201/D201)*100,2))</f>
        <v>0.09</v>
      </c>
      <c r="J201" s="83">
        <f>(I201/100)*'2019 Legal Max'!BS202</f>
        <v>3440</v>
      </c>
      <c r="K201" s="302" t="str">
        <f>'2019 Legal Max'!BD202</f>
        <v>A</v>
      </c>
    </row>
    <row r="202" spans="1:11">
      <c r="A202" s="88">
        <v>410</v>
      </c>
      <c r="B202" s="87" t="s">
        <v>89</v>
      </c>
      <c r="C202" s="87" t="s">
        <v>715</v>
      </c>
      <c r="D202" s="89">
        <f>'2019 Legal Max'!CW203-'2019 Legal Max'!Q203-'2019 Legal Max'!AU203</f>
        <v>1142.2</v>
      </c>
      <c r="E202" s="89">
        <f>'2019 Legal Max'!AE203</f>
        <v>76.5</v>
      </c>
      <c r="F202" s="301">
        <f t="shared" si="4"/>
        <v>6.7</v>
      </c>
      <c r="G202" s="83">
        <f>(F202/100)*'2019 Legal Max'!BS203</f>
        <v>112177</v>
      </c>
      <c r="H202" s="126">
        <f>'2019 Legal Max'!Y203</f>
        <v>2.2000000000000002</v>
      </c>
      <c r="I202" s="134">
        <f>IF('2019 Legal Max'!Y203=0,0,ROUND((H202/D202)*100,2))</f>
        <v>0.19</v>
      </c>
      <c r="J202" s="83">
        <f>(I202/100)*'2019 Legal Max'!BS203</f>
        <v>3181</v>
      </c>
      <c r="K202" s="302" t="str">
        <f>'2019 Legal Max'!BD203</f>
        <v>A</v>
      </c>
    </row>
    <row r="203" spans="1:11">
      <c r="A203" s="88">
        <v>411</v>
      </c>
      <c r="B203" s="87" t="s">
        <v>89</v>
      </c>
      <c r="C203" s="87" t="s">
        <v>716</v>
      </c>
      <c r="D203" s="89">
        <f>'2019 Legal Max'!CW204-'2019 Legal Max'!Q204-'2019 Legal Max'!AU204</f>
        <v>612.9</v>
      </c>
      <c r="E203" s="89">
        <f>'2019 Legal Max'!AE204</f>
        <v>30.5</v>
      </c>
      <c r="F203" s="301">
        <f t="shared" si="4"/>
        <v>4.9800000000000004</v>
      </c>
      <c r="G203" s="83">
        <f>(F203/100)*'2019 Legal Max'!BS204</f>
        <v>44897</v>
      </c>
      <c r="H203" s="126">
        <f>'2019 Legal Max'!Y204</f>
        <v>0.7</v>
      </c>
      <c r="I203" s="134">
        <f>IF('2019 Legal Max'!Y204=0,0,ROUND((H203/D203)*100,2))</f>
        <v>0.11</v>
      </c>
      <c r="J203" s="83">
        <f>(I203/100)*'2019 Legal Max'!BS204</f>
        <v>992</v>
      </c>
      <c r="K203" s="302" t="str">
        <f>'2019 Legal Max'!BD204</f>
        <v>A</v>
      </c>
    </row>
    <row r="204" spans="1:11">
      <c r="A204" s="88">
        <v>412</v>
      </c>
      <c r="B204" s="87" t="s">
        <v>93</v>
      </c>
      <c r="C204" s="87" t="s">
        <v>717</v>
      </c>
      <c r="D204" s="89">
        <f>'2019 Legal Max'!CW205-'2019 Legal Max'!Q205-'2019 Legal Max'!AU205</f>
        <v>740.2</v>
      </c>
      <c r="E204" s="89">
        <f>'2019 Legal Max'!AE205</f>
        <v>33.9</v>
      </c>
      <c r="F204" s="301">
        <f t="shared" si="4"/>
        <v>4.58</v>
      </c>
      <c r="G204" s="83">
        <f>(F204/100)*'2019 Legal Max'!BS205</f>
        <v>45654</v>
      </c>
      <c r="H204" s="126">
        <f>'2019 Legal Max'!Y205</f>
        <v>0</v>
      </c>
      <c r="I204" s="134">
        <f>IF('2019 Legal Max'!Y205=0,0,ROUND((H204/D204)*100,2))</f>
        <v>0</v>
      </c>
      <c r="J204" s="83">
        <f>(I204/100)*'2019 Legal Max'!BS205</f>
        <v>0</v>
      </c>
      <c r="K204" s="302" t="str">
        <f>'2019 Legal Max'!BD205</f>
        <v>A</v>
      </c>
    </row>
    <row r="205" spans="1:11">
      <c r="A205" s="88">
        <v>413</v>
      </c>
      <c r="B205" s="87" t="s">
        <v>4</v>
      </c>
      <c r="C205" s="87" t="s">
        <v>718</v>
      </c>
      <c r="D205" s="89">
        <f>'2019 Legal Max'!CW206-'2019 Legal Max'!Q206-'2019 Legal Max'!AU206</f>
        <v>3169.4</v>
      </c>
      <c r="E205" s="89">
        <f>'2019 Legal Max'!AE206</f>
        <v>462.7</v>
      </c>
      <c r="F205" s="301">
        <f t="shared" si="4"/>
        <v>14.6</v>
      </c>
      <c r="G205" s="83">
        <f>(F205/100)*'2019 Legal Max'!BS206</f>
        <v>615125</v>
      </c>
      <c r="H205" s="126">
        <f>'2019 Legal Max'!Y206</f>
        <v>8</v>
      </c>
      <c r="I205" s="134">
        <f>IF('2019 Legal Max'!Y206=0,0,ROUND((H205/D205)*100,2))</f>
        <v>0.25</v>
      </c>
      <c r="J205" s="83">
        <f>(I205/100)*'2019 Legal Max'!BS206</f>
        <v>10533</v>
      </c>
      <c r="K205" s="302" t="str">
        <f>'2019 Legal Max'!BD206</f>
        <v>A</v>
      </c>
    </row>
    <row r="206" spans="1:11">
      <c r="A206" s="88">
        <v>415</v>
      </c>
      <c r="B206" s="87" t="s">
        <v>94</v>
      </c>
      <c r="C206" s="87" t="s">
        <v>719</v>
      </c>
      <c r="D206" s="89">
        <f>'2019 Legal Max'!CW207-'2019 Legal Max'!Q207-'2019 Legal Max'!AU207</f>
        <v>1718.3</v>
      </c>
      <c r="E206" s="89">
        <f>'2019 Legal Max'!AE207</f>
        <v>190.7</v>
      </c>
      <c r="F206" s="301">
        <f t="shared" si="4"/>
        <v>11.1</v>
      </c>
      <c r="G206" s="83">
        <f>(F206/100)*'2019 Legal Max'!BS207</f>
        <v>255320</v>
      </c>
      <c r="H206" s="126">
        <f>'2019 Legal Max'!Y207</f>
        <v>0.2</v>
      </c>
      <c r="I206" s="134">
        <f>IF('2019 Legal Max'!Y207=0,0,ROUND((H206/D206)*100,2))</f>
        <v>0.01</v>
      </c>
      <c r="J206" s="83">
        <f>(I206/100)*'2019 Legal Max'!BS207</f>
        <v>230</v>
      </c>
      <c r="K206" s="302" t="str">
        <f>'2019 Legal Max'!BD207</f>
        <v>A</v>
      </c>
    </row>
    <row r="207" spans="1:11">
      <c r="A207" s="88">
        <v>416</v>
      </c>
      <c r="B207" s="87" t="s">
        <v>73</v>
      </c>
      <c r="C207" s="87" t="s">
        <v>720</v>
      </c>
      <c r="D207" s="89">
        <f>'2019 Legal Max'!CW208-'2019 Legal Max'!Q208-'2019 Legal Max'!AU208</f>
        <v>2406.4</v>
      </c>
      <c r="E207" s="89">
        <f>'2019 Legal Max'!AE208</f>
        <v>128.30000000000001</v>
      </c>
      <c r="F207" s="301">
        <f t="shared" si="4"/>
        <v>5.33</v>
      </c>
      <c r="G207" s="83">
        <f>(F207/100)*'2019 Legal Max'!BS208</f>
        <v>188277</v>
      </c>
      <c r="H207" s="126">
        <f>'2019 Legal Max'!Y208</f>
        <v>5.4</v>
      </c>
      <c r="I207" s="134">
        <f>IF('2019 Legal Max'!Y208=0,0,ROUND((H207/D207)*100,2))</f>
        <v>0.22</v>
      </c>
      <c r="J207" s="83">
        <f>(I207/100)*'2019 Legal Max'!BS208</f>
        <v>7771</v>
      </c>
      <c r="K207" s="302" t="str">
        <f>'2019 Legal Max'!BD208</f>
        <v>A</v>
      </c>
    </row>
    <row r="208" spans="1:11">
      <c r="A208" s="88">
        <v>417</v>
      </c>
      <c r="B208" s="87" t="s">
        <v>95</v>
      </c>
      <c r="C208" s="87" t="s">
        <v>721</v>
      </c>
      <c r="D208" s="89">
        <f>'2019 Legal Max'!CW209-'2019 Legal Max'!Q209-'2019 Legal Max'!AU209</f>
        <v>1438.8</v>
      </c>
      <c r="E208" s="89">
        <f>'2019 Legal Max'!AE209</f>
        <v>138.4</v>
      </c>
      <c r="F208" s="301">
        <f t="shared" si="4"/>
        <v>9.6199999999999992</v>
      </c>
      <c r="G208" s="83">
        <f>(F208/100)*'2019 Legal Max'!BS209</f>
        <v>181952</v>
      </c>
      <c r="H208" s="126">
        <f>'2019 Legal Max'!Y209</f>
        <v>3.1</v>
      </c>
      <c r="I208" s="134">
        <f>IF('2019 Legal Max'!Y209=0,0,ROUND((H208/D208)*100,2))</f>
        <v>0.22</v>
      </c>
      <c r="J208" s="83">
        <f>(I208/100)*'2019 Legal Max'!BS209</f>
        <v>4161</v>
      </c>
      <c r="K208" s="302" t="str">
        <f>'2019 Legal Max'!BD209</f>
        <v>A</v>
      </c>
    </row>
    <row r="209" spans="1:11">
      <c r="A209" s="88">
        <v>418</v>
      </c>
      <c r="B209" s="87" t="s">
        <v>91</v>
      </c>
      <c r="C209" s="87" t="s">
        <v>722</v>
      </c>
      <c r="D209" s="89">
        <f>'2019 Legal Max'!CW210-'2019 Legal Max'!Q210-'2019 Legal Max'!AU210</f>
        <v>3635</v>
      </c>
      <c r="E209" s="89">
        <f>'2019 Legal Max'!AE210</f>
        <v>357.2</v>
      </c>
      <c r="F209" s="301">
        <f t="shared" si="4"/>
        <v>9.83</v>
      </c>
      <c r="G209" s="83">
        <f>(F209/100)*'2019 Legal Max'!BS210</f>
        <v>523650</v>
      </c>
      <c r="H209" s="126">
        <f>'2019 Legal Max'!Y210</f>
        <v>10.5</v>
      </c>
      <c r="I209" s="134">
        <f>IF('2019 Legal Max'!Y210=0,0,ROUND((H209/D209)*100,2))</f>
        <v>0.28999999999999998</v>
      </c>
      <c r="J209" s="83">
        <f>(I209/100)*'2019 Legal Max'!BS210</f>
        <v>15448</v>
      </c>
      <c r="K209" s="302" t="str">
        <f>'2019 Legal Max'!BD210</f>
        <v>A</v>
      </c>
    </row>
    <row r="210" spans="1:11">
      <c r="A210" s="88">
        <v>419</v>
      </c>
      <c r="B210" s="87" t="s">
        <v>91</v>
      </c>
      <c r="C210" s="87" t="s">
        <v>723</v>
      </c>
      <c r="D210" s="89">
        <f>'2019 Legal Max'!CW211-'2019 Legal Max'!Q211-'2019 Legal Max'!AU211</f>
        <v>708</v>
      </c>
      <c r="E210" s="89">
        <f>'2019 Legal Max'!AE211</f>
        <v>48.9</v>
      </c>
      <c r="F210" s="301">
        <f t="shared" si="4"/>
        <v>6.91</v>
      </c>
      <c r="G210" s="83">
        <f>(F210/100)*'2019 Legal Max'!BS211</f>
        <v>72044</v>
      </c>
      <c r="H210" s="126">
        <f>'2019 Legal Max'!Y211</f>
        <v>0.2</v>
      </c>
      <c r="I210" s="134">
        <f>IF('2019 Legal Max'!Y211=0,0,ROUND((H210/D210)*100,2))</f>
        <v>0.03</v>
      </c>
      <c r="J210" s="83">
        <f>(I210/100)*'2019 Legal Max'!BS211</f>
        <v>313</v>
      </c>
      <c r="K210" s="302" t="str">
        <f>'2019 Legal Max'!BD211</f>
        <v>A</v>
      </c>
    </row>
    <row r="211" spans="1:11">
      <c r="A211" s="88">
        <v>420</v>
      </c>
      <c r="B211" s="87" t="s">
        <v>96</v>
      </c>
      <c r="C211" s="87" t="s">
        <v>724</v>
      </c>
      <c r="D211" s="89">
        <f>'2019 Legal Max'!CW212-'2019 Legal Max'!Q212-'2019 Legal Max'!AU212</f>
        <v>1256.5</v>
      </c>
      <c r="E211" s="89">
        <f>'2019 Legal Max'!AE212</f>
        <v>110.4</v>
      </c>
      <c r="F211" s="301">
        <f t="shared" si="4"/>
        <v>8.7899999999999991</v>
      </c>
      <c r="G211" s="83">
        <f>(F211/100)*'2019 Legal Max'!BS212</f>
        <v>147458</v>
      </c>
      <c r="H211" s="126">
        <f>'2019 Legal Max'!Y212</f>
        <v>0.4</v>
      </c>
      <c r="I211" s="134">
        <f>IF('2019 Legal Max'!Y212=0,0,ROUND((H211/D211)*100,2))</f>
        <v>0.03</v>
      </c>
      <c r="J211" s="83">
        <f>(I211/100)*'2019 Legal Max'!BS212</f>
        <v>503</v>
      </c>
      <c r="K211" s="302" t="str">
        <f>'2019 Legal Max'!BD212</f>
        <v>A</v>
      </c>
    </row>
    <row r="212" spans="1:11">
      <c r="A212" s="88">
        <v>421</v>
      </c>
      <c r="B212" s="87" t="s">
        <v>96</v>
      </c>
      <c r="C212" s="87" t="s">
        <v>725</v>
      </c>
      <c r="D212" s="89">
        <f>'2019 Legal Max'!CW213-'2019 Legal Max'!Q213-'2019 Legal Max'!AU213</f>
        <v>838.7</v>
      </c>
      <c r="E212" s="89">
        <f>'2019 Legal Max'!AE213</f>
        <v>42.6</v>
      </c>
      <c r="F212" s="301">
        <f t="shared" si="4"/>
        <v>5.08</v>
      </c>
      <c r="G212" s="83">
        <f>(F212/100)*'2019 Legal Max'!BS213</f>
        <v>56800</v>
      </c>
      <c r="H212" s="126">
        <f>'2019 Legal Max'!Y213</f>
        <v>0</v>
      </c>
      <c r="I212" s="134">
        <f>IF('2019 Legal Max'!Y213=0,0,ROUND((H212/D212)*100,2))</f>
        <v>0</v>
      </c>
      <c r="J212" s="83">
        <f>(I212/100)*'2019 Legal Max'!BS213</f>
        <v>0</v>
      </c>
      <c r="K212" s="302" t="str">
        <f>'2019 Legal Max'!BD213</f>
        <v>A</v>
      </c>
    </row>
    <row r="213" spans="1:11">
      <c r="A213" s="88">
        <v>422</v>
      </c>
      <c r="B213" s="87" t="s">
        <v>97</v>
      </c>
      <c r="C213" s="87" t="s">
        <v>726</v>
      </c>
      <c r="D213" s="89">
        <f>'2019 Legal Max'!CW214-'2019 Legal Max'!Q214-'2019 Legal Max'!AU214</f>
        <v>543.1</v>
      </c>
      <c r="E213" s="89">
        <f>'2019 Legal Max'!AE214</f>
        <v>32.9</v>
      </c>
      <c r="F213" s="301">
        <f t="shared" si="4"/>
        <v>6.06</v>
      </c>
      <c r="G213" s="83">
        <f>(F213/100)*'2019 Legal Max'!BS214</f>
        <v>43895</v>
      </c>
      <c r="H213" s="126">
        <f>'2019 Legal Max'!Y214</f>
        <v>0</v>
      </c>
      <c r="I213" s="134">
        <f>IF('2019 Legal Max'!Y214=0,0,ROUND((H213/D213)*100,2))</f>
        <v>0</v>
      </c>
      <c r="J213" s="83">
        <f>(I213/100)*'2019 Legal Max'!BS214</f>
        <v>0</v>
      </c>
      <c r="K213" s="302" t="str">
        <f>'2019 Legal Max'!BD214</f>
        <v>A</v>
      </c>
    </row>
    <row r="214" spans="1:11">
      <c r="A214" s="88">
        <v>423</v>
      </c>
      <c r="B214" s="87" t="s">
        <v>91</v>
      </c>
      <c r="C214" s="87" t="s">
        <v>727</v>
      </c>
      <c r="D214" s="89">
        <f>'2019 Legal Max'!CW215-'2019 Legal Max'!Q215-'2019 Legal Max'!AU215</f>
        <v>774.6</v>
      </c>
      <c r="E214" s="89">
        <f>'2019 Legal Max'!AE215</f>
        <v>41.1</v>
      </c>
      <c r="F214" s="301">
        <f t="shared" si="4"/>
        <v>5.31</v>
      </c>
      <c r="G214" s="83">
        <f>(F214/100)*'2019 Legal Max'!BS215</f>
        <v>60881</v>
      </c>
      <c r="H214" s="126">
        <f>'2019 Legal Max'!Y215</f>
        <v>0</v>
      </c>
      <c r="I214" s="134">
        <f>IF('2019 Legal Max'!Y215=0,0,ROUND((H214/D214)*100,2))</f>
        <v>0</v>
      </c>
      <c r="J214" s="83">
        <f>(I214/100)*'2019 Legal Max'!BS215</f>
        <v>0</v>
      </c>
      <c r="K214" s="302" t="str">
        <f>'2019 Legal Max'!BD215</f>
        <v>A</v>
      </c>
    </row>
    <row r="215" spans="1:11">
      <c r="A215" s="88">
        <v>426</v>
      </c>
      <c r="B215" s="87" t="s">
        <v>98</v>
      </c>
      <c r="C215" s="87" t="s">
        <v>728</v>
      </c>
      <c r="D215" s="89">
        <f>'2019 Legal Max'!CW216-'2019 Legal Max'!Q216-'2019 Legal Max'!AU216</f>
        <v>498.2</v>
      </c>
      <c r="E215" s="89">
        <f>'2019 Legal Max'!AE216</f>
        <v>36.799999999999997</v>
      </c>
      <c r="F215" s="301">
        <f t="shared" si="4"/>
        <v>7.39</v>
      </c>
      <c r="G215" s="83">
        <f>(F215/100)*'2019 Legal Max'!BS216</f>
        <v>49883</v>
      </c>
      <c r="H215" s="126">
        <f>'2019 Legal Max'!Y216</f>
        <v>0</v>
      </c>
      <c r="I215" s="134">
        <f>IF('2019 Legal Max'!Y216=0,0,ROUND((H215/D215)*100,2))</f>
        <v>0</v>
      </c>
      <c r="J215" s="83">
        <f>(I215/100)*'2019 Legal Max'!BS216</f>
        <v>0</v>
      </c>
      <c r="K215" s="302" t="str">
        <f>'2019 Legal Max'!BD216</f>
        <v>A</v>
      </c>
    </row>
    <row r="216" spans="1:11">
      <c r="A216" s="88">
        <v>428</v>
      </c>
      <c r="B216" s="87" t="s">
        <v>67</v>
      </c>
      <c r="C216" s="87" t="s">
        <v>729</v>
      </c>
      <c r="D216" s="89">
        <f>'2019 Legal Max'!CW217-'2019 Legal Max'!Q217-'2019 Legal Max'!AU217</f>
        <v>4631.7</v>
      </c>
      <c r="E216" s="89">
        <f>'2019 Legal Max'!AE217</f>
        <v>761.8</v>
      </c>
      <c r="F216" s="301">
        <f t="shared" si="4"/>
        <v>16.45</v>
      </c>
      <c r="G216" s="83">
        <f>(F216/100)*'2019 Legal Max'!BS217</f>
        <v>1020393</v>
      </c>
      <c r="H216" s="126">
        <f>'2019 Legal Max'!Y217</f>
        <v>109.1</v>
      </c>
      <c r="I216" s="134">
        <f>IF('2019 Legal Max'!Y217=0,0,ROUND((H216/D216)*100,2))</f>
        <v>2.36</v>
      </c>
      <c r="J216" s="83">
        <f>(I216/100)*'2019 Legal Max'!BS217</f>
        <v>146391</v>
      </c>
      <c r="K216" s="302" t="str">
        <f>'2019 Legal Max'!BD217</f>
        <v>A</v>
      </c>
    </row>
    <row r="217" spans="1:11">
      <c r="A217" s="88">
        <v>429</v>
      </c>
      <c r="B217" s="87" t="s">
        <v>92</v>
      </c>
      <c r="C217" s="87" t="s">
        <v>730</v>
      </c>
      <c r="D217" s="89">
        <f>'2019 Legal Max'!CW218-'2019 Legal Max'!Q218-'2019 Legal Max'!AU218</f>
        <v>641</v>
      </c>
      <c r="E217" s="89">
        <f>'2019 Legal Max'!AE218</f>
        <v>39.200000000000003</v>
      </c>
      <c r="F217" s="301">
        <f t="shared" si="4"/>
        <v>6.12</v>
      </c>
      <c r="G217" s="83">
        <f>(F217/100)*'2019 Legal Max'!BS218</f>
        <v>52547</v>
      </c>
      <c r="H217" s="126">
        <f>'2019 Legal Max'!Y218</f>
        <v>0</v>
      </c>
      <c r="I217" s="134">
        <f>IF('2019 Legal Max'!Y218=0,0,ROUND((H217/D217)*100,2))</f>
        <v>0</v>
      </c>
      <c r="J217" s="83">
        <f>(I217/100)*'2019 Legal Max'!BS218</f>
        <v>0</v>
      </c>
      <c r="K217" s="302" t="str">
        <f>'2019 Legal Max'!BD218</f>
        <v>A</v>
      </c>
    </row>
    <row r="218" spans="1:11">
      <c r="A218" s="88">
        <v>430</v>
      </c>
      <c r="B218" s="87" t="s">
        <v>94</v>
      </c>
      <c r="C218" s="87" t="s">
        <v>731</v>
      </c>
      <c r="D218" s="89">
        <f>'2019 Legal Max'!CW219-'2019 Legal Max'!Q219-'2019 Legal Max'!AU219</f>
        <v>1219.2</v>
      </c>
      <c r="E218" s="89">
        <f>'2019 Legal Max'!AE219</f>
        <v>138.9</v>
      </c>
      <c r="F218" s="301">
        <f t="shared" si="4"/>
        <v>11.39</v>
      </c>
      <c r="G218" s="83">
        <f>(F218/100)*'2019 Legal Max'!BS219</f>
        <v>189085</v>
      </c>
      <c r="H218" s="126">
        <f>'2019 Legal Max'!Y219</f>
        <v>3.9</v>
      </c>
      <c r="I218" s="134">
        <f>IF('2019 Legal Max'!Y219=0,0,ROUND((H218/D218)*100,2))</f>
        <v>0.32</v>
      </c>
      <c r="J218" s="83">
        <f>(I218/100)*'2019 Legal Max'!BS219</f>
        <v>5312</v>
      </c>
      <c r="K218" s="302" t="str">
        <f>'2019 Legal Max'!BD219</f>
        <v>A</v>
      </c>
    </row>
    <row r="219" spans="1:11">
      <c r="A219" s="88">
        <v>431</v>
      </c>
      <c r="B219" s="87" t="s">
        <v>67</v>
      </c>
      <c r="C219" s="87" t="s">
        <v>732</v>
      </c>
      <c r="D219" s="89">
        <f>'2019 Legal Max'!CW220-'2019 Legal Max'!Q220-'2019 Legal Max'!AU220</f>
        <v>1425.5</v>
      </c>
      <c r="E219" s="89">
        <f>'2019 Legal Max'!AE220</f>
        <v>145.19999999999999</v>
      </c>
      <c r="F219" s="301">
        <f t="shared" si="4"/>
        <v>10.19</v>
      </c>
      <c r="G219" s="83">
        <f>(F219/100)*'2019 Legal Max'!BS220</f>
        <v>195292</v>
      </c>
      <c r="H219" s="126">
        <f>'2019 Legal Max'!Y220</f>
        <v>0</v>
      </c>
      <c r="I219" s="134">
        <f>IF('2019 Legal Max'!Y220=0,0,ROUND((H219/D219)*100,2))</f>
        <v>0</v>
      </c>
      <c r="J219" s="83">
        <f>(I219/100)*'2019 Legal Max'!BS220</f>
        <v>0</v>
      </c>
      <c r="K219" s="302" t="str">
        <f>'2019 Legal Max'!BD220</f>
        <v>A</v>
      </c>
    </row>
    <row r="220" spans="1:11">
      <c r="A220" s="88">
        <v>432</v>
      </c>
      <c r="B220" s="87" t="s">
        <v>84</v>
      </c>
      <c r="C220" s="87" t="s">
        <v>733</v>
      </c>
      <c r="D220" s="89">
        <f>'2019 Legal Max'!CW221-'2019 Legal Max'!Q221-'2019 Legal Max'!AU221</f>
        <v>552.5</v>
      </c>
      <c r="E220" s="89">
        <f>'2019 Legal Max'!AE221</f>
        <v>19.8</v>
      </c>
      <c r="F220" s="301">
        <f t="shared" si="4"/>
        <v>3.58</v>
      </c>
      <c r="G220" s="83">
        <f>(F220/100)*'2019 Legal Max'!BS221</f>
        <v>26594</v>
      </c>
      <c r="H220" s="126">
        <f>'2019 Legal Max'!Y221</f>
        <v>0</v>
      </c>
      <c r="I220" s="134">
        <f>IF('2019 Legal Max'!Y221=0,0,ROUND((H220/D220)*100,2))</f>
        <v>0</v>
      </c>
      <c r="J220" s="83">
        <f>(I220/100)*'2019 Legal Max'!BS221</f>
        <v>0</v>
      </c>
      <c r="K220" s="302" t="str">
        <f>'2019 Legal Max'!BD221</f>
        <v>A</v>
      </c>
    </row>
    <row r="221" spans="1:11">
      <c r="A221" s="88">
        <v>434</v>
      </c>
      <c r="B221" s="87" t="s">
        <v>96</v>
      </c>
      <c r="C221" s="87" t="s">
        <v>734</v>
      </c>
      <c r="D221" s="89">
        <f>'2019 Legal Max'!CW222-'2019 Legal Max'!Q222-'2019 Legal Max'!AU222</f>
        <v>1938.3</v>
      </c>
      <c r="E221" s="89">
        <f>'2019 Legal Max'!AE222</f>
        <v>191.2</v>
      </c>
      <c r="F221" s="301">
        <f t="shared" si="4"/>
        <v>9.86</v>
      </c>
      <c r="G221" s="83">
        <f>(F221/100)*'2019 Legal Max'!BS222</f>
        <v>281107</v>
      </c>
      <c r="H221" s="126">
        <f>'2019 Legal Max'!Y222</f>
        <v>0</v>
      </c>
      <c r="I221" s="134">
        <f>IF('2019 Legal Max'!Y222=0,0,ROUND((H221/D221)*100,2))</f>
        <v>0</v>
      </c>
      <c r="J221" s="83">
        <f>(I221/100)*'2019 Legal Max'!BS222</f>
        <v>0</v>
      </c>
      <c r="K221" s="302" t="str">
        <f>'2019 Legal Max'!BD222</f>
        <v>A</v>
      </c>
    </row>
    <row r="222" spans="1:11">
      <c r="A222" s="88">
        <v>435</v>
      </c>
      <c r="B222" s="87" t="s">
        <v>87</v>
      </c>
      <c r="C222" s="87" t="s">
        <v>735</v>
      </c>
      <c r="D222" s="89">
        <f>'2019 Legal Max'!CW223-'2019 Legal Max'!Q223-'2019 Legal Max'!AU223</f>
        <v>2370.1999999999998</v>
      </c>
      <c r="E222" s="89">
        <f>'2019 Legal Max'!AE223</f>
        <v>255.1</v>
      </c>
      <c r="F222" s="301">
        <f t="shared" si="4"/>
        <v>10.76</v>
      </c>
      <c r="G222" s="83">
        <f>(F222/100)*'2019 Legal Max'!BS223</f>
        <v>339709</v>
      </c>
      <c r="H222" s="126">
        <f>'2019 Legal Max'!Y223</f>
        <v>5.4</v>
      </c>
      <c r="I222" s="134">
        <f>IF('2019 Legal Max'!Y223=0,0,ROUND((H222/D222)*100,2))</f>
        <v>0.23</v>
      </c>
      <c r="J222" s="83">
        <f>(I222/100)*'2019 Legal Max'!BS223</f>
        <v>7261</v>
      </c>
      <c r="K222" s="302" t="str">
        <f>'2019 Legal Max'!BD223</f>
        <v>A</v>
      </c>
    </row>
    <row r="223" spans="1:11">
      <c r="A223" s="88">
        <v>436</v>
      </c>
      <c r="B223" s="87" t="s">
        <v>99</v>
      </c>
      <c r="C223" s="87" t="s">
        <v>736</v>
      </c>
      <c r="D223" s="89">
        <f>'2019 Legal Max'!CW224-'2019 Legal Max'!Q224-'2019 Legal Max'!AU224</f>
        <v>1389.3</v>
      </c>
      <c r="E223" s="89">
        <f>'2019 Legal Max'!AE224</f>
        <v>142.30000000000001</v>
      </c>
      <c r="F223" s="301">
        <f t="shared" si="4"/>
        <v>10.24</v>
      </c>
      <c r="G223" s="83">
        <f>(F223/100)*'2019 Legal Max'!BS224</f>
        <v>191437</v>
      </c>
      <c r="H223" s="126">
        <f>'2019 Legal Max'!Y224</f>
        <v>1.3</v>
      </c>
      <c r="I223" s="134">
        <f>IF('2019 Legal Max'!Y224=0,0,ROUND((H223/D223)*100,2))</f>
        <v>0.09</v>
      </c>
      <c r="J223" s="83">
        <f>(I223/100)*'2019 Legal Max'!BS224</f>
        <v>1683</v>
      </c>
      <c r="K223" s="302" t="str">
        <f>'2019 Legal Max'!BD224</f>
        <v>A</v>
      </c>
    </row>
    <row r="224" spans="1:11">
      <c r="A224" s="88">
        <v>437</v>
      </c>
      <c r="B224" s="87" t="s">
        <v>61</v>
      </c>
      <c r="C224" s="87" t="s">
        <v>737</v>
      </c>
      <c r="D224" s="89">
        <f>'2019 Legal Max'!CW225-'2019 Legal Max'!Q225-'2019 Legal Max'!AU225</f>
        <v>9336.1</v>
      </c>
      <c r="E224" s="89">
        <f>'2019 Legal Max'!AE225</f>
        <v>727</v>
      </c>
      <c r="F224" s="301">
        <f t="shared" si="4"/>
        <v>7.79</v>
      </c>
      <c r="G224" s="83">
        <f>(F224/100)*'2019 Legal Max'!BS225</f>
        <v>963230</v>
      </c>
      <c r="H224" s="126">
        <f>'2019 Legal Max'!Y225</f>
        <v>25.5</v>
      </c>
      <c r="I224" s="134">
        <f>IF('2019 Legal Max'!Y225=0,0,ROUND((H224/D224)*100,2))</f>
        <v>0.27</v>
      </c>
      <c r="J224" s="83">
        <f>(I224/100)*'2019 Legal Max'!BS225</f>
        <v>33385</v>
      </c>
      <c r="K224" s="302" t="str">
        <f>'2019 Legal Max'!BD225</f>
        <v>A</v>
      </c>
    </row>
    <row r="225" spans="1:11">
      <c r="A225" s="88">
        <v>438</v>
      </c>
      <c r="B225" s="87" t="s">
        <v>81</v>
      </c>
      <c r="C225" s="87" t="s">
        <v>738</v>
      </c>
      <c r="D225" s="89">
        <f>'2019 Legal Max'!CW226-'2019 Legal Max'!Q226-'2019 Legal Max'!AU226</f>
        <v>792.7</v>
      </c>
      <c r="E225" s="89">
        <f>'2019 Legal Max'!AE226</f>
        <v>34.4</v>
      </c>
      <c r="F225" s="301">
        <f t="shared" si="4"/>
        <v>4.34</v>
      </c>
      <c r="G225" s="83">
        <f>(F225/100)*'2019 Legal Max'!BS226</f>
        <v>47583</v>
      </c>
      <c r="H225" s="126">
        <f>'2019 Legal Max'!Y226</f>
        <v>2.2000000000000002</v>
      </c>
      <c r="I225" s="134">
        <f>IF('2019 Legal Max'!Y226=0,0,ROUND((H225/D225)*100,2))</f>
        <v>0.28000000000000003</v>
      </c>
      <c r="J225" s="83">
        <f>(I225/100)*'2019 Legal Max'!BS226</f>
        <v>3070</v>
      </c>
      <c r="K225" s="302" t="str">
        <f>'2019 Legal Max'!BD226</f>
        <v>A</v>
      </c>
    </row>
    <row r="226" spans="1:11">
      <c r="A226" s="88">
        <v>439</v>
      </c>
      <c r="B226" s="87" t="s">
        <v>74</v>
      </c>
      <c r="C226" s="87" t="s">
        <v>739</v>
      </c>
      <c r="D226" s="89">
        <f>'2019 Legal Max'!CW227-'2019 Legal Max'!Q227-'2019 Legal Max'!AU227</f>
        <v>876</v>
      </c>
      <c r="E226" s="89">
        <f>'2019 Legal Max'!AE227</f>
        <v>53.7</v>
      </c>
      <c r="F226" s="301">
        <f t="shared" si="4"/>
        <v>6.13</v>
      </c>
      <c r="G226" s="83">
        <f>(F226/100)*'2019 Legal Max'!BS227</f>
        <v>71660</v>
      </c>
      <c r="H226" s="126">
        <f>'2019 Legal Max'!Y227</f>
        <v>0.2</v>
      </c>
      <c r="I226" s="134">
        <f>IF('2019 Legal Max'!Y227=0,0,ROUND((H226/D226)*100,2))</f>
        <v>0.02</v>
      </c>
      <c r="J226" s="83">
        <f>(I226/100)*'2019 Legal Max'!BS227</f>
        <v>234</v>
      </c>
      <c r="K226" s="302" t="str">
        <f>'2019 Legal Max'!BD227</f>
        <v>A</v>
      </c>
    </row>
    <row r="227" spans="1:11">
      <c r="A227" s="88">
        <v>440</v>
      </c>
      <c r="B227" s="87" t="s">
        <v>74</v>
      </c>
      <c r="C227" s="87" t="s">
        <v>740</v>
      </c>
      <c r="D227" s="89">
        <f>'2019 Legal Max'!CW228-'2019 Legal Max'!Q228-'2019 Legal Max'!AU228</f>
        <v>1391</v>
      </c>
      <c r="E227" s="89">
        <f>'2019 Legal Max'!AE228</f>
        <v>111.3</v>
      </c>
      <c r="F227" s="301">
        <f t="shared" si="4"/>
        <v>8</v>
      </c>
      <c r="G227" s="83">
        <f>(F227/100)*'2019 Legal Max'!BS228</f>
        <v>150486</v>
      </c>
      <c r="H227" s="126">
        <f>'2019 Legal Max'!Y228</f>
        <v>3</v>
      </c>
      <c r="I227" s="134">
        <f>IF('2019 Legal Max'!Y228=0,0,ROUND((H227/D227)*100,2))</f>
        <v>0.22</v>
      </c>
      <c r="J227" s="83">
        <f>(I227/100)*'2019 Legal Max'!BS228</f>
        <v>4138</v>
      </c>
      <c r="K227" s="302" t="str">
        <f>'2019 Legal Max'!BD228</f>
        <v>A</v>
      </c>
    </row>
    <row r="228" spans="1:11">
      <c r="A228" s="88">
        <v>443</v>
      </c>
      <c r="B228" s="87" t="s">
        <v>80</v>
      </c>
      <c r="C228" s="87" t="s">
        <v>741</v>
      </c>
      <c r="D228" s="89">
        <f>'2019 Legal Max'!CW229-'2019 Legal Max'!Q229-'2019 Legal Max'!AU229</f>
        <v>12782.5</v>
      </c>
      <c r="E228" s="89">
        <f>'2019 Legal Max'!AE229</f>
        <v>2284.5</v>
      </c>
      <c r="F228" s="301">
        <f t="shared" si="4"/>
        <v>17.87</v>
      </c>
      <c r="G228" s="83">
        <f>(F228/100)*'2019 Legal Max'!BS229</f>
        <v>3393780</v>
      </c>
      <c r="H228" s="126">
        <f>'2019 Legal Max'!Y229</f>
        <v>830.6</v>
      </c>
      <c r="I228" s="134">
        <f>IF('2019 Legal Max'!Y229=0,0,ROUND((H228/D228)*100,2))</f>
        <v>6.5</v>
      </c>
      <c r="J228" s="83">
        <f>(I228/100)*'2019 Legal Max'!BS229</f>
        <v>1234447</v>
      </c>
      <c r="K228" s="302" t="str">
        <f>'2019 Legal Max'!BD229</f>
        <v>A</v>
      </c>
    </row>
    <row r="229" spans="1:11">
      <c r="A229" s="88">
        <v>444</v>
      </c>
      <c r="B229" s="87" t="s">
        <v>76</v>
      </c>
      <c r="C229" s="87" t="s">
        <v>742</v>
      </c>
      <c r="D229" s="89">
        <f>'2019 Legal Max'!CW230-'2019 Legal Max'!Q230-'2019 Legal Max'!AU230</f>
        <v>625.29999999999995</v>
      </c>
      <c r="E229" s="89">
        <f>'2019 Legal Max'!AE230</f>
        <v>32.4</v>
      </c>
      <c r="F229" s="301">
        <f t="shared" si="4"/>
        <v>5.18</v>
      </c>
      <c r="G229" s="83">
        <f>(F229/100)*'2019 Legal Max'!BS230</f>
        <v>44001</v>
      </c>
      <c r="H229" s="126">
        <f>'2019 Legal Max'!Y230</f>
        <v>0.4</v>
      </c>
      <c r="I229" s="134">
        <f>IF('2019 Legal Max'!Y230=0,0,ROUND((H229/D229)*100,2))</f>
        <v>0.06</v>
      </c>
      <c r="J229" s="83">
        <f>(I229/100)*'2019 Legal Max'!BS230</f>
        <v>510</v>
      </c>
      <c r="K229" s="302" t="str">
        <f>'2019 Legal Max'!BD230</f>
        <v>A</v>
      </c>
    </row>
    <row r="230" spans="1:11">
      <c r="A230" s="88">
        <v>445</v>
      </c>
      <c r="B230" s="87" t="s">
        <v>99</v>
      </c>
      <c r="C230" s="87" t="s">
        <v>743</v>
      </c>
      <c r="D230" s="89">
        <f>'2019 Legal Max'!CW231-'2019 Legal Max'!Q231-'2019 Legal Max'!AU231</f>
        <v>2981.5</v>
      </c>
      <c r="E230" s="89">
        <f>'2019 Legal Max'!AE231</f>
        <v>591.4</v>
      </c>
      <c r="F230" s="301">
        <f t="shared" si="4"/>
        <v>19.84</v>
      </c>
      <c r="G230" s="83">
        <f>(F230/100)*'2019 Legal Max'!BS231</f>
        <v>782976</v>
      </c>
      <c r="H230" s="126">
        <f>'2019 Legal Max'!Y231</f>
        <v>39.4</v>
      </c>
      <c r="I230" s="134">
        <f>IF('2019 Legal Max'!Y231=0,0,ROUND((H230/D230)*100,2))</f>
        <v>1.32</v>
      </c>
      <c r="J230" s="83">
        <f>(I230/100)*'2019 Legal Max'!BS231</f>
        <v>52093</v>
      </c>
      <c r="K230" s="302" t="str">
        <f>'2019 Legal Max'!BD231</f>
        <v>A</v>
      </c>
    </row>
    <row r="231" spans="1:11">
      <c r="A231" s="88">
        <v>446</v>
      </c>
      <c r="B231" s="87" t="s">
        <v>99</v>
      </c>
      <c r="C231" s="87" t="s">
        <v>744</v>
      </c>
      <c r="D231" s="89">
        <f>'2019 Legal Max'!CW232-'2019 Legal Max'!Q232-'2019 Legal Max'!AU232</f>
        <v>3215.4</v>
      </c>
      <c r="E231" s="89">
        <f>'2019 Legal Max'!AE232</f>
        <v>524.70000000000005</v>
      </c>
      <c r="F231" s="301">
        <f t="shared" si="4"/>
        <v>16.32</v>
      </c>
      <c r="G231" s="83">
        <f>(F231/100)*'2019 Legal Max'!BS232</f>
        <v>705767</v>
      </c>
      <c r="H231" s="126">
        <f>'2019 Legal Max'!Y232</f>
        <v>9.3000000000000007</v>
      </c>
      <c r="I231" s="134">
        <f>IF('2019 Legal Max'!Y232=0,0,ROUND((H231/D231)*100,2))</f>
        <v>0.28999999999999998</v>
      </c>
      <c r="J231" s="83">
        <f>(I231/100)*'2019 Legal Max'!BS232</f>
        <v>12541</v>
      </c>
      <c r="K231" s="302" t="str">
        <f>'2019 Legal Max'!BD232</f>
        <v>A</v>
      </c>
    </row>
    <row r="232" spans="1:11">
      <c r="A232" s="88">
        <v>447</v>
      </c>
      <c r="B232" s="87" t="s">
        <v>99</v>
      </c>
      <c r="C232" s="87" t="s">
        <v>745</v>
      </c>
      <c r="D232" s="89">
        <f>'2019 Legal Max'!CW233-'2019 Legal Max'!Q233-'2019 Legal Max'!AU233</f>
        <v>1514.4</v>
      </c>
      <c r="E232" s="89">
        <f>'2019 Legal Max'!AE233</f>
        <v>211.5</v>
      </c>
      <c r="F232" s="301">
        <f t="shared" si="4"/>
        <v>13.97</v>
      </c>
      <c r="G232" s="83">
        <f>(F232/100)*'2019 Legal Max'!BS233</f>
        <v>284590</v>
      </c>
      <c r="H232" s="126">
        <f>'2019 Legal Max'!Y233</f>
        <v>0</v>
      </c>
      <c r="I232" s="134">
        <f>IF('2019 Legal Max'!Y233=0,0,ROUND((H232/D232)*100,2))</f>
        <v>0</v>
      </c>
      <c r="J232" s="83">
        <f>(I232/100)*'2019 Legal Max'!BS233</f>
        <v>0</v>
      </c>
      <c r="K232" s="302" t="str">
        <f>'2019 Legal Max'!BD233</f>
        <v>A</v>
      </c>
    </row>
    <row r="233" spans="1:11">
      <c r="A233" s="88">
        <v>448</v>
      </c>
      <c r="B233" s="87" t="s">
        <v>91</v>
      </c>
      <c r="C233" s="87" t="s">
        <v>746</v>
      </c>
      <c r="D233" s="89">
        <f>'2019 Legal Max'!CW234-'2019 Legal Max'!Q234-'2019 Legal Max'!AU234</f>
        <v>825</v>
      </c>
      <c r="E233" s="89">
        <f>'2019 Legal Max'!AE234</f>
        <v>38.700000000000003</v>
      </c>
      <c r="F233" s="301">
        <f t="shared" si="4"/>
        <v>4.6900000000000004</v>
      </c>
      <c r="G233" s="83">
        <f>(F233/100)*'2019 Legal Max'!BS234</f>
        <v>57099</v>
      </c>
      <c r="H233" s="126">
        <f>'2019 Legal Max'!Y234</f>
        <v>0</v>
      </c>
      <c r="I233" s="134">
        <f>IF('2019 Legal Max'!Y234=0,0,ROUND((H233/D233)*100,2))</f>
        <v>0</v>
      </c>
      <c r="J233" s="83">
        <f>(I233/100)*'2019 Legal Max'!BS234</f>
        <v>0</v>
      </c>
      <c r="K233" s="302" t="str">
        <f>'2019 Legal Max'!BD234</f>
        <v>A</v>
      </c>
    </row>
    <row r="234" spans="1:11">
      <c r="A234" s="88">
        <v>449</v>
      </c>
      <c r="B234" s="87" t="s">
        <v>11</v>
      </c>
      <c r="C234" s="87" t="s">
        <v>747</v>
      </c>
      <c r="D234" s="89">
        <f>'2019 Legal Max'!CW235-'2019 Legal Max'!Q235-'2019 Legal Max'!AU235</f>
        <v>1233.5</v>
      </c>
      <c r="E234" s="89">
        <f>'2019 Legal Max'!AE235</f>
        <v>66.8</v>
      </c>
      <c r="F234" s="301">
        <f t="shared" si="4"/>
        <v>5.42</v>
      </c>
      <c r="G234" s="83">
        <f>(F234/100)*'2019 Legal Max'!BS235</f>
        <v>88886</v>
      </c>
      <c r="H234" s="126">
        <f>'2019 Legal Max'!Y235</f>
        <v>0</v>
      </c>
      <c r="I234" s="134">
        <f>IF('2019 Legal Max'!Y235=0,0,ROUND((H234/D234)*100,2))</f>
        <v>0</v>
      </c>
      <c r="J234" s="83">
        <f>(I234/100)*'2019 Legal Max'!BS235</f>
        <v>0</v>
      </c>
      <c r="K234" s="302" t="str">
        <f>'2019 Legal Max'!BD235</f>
        <v>A</v>
      </c>
    </row>
    <row r="235" spans="1:11">
      <c r="A235" s="88">
        <v>450</v>
      </c>
      <c r="B235" s="87" t="s">
        <v>61</v>
      </c>
      <c r="C235" s="87" t="s">
        <v>748</v>
      </c>
      <c r="D235" s="89">
        <f>'2019 Legal Max'!CW236-'2019 Legal Max'!Q236-'2019 Legal Max'!AU236</f>
        <v>5320.5</v>
      </c>
      <c r="E235" s="89">
        <f>'2019 Legal Max'!AE236</f>
        <v>463.2</v>
      </c>
      <c r="F235" s="301">
        <f t="shared" si="4"/>
        <v>8.7100000000000009</v>
      </c>
      <c r="G235" s="83">
        <f>(F235/100)*'2019 Legal Max'!BS236</f>
        <v>620909</v>
      </c>
      <c r="H235" s="126">
        <f>'2019 Legal Max'!Y236</f>
        <v>18.100000000000001</v>
      </c>
      <c r="I235" s="134">
        <f>IF('2019 Legal Max'!Y236=0,0,ROUND((H235/D235)*100,2))</f>
        <v>0.34</v>
      </c>
      <c r="J235" s="83">
        <f>(I235/100)*'2019 Legal Max'!BS236</f>
        <v>24238</v>
      </c>
      <c r="K235" s="302" t="str">
        <f>'2019 Legal Max'!BD236</f>
        <v>A</v>
      </c>
    </row>
    <row r="236" spans="1:11">
      <c r="A236" s="88">
        <v>452</v>
      </c>
      <c r="B236" s="87" t="s">
        <v>101</v>
      </c>
      <c r="C236" s="87" t="s">
        <v>749</v>
      </c>
      <c r="D236" s="89">
        <f>'2019 Legal Max'!CW237-'2019 Legal Max'!Q237-'2019 Legal Max'!AU237</f>
        <v>872.4</v>
      </c>
      <c r="E236" s="89">
        <f>'2019 Legal Max'!AE237</f>
        <v>80.3</v>
      </c>
      <c r="F236" s="301">
        <f t="shared" si="4"/>
        <v>9.1999999999999993</v>
      </c>
      <c r="G236" s="83">
        <f>(F236/100)*'2019 Legal Max'!BS237</f>
        <v>108312</v>
      </c>
      <c r="H236" s="126">
        <f>'2019 Legal Max'!Y237</f>
        <v>35.9</v>
      </c>
      <c r="I236" s="134">
        <f>IF('2019 Legal Max'!Y237=0,0,ROUND((H236/D236)*100,2))</f>
        <v>4.12</v>
      </c>
      <c r="J236" s="83">
        <f>(I236/100)*'2019 Legal Max'!BS237</f>
        <v>48505</v>
      </c>
      <c r="K236" s="302" t="str">
        <f>'2019 Legal Max'!BD237</f>
        <v>A</v>
      </c>
    </row>
    <row r="237" spans="1:11">
      <c r="A237" s="88">
        <v>453</v>
      </c>
      <c r="B237" s="87" t="s">
        <v>11</v>
      </c>
      <c r="C237" s="87" t="s">
        <v>750</v>
      </c>
      <c r="D237" s="89">
        <f>'2019 Legal Max'!CW238-'2019 Legal Max'!Q238-'2019 Legal Max'!AU238</f>
        <v>5848.9</v>
      </c>
      <c r="E237" s="89">
        <f>'2019 Legal Max'!AE238</f>
        <v>816.5</v>
      </c>
      <c r="F237" s="301">
        <f t="shared" si="4"/>
        <v>13.96</v>
      </c>
      <c r="G237" s="83">
        <f>(F237/100)*'2019 Legal Max'!BS238</f>
        <v>1093053</v>
      </c>
      <c r="H237" s="126">
        <f>'2019 Legal Max'!Y238</f>
        <v>10.4</v>
      </c>
      <c r="I237" s="134">
        <f>IF('2019 Legal Max'!Y238=0,0,ROUND((H237/D237)*100,2))</f>
        <v>0.18</v>
      </c>
      <c r="J237" s="83">
        <f>(I237/100)*'2019 Legal Max'!BS238</f>
        <v>14094</v>
      </c>
      <c r="K237" s="302" t="str">
        <f>'2019 Legal Max'!BD238</f>
        <v>A</v>
      </c>
    </row>
    <row r="238" spans="1:11">
      <c r="A238" s="88">
        <v>454</v>
      </c>
      <c r="B238" s="87" t="s">
        <v>96</v>
      </c>
      <c r="C238" s="87" t="s">
        <v>751</v>
      </c>
      <c r="D238" s="89">
        <f>'2019 Legal Max'!CW239-'2019 Legal Max'!Q239-'2019 Legal Max'!AU239</f>
        <v>597.6</v>
      </c>
      <c r="E238" s="89">
        <f>'2019 Legal Max'!AE239</f>
        <v>47.4</v>
      </c>
      <c r="F238" s="301">
        <f t="shared" si="4"/>
        <v>7.93</v>
      </c>
      <c r="G238" s="83">
        <f>(F238/100)*'2019 Legal Max'!BS239</f>
        <v>63256</v>
      </c>
      <c r="H238" s="126">
        <f>'2019 Legal Max'!Y239</f>
        <v>0.2</v>
      </c>
      <c r="I238" s="134">
        <f>IF('2019 Legal Max'!Y239=0,0,ROUND((H238/D238)*100,2))</f>
        <v>0.03</v>
      </c>
      <c r="J238" s="83">
        <f>(I238/100)*'2019 Legal Max'!BS239</f>
        <v>239</v>
      </c>
      <c r="K238" s="302" t="str">
        <f>'2019 Legal Max'!BD239</f>
        <v>A</v>
      </c>
    </row>
    <row r="239" spans="1:11">
      <c r="A239" s="88">
        <v>456</v>
      </c>
      <c r="B239" s="87" t="s">
        <v>96</v>
      </c>
      <c r="C239" s="87" t="s">
        <v>752</v>
      </c>
      <c r="D239" s="89">
        <f>'2019 Legal Max'!CW240-'2019 Legal Max'!Q240-'2019 Legal Max'!AU240</f>
        <v>534.5</v>
      </c>
      <c r="E239" s="89">
        <f>'2019 Legal Max'!AE240</f>
        <v>46</v>
      </c>
      <c r="F239" s="301">
        <f t="shared" si="4"/>
        <v>8.61</v>
      </c>
      <c r="G239" s="83">
        <f>(F239/100)*'2019 Legal Max'!BS240</f>
        <v>62447</v>
      </c>
      <c r="H239" s="126">
        <f>'2019 Legal Max'!Y240</f>
        <v>0</v>
      </c>
      <c r="I239" s="134">
        <f>IF('2019 Legal Max'!Y240=0,0,ROUND((H239/D239)*100,2))</f>
        <v>0</v>
      </c>
      <c r="J239" s="83">
        <f>(I239/100)*'2019 Legal Max'!BS240</f>
        <v>0</v>
      </c>
      <c r="K239" s="302" t="str">
        <f>'2019 Legal Max'!BD240</f>
        <v>A</v>
      </c>
    </row>
    <row r="240" spans="1:11">
      <c r="A240" s="88">
        <v>457</v>
      </c>
      <c r="B240" s="87" t="s">
        <v>69</v>
      </c>
      <c r="C240" s="87" t="s">
        <v>753</v>
      </c>
      <c r="D240" s="89">
        <f>'2019 Legal Max'!CW241-'2019 Legal Max'!Q241-'2019 Legal Max'!AU241</f>
        <v>12332.2</v>
      </c>
      <c r="E240" s="89">
        <f>'2019 Legal Max'!AE241</f>
        <v>1935.5</v>
      </c>
      <c r="F240" s="301">
        <f t="shared" si="4"/>
        <v>15.69</v>
      </c>
      <c r="G240" s="83">
        <f>(F240/100)*'2019 Legal Max'!BS241</f>
        <v>2614202</v>
      </c>
      <c r="H240" s="126">
        <f>'2019 Legal Max'!Y241</f>
        <v>526.9</v>
      </c>
      <c r="I240" s="134">
        <f>IF('2019 Legal Max'!Y241=0,0,ROUND((H240/D240)*100,2))</f>
        <v>4.2699999999999996</v>
      </c>
      <c r="J240" s="83">
        <f>(I240/100)*'2019 Legal Max'!BS241</f>
        <v>711449</v>
      </c>
      <c r="K240" s="302" t="str">
        <f>'2019 Legal Max'!BD241</f>
        <v>A</v>
      </c>
    </row>
    <row r="241" spans="1:11">
      <c r="A241" s="88">
        <v>458</v>
      </c>
      <c r="B241" s="87" t="s">
        <v>11</v>
      </c>
      <c r="C241" s="87" t="s">
        <v>754</v>
      </c>
      <c r="D241" s="89">
        <f>'2019 Legal Max'!CW242-'2019 Legal Max'!Q242-'2019 Legal Max'!AU242</f>
        <v>3515</v>
      </c>
      <c r="E241" s="89">
        <f>'2019 Legal Max'!AE242</f>
        <v>130.19999999999999</v>
      </c>
      <c r="F241" s="301">
        <f t="shared" si="4"/>
        <v>3.7</v>
      </c>
      <c r="G241" s="83">
        <f>(F241/100)*'2019 Legal Max'!BS242</f>
        <v>173012</v>
      </c>
      <c r="H241" s="126">
        <f>'2019 Legal Max'!Y242</f>
        <v>6.8</v>
      </c>
      <c r="I241" s="134">
        <f>IF('2019 Legal Max'!Y242=0,0,ROUND((H241/D241)*100,2))</f>
        <v>0.19</v>
      </c>
      <c r="J241" s="83">
        <f>(I241/100)*'2019 Legal Max'!BS242</f>
        <v>8884</v>
      </c>
      <c r="K241" s="302" t="str">
        <f>'2019 Legal Max'!BD242</f>
        <v>A</v>
      </c>
    </row>
    <row r="242" spans="1:11">
      <c r="A242" s="88">
        <v>459</v>
      </c>
      <c r="B242" s="87" t="s">
        <v>80</v>
      </c>
      <c r="C242" s="87" t="s">
        <v>755</v>
      </c>
      <c r="D242" s="89">
        <f>'2019 Legal Max'!CW243-'2019 Legal Max'!Q243-'2019 Legal Max'!AU243</f>
        <v>514.1</v>
      </c>
      <c r="E242" s="89">
        <f>'2019 Legal Max'!AE243</f>
        <v>52.3</v>
      </c>
      <c r="F242" s="301">
        <f t="shared" si="4"/>
        <v>10.17</v>
      </c>
      <c r="G242" s="83">
        <f>(F242/100)*'2019 Legal Max'!BS243</f>
        <v>71561</v>
      </c>
      <c r="H242" s="126">
        <f>'2019 Legal Max'!Y243</f>
        <v>3.1</v>
      </c>
      <c r="I242" s="134">
        <f>IF('2019 Legal Max'!Y243=0,0,ROUND((H242/D242)*100,2))</f>
        <v>0.6</v>
      </c>
      <c r="J242" s="83">
        <f>(I242/100)*'2019 Legal Max'!BS243</f>
        <v>4222</v>
      </c>
      <c r="K242" s="302" t="str">
        <f>'2019 Legal Max'!BD243</f>
        <v>A</v>
      </c>
    </row>
    <row r="243" spans="1:11">
      <c r="A243" s="88">
        <v>460</v>
      </c>
      <c r="B243" s="87" t="s">
        <v>74</v>
      </c>
      <c r="C243" s="87" t="s">
        <v>756</v>
      </c>
      <c r="D243" s="89">
        <f>'2019 Legal Max'!CW244-'2019 Legal Max'!Q244-'2019 Legal Max'!AU244</f>
        <v>1321.8</v>
      </c>
      <c r="E243" s="89">
        <f>'2019 Legal Max'!AE244</f>
        <v>66.8</v>
      </c>
      <c r="F243" s="301">
        <f t="shared" si="4"/>
        <v>5.05</v>
      </c>
      <c r="G243" s="83">
        <f>(F243/100)*'2019 Legal Max'!BS244</f>
        <v>98446</v>
      </c>
      <c r="H243" s="126">
        <f>'2019 Legal Max'!Y244</f>
        <v>3.6</v>
      </c>
      <c r="I243" s="134">
        <f>IF('2019 Legal Max'!Y244=0,0,ROUND((H243/D243)*100,2))</f>
        <v>0.27</v>
      </c>
      <c r="J243" s="83">
        <f>(I243/100)*'2019 Legal Max'!BS244</f>
        <v>5263</v>
      </c>
      <c r="K243" s="302" t="str">
        <f>'2019 Legal Max'!BD244</f>
        <v>A</v>
      </c>
    </row>
    <row r="244" spans="1:11">
      <c r="A244" s="88">
        <v>461</v>
      </c>
      <c r="B244" s="87" t="s">
        <v>83</v>
      </c>
      <c r="C244" s="87" t="s">
        <v>757</v>
      </c>
      <c r="D244" s="89">
        <f>'2019 Legal Max'!CW245-'2019 Legal Max'!Q245-'2019 Legal Max'!AU245</f>
        <v>1287.8</v>
      </c>
      <c r="E244" s="89">
        <f>'2019 Legal Max'!AE245</f>
        <v>161.69999999999999</v>
      </c>
      <c r="F244" s="301">
        <f t="shared" si="4"/>
        <v>12.56</v>
      </c>
      <c r="G244" s="83">
        <f>(F244/100)*'2019 Legal Max'!BS245</f>
        <v>239243</v>
      </c>
      <c r="H244" s="126">
        <f>'2019 Legal Max'!Y245</f>
        <v>0.2</v>
      </c>
      <c r="I244" s="134">
        <f>IF('2019 Legal Max'!Y245=0,0,ROUND((H244/D244)*100,2))</f>
        <v>0.02</v>
      </c>
      <c r="J244" s="83">
        <f>(I244/100)*'2019 Legal Max'!BS245</f>
        <v>381</v>
      </c>
      <c r="K244" s="302" t="str">
        <f>'2019 Legal Max'!BD245</f>
        <v>A</v>
      </c>
    </row>
    <row r="245" spans="1:11">
      <c r="A245" s="88">
        <v>462</v>
      </c>
      <c r="B245" s="87" t="s">
        <v>102</v>
      </c>
      <c r="C245" s="87" t="s">
        <v>758</v>
      </c>
      <c r="D245" s="89">
        <f>'2019 Legal Max'!CW246-'2019 Legal Max'!Q246-'2019 Legal Max'!AU246</f>
        <v>668.5</v>
      </c>
      <c r="E245" s="89">
        <f>'2019 Legal Max'!AE246</f>
        <v>66.3</v>
      </c>
      <c r="F245" s="301">
        <f t="shared" si="4"/>
        <v>9.92</v>
      </c>
      <c r="G245" s="83">
        <f>(F245/100)*'2019 Legal Max'!BS246</f>
        <v>88526</v>
      </c>
      <c r="H245" s="126">
        <f>'2019 Legal Max'!Y246</f>
        <v>0</v>
      </c>
      <c r="I245" s="134">
        <f>IF('2019 Legal Max'!Y246=0,0,ROUND((H245/D245)*100,2))</f>
        <v>0</v>
      </c>
      <c r="J245" s="83">
        <f>(I245/100)*'2019 Legal Max'!BS246</f>
        <v>0</v>
      </c>
      <c r="K245" s="302" t="str">
        <f>'2019 Legal Max'!BD246</f>
        <v>A</v>
      </c>
    </row>
    <row r="246" spans="1:11">
      <c r="A246" s="88">
        <v>463</v>
      </c>
      <c r="B246" s="87" t="s">
        <v>102</v>
      </c>
      <c r="C246" s="87" t="s">
        <v>759</v>
      </c>
      <c r="D246" s="89">
        <f>'2019 Legal Max'!CW247-'2019 Legal Max'!Q247-'2019 Legal Max'!AU247</f>
        <v>647.29999999999995</v>
      </c>
      <c r="E246" s="89">
        <f>'2019 Legal Max'!AE247</f>
        <v>51.3</v>
      </c>
      <c r="F246" s="301">
        <f t="shared" si="4"/>
        <v>7.93</v>
      </c>
      <c r="G246" s="83">
        <f>(F246/100)*'2019 Legal Max'!BS247</f>
        <v>68968</v>
      </c>
      <c r="H246" s="126">
        <f>'2019 Legal Max'!Y247</f>
        <v>0</v>
      </c>
      <c r="I246" s="134">
        <f>IF('2019 Legal Max'!Y247=0,0,ROUND((H246/D246)*100,2))</f>
        <v>0</v>
      </c>
      <c r="J246" s="83">
        <f>(I246/100)*'2019 Legal Max'!BS247</f>
        <v>0</v>
      </c>
      <c r="K246" s="302" t="str">
        <f>'2019 Legal Max'!BD247</f>
        <v>A</v>
      </c>
    </row>
    <row r="247" spans="1:11">
      <c r="A247" s="88">
        <v>464</v>
      </c>
      <c r="B247" s="87" t="s">
        <v>11</v>
      </c>
      <c r="C247" s="87" t="s">
        <v>760</v>
      </c>
      <c r="D247" s="89">
        <f>'2019 Legal Max'!CW248-'2019 Legal Max'!Q248-'2019 Legal Max'!AU248</f>
        <v>2898.8</v>
      </c>
      <c r="E247" s="89">
        <f>'2019 Legal Max'!AE248</f>
        <v>191.2</v>
      </c>
      <c r="F247" s="301">
        <f t="shared" si="4"/>
        <v>6.6</v>
      </c>
      <c r="G247" s="83">
        <f>(F247/100)*'2019 Legal Max'!BS248</f>
        <v>254541</v>
      </c>
      <c r="H247" s="126">
        <f>'2019 Legal Max'!Y248</f>
        <v>5</v>
      </c>
      <c r="I247" s="134">
        <f>IF('2019 Legal Max'!Y248=0,0,ROUND((H247/D247)*100,2))</f>
        <v>0.17</v>
      </c>
      <c r="J247" s="83">
        <f>(I247/100)*'2019 Legal Max'!BS248</f>
        <v>6556</v>
      </c>
      <c r="K247" s="302" t="str">
        <f>'2019 Legal Max'!BD248</f>
        <v>A</v>
      </c>
    </row>
    <row r="248" spans="1:11">
      <c r="A248" s="88">
        <v>465</v>
      </c>
      <c r="B248" s="87" t="s">
        <v>102</v>
      </c>
      <c r="C248" s="87" t="s">
        <v>761</v>
      </c>
      <c r="D248" s="89">
        <f>'2019 Legal Max'!CW249-'2019 Legal Max'!Q249-'2019 Legal Max'!AU249</f>
        <v>3551</v>
      </c>
      <c r="E248" s="89">
        <f>'2019 Legal Max'!AE249</f>
        <v>470.4</v>
      </c>
      <c r="F248" s="301">
        <f t="shared" si="4"/>
        <v>13.25</v>
      </c>
      <c r="G248" s="83">
        <f>(F248/100)*'2019 Legal Max'!BS249</f>
        <v>694726</v>
      </c>
      <c r="H248" s="126">
        <f>'2019 Legal Max'!Y249</f>
        <v>16.7</v>
      </c>
      <c r="I248" s="134">
        <f>IF('2019 Legal Max'!Y249=0,0,ROUND((H248/D248)*100,2))</f>
        <v>0.47</v>
      </c>
      <c r="J248" s="83">
        <f>(I248/100)*'2019 Legal Max'!BS249</f>
        <v>24643</v>
      </c>
      <c r="K248" s="302" t="str">
        <f>'2019 Legal Max'!BD249</f>
        <v>A</v>
      </c>
    </row>
    <row r="249" spans="1:11">
      <c r="A249" s="88">
        <v>466</v>
      </c>
      <c r="B249" s="87" t="s">
        <v>103</v>
      </c>
      <c r="C249" s="87" t="s">
        <v>762</v>
      </c>
      <c r="D249" s="89">
        <f>'2019 Legal Max'!CW250-'2019 Legal Max'!Q250-'2019 Legal Max'!AU250</f>
        <v>1653.7</v>
      </c>
      <c r="E249" s="89">
        <f>'2019 Legal Max'!AE250</f>
        <v>176.2</v>
      </c>
      <c r="F249" s="301">
        <f t="shared" si="4"/>
        <v>10.65</v>
      </c>
      <c r="G249" s="83">
        <f>(F249/100)*'2019 Legal Max'!BS250</f>
        <v>237304</v>
      </c>
      <c r="H249" s="126">
        <f>'2019 Legal Max'!Y250</f>
        <v>38.299999999999997</v>
      </c>
      <c r="I249" s="134">
        <f>IF('2019 Legal Max'!Y250=0,0,ROUND((H249/D249)*100,2))</f>
        <v>2.3199999999999998</v>
      </c>
      <c r="J249" s="83">
        <f>(I249/100)*'2019 Legal Max'!BS250</f>
        <v>51694</v>
      </c>
      <c r="K249" s="302" t="str">
        <f>'2019 Legal Max'!BD250</f>
        <v>A</v>
      </c>
    </row>
    <row r="250" spans="1:11">
      <c r="A250" s="88">
        <v>467</v>
      </c>
      <c r="B250" s="87" t="s">
        <v>34</v>
      </c>
      <c r="C250" s="87" t="s">
        <v>763</v>
      </c>
      <c r="D250" s="89">
        <f>'2019 Legal Max'!CW251-'2019 Legal Max'!Q251-'2019 Legal Max'!AU251</f>
        <v>766.6</v>
      </c>
      <c r="E250" s="89">
        <f>'2019 Legal Max'!AE251</f>
        <v>70.7</v>
      </c>
      <c r="F250" s="301">
        <f t="shared" si="4"/>
        <v>9.2200000000000006</v>
      </c>
      <c r="G250" s="83">
        <f>(F250/100)*'2019 Legal Max'!BS251</f>
        <v>106068</v>
      </c>
      <c r="H250" s="126">
        <f>'2019 Legal Max'!Y251</f>
        <v>27.1</v>
      </c>
      <c r="I250" s="134">
        <f>IF('2019 Legal Max'!Y251=0,0,ROUND((H250/D250)*100,2))</f>
        <v>3.54</v>
      </c>
      <c r="J250" s="83">
        <f>(I250/100)*'2019 Legal Max'!BS251</f>
        <v>40725</v>
      </c>
      <c r="K250" s="302" t="str">
        <f>'2019 Legal Max'!BD251</f>
        <v>A</v>
      </c>
    </row>
    <row r="251" spans="1:11">
      <c r="A251" s="88">
        <v>468</v>
      </c>
      <c r="B251" s="87" t="s">
        <v>104</v>
      </c>
      <c r="C251" s="87" t="s">
        <v>764</v>
      </c>
      <c r="D251" s="89">
        <f>'2019 Legal Max'!CW252-'2019 Legal Max'!Q252-'2019 Legal Max'!AU252</f>
        <v>185.3</v>
      </c>
      <c r="E251" s="89">
        <f>'2019 Legal Max'!AE252</f>
        <v>16.899999999999999</v>
      </c>
      <c r="F251" s="301">
        <f t="shared" si="4"/>
        <v>9.1199999999999992</v>
      </c>
      <c r="G251" s="83">
        <f>(F251/100)*'2019 Legal Max'!BS252</f>
        <v>25086</v>
      </c>
      <c r="H251" s="126">
        <f>'2019 Legal Max'!Y252</f>
        <v>1.9</v>
      </c>
      <c r="I251" s="134">
        <f>IF('2019 Legal Max'!Y252=0,0,ROUND((H251/D251)*100,2))</f>
        <v>1.03</v>
      </c>
      <c r="J251" s="83">
        <f>(I251/100)*'2019 Legal Max'!BS252</f>
        <v>2833</v>
      </c>
      <c r="K251" s="302" t="str">
        <f>'2019 Legal Max'!BD252</f>
        <v>A</v>
      </c>
    </row>
    <row r="252" spans="1:11">
      <c r="A252" s="88">
        <v>469</v>
      </c>
      <c r="B252" s="87" t="s">
        <v>11</v>
      </c>
      <c r="C252" s="87" t="s">
        <v>765</v>
      </c>
      <c r="D252" s="89">
        <f>'2019 Legal Max'!CW253-'2019 Legal Max'!Q253-'2019 Legal Max'!AU253</f>
        <v>3805.3</v>
      </c>
      <c r="E252" s="89">
        <f>'2019 Legal Max'!AE253</f>
        <v>258.89999999999998</v>
      </c>
      <c r="F252" s="301">
        <f t="shared" si="4"/>
        <v>6.8</v>
      </c>
      <c r="G252" s="83">
        <f>(F252/100)*'2019 Legal Max'!BS253</f>
        <v>374568</v>
      </c>
      <c r="H252" s="126">
        <f>'2019 Legal Max'!Y253</f>
        <v>7.8</v>
      </c>
      <c r="I252" s="134">
        <f>IF('2019 Legal Max'!Y253=0,0,ROUND((H252/D252)*100,2))</f>
        <v>0.2</v>
      </c>
      <c r="J252" s="83">
        <f>(I252/100)*'2019 Legal Max'!BS253</f>
        <v>11017</v>
      </c>
      <c r="K252" s="302" t="str">
        <f>'2019 Legal Max'!BD253</f>
        <v>A</v>
      </c>
    </row>
    <row r="253" spans="1:11">
      <c r="A253" s="88">
        <v>470</v>
      </c>
      <c r="B253" s="87" t="s">
        <v>102</v>
      </c>
      <c r="C253" s="87" t="s">
        <v>766</v>
      </c>
      <c r="D253" s="89">
        <f>'2019 Legal Max'!CW254-'2019 Legal Max'!Q254-'2019 Legal Max'!AU254</f>
        <v>4841</v>
      </c>
      <c r="E253" s="89">
        <f>'2019 Legal Max'!AE254</f>
        <v>739.1</v>
      </c>
      <c r="F253" s="301">
        <f t="shared" si="4"/>
        <v>15.27</v>
      </c>
      <c r="G253" s="83">
        <f>(F253/100)*'2019 Legal Max'!BS254</f>
        <v>992087</v>
      </c>
      <c r="H253" s="126">
        <f>'2019 Legal Max'!Y254</f>
        <v>100.5</v>
      </c>
      <c r="I253" s="134">
        <f>IF('2019 Legal Max'!Y254=0,0,ROUND((H253/D253)*100,2))</f>
        <v>2.08</v>
      </c>
      <c r="J253" s="83">
        <f>(I253/100)*'2019 Legal Max'!BS254</f>
        <v>135137</v>
      </c>
      <c r="K253" s="302" t="str">
        <f>'2019 Legal Max'!BD254</f>
        <v>A</v>
      </c>
    </row>
    <row r="254" spans="1:11">
      <c r="A254" s="88">
        <v>471</v>
      </c>
      <c r="B254" s="87" t="s">
        <v>102</v>
      </c>
      <c r="C254" s="87" t="s">
        <v>767</v>
      </c>
      <c r="D254" s="89">
        <f>'2019 Legal Max'!CW255-'2019 Legal Max'!Q255-'2019 Legal Max'!AU255</f>
        <v>409.3</v>
      </c>
      <c r="E254" s="89">
        <f>'2019 Legal Max'!AE255</f>
        <v>37.299999999999997</v>
      </c>
      <c r="F254" s="301">
        <f t="shared" si="4"/>
        <v>9.11</v>
      </c>
      <c r="G254" s="83">
        <f>(F254/100)*'2019 Legal Max'!BS255</f>
        <v>49809</v>
      </c>
      <c r="H254" s="126">
        <f>'2019 Legal Max'!Y255</f>
        <v>0</v>
      </c>
      <c r="I254" s="134">
        <f>IF('2019 Legal Max'!Y255=0,0,ROUND((H254/D254)*100,2))</f>
        <v>0</v>
      </c>
      <c r="J254" s="83">
        <f>(I254/100)*'2019 Legal Max'!BS255</f>
        <v>0</v>
      </c>
      <c r="K254" s="302" t="str">
        <f>'2019 Legal Max'!BD255</f>
        <v>A</v>
      </c>
    </row>
    <row r="255" spans="1:11">
      <c r="A255" s="88">
        <v>473</v>
      </c>
      <c r="B255" s="87" t="s">
        <v>87</v>
      </c>
      <c r="C255" s="87" t="s">
        <v>768</v>
      </c>
      <c r="D255" s="89">
        <f>'2019 Legal Max'!CW256-'2019 Legal Max'!Q256-'2019 Legal Max'!AU256</f>
        <v>1900.3</v>
      </c>
      <c r="E255" s="89">
        <f>'2019 Legal Max'!AE256</f>
        <v>162.1</v>
      </c>
      <c r="F255" s="301">
        <f t="shared" si="4"/>
        <v>8.5299999999999994</v>
      </c>
      <c r="G255" s="83">
        <f>(F255/100)*'2019 Legal Max'!BS256</f>
        <v>216126</v>
      </c>
      <c r="H255" s="126">
        <f>'2019 Legal Max'!Y256</f>
        <v>0.7</v>
      </c>
      <c r="I255" s="134">
        <f>IF('2019 Legal Max'!Y256=0,0,ROUND((H255/D255)*100,2))</f>
        <v>0.04</v>
      </c>
      <c r="J255" s="83">
        <f>(I255/100)*'2019 Legal Max'!BS256</f>
        <v>1013</v>
      </c>
      <c r="K255" s="302" t="str">
        <f>'2019 Legal Max'!BD256</f>
        <v>A</v>
      </c>
    </row>
    <row r="256" spans="1:11">
      <c r="A256" s="88">
        <v>474</v>
      </c>
      <c r="B256" s="87" t="s">
        <v>97</v>
      </c>
      <c r="C256" s="87" t="s">
        <v>769</v>
      </c>
      <c r="D256" s="89">
        <f>'2019 Legal Max'!CW257-'2019 Legal Max'!Q257-'2019 Legal Max'!AU257</f>
        <v>282.3</v>
      </c>
      <c r="E256" s="89">
        <f>'2019 Legal Max'!AE257</f>
        <v>17.899999999999999</v>
      </c>
      <c r="F256" s="301">
        <f t="shared" si="4"/>
        <v>6.34</v>
      </c>
      <c r="G256" s="83">
        <f>(F256/100)*'2019 Legal Max'!BS257</f>
        <v>24148</v>
      </c>
      <c r="H256" s="126">
        <f>'2019 Legal Max'!Y257</f>
        <v>0</v>
      </c>
      <c r="I256" s="134">
        <f>IF('2019 Legal Max'!Y257=0,0,ROUND((H256/D256)*100,2))</f>
        <v>0</v>
      </c>
      <c r="J256" s="83">
        <f>(I256/100)*'2019 Legal Max'!BS257</f>
        <v>0</v>
      </c>
      <c r="K256" s="302" t="str">
        <f>'2019 Legal Max'!BD257</f>
        <v>A</v>
      </c>
    </row>
    <row r="257" spans="1:11">
      <c r="A257" s="88">
        <v>475</v>
      </c>
      <c r="B257" s="87" t="s">
        <v>105</v>
      </c>
      <c r="C257" s="87" t="s">
        <v>770</v>
      </c>
      <c r="D257" s="89">
        <f>'2019 Legal Max'!CW258-'2019 Legal Max'!Q258-'2019 Legal Max'!AU258</f>
        <v>12029.5</v>
      </c>
      <c r="E257" s="89">
        <f>'2019 Legal Max'!AE258</f>
        <v>1377.5</v>
      </c>
      <c r="F257" s="301">
        <f t="shared" si="4"/>
        <v>11.45</v>
      </c>
      <c r="G257" s="83">
        <f>(F257/100)*'2019 Legal Max'!BS258</f>
        <v>1843395</v>
      </c>
      <c r="H257" s="126">
        <f>'2019 Legal Max'!Y258</f>
        <v>112.9</v>
      </c>
      <c r="I257" s="134">
        <f>IF('2019 Legal Max'!Y258=0,0,ROUND((H257/D257)*100,2))</f>
        <v>0.94</v>
      </c>
      <c r="J257" s="83">
        <f>(I257/100)*'2019 Legal Max'!BS258</f>
        <v>151336</v>
      </c>
      <c r="K257" s="302" t="str">
        <f>'2019 Legal Max'!BD258</f>
        <v>A</v>
      </c>
    </row>
    <row r="258" spans="1:11">
      <c r="A258" s="88">
        <v>476</v>
      </c>
      <c r="B258" s="87" t="s">
        <v>5</v>
      </c>
      <c r="C258" s="87" t="s">
        <v>771</v>
      </c>
      <c r="D258" s="89">
        <f>'2019 Legal Max'!CW259-'2019 Legal Max'!Q259-'2019 Legal Max'!AU259</f>
        <v>256.39999999999998</v>
      </c>
      <c r="E258" s="89">
        <f>'2019 Legal Max'!AE259</f>
        <v>18.399999999999999</v>
      </c>
      <c r="F258" s="301">
        <f t="shared" si="4"/>
        <v>7.18</v>
      </c>
      <c r="G258" s="83">
        <f>(F258/100)*'2019 Legal Max'!BS259</f>
        <v>25470</v>
      </c>
      <c r="H258" s="126">
        <f>'2019 Legal Max'!Y259</f>
        <v>15.6</v>
      </c>
      <c r="I258" s="134">
        <f>IF('2019 Legal Max'!Y259=0,0,ROUND((H258/D258)*100,2))</f>
        <v>6.08</v>
      </c>
      <c r="J258" s="83">
        <f>(I258/100)*'2019 Legal Max'!BS259</f>
        <v>21568</v>
      </c>
      <c r="K258" s="302" t="str">
        <f>'2019 Legal Max'!BD259</f>
        <v>A</v>
      </c>
    </row>
    <row r="259" spans="1:11">
      <c r="A259" s="88">
        <v>477</v>
      </c>
      <c r="B259" s="87" t="s">
        <v>5</v>
      </c>
      <c r="C259" s="87" t="s">
        <v>772</v>
      </c>
      <c r="D259" s="89">
        <f>'2019 Legal Max'!CW260-'2019 Legal Max'!Q260-'2019 Legal Max'!AU260</f>
        <v>482.2</v>
      </c>
      <c r="E259" s="89">
        <f>'2019 Legal Max'!AE260</f>
        <v>26.6</v>
      </c>
      <c r="F259" s="301">
        <f t="shared" si="4"/>
        <v>5.52</v>
      </c>
      <c r="G259" s="83">
        <f>(F259/100)*'2019 Legal Max'!BS260</f>
        <v>40365</v>
      </c>
      <c r="H259" s="126">
        <f>'2019 Legal Max'!Y260</f>
        <v>6.2</v>
      </c>
      <c r="I259" s="134">
        <f>IF('2019 Legal Max'!Y260=0,0,ROUND((H259/D259)*100,2))</f>
        <v>1.29</v>
      </c>
      <c r="J259" s="83">
        <f>(I259/100)*'2019 Legal Max'!BS260</f>
        <v>9433</v>
      </c>
      <c r="K259" s="302" t="str">
        <f>'2019 Legal Max'!BD260</f>
        <v>A</v>
      </c>
    </row>
    <row r="260" spans="1:11">
      <c r="A260" s="88">
        <v>479</v>
      </c>
      <c r="B260" s="87" t="s">
        <v>71</v>
      </c>
      <c r="C260" s="87" t="s">
        <v>773</v>
      </c>
      <c r="D260" s="89">
        <f>'2019 Legal Max'!CW261-'2019 Legal Max'!Q261-'2019 Legal Max'!AU261</f>
        <v>522.70000000000005</v>
      </c>
      <c r="E260" s="89">
        <f>'2019 Legal Max'!AE261</f>
        <v>38.700000000000003</v>
      </c>
      <c r="F260" s="301">
        <f t="shared" si="4"/>
        <v>7.4</v>
      </c>
      <c r="G260" s="83">
        <f>(F260/100)*'2019 Legal Max'!BS261</f>
        <v>35261</v>
      </c>
      <c r="H260" s="126">
        <f>'2019 Legal Max'!Y261</f>
        <v>0</v>
      </c>
      <c r="I260" s="134">
        <f>IF('2019 Legal Max'!Y261=0,0,ROUND((H260/D260)*100,2))</f>
        <v>0</v>
      </c>
      <c r="J260" s="83">
        <f>(I260/100)*'2019 Legal Max'!BS261</f>
        <v>0</v>
      </c>
      <c r="K260" s="302" t="str">
        <f>'2019 Legal Max'!BD261</f>
        <v>A</v>
      </c>
    </row>
    <row r="261" spans="1:11">
      <c r="A261" s="88">
        <v>480</v>
      </c>
      <c r="B261" s="87" t="s">
        <v>106</v>
      </c>
      <c r="C261" s="87" t="s">
        <v>774</v>
      </c>
      <c r="D261" s="89">
        <f>'2019 Legal Max'!CW262-'2019 Legal Max'!Q262-'2019 Legal Max'!AU262</f>
        <v>8545.1</v>
      </c>
      <c r="E261" s="89">
        <f>'2019 Legal Max'!AE262</f>
        <v>1580.7</v>
      </c>
      <c r="F261" s="301">
        <f t="shared" ref="F261:F289" si="5">IF(E261=0,0,ROUND((E261/D261)*100,2))</f>
        <v>18.5</v>
      </c>
      <c r="G261" s="83">
        <f>(F261/100)*'2019 Legal Max'!BS262</f>
        <v>1988750</v>
      </c>
      <c r="H261" s="126">
        <f>'2019 Legal Max'!Y262</f>
        <v>579.9</v>
      </c>
      <c r="I261" s="134">
        <f>IF('2019 Legal Max'!Y262=0,0,ROUND((H261/D261)*100,2))</f>
        <v>6.79</v>
      </c>
      <c r="J261" s="83">
        <f>(I261/100)*'2019 Legal Max'!BS262</f>
        <v>729925</v>
      </c>
      <c r="K261" s="302" t="str">
        <f>'2019 Legal Max'!BD262</f>
        <v>A</v>
      </c>
    </row>
    <row r="262" spans="1:11">
      <c r="A262" s="88">
        <v>481</v>
      </c>
      <c r="B262" s="87" t="s">
        <v>87</v>
      </c>
      <c r="C262" s="87" t="s">
        <v>775</v>
      </c>
      <c r="D262" s="89">
        <f>'2019 Legal Max'!CW263-'2019 Legal Max'!Q263-'2019 Legal Max'!AU263</f>
        <v>594.5</v>
      </c>
      <c r="E262" s="89">
        <f>'2019 Legal Max'!AE263</f>
        <v>49.9</v>
      </c>
      <c r="F262" s="301">
        <f t="shared" si="5"/>
        <v>8.39</v>
      </c>
      <c r="G262" s="83">
        <f>(F262/100)*'2019 Legal Max'!BS263</f>
        <v>78009</v>
      </c>
      <c r="H262" s="126">
        <f>'2019 Legal Max'!Y263</f>
        <v>0</v>
      </c>
      <c r="I262" s="134">
        <f>IF('2019 Legal Max'!Y263=0,0,ROUND((H262/D262)*100,2))</f>
        <v>0</v>
      </c>
      <c r="J262" s="83">
        <f>(I262/100)*'2019 Legal Max'!BS263</f>
        <v>0</v>
      </c>
      <c r="K262" s="302" t="str">
        <f>'2019 Legal Max'!BD263</f>
        <v>A</v>
      </c>
    </row>
    <row r="263" spans="1:11">
      <c r="A263" s="88">
        <v>482</v>
      </c>
      <c r="B263" s="87" t="s">
        <v>104</v>
      </c>
      <c r="C263" s="87" t="s">
        <v>776</v>
      </c>
      <c r="D263" s="89">
        <f>'2019 Legal Max'!CW264-'2019 Legal Max'!Q264-'2019 Legal Max'!AU264</f>
        <v>494.8</v>
      </c>
      <c r="E263" s="89">
        <f>'2019 Legal Max'!AE264</f>
        <v>40.700000000000003</v>
      </c>
      <c r="F263" s="301">
        <f t="shared" si="5"/>
        <v>8.23</v>
      </c>
      <c r="G263" s="83">
        <f>(F263/100)*'2019 Legal Max'!BS264</f>
        <v>51849</v>
      </c>
      <c r="H263" s="126">
        <f>'2019 Legal Max'!Y264</f>
        <v>1.7</v>
      </c>
      <c r="I263" s="134">
        <f>IF('2019 Legal Max'!Y264=0,0,ROUND((H263/D263)*100,2))</f>
        <v>0.34</v>
      </c>
      <c r="J263" s="83">
        <f>(I263/100)*'2019 Legal Max'!BS264</f>
        <v>2142</v>
      </c>
      <c r="K263" s="302" t="str">
        <f>'2019 Legal Max'!BD264</f>
        <v>A</v>
      </c>
    </row>
    <row r="264" spans="1:11">
      <c r="A264" s="88">
        <v>483</v>
      </c>
      <c r="B264" s="87" t="s">
        <v>106</v>
      </c>
      <c r="C264" s="87" t="s">
        <v>777</v>
      </c>
      <c r="D264" s="89">
        <f>'2019 Legal Max'!CW265-'2019 Legal Max'!Q265-'2019 Legal Max'!AU265</f>
        <v>1548.2</v>
      </c>
      <c r="E264" s="89">
        <f>'2019 Legal Max'!AE265</f>
        <v>188.3</v>
      </c>
      <c r="F264" s="301">
        <f t="shared" si="5"/>
        <v>12.16</v>
      </c>
      <c r="G264" s="83">
        <f>(F264/100)*'2019 Legal Max'!BS265</f>
        <v>231040</v>
      </c>
      <c r="H264" s="126">
        <f>'2019 Legal Max'!Y265</f>
        <v>134.80000000000001</v>
      </c>
      <c r="I264" s="134">
        <f>IF('2019 Legal Max'!Y265=0,0,ROUND((H264/D264)*100,2))</f>
        <v>8.7100000000000009</v>
      </c>
      <c r="J264" s="83">
        <f>(I264/100)*'2019 Legal Max'!BS265</f>
        <v>165490</v>
      </c>
      <c r="K264" s="302" t="str">
        <f>'2019 Legal Max'!BD265</f>
        <v>A</v>
      </c>
    </row>
    <row r="265" spans="1:11">
      <c r="A265" s="88">
        <v>484</v>
      </c>
      <c r="B265" s="87" t="s">
        <v>83</v>
      </c>
      <c r="C265" s="87" t="s">
        <v>778</v>
      </c>
      <c r="D265" s="89">
        <f>'2019 Legal Max'!CW266-'2019 Legal Max'!Q266-'2019 Legal Max'!AU266</f>
        <v>1299.5</v>
      </c>
      <c r="E265" s="89">
        <f>'2019 Legal Max'!AE266</f>
        <v>149.1</v>
      </c>
      <c r="F265" s="301">
        <f t="shared" si="5"/>
        <v>11.47</v>
      </c>
      <c r="G265" s="83">
        <f>(F265/100)*'2019 Legal Max'!BS266</f>
        <v>205086</v>
      </c>
      <c r="H265" s="126">
        <f>'2019 Legal Max'!Y266</f>
        <v>0</v>
      </c>
      <c r="I265" s="134">
        <f>IF('2019 Legal Max'!Y266=0,0,ROUND((H265/D265)*100,2))</f>
        <v>0</v>
      </c>
      <c r="J265" s="83">
        <f>(I265/100)*'2019 Legal Max'!BS266</f>
        <v>0</v>
      </c>
      <c r="K265" s="302" t="str">
        <f>'2019 Legal Max'!BD266</f>
        <v>A</v>
      </c>
    </row>
    <row r="266" spans="1:11">
      <c r="A266" s="88">
        <v>487</v>
      </c>
      <c r="B266" s="87" t="s">
        <v>87</v>
      </c>
      <c r="C266" s="87" t="s">
        <v>779</v>
      </c>
      <c r="D266" s="89">
        <f>'2019 Legal Max'!CW267-'2019 Legal Max'!Q267-'2019 Legal Max'!AU267</f>
        <v>941.5</v>
      </c>
      <c r="E266" s="89">
        <f>'2019 Legal Max'!AE267</f>
        <v>106</v>
      </c>
      <c r="F266" s="301">
        <f t="shared" si="5"/>
        <v>11.26</v>
      </c>
      <c r="G266" s="83">
        <f>(F266/100)*'2019 Legal Max'!BS267</f>
        <v>142497</v>
      </c>
      <c r="H266" s="126">
        <f>'2019 Legal Max'!Y267</f>
        <v>0</v>
      </c>
      <c r="I266" s="134">
        <f>IF('2019 Legal Max'!Y267=0,0,ROUND((H266/D266)*100,2))</f>
        <v>0</v>
      </c>
      <c r="J266" s="83">
        <f>(I266/100)*'2019 Legal Max'!BS267</f>
        <v>0</v>
      </c>
      <c r="K266" s="302" t="str">
        <f>'2019 Legal Max'!BD267</f>
        <v>A</v>
      </c>
    </row>
    <row r="267" spans="1:11">
      <c r="A267" s="88">
        <v>489</v>
      </c>
      <c r="B267" s="87" t="s">
        <v>84</v>
      </c>
      <c r="C267" s="87" t="s">
        <v>780</v>
      </c>
      <c r="D267" s="89">
        <f>'2019 Legal Max'!CW268-'2019 Legal Max'!Q268-'2019 Legal Max'!AU268</f>
        <v>4487.1000000000004</v>
      </c>
      <c r="E267" s="89">
        <f>'2019 Legal Max'!AE268</f>
        <v>467.5</v>
      </c>
      <c r="F267" s="301">
        <f t="shared" si="5"/>
        <v>10.42</v>
      </c>
      <c r="G267" s="83">
        <f>(F267/100)*'2019 Legal Max'!BS268</f>
        <v>628602</v>
      </c>
      <c r="H267" s="126">
        <f>'2019 Legal Max'!Y268</f>
        <v>36.9</v>
      </c>
      <c r="I267" s="134">
        <f>IF('2019 Legal Max'!Y268=0,0,ROUND((H267/D267)*100,2))</f>
        <v>0.82</v>
      </c>
      <c r="J267" s="83">
        <f>(I267/100)*'2019 Legal Max'!BS268</f>
        <v>49468</v>
      </c>
      <c r="K267" s="302" t="str">
        <f>'2019 Legal Max'!BD268</f>
        <v>A</v>
      </c>
    </row>
    <row r="268" spans="1:11">
      <c r="A268" s="88">
        <v>490</v>
      </c>
      <c r="B268" s="87" t="s">
        <v>10</v>
      </c>
      <c r="C268" s="87" t="s">
        <v>781</v>
      </c>
      <c r="D268" s="89">
        <f>'2019 Legal Max'!CW269-'2019 Legal Max'!Q269-'2019 Legal Max'!AU269</f>
        <v>2977.8</v>
      </c>
      <c r="E268" s="89">
        <f>'2019 Legal Max'!AE269</f>
        <v>414.3</v>
      </c>
      <c r="F268" s="301">
        <f t="shared" si="5"/>
        <v>13.91</v>
      </c>
      <c r="G268" s="83">
        <f>(F268/100)*'2019 Legal Max'!BS269</f>
        <v>621006</v>
      </c>
      <c r="H268" s="126">
        <f>'2019 Legal Max'!Y269</f>
        <v>5.4</v>
      </c>
      <c r="I268" s="134">
        <f>IF('2019 Legal Max'!Y269=0,0,ROUND((H268/D268)*100,2))</f>
        <v>0.18</v>
      </c>
      <c r="J268" s="83">
        <f>(I268/100)*'2019 Legal Max'!BS269</f>
        <v>8036</v>
      </c>
      <c r="K268" s="302" t="str">
        <f>'2019 Legal Max'!BD269</f>
        <v>A</v>
      </c>
    </row>
    <row r="269" spans="1:11">
      <c r="A269" s="88">
        <v>491</v>
      </c>
      <c r="B269" s="87" t="s">
        <v>63</v>
      </c>
      <c r="C269" s="87" t="s">
        <v>782</v>
      </c>
      <c r="D269" s="89">
        <f>'2019 Legal Max'!CW270-'2019 Legal Max'!Q270-'2019 Legal Max'!AU270</f>
        <v>2479.1</v>
      </c>
      <c r="E269" s="89">
        <f>'2019 Legal Max'!AE270</f>
        <v>191.2</v>
      </c>
      <c r="F269" s="301">
        <f t="shared" si="5"/>
        <v>7.71</v>
      </c>
      <c r="G269" s="83">
        <f>(F269/100)*'2019 Legal Max'!BS270</f>
        <v>254776</v>
      </c>
      <c r="H269" s="126">
        <f>'2019 Legal Max'!Y270</f>
        <v>2.2000000000000002</v>
      </c>
      <c r="I269" s="134">
        <f>IF('2019 Legal Max'!Y270=0,0,ROUND((H269/D269)*100,2))</f>
        <v>0.09</v>
      </c>
      <c r="J269" s="83">
        <f>(I269/100)*'2019 Legal Max'!BS270</f>
        <v>2974</v>
      </c>
      <c r="K269" s="302" t="str">
        <f>'2019 Legal Max'!BD270</f>
        <v>A</v>
      </c>
    </row>
    <row r="270" spans="1:11">
      <c r="A270" s="88">
        <v>492</v>
      </c>
      <c r="B270" s="87" t="s">
        <v>10</v>
      </c>
      <c r="C270" s="87" t="s">
        <v>783</v>
      </c>
      <c r="D270" s="89">
        <f>'2019 Legal Max'!CW271-'2019 Legal Max'!Q271-'2019 Legal Max'!AU271</f>
        <v>597</v>
      </c>
      <c r="E270" s="89">
        <f>'2019 Legal Max'!AE271</f>
        <v>46.9</v>
      </c>
      <c r="F270" s="301">
        <f t="shared" si="5"/>
        <v>7.86</v>
      </c>
      <c r="G270" s="83">
        <f>(F270/100)*'2019 Legal Max'!BS271</f>
        <v>63004</v>
      </c>
      <c r="H270" s="126">
        <f>'2019 Legal Max'!Y271</f>
        <v>0</v>
      </c>
      <c r="I270" s="134">
        <f>IF('2019 Legal Max'!Y271=0,0,ROUND((H270/D270)*100,2))</f>
        <v>0</v>
      </c>
      <c r="J270" s="83">
        <f>(I270/100)*'2019 Legal Max'!BS271</f>
        <v>0</v>
      </c>
      <c r="K270" s="302" t="str">
        <f>'2019 Legal Max'!BD271</f>
        <v>A</v>
      </c>
    </row>
    <row r="271" spans="1:11">
      <c r="A271" s="88">
        <v>493</v>
      </c>
      <c r="B271" s="87" t="s">
        <v>29</v>
      </c>
      <c r="C271" s="87" t="s">
        <v>784</v>
      </c>
      <c r="D271" s="89">
        <f>'2019 Legal Max'!CW272-'2019 Legal Max'!Q272-'2019 Legal Max'!AU272</f>
        <v>1812.7</v>
      </c>
      <c r="E271" s="89">
        <f>'2019 Legal Max'!AE272</f>
        <v>210.5</v>
      </c>
      <c r="F271" s="301">
        <f t="shared" si="5"/>
        <v>11.61</v>
      </c>
      <c r="G271" s="83">
        <f>(F271/100)*'2019 Legal Max'!BS272</f>
        <v>282325</v>
      </c>
      <c r="H271" s="126">
        <f>'2019 Legal Max'!Y272</f>
        <v>0.2</v>
      </c>
      <c r="I271" s="134">
        <f>IF('2019 Legal Max'!Y272=0,0,ROUND((H271/D271)*100,2))</f>
        <v>0.01</v>
      </c>
      <c r="J271" s="83">
        <f>(I271/100)*'2019 Legal Max'!BS272</f>
        <v>243</v>
      </c>
      <c r="K271" s="302" t="str">
        <f>'2019 Legal Max'!BD272</f>
        <v>A</v>
      </c>
    </row>
    <row r="272" spans="1:11">
      <c r="A272" s="88">
        <v>494</v>
      </c>
      <c r="B272" s="87" t="s">
        <v>85</v>
      </c>
      <c r="C272" s="87" t="s">
        <v>785</v>
      </c>
      <c r="D272" s="89">
        <f>'2019 Legal Max'!CW273-'2019 Legal Max'!Q273-'2019 Legal Max'!AU273</f>
        <v>1139.5</v>
      </c>
      <c r="E272" s="89">
        <f>'2019 Legal Max'!AE273</f>
        <v>145.19999999999999</v>
      </c>
      <c r="F272" s="301">
        <f t="shared" si="5"/>
        <v>12.74</v>
      </c>
      <c r="G272" s="83">
        <f>(F272/100)*'2019 Legal Max'!BS273</f>
        <v>195989</v>
      </c>
      <c r="H272" s="126">
        <f>'2019 Legal Max'!Y273</f>
        <v>60.1</v>
      </c>
      <c r="I272" s="134">
        <f>IF('2019 Legal Max'!Y273=0,0,ROUND((H272/D272)*100,2))</f>
        <v>5.27</v>
      </c>
      <c r="J272" s="83">
        <f>(I272/100)*'2019 Legal Max'!BS273</f>
        <v>81072</v>
      </c>
      <c r="K272" s="302" t="str">
        <f>'2019 Legal Max'!BD273</f>
        <v>A</v>
      </c>
    </row>
    <row r="273" spans="1:11">
      <c r="A273" s="88">
        <v>495</v>
      </c>
      <c r="B273" s="87" t="s">
        <v>107</v>
      </c>
      <c r="C273" s="87" t="s">
        <v>786</v>
      </c>
      <c r="D273" s="89">
        <f>'2019 Legal Max'!CW274-'2019 Legal Max'!Q274-'2019 Legal Max'!AU274</f>
        <v>1794.7</v>
      </c>
      <c r="E273" s="89">
        <f>'2019 Legal Max'!AE274</f>
        <v>174.2</v>
      </c>
      <c r="F273" s="301">
        <f t="shared" si="5"/>
        <v>9.7100000000000009</v>
      </c>
      <c r="G273" s="83">
        <f>(F273/100)*'2019 Legal Max'!BS274</f>
        <v>234528</v>
      </c>
      <c r="H273" s="126">
        <f>'2019 Legal Max'!Y274</f>
        <v>3.7</v>
      </c>
      <c r="I273" s="134">
        <f>IF('2019 Legal Max'!Y274=0,0,ROUND((H273/D273)*100,2))</f>
        <v>0.21</v>
      </c>
      <c r="J273" s="83">
        <f>(I273/100)*'2019 Legal Max'!BS274</f>
        <v>5072</v>
      </c>
      <c r="K273" s="302" t="str">
        <f>'2019 Legal Max'!BD274</f>
        <v>A</v>
      </c>
    </row>
    <row r="274" spans="1:11">
      <c r="A274" s="88">
        <v>496</v>
      </c>
      <c r="B274" s="87" t="s">
        <v>107</v>
      </c>
      <c r="C274" s="87" t="s">
        <v>787</v>
      </c>
      <c r="D274" s="89">
        <f>'2019 Legal Max'!CW275-'2019 Legal Max'!Q275-'2019 Legal Max'!AU275</f>
        <v>349.5</v>
      </c>
      <c r="E274" s="89">
        <f>'2019 Legal Max'!AE275</f>
        <v>20.8</v>
      </c>
      <c r="F274" s="301">
        <f t="shared" si="5"/>
        <v>5.95</v>
      </c>
      <c r="G274" s="83">
        <f>(F274/100)*'2019 Legal Max'!BS275</f>
        <v>30899</v>
      </c>
      <c r="H274" s="126">
        <f>'2019 Legal Max'!Y275</f>
        <v>0.9</v>
      </c>
      <c r="I274" s="134">
        <f>IF('2019 Legal Max'!Y275=0,0,ROUND((H274/D274)*100,2))</f>
        <v>0.26</v>
      </c>
      <c r="J274" s="83">
        <f>(I274/100)*'2019 Legal Max'!BS275</f>
        <v>1350</v>
      </c>
      <c r="K274" s="302" t="str">
        <f>'2019 Legal Max'!BD275</f>
        <v>A</v>
      </c>
    </row>
    <row r="275" spans="1:11">
      <c r="A275" s="88">
        <v>497</v>
      </c>
      <c r="B275" s="87" t="s">
        <v>63</v>
      </c>
      <c r="C275" s="87" t="s">
        <v>788</v>
      </c>
      <c r="D275" s="89">
        <f>'2019 Legal Max'!CW276-'2019 Legal Max'!Q276-'2019 Legal Max'!AU276</f>
        <v>17069.5</v>
      </c>
      <c r="E275" s="89">
        <f>'2019 Legal Max'!AE276</f>
        <v>1634.5</v>
      </c>
      <c r="F275" s="301">
        <f t="shared" si="5"/>
        <v>9.58</v>
      </c>
      <c r="G275" s="83">
        <f>(F275/100)*'2019 Legal Max'!BS276</f>
        <v>2395090</v>
      </c>
      <c r="H275" s="126">
        <f>'2019 Legal Max'!Y276</f>
        <v>153</v>
      </c>
      <c r="I275" s="134">
        <f>IF('2019 Legal Max'!Y276=0,0,ROUND((H275/D275)*100,2))</f>
        <v>0.9</v>
      </c>
      <c r="J275" s="83">
        <f>(I275/100)*'2019 Legal Max'!BS276</f>
        <v>225008</v>
      </c>
      <c r="K275" s="302" t="str">
        <f>'2019 Legal Max'!BD276</f>
        <v>A</v>
      </c>
    </row>
    <row r="276" spans="1:11">
      <c r="A276" s="88">
        <v>498</v>
      </c>
      <c r="B276" s="87" t="s">
        <v>70</v>
      </c>
      <c r="C276" s="87" t="s">
        <v>789</v>
      </c>
      <c r="D276" s="89">
        <f>'2019 Legal Max'!CW277-'2019 Legal Max'!Q277-'2019 Legal Max'!AU277</f>
        <v>806.5</v>
      </c>
      <c r="E276" s="89">
        <f>'2019 Legal Max'!AE277</f>
        <v>66.8</v>
      </c>
      <c r="F276" s="301">
        <f t="shared" si="5"/>
        <v>8.2799999999999994</v>
      </c>
      <c r="G276" s="83">
        <f>(F276/100)*'2019 Legal Max'!BS277</f>
        <v>101926</v>
      </c>
      <c r="H276" s="126">
        <f>'2019 Legal Max'!Y277</f>
        <v>0</v>
      </c>
      <c r="I276" s="134">
        <f>IF('2019 Legal Max'!Y277=0,0,ROUND((H276/D276)*100,2))</f>
        <v>0</v>
      </c>
      <c r="J276" s="83">
        <f>(I276/100)*'2019 Legal Max'!BS277</f>
        <v>0</v>
      </c>
      <c r="K276" s="302" t="str">
        <f>'2019 Legal Max'!BD277</f>
        <v>A</v>
      </c>
    </row>
    <row r="277" spans="1:11">
      <c r="A277" s="88">
        <v>499</v>
      </c>
      <c r="B277" s="87" t="s">
        <v>29</v>
      </c>
      <c r="C277" s="87" t="s">
        <v>790</v>
      </c>
      <c r="D277" s="89">
        <f>'2019 Legal Max'!CW278-'2019 Legal Max'!Q278-'2019 Legal Max'!AU278</f>
        <v>1533.7</v>
      </c>
      <c r="E277" s="89">
        <f>'2019 Legal Max'!AE278</f>
        <v>189.2</v>
      </c>
      <c r="F277" s="301">
        <f t="shared" si="5"/>
        <v>12.34</v>
      </c>
      <c r="G277" s="83">
        <f>(F277/100)*'2019 Legal Max'!BS278</f>
        <v>253527</v>
      </c>
      <c r="H277" s="126">
        <f>'2019 Legal Max'!Y278</f>
        <v>0.2</v>
      </c>
      <c r="I277" s="134">
        <f>IF('2019 Legal Max'!Y278=0,0,ROUND((H277/D277)*100,2))</f>
        <v>0.01</v>
      </c>
      <c r="J277" s="83">
        <f>(I277/100)*'2019 Legal Max'!BS278</f>
        <v>205</v>
      </c>
      <c r="K277" s="302" t="str">
        <f>'2019 Legal Max'!BD278</f>
        <v>A</v>
      </c>
    </row>
    <row r="278" spans="1:11">
      <c r="A278" s="88">
        <v>500</v>
      </c>
      <c r="B278" s="87" t="s">
        <v>9</v>
      </c>
      <c r="C278" s="87" t="s">
        <v>791</v>
      </c>
      <c r="D278" s="89">
        <f>'2019 Legal Max'!CW279-'2019 Legal Max'!Q279-'2019 Legal Max'!AU279</f>
        <v>37139.5</v>
      </c>
      <c r="E278" s="89">
        <f>'2019 Legal Max'!AE279</f>
        <v>7391.2</v>
      </c>
      <c r="F278" s="301">
        <f t="shared" si="5"/>
        <v>19.899999999999999</v>
      </c>
      <c r="G278" s="83">
        <f>(F278/100)*'2019 Legal Max'!BS279</f>
        <v>9991777</v>
      </c>
      <c r="H278" s="126">
        <f>'2019 Legal Max'!Y279</f>
        <v>1538.9</v>
      </c>
      <c r="I278" s="134">
        <f>IF('2019 Legal Max'!Y279=0,0,ROUND((H278/D278)*100,2))</f>
        <v>4.1399999999999997</v>
      </c>
      <c r="J278" s="83">
        <f>(I278/100)*'2019 Legal Max'!BS279</f>
        <v>2078691</v>
      </c>
      <c r="K278" s="302" t="str">
        <f>'2019 Legal Max'!BD279</f>
        <v>A</v>
      </c>
    </row>
    <row r="279" spans="1:11">
      <c r="A279" s="88">
        <v>501</v>
      </c>
      <c r="B279" s="87" t="s">
        <v>61</v>
      </c>
      <c r="C279" s="87" t="s">
        <v>792</v>
      </c>
      <c r="D279" s="89">
        <f>'2019 Legal Max'!CW280-'2019 Legal Max'!Q280-'2019 Legal Max'!AU280</f>
        <v>23556.6</v>
      </c>
      <c r="E279" s="89">
        <f>'2019 Legal Max'!AE280</f>
        <v>3972.2</v>
      </c>
      <c r="F279" s="301">
        <f t="shared" si="5"/>
        <v>16.86</v>
      </c>
      <c r="G279" s="83">
        <f>(F279/100)*'2019 Legal Max'!BS280</f>
        <v>5851255</v>
      </c>
      <c r="H279" s="126">
        <f>'2019 Legal Max'!Y280</f>
        <v>323.8</v>
      </c>
      <c r="I279" s="134">
        <f>IF('2019 Legal Max'!Y280=0,0,ROUND((H279/D279)*100,2))</f>
        <v>1.37</v>
      </c>
      <c r="J279" s="83">
        <f>(I279/100)*'2019 Legal Max'!BS280</f>
        <v>475458</v>
      </c>
      <c r="K279" s="302" t="str">
        <f>'2019 Legal Max'!BD280</f>
        <v>A</v>
      </c>
    </row>
    <row r="280" spans="1:11">
      <c r="A280" s="88">
        <v>502</v>
      </c>
      <c r="B280" s="87" t="s">
        <v>62</v>
      </c>
      <c r="C280" s="87" t="s">
        <v>793</v>
      </c>
      <c r="D280" s="89">
        <f>'2019 Legal Max'!CW281-'2019 Legal Max'!Q281-'2019 Legal Max'!AU281</f>
        <v>332.5</v>
      </c>
      <c r="E280" s="89">
        <f>'2019 Legal Max'!AE281</f>
        <v>21.8</v>
      </c>
      <c r="F280" s="301">
        <f t="shared" si="5"/>
        <v>6.56</v>
      </c>
      <c r="G280" s="83">
        <f>(F280/100)*'2019 Legal Max'!BS281</f>
        <v>24010</v>
      </c>
      <c r="H280" s="126">
        <f>'2019 Legal Max'!Y281</f>
        <v>9.6</v>
      </c>
      <c r="I280" s="134">
        <f>IF('2019 Legal Max'!Y281=0,0,ROUND((H280/D280)*100,2))</f>
        <v>2.89</v>
      </c>
      <c r="J280" s="83">
        <f>(I280/100)*'2019 Legal Max'!BS281</f>
        <v>10577</v>
      </c>
      <c r="K280" s="302" t="str">
        <f>'2019 Legal Max'!BD281</f>
        <v>A</v>
      </c>
    </row>
    <row r="281" spans="1:11">
      <c r="A281" s="88">
        <v>503</v>
      </c>
      <c r="B281" s="87" t="s">
        <v>108</v>
      </c>
      <c r="C281" s="87" t="s">
        <v>794</v>
      </c>
      <c r="D281" s="89">
        <f>'2019 Legal Max'!CW282-'2019 Legal Max'!Q282-'2019 Legal Max'!AU282</f>
        <v>2252.6999999999998</v>
      </c>
      <c r="E281" s="89">
        <f>'2019 Legal Max'!AE282</f>
        <v>375.1</v>
      </c>
      <c r="F281" s="301">
        <f t="shared" si="5"/>
        <v>16.649999999999999</v>
      </c>
      <c r="G281" s="83">
        <f>(F281/100)*'2019 Legal Max'!BS282</f>
        <v>504797</v>
      </c>
      <c r="H281" s="126">
        <f>'2019 Legal Max'!Y282</f>
        <v>3.9</v>
      </c>
      <c r="I281" s="134">
        <f>IF('2019 Legal Max'!Y282=0,0,ROUND((H281/D281)*100,2))</f>
        <v>0.17</v>
      </c>
      <c r="J281" s="83">
        <f>(I281/100)*'2019 Legal Max'!BS282</f>
        <v>5154</v>
      </c>
      <c r="K281" s="302" t="str">
        <f>'2019 Legal Max'!BD282</f>
        <v>A</v>
      </c>
    </row>
    <row r="282" spans="1:11">
      <c r="A282" s="88">
        <v>504</v>
      </c>
      <c r="B282" s="87" t="s">
        <v>108</v>
      </c>
      <c r="C282" s="87" t="s">
        <v>795</v>
      </c>
      <c r="D282" s="89">
        <f>'2019 Legal Max'!CW283-'2019 Legal Max'!Q283-'2019 Legal Max'!AU283</f>
        <v>947.7</v>
      </c>
      <c r="E282" s="89">
        <f>'2019 Legal Max'!AE283</f>
        <v>117.6</v>
      </c>
      <c r="F282" s="301">
        <f t="shared" si="5"/>
        <v>12.41</v>
      </c>
      <c r="G282" s="83">
        <f>(F282/100)*'2019 Legal Max'!BS283</f>
        <v>157782</v>
      </c>
      <c r="H282" s="126">
        <f>'2019 Legal Max'!Y283</f>
        <v>0.6</v>
      </c>
      <c r="I282" s="134">
        <f>IF('2019 Legal Max'!Y283=0,0,ROUND((H282/D282)*100,2))</f>
        <v>0.06</v>
      </c>
      <c r="J282" s="83">
        <f>(I282/100)*'2019 Legal Max'!BS283</f>
        <v>763</v>
      </c>
      <c r="K282" s="302" t="str">
        <f>'2019 Legal Max'!BD283</f>
        <v>A</v>
      </c>
    </row>
    <row r="283" spans="1:11">
      <c r="A283" s="88">
        <v>505</v>
      </c>
      <c r="B283" s="87" t="s">
        <v>108</v>
      </c>
      <c r="C283" s="87" t="s">
        <v>796</v>
      </c>
      <c r="D283" s="89">
        <f>'2019 Legal Max'!CW284-'2019 Legal Max'!Q284-'2019 Legal Max'!AU284</f>
        <v>835.9</v>
      </c>
      <c r="E283" s="89">
        <f>'2019 Legal Max'!AE284</f>
        <v>81.3</v>
      </c>
      <c r="F283" s="301">
        <f t="shared" si="5"/>
        <v>9.73</v>
      </c>
      <c r="G283" s="83">
        <f>(F283/100)*'2019 Legal Max'!BS284</f>
        <v>123142</v>
      </c>
      <c r="H283" s="126">
        <f>'2019 Legal Max'!Y284</f>
        <v>0</v>
      </c>
      <c r="I283" s="134">
        <f>IF('2019 Legal Max'!Y284=0,0,ROUND((H283/D283)*100,2))</f>
        <v>0</v>
      </c>
      <c r="J283" s="83">
        <f>(I283/100)*'2019 Legal Max'!BS284</f>
        <v>0</v>
      </c>
      <c r="K283" s="302" t="str">
        <f>'2019 Legal Max'!BD284</f>
        <v>A</v>
      </c>
    </row>
    <row r="284" spans="1:11">
      <c r="A284" s="88">
        <v>506</v>
      </c>
      <c r="B284" s="87" t="s">
        <v>108</v>
      </c>
      <c r="C284" s="87" t="s">
        <v>797</v>
      </c>
      <c r="D284" s="89">
        <f>'2019 Legal Max'!CW285-'2019 Legal Max'!Q285-'2019 Legal Max'!AU285</f>
        <v>2660.1</v>
      </c>
      <c r="E284" s="89">
        <f>'2019 Legal Max'!AE285</f>
        <v>349</v>
      </c>
      <c r="F284" s="301">
        <f t="shared" si="5"/>
        <v>13.12</v>
      </c>
      <c r="G284" s="83">
        <f>(F284/100)*'2019 Legal Max'!BS285</f>
        <v>467393</v>
      </c>
      <c r="H284" s="126">
        <f>'2019 Legal Max'!Y285</f>
        <v>0</v>
      </c>
      <c r="I284" s="134">
        <f>IF('2019 Legal Max'!Y285=0,0,ROUND((H284/D284)*100,2))</f>
        <v>0</v>
      </c>
      <c r="J284" s="83">
        <f>(I284/100)*'2019 Legal Max'!BS285</f>
        <v>0</v>
      </c>
      <c r="K284" s="302" t="str">
        <f>'2019 Legal Max'!BD285</f>
        <v>A</v>
      </c>
    </row>
    <row r="285" spans="1:11">
      <c r="A285" s="88">
        <v>507</v>
      </c>
      <c r="B285" s="87" t="s">
        <v>75</v>
      </c>
      <c r="C285" s="87" t="s">
        <v>798</v>
      </c>
      <c r="D285" s="89">
        <f>'2019 Legal Max'!CW286-'2019 Legal Max'!Q286-'2019 Legal Max'!AU286</f>
        <v>638.9</v>
      </c>
      <c r="E285" s="89">
        <f>'2019 Legal Max'!AE286</f>
        <v>67.8</v>
      </c>
      <c r="F285" s="301">
        <f t="shared" si="5"/>
        <v>10.61</v>
      </c>
      <c r="G285" s="83">
        <f>(F285/100)*'2019 Legal Max'!BS286</f>
        <v>92733</v>
      </c>
      <c r="H285" s="126">
        <f>'2019 Legal Max'!Y286</f>
        <v>42.6</v>
      </c>
      <c r="I285" s="134">
        <f>IF('2019 Legal Max'!Y286=0,0,ROUND((H285/D285)*100,2))</f>
        <v>6.67</v>
      </c>
      <c r="J285" s="83">
        <f>(I285/100)*'2019 Legal Max'!BS286</f>
        <v>58297</v>
      </c>
      <c r="K285" s="302" t="str">
        <f>'2019 Legal Max'!BD286</f>
        <v>A</v>
      </c>
    </row>
    <row r="286" spans="1:11">
      <c r="A286" s="88">
        <v>508</v>
      </c>
      <c r="B286" s="87" t="s">
        <v>29</v>
      </c>
      <c r="C286" s="87" t="s">
        <v>799</v>
      </c>
      <c r="D286" s="89">
        <f>'2019 Legal Max'!CW287-'2019 Legal Max'!Q287-'2019 Legal Max'!AU287</f>
        <v>1769.8</v>
      </c>
      <c r="E286" s="89">
        <f>'2019 Legal Max'!AE287</f>
        <v>224.1</v>
      </c>
      <c r="F286" s="301">
        <f t="shared" si="5"/>
        <v>12.66</v>
      </c>
      <c r="G286" s="83">
        <f>(F286/100)*'2019 Legal Max'!BS287</f>
        <v>300498</v>
      </c>
      <c r="H286" s="126">
        <f>'2019 Legal Max'!Y287</f>
        <v>1.3</v>
      </c>
      <c r="I286" s="134">
        <f>IF('2019 Legal Max'!Y287=0,0,ROUND((H286/D286)*100,2))</f>
        <v>7.0000000000000007E-2</v>
      </c>
      <c r="J286" s="83">
        <f>(I286/100)*'2019 Legal Max'!BS287</f>
        <v>1662</v>
      </c>
      <c r="K286" s="302" t="str">
        <f>'2019 Legal Max'!BD287</f>
        <v>A</v>
      </c>
    </row>
    <row r="287" spans="1:11">
      <c r="A287" s="88">
        <v>509</v>
      </c>
      <c r="B287" s="87" t="s">
        <v>66</v>
      </c>
      <c r="C287" s="87" t="s">
        <v>800</v>
      </c>
      <c r="D287" s="89">
        <f>'2019 Legal Max'!CW288-'2019 Legal Max'!Q288-'2019 Legal Max'!AU288</f>
        <v>482</v>
      </c>
      <c r="E287" s="89">
        <f>'2019 Legal Max'!AE288</f>
        <v>27.6</v>
      </c>
      <c r="F287" s="301">
        <f t="shared" si="5"/>
        <v>5.73</v>
      </c>
      <c r="G287" s="83">
        <f>(F287/100)*'2019 Legal Max'!BS288</f>
        <v>40951</v>
      </c>
      <c r="H287" s="126">
        <f>'2019 Legal Max'!Y288</f>
        <v>0</v>
      </c>
      <c r="I287" s="134">
        <f>IF('2019 Legal Max'!Y288=0,0,ROUND((H287/D287)*100,2))</f>
        <v>0</v>
      </c>
      <c r="J287" s="83">
        <f>(I287/100)*'2019 Legal Max'!BS288</f>
        <v>0</v>
      </c>
      <c r="K287" s="302" t="str">
        <f>'2019 Legal Max'!BD288</f>
        <v>A</v>
      </c>
    </row>
    <row r="288" spans="1:11">
      <c r="A288" s="88">
        <v>511</v>
      </c>
      <c r="B288" s="87" t="s">
        <v>68</v>
      </c>
      <c r="C288" s="87" t="s">
        <v>801</v>
      </c>
      <c r="D288" s="89">
        <f>'2019 Legal Max'!CW289-'2019 Legal Max'!Q289-'2019 Legal Max'!AU289</f>
        <v>390.8</v>
      </c>
      <c r="E288" s="89">
        <f>'2019 Legal Max'!AE289</f>
        <v>28.6</v>
      </c>
      <c r="F288" s="301">
        <f t="shared" si="5"/>
        <v>7.32</v>
      </c>
      <c r="G288" s="83">
        <f>(F288/100)*'2019 Legal Max'!BS289</f>
        <v>38387</v>
      </c>
      <c r="H288" s="126">
        <f>'2019 Legal Max'!Y289</f>
        <v>0</v>
      </c>
      <c r="I288" s="134">
        <f>IF('2019 Legal Max'!Y289=0,0,ROUND((H288/D288)*100,2))</f>
        <v>0</v>
      </c>
      <c r="J288" s="83">
        <f>(I288/100)*'2019 Legal Max'!BS289</f>
        <v>0</v>
      </c>
      <c r="K288" s="302" t="str">
        <f>'2019 Legal Max'!BD289</f>
        <v>A</v>
      </c>
    </row>
    <row r="289" spans="1:11">
      <c r="A289" s="88">
        <v>512</v>
      </c>
      <c r="B289" s="87" t="s">
        <v>22</v>
      </c>
      <c r="C289" s="87" t="s">
        <v>802</v>
      </c>
      <c r="D289" s="89">
        <f>'2019 Legal Max'!CW290-'2019 Legal Max'!Q290-'2019 Legal Max'!AU290</f>
        <v>40595.1</v>
      </c>
      <c r="E289" s="89">
        <f>'2019 Legal Max'!AE290</f>
        <v>3516.7</v>
      </c>
      <c r="F289" s="301">
        <f t="shared" si="5"/>
        <v>8.66</v>
      </c>
      <c r="G289" s="83">
        <f>(F289/100)*'2019 Legal Max'!BS290</f>
        <v>5324858</v>
      </c>
      <c r="H289" s="126">
        <f>'2019 Legal Max'!Y290</f>
        <v>503</v>
      </c>
      <c r="I289" s="134">
        <f>IF('2019 Legal Max'!Y290=0,0,ROUND((H289/D289)*100,2))</f>
        <v>1.24</v>
      </c>
      <c r="J289" s="83">
        <f>(I289/100)*'2019 Legal Max'!BS290</f>
        <v>762451</v>
      </c>
      <c r="K289" s="302" t="str">
        <f>'2019 Legal Max'!BD290</f>
        <v>A</v>
      </c>
    </row>
  </sheetData>
  <autoFilter ref="A3:K289"/>
  <mergeCells count="2">
    <mergeCell ref="E1:G1"/>
    <mergeCell ref="H1:J1"/>
  </mergeCells>
  <printOptions gridLines="1"/>
  <pageMargins left="0.7" right="0.7" top="0.75" bottom="0.75" header="0.3" footer="0.3"/>
  <pageSetup scale="6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R291"/>
  <sheetViews>
    <sheetView workbookViewId="0">
      <pane xSplit="1" ySplit="5" topLeftCell="B138" activePane="bottomRight" state="frozen"/>
      <selection pane="topRight" activeCell="B1" sqref="B1"/>
      <selection pane="bottomLeft" activeCell="A7" sqref="A7"/>
      <selection pane="bottomRight" activeCell="A117" sqref="A117:XFD117"/>
    </sheetView>
  </sheetViews>
  <sheetFormatPr defaultRowHeight="12.75"/>
  <cols>
    <col min="2" max="2" width="11.140625" customWidth="1"/>
    <col min="3" max="3" width="24.42578125" bestFit="1" customWidth="1"/>
    <col min="4" max="4" width="9.7109375" style="126" customWidth="1"/>
    <col min="5" max="5" width="11.5703125" style="126" bestFit="1" customWidth="1"/>
    <col min="6" max="6" width="11.5703125" style="126" hidden="1" customWidth="1"/>
    <col min="7" max="7" width="11.5703125" style="126" bestFit="1" customWidth="1"/>
    <col min="8" max="8" width="11.5703125" style="126" hidden="1" customWidth="1"/>
    <col min="9" max="10" width="11.5703125" style="126" bestFit="1" customWidth="1"/>
  </cols>
  <sheetData>
    <row r="1" spans="1:18">
      <c r="D1" s="141"/>
      <c r="E1" s="141" t="s">
        <v>154</v>
      </c>
      <c r="F1" s="247" t="s">
        <v>3510</v>
      </c>
      <c r="G1" s="141" t="s">
        <v>155</v>
      </c>
      <c r="H1" s="141"/>
      <c r="I1" s="141" t="s">
        <v>156</v>
      </c>
      <c r="J1" s="141" t="s">
        <v>157</v>
      </c>
    </row>
    <row r="2" spans="1:18">
      <c r="D2" s="141" t="s">
        <v>3511</v>
      </c>
      <c r="E2" s="126" t="s">
        <v>3579</v>
      </c>
      <c r="F2" s="126" t="s">
        <v>3579</v>
      </c>
      <c r="G2" s="126" t="s">
        <v>3579</v>
      </c>
      <c r="H2" s="126" t="s">
        <v>3511</v>
      </c>
      <c r="I2" s="126" t="s">
        <v>3511</v>
      </c>
      <c r="J2" s="126" t="s">
        <v>3511</v>
      </c>
    </row>
    <row r="3" spans="1:18" ht="51">
      <c r="D3" s="146" t="s">
        <v>3577</v>
      </c>
      <c r="E3" s="139" t="s">
        <v>3577</v>
      </c>
      <c r="F3" s="146" t="s">
        <v>833</v>
      </c>
      <c r="G3" s="139" t="s">
        <v>833</v>
      </c>
      <c r="H3" s="139" t="s">
        <v>3578</v>
      </c>
      <c r="I3" s="139" t="s">
        <v>3578</v>
      </c>
      <c r="J3" s="139" t="s">
        <v>3496</v>
      </c>
      <c r="L3" s="330" t="s">
        <v>865</v>
      </c>
      <c r="M3" s="330"/>
      <c r="N3" s="330"/>
      <c r="O3" s="330"/>
      <c r="P3" s="330"/>
      <c r="Q3" s="330"/>
      <c r="R3" s="330"/>
    </row>
    <row r="4" spans="1:18">
      <c r="A4" s="85" t="s">
        <v>171</v>
      </c>
      <c r="B4" s="85" t="s">
        <v>172</v>
      </c>
      <c r="C4" s="85" t="s">
        <v>173</v>
      </c>
      <c r="D4" s="136"/>
      <c r="E4" s="136"/>
      <c r="F4" s="136"/>
      <c r="G4" s="136"/>
      <c r="H4" s="136"/>
      <c r="I4" s="136"/>
      <c r="J4" s="136"/>
    </row>
    <row r="5" spans="1:18">
      <c r="A5" s="92" t="s">
        <v>196</v>
      </c>
      <c r="B5" s="92"/>
      <c r="C5" s="101" t="s">
        <v>804</v>
      </c>
      <c r="D5" s="137">
        <f>SUM(D6:D291)</f>
        <v>15418727</v>
      </c>
      <c r="E5" s="137"/>
      <c r="F5" s="137">
        <f>SUM(F6:F291)</f>
        <v>108</v>
      </c>
      <c r="G5" s="142"/>
      <c r="H5" s="142"/>
      <c r="I5" s="142"/>
      <c r="J5" s="142"/>
    </row>
    <row r="6" spans="1:18">
      <c r="A6" s="126" t="s">
        <v>197</v>
      </c>
      <c r="B6" s="87" t="s">
        <v>4</v>
      </c>
      <c r="C6" s="87" t="s">
        <v>519</v>
      </c>
      <c r="D6" s="252">
        <v>0</v>
      </c>
      <c r="E6" s="144" t="str">
        <f>IF(D6&gt;0, "YES", "NO")</f>
        <v>NO</v>
      </c>
      <c r="F6" s="143">
        <v>1</v>
      </c>
      <c r="G6" s="144" t="str">
        <f>IF(F6&gt;0, "YES", "NO")</f>
        <v>YES</v>
      </c>
      <c r="H6" s="145">
        <f>SUM('2019 Legal Max'!L5-'2019 Legal Max'!I5)</f>
        <v>8.5</v>
      </c>
      <c r="I6" s="144" t="str">
        <f>IF(H6&lt;0, "YES", "NO")</f>
        <v>NO</v>
      </c>
      <c r="J6" s="266" t="str">
        <f>IF(AND(E6="YES", G6="YES", I6="YES"), "YES", "NO")</f>
        <v>NO</v>
      </c>
    </row>
    <row r="7" spans="1:18">
      <c r="A7" s="126" t="s">
        <v>198</v>
      </c>
      <c r="B7" s="87" t="s">
        <v>5</v>
      </c>
      <c r="C7" s="87" t="s">
        <v>811</v>
      </c>
      <c r="D7" s="252">
        <v>0</v>
      </c>
      <c r="E7" s="144" t="str">
        <f t="shared" ref="E7:E70" si="0">IF(D7&gt;0, "YES", "NO")</f>
        <v>NO</v>
      </c>
      <c r="F7" s="143">
        <v>0</v>
      </c>
      <c r="G7" s="144" t="str">
        <f t="shared" ref="G7:G70" si="1">IF(F7&gt;0, "YES", "NO")</f>
        <v>NO</v>
      </c>
      <c r="H7" s="145">
        <f>SUM('2019 Legal Max'!L6-'2019 Legal Max'!I6)</f>
        <v>-2.2999999999999998</v>
      </c>
      <c r="I7" s="144" t="str">
        <f t="shared" ref="I7:I70" si="2">IF(H7&lt;0, "YES", "NO")</f>
        <v>YES</v>
      </c>
      <c r="J7" s="266" t="str">
        <f t="shared" ref="J7:J70" si="3">IF(AND(E7="YES", G7="YES", I7="YES"), "YES", "NO")</f>
        <v>NO</v>
      </c>
    </row>
    <row r="8" spans="1:18">
      <c r="A8" s="126" t="s">
        <v>199</v>
      </c>
      <c r="B8" s="87" t="s">
        <v>6</v>
      </c>
      <c r="C8" s="87" t="s">
        <v>520</v>
      </c>
      <c r="D8" s="252">
        <v>0</v>
      </c>
      <c r="E8" s="144" t="str">
        <f t="shared" si="0"/>
        <v>NO</v>
      </c>
      <c r="F8" s="143">
        <v>0</v>
      </c>
      <c r="G8" s="144" t="str">
        <f t="shared" si="1"/>
        <v>NO</v>
      </c>
      <c r="H8" s="145">
        <f>SUM('2019 Legal Max'!L7-'2019 Legal Max'!I7)</f>
        <v>1.5</v>
      </c>
      <c r="I8" s="144" t="str">
        <f t="shared" si="2"/>
        <v>NO</v>
      </c>
      <c r="J8" s="266" t="str">
        <f t="shared" si="3"/>
        <v>NO</v>
      </c>
    </row>
    <row r="9" spans="1:18">
      <c r="A9" s="126" t="s">
        <v>200</v>
      </c>
      <c r="B9" s="87" t="s">
        <v>51</v>
      </c>
      <c r="C9" s="87" t="s">
        <v>521</v>
      </c>
      <c r="D9" s="252">
        <v>0</v>
      </c>
      <c r="E9" s="144" t="str">
        <f t="shared" si="0"/>
        <v>NO</v>
      </c>
      <c r="F9" s="143">
        <v>1</v>
      </c>
      <c r="G9" s="144" t="str">
        <f t="shared" si="1"/>
        <v>YES</v>
      </c>
      <c r="H9" s="145">
        <f>SUM('2019 Legal Max'!L8-'2019 Legal Max'!I8)</f>
        <v>-5.5</v>
      </c>
      <c r="I9" s="144" t="str">
        <f t="shared" si="2"/>
        <v>YES</v>
      </c>
      <c r="J9" s="266" t="str">
        <f t="shared" si="3"/>
        <v>NO</v>
      </c>
    </row>
    <row r="10" spans="1:18">
      <c r="A10" s="126" t="s">
        <v>201</v>
      </c>
      <c r="B10" s="87" t="s">
        <v>47</v>
      </c>
      <c r="C10" s="87" t="s">
        <v>522</v>
      </c>
      <c r="D10" s="252">
        <v>0</v>
      </c>
      <c r="E10" s="144" t="str">
        <f t="shared" si="0"/>
        <v>NO</v>
      </c>
      <c r="F10" s="143">
        <v>0</v>
      </c>
      <c r="G10" s="144" t="str">
        <f t="shared" si="1"/>
        <v>NO</v>
      </c>
      <c r="H10" s="145">
        <f>SUM('2019 Legal Max'!L9-'2019 Legal Max'!I9)</f>
        <v>-11.3</v>
      </c>
      <c r="I10" s="144" t="str">
        <f t="shared" si="2"/>
        <v>YES</v>
      </c>
      <c r="J10" s="266" t="str">
        <f t="shared" si="3"/>
        <v>NO</v>
      </c>
    </row>
    <row r="11" spans="1:18">
      <c r="A11" s="126" t="s">
        <v>202</v>
      </c>
      <c r="B11" s="87" t="s">
        <v>7</v>
      </c>
      <c r="C11" s="87" t="s">
        <v>523</v>
      </c>
      <c r="D11" s="252">
        <v>0</v>
      </c>
      <c r="E11" s="144" t="str">
        <f t="shared" si="0"/>
        <v>NO</v>
      </c>
      <c r="F11" s="143">
        <v>0</v>
      </c>
      <c r="G11" s="144" t="str">
        <f t="shared" si="1"/>
        <v>NO</v>
      </c>
      <c r="H11" s="145">
        <f>SUM('2019 Legal Max'!L10-'2019 Legal Max'!I10)</f>
        <v>7.5</v>
      </c>
      <c r="I11" s="144" t="str">
        <f t="shared" si="2"/>
        <v>NO</v>
      </c>
      <c r="J11" s="266" t="str">
        <f t="shared" si="3"/>
        <v>NO</v>
      </c>
    </row>
    <row r="12" spans="1:18">
      <c r="A12" s="126" t="s">
        <v>203</v>
      </c>
      <c r="B12" s="87" t="s">
        <v>19</v>
      </c>
      <c r="C12" s="87" t="s">
        <v>524</v>
      </c>
      <c r="D12" s="252">
        <v>0</v>
      </c>
      <c r="E12" s="144" t="str">
        <f t="shared" si="0"/>
        <v>NO</v>
      </c>
      <c r="F12" s="143">
        <v>0</v>
      </c>
      <c r="G12" s="144" t="str">
        <f t="shared" si="1"/>
        <v>NO</v>
      </c>
      <c r="H12" s="145">
        <f>SUM('2019 Legal Max'!L11-'2019 Legal Max'!I11)</f>
        <v>-5.3</v>
      </c>
      <c r="I12" s="144" t="str">
        <f t="shared" si="2"/>
        <v>YES</v>
      </c>
      <c r="J12" s="266" t="str">
        <f t="shared" si="3"/>
        <v>NO</v>
      </c>
    </row>
    <row r="13" spans="1:18">
      <c r="A13" s="126" t="s">
        <v>204</v>
      </c>
      <c r="B13" s="87" t="s">
        <v>98</v>
      </c>
      <c r="C13" s="87" t="s">
        <v>525</v>
      </c>
      <c r="D13" s="252">
        <v>0</v>
      </c>
      <c r="E13" s="144" t="str">
        <f t="shared" si="0"/>
        <v>NO</v>
      </c>
      <c r="F13" s="143">
        <v>0</v>
      </c>
      <c r="G13" s="144" t="str">
        <f t="shared" si="1"/>
        <v>NO</v>
      </c>
      <c r="H13" s="145">
        <f>SUM('2019 Legal Max'!L12-'2019 Legal Max'!I12)</f>
        <v>3.4</v>
      </c>
      <c r="I13" s="144" t="str">
        <f t="shared" si="2"/>
        <v>NO</v>
      </c>
      <c r="J13" s="266" t="str">
        <f t="shared" si="3"/>
        <v>NO</v>
      </c>
    </row>
    <row r="14" spans="1:18">
      <c r="A14" s="126" t="s">
        <v>205</v>
      </c>
      <c r="B14" s="87" t="s">
        <v>53</v>
      </c>
      <c r="C14" s="87" t="s">
        <v>526</v>
      </c>
      <c r="D14" s="252">
        <v>37245</v>
      </c>
      <c r="E14" s="144" t="str">
        <f t="shared" si="0"/>
        <v>YES</v>
      </c>
      <c r="F14" s="143">
        <v>0</v>
      </c>
      <c r="G14" s="144" t="str">
        <f t="shared" si="1"/>
        <v>NO</v>
      </c>
      <c r="H14" s="145">
        <f>SUM('2019 Legal Max'!L13-'2019 Legal Max'!I13)</f>
        <v>-12</v>
      </c>
      <c r="I14" s="144" t="str">
        <f t="shared" si="2"/>
        <v>YES</v>
      </c>
      <c r="J14" s="266" t="str">
        <f t="shared" si="3"/>
        <v>NO</v>
      </c>
    </row>
    <row r="15" spans="1:18">
      <c r="A15" s="126" t="s">
        <v>206</v>
      </c>
      <c r="B15" s="87" t="s">
        <v>92</v>
      </c>
      <c r="C15" s="87" t="s">
        <v>527</v>
      </c>
      <c r="D15" s="252">
        <v>0</v>
      </c>
      <c r="E15" s="144" t="str">
        <f t="shared" si="0"/>
        <v>NO</v>
      </c>
      <c r="F15" s="143">
        <v>0</v>
      </c>
      <c r="G15" s="144" t="str">
        <f t="shared" si="1"/>
        <v>NO</v>
      </c>
      <c r="H15" s="145">
        <f>SUM('2019 Legal Max'!L14-'2019 Legal Max'!I14)</f>
        <v>-13.5</v>
      </c>
      <c r="I15" s="144" t="str">
        <f t="shared" si="2"/>
        <v>YES</v>
      </c>
      <c r="J15" s="266" t="str">
        <f t="shared" si="3"/>
        <v>NO</v>
      </c>
    </row>
    <row r="16" spans="1:18">
      <c r="A16" s="126" t="s">
        <v>207</v>
      </c>
      <c r="B16" s="87" t="s">
        <v>54</v>
      </c>
      <c r="C16" s="87" t="s">
        <v>528</v>
      </c>
      <c r="D16" s="252">
        <v>0</v>
      </c>
      <c r="E16" s="144" t="str">
        <f t="shared" si="0"/>
        <v>NO</v>
      </c>
      <c r="F16" s="143">
        <v>0</v>
      </c>
      <c r="G16" s="144" t="str">
        <f t="shared" si="1"/>
        <v>NO</v>
      </c>
      <c r="H16" s="145">
        <f>SUM('2019 Legal Max'!L15-'2019 Legal Max'!I15)</f>
        <v>-24.8</v>
      </c>
      <c r="I16" s="144" t="str">
        <f t="shared" si="2"/>
        <v>YES</v>
      </c>
      <c r="J16" s="266" t="str">
        <f t="shared" si="3"/>
        <v>NO</v>
      </c>
    </row>
    <row r="17" spans="1:10">
      <c r="A17" s="126" t="s">
        <v>208</v>
      </c>
      <c r="B17" s="87" t="s">
        <v>100</v>
      </c>
      <c r="C17" s="87" t="s">
        <v>529</v>
      </c>
      <c r="D17" s="252">
        <v>0</v>
      </c>
      <c r="E17" s="144" t="str">
        <f t="shared" si="0"/>
        <v>NO</v>
      </c>
      <c r="F17" s="143">
        <v>1</v>
      </c>
      <c r="G17" s="144" t="str">
        <f t="shared" si="1"/>
        <v>YES</v>
      </c>
      <c r="H17" s="145">
        <f>SUM('2019 Legal Max'!L16-'2019 Legal Max'!I16)</f>
        <v>-36.700000000000003</v>
      </c>
      <c r="I17" s="144" t="str">
        <f t="shared" si="2"/>
        <v>YES</v>
      </c>
      <c r="J17" s="266" t="str">
        <f t="shared" si="3"/>
        <v>NO</v>
      </c>
    </row>
    <row r="18" spans="1:10">
      <c r="A18" s="126" t="s">
        <v>209</v>
      </c>
      <c r="B18" s="87" t="s">
        <v>92</v>
      </c>
      <c r="C18" s="87" t="s">
        <v>530</v>
      </c>
      <c r="D18" s="252">
        <v>0</v>
      </c>
      <c r="E18" s="144" t="str">
        <f t="shared" si="0"/>
        <v>NO</v>
      </c>
      <c r="F18" s="143">
        <v>0</v>
      </c>
      <c r="G18" s="144" t="str">
        <f t="shared" si="1"/>
        <v>NO</v>
      </c>
      <c r="H18" s="145">
        <f>SUM('2019 Legal Max'!L17-'2019 Legal Max'!I17)</f>
        <v>3.8</v>
      </c>
      <c r="I18" s="144" t="str">
        <f t="shared" si="2"/>
        <v>NO</v>
      </c>
      <c r="J18" s="266" t="str">
        <f t="shared" si="3"/>
        <v>NO</v>
      </c>
    </row>
    <row r="19" spans="1:10">
      <c r="A19" s="126" t="s">
        <v>210</v>
      </c>
      <c r="B19" s="87" t="s">
        <v>100</v>
      </c>
      <c r="C19" s="87" t="s">
        <v>531</v>
      </c>
      <c r="D19" s="252">
        <v>0</v>
      </c>
      <c r="E19" s="144" t="str">
        <f t="shared" si="0"/>
        <v>NO</v>
      </c>
      <c r="F19" s="143">
        <v>0</v>
      </c>
      <c r="G19" s="144" t="str">
        <f t="shared" si="1"/>
        <v>NO</v>
      </c>
      <c r="H19" s="145">
        <f>SUM('2019 Legal Max'!L18-'2019 Legal Max'!I18)</f>
        <v>-5.0999999999999996</v>
      </c>
      <c r="I19" s="144" t="str">
        <f t="shared" si="2"/>
        <v>YES</v>
      </c>
      <c r="J19" s="266" t="str">
        <f t="shared" si="3"/>
        <v>NO</v>
      </c>
    </row>
    <row r="20" spans="1:10">
      <c r="A20" s="126" t="s">
        <v>211</v>
      </c>
      <c r="B20" s="87" t="s">
        <v>8</v>
      </c>
      <c r="C20" s="87" t="s">
        <v>532</v>
      </c>
      <c r="D20" s="252">
        <v>0</v>
      </c>
      <c r="E20" s="144" t="str">
        <f t="shared" si="0"/>
        <v>NO</v>
      </c>
      <c r="F20" s="143">
        <v>0</v>
      </c>
      <c r="G20" s="144" t="str">
        <f t="shared" si="1"/>
        <v>NO</v>
      </c>
      <c r="H20" s="145">
        <f>SUM('2019 Legal Max'!L19-'2019 Legal Max'!I19)</f>
        <v>9.8000000000000007</v>
      </c>
      <c r="I20" s="144" t="str">
        <f t="shared" si="2"/>
        <v>NO</v>
      </c>
      <c r="J20" s="266" t="str">
        <f t="shared" si="3"/>
        <v>NO</v>
      </c>
    </row>
    <row r="21" spans="1:10">
      <c r="A21" s="126" t="s">
        <v>212</v>
      </c>
      <c r="B21" s="87" t="s">
        <v>9</v>
      </c>
      <c r="C21" s="87" t="s">
        <v>533</v>
      </c>
      <c r="D21" s="252">
        <v>0</v>
      </c>
      <c r="E21" s="144" t="str">
        <f t="shared" si="0"/>
        <v>NO</v>
      </c>
      <c r="F21" s="143">
        <v>0</v>
      </c>
      <c r="G21" s="144" t="str">
        <f t="shared" si="1"/>
        <v>NO</v>
      </c>
      <c r="H21" s="145">
        <f>SUM('2019 Legal Max'!L20-'2019 Legal Max'!I20)</f>
        <v>49.1</v>
      </c>
      <c r="I21" s="144" t="str">
        <f t="shared" si="2"/>
        <v>NO</v>
      </c>
      <c r="J21" s="266" t="str">
        <f t="shared" si="3"/>
        <v>NO</v>
      </c>
    </row>
    <row r="22" spans="1:10">
      <c r="A22" s="126" t="s">
        <v>213</v>
      </c>
      <c r="B22" s="87" t="s">
        <v>9</v>
      </c>
      <c r="C22" s="87" t="s">
        <v>534</v>
      </c>
      <c r="D22" s="252">
        <v>0</v>
      </c>
      <c r="E22" s="144" t="str">
        <f t="shared" si="0"/>
        <v>NO</v>
      </c>
      <c r="F22" s="143">
        <v>1</v>
      </c>
      <c r="G22" s="144" t="str">
        <f t="shared" si="1"/>
        <v>YES</v>
      </c>
      <c r="H22" s="145">
        <f>SUM('2019 Legal Max'!L21-'2019 Legal Max'!I21)</f>
        <v>101.1</v>
      </c>
      <c r="I22" s="144" t="str">
        <f t="shared" si="2"/>
        <v>NO</v>
      </c>
      <c r="J22" s="266" t="str">
        <f t="shared" si="3"/>
        <v>NO</v>
      </c>
    </row>
    <row r="23" spans="1:10">
      <c r="A23" s="126" t="s">
        <v>214</v>
      </c>
      <c r="B23" s="87" t="s">
        <v>9</v>
      </c>
      <c r="C23" s="87" t="s">
        <v>535</v>
      </c>
      <c r="D23" s="252">
        <v>0</v>
      </c>
      <c r="E23" s="144" t="str">
        <f t="shared" si="0"/>
        <v>NO</v>
      </c>
      <c r="F23" s="143">
        <v>1</v>
      </c>
      <c r="G23" s="144" t="str">
        <f t="shared" si="1"/>
        <v>YES</v>
      </c>
      <c r="H23" s="145">
        <f>SUM('2019 Legal Max'!L22-'2019 Legal Max'!I22)</f>
        <v>-22.8</v>
      </c>
      <c r="I23" s="144" t="str">
        <f t="shared" si="2"/>
        <v>YES</v>
      </c>
      <c r="J23" s="266" t="str">
        <f t="shared" si="3"/>
        <v>NO</v>
      </c>
    </row>
    <row r="24" spans="1:10">
      <c r="A24" s="126" t="s">
        <v>215</v>
      </c>
      <c r="B24" s="87" t="s">
        <v>10</v>
      </c>
      <c r="C24" s="87" t="s">
        <v>536</v>
      </c>
      <c r="D24" s="252">
        <v>0</v>
      </c>
      <c r="E24" s="144" t="str">
        <f t="shared" si="0"/>
        <v>NO</v>
      </c>
      <c r="F24" s="143">
        <v>1</v>
      </c>
      <c r="G24" s="144" t="str">
        <f t="shared" si="1"/>
        <v>YES</v>
      </c>
      <c r="H24" s="145">
        <f>SUM('2019 Legal Max'!L23-'2019 Legal Max'!I23)</f>
        <v>-9.5</v>
      </c>
      <c r="I24" s="144" t="str">
        <f t="shared" si="2"/>
        <v>YES</v>
      </c>
      <c r="J24" s="266" t="str">
        <f t="shared" si="3"/>
        <v>NO</v>
      </c>
    </row>
    <row r="25" spans="1:10">
      <c r="A25" s="126" t="s">
        <v>216</v>
      </c>
      <c r="B25" s="87" t="s">
        <v>10</v>
      </c>
      <c r="C25" s="87" t="s">
        <v>537</v>
      </c>
      <c r="D25" s="252">
        <v>0</v>
      </c>
      <c r="E25" s="144" t="str">
        <f t="shared" si="0"/>
        <v>NO</v>
      </c>
      <c r="F25" s="143">
        <v>1</v>
      </c>
      <c r="G25" s="144" t="str">
        <f t="shared" si="1"/>
        <v>YES</v>
      </c>
      <c r="H25" s="145">
        <f>SUM('2019 Legal Max'!L24-'2019 Legal Max'!I24)</f>
        <v>2.8</v>
      </c>
      <c r="I25" s="144" t="str">
        <f t="shared" si="2"/>
        <v>NO</v>
      </c>
      <c r="J25" s="266" t="str">
        <f t="shared" si="3"/>
        <v>NO</v>
      </c>
    </row>
    <row r="26" spans="1:10">
      <c r="A26" s="126" t="s">
        <v>217</v>
      </c>
      <c r="B26" s="87" t="s">
        <v>11</v>
      </c>
      <c r="C26" s="87" t="s">
        <v>538</v>
      </c>
      <c r="D26" s="253">
        <v>5258905</v>
      </c>
      <c r="E26" s="144" t="str">
        <f t="shared" si="0"/>
        <v>YES</v>
      </c>
      <c r="F26" s="143">
        <v>1</v>
      </c>
      <c r="G26" s="144" t="str">
        <f t="shared" si="1"/>
        <v>YES</v>
      </c>
      <c r="H26" s="145">
        <f>SUM('2019 Legal Max'!L25-'2019 Legal Max'!I25)</f>
        <v>80.599999999999994</v>
      </c>
      <c r="I26" s="144" t="str">
        <f t="shared" si="2"/>
        <v>NO</v>
      </c>
      <c r="J26" s="266" t="str">
        <f t="shared" si="3"/>
        <v>NO</v>
      </c>
    </row>
    <row r="27" spans="1:10">
      <c r="A27" s="126" t="s">
        <v>218</v>
      </c>
      <c r="B27" s="87" t="s">
        <v>12</v>
      </c>
      <c r="C27" s="87" t="s">
        <v>539</v>
      </c>
      <c r="D27" s="252">
        <v>0</v>
      </c>
      <c r="E27" s="144" t="str">
        <f t="shared" si="0"/>
        <v>NO</v>
      </c>
      <c r="F27" s="143">
        <v>0</v>
      </c>
      <c r="G27" s="144" t="str">
        <f t="shared" si="1"/>
        <v>NO</v>
      </c>
      <c r="H27" s="145">
        <f>SUM('2019 Legal Max'!L26-'2019 Legal Max'!I26)</f>
        <v>3.8</v>
      </c>
      <c r="I27" s="144" t="str">
        <f t="shared" si="2"/>
        <v>NO</v>
      </c>
      <c r="J27" s="266" t="str">
        <f t="shared" si="3"/>
        <v>NO</v>
      </c>
    </row>
    <row r="28" spans="1:10">
      <c r="A28" s="126" t="s">
        <v>219</v>
      </c>
      <c r="B28" s="87" t="s">
        <v>13</v>
      </c>
      <c r="C28" s="87" t="s">
        <v>540</v>
      </c>
      <c r="D28" s="252">
        <v>0</v>
      </c>
      <c r="E28" s="144" t="str">
        <f t="shared" si="0"/>
        <v>NO</v>
      </c>
      <c r="F28" s="143">
        <v>0</v>
      </c>
      <c r="G28" s="144" t="str">
        <f t="shared" si="1"/>
        <v>NO</v>
      </c>
      <c r="H28" s="145">
        <f>SUM('2019 Legal Max'!L27-'2019 Legal Max'!I27)</f>
        <v>5</v>
      </c>
      <c r="I28" s="144" t="str">
        <f t="shared" si="2"/>
        <v>NO</v>
      </c>
      <c r="J28" s="266" t="str">
        <f t="shared" si="3"/>
        <v>NO</v>
      </c>
    </row>
    <row r="29" spans="1:10">
      <c r="A29" s="126" t="s">
        <v>220</v>
      </c>
      <c r="B29" s="87" t="s">
        <v>13</v>
      </c>
      <c r="C29" s="87" t="s">
        <v>541</v>
      </c>
      <c r="D29" s="252">
        <v>0</v>
      </c>
      <c r="E29" s="144" t="str">
        <f t="shared" si="0"/>
        <v>NO</v>
      </c>
      <c r="F29" s="143">
        <v>0</v>
      </c>
      <c r="G29" s="144" t="str">
        <f t="shared" si="1"/>
        <v>NO</v>
      </c>
      <c r="H29" s="145">
        <f>SUM('2019 Legal Max'!L28-'2019 Legal Max'!I28)</f>
        <v>-36.5</v>
      </c>
      <c r="I29" s="144" t="str">
        <f t="shared" si="2"/>
        <v>YES</v>
      </c>
      <c r="J29" s="266" t="str">
        <f t="shared" si="3"/>
        <v>NO</v>
      </c>
    </row>
    <row r="30" spans="1:10">
      <c r="A30" s="126" t="s">
        <v>221</v>
      </c>
      <c r="B30" s="87" t="s">
        <v>14</v>
      </c>
      <c r="C30" s="87" t="s">
        <v>542</v>
      </c>
      <c r="D30" s="252">
        <v>4373</v>
      </c>
      <c r="E30" s="144" t="str">
        <f t="shared" si="0"/>
        <v>YES</v>
      </c>
      <c r="F30" s="143">
        <v>0</v>
      </c>
      <c r="G30" s="144" t="str">
        <f t="shared" si="1"/>
        <v>NO</v>
      </c>
      <c r="H30" s="145">
        <f>SUM('2019 Legal Max'!L29-'2019 Legal Max'!I29)</f>
        <v>16.100000000000001</v>
      </c>
      <c r="I30" s="144" t="str">
        <f t="shared" si="2"/>
        <v>NO</v>
      </c>
      <c r="J30" s="266" t="str">
        <f t="shared" si="3"/>
        <v>NO</v>
      </c>
    </row>
    <row r="31" spans="1:10">
      <c r="A31" s="126" t="s">
        <v>222</v>
      </c>
      <c r="B31" s="87" t="s">
        <v>14</v>
      </c>
      <c r="C31" s="87" t="s">
        <v>543</v>
      </c>
      <c r="D31" s="252">
        <v>0</v>
      </c>
      <c r="E31" s="144" t="str">
        <f t="shared" si="0"/>
        <v>NO</v>
      </c>
      <c r="F31" s="143">
        <v>0</v>
      </c>
      <c r="G31" s="144" t="str">
        <f t="shared" si="1"/>
        <v>NO</v>
      </c>
      <c r="H31" s="145">
        <f>SUM('2019 Legal Max'!L30-'2019 Legal Max'!I30)</f>
        <v>5.5</v>
      </c>
      <c r="I31" s="144" t="str">
        <f t="shared" si="2"/>
        <v>NO</v>
      </c>
      <c r="J31" s="266" t="str">
        <f t="shared" si="3"/>
        <v>NO</v>
      </c>
    </row>
    <row r="32" spans="1:10">
      <c r="A32" s="126" t="s">
        <v>223</v>
      </c>
      <c r="B32" s="87" t="s">
        <v>15</v>
      </c>
      <c r="C32" s="87" t="s">
        <v>544</v>
      </c>
      <c r="D32" s="252">
        <v>0</v>
      </c>
      <c r="E32" s="144" t="str">
        <f t="shared" si="0"/>
        <v>NO</v>
      </c>
      <c r="F32" s="143">
        <v>0</v>
      </c>
      <c r="G32" s="144" t="str">
        <f t="shared" si="1"/>
        <v>NO</v>
      </c>
      <c r="H32" s="145">
        <f>SUM('2019 Legal Max'!L31-'2019 Legal Max'!I31)</f>
        <v>-33.299999999999997</v>
      </c>
      <c r="I32" s="144" t="str">
        <f t="shared" si="2"/>
        <v>YES</v>
      </c>
      <c r="J32" s="266" t="str">
        <f t="shared" si="3"/>
        <v>NO</v>
      </c>
    </row>
    <row r="33" spans="1:10">
      <c r="A33" s="126" t="s">
        <v>224</v>
      </c>
      <c r="B33" s="87" t="s">
        <v>16</v>
      </c>
      <c r="C33" s="87" t="s">
        <v>545</v>
      </c>
      <c r="D33" s="252">
        <v>0</v>
      </c>
      <c r="E33" s="144" t="str">
        <f t="shared" si="0"/>
        <v>NO</v>
      </c>
      <c r="F33" s="143">
        <v>0</v>
      </c>
      <c r="G33" s="144" t="str">
        <f t="shared" si="1"/>
        <v>NO</v>
      </c>
      <c r="H33" s="145">
        <f>SUM('2019 Legal Max'!L32-'2019 Legal Max'!I32)</f>
        <v>22</v>
      </c>
      <c r="I33" s="144" t="str">
        <f t="shared" si="2"/>
        <v>NO</v>
      </c>
      <c r="J33" s="266" t="str">
        <f t="shared" si="3"/>
        <v>NO</v>
      </c>
    </row>
    <row r="34" spans="1:10">
      <c r="A34" s="126" t="s">
        <v>225</v>
      </c>
      <c r="B34" s="87" t="s">
        <v>16</v>
      </c>
      <c r="C34" s="87" t="s">
        <v>546</v>
      </c>
      <c r="D34" s="252">
        <v>0</v>
      </c>
      <c r="E34" s="144" t="str">
        <f t="shared" si="0"/>
        <v>NO</v>
      </c>
      <c r="F34" s="143">
        <v>0</v>
      </c>
      <c r="G34" s="144" t="str">
        <f t="shared" si="1"/>
        <v>NO</v>
      </c>
      <c r="H34" s="145">
        <f>SUM('2019 Legal Max'!L33-'2019 Legal Max'!I33)</f>
        <v>-16.5</v>
      </c>
      <c r="I34" s="144" t="str">
        <f t="shared" si="2"/>
        <v>YES</v>
      </c>
      <c r="J34" s="266" t="str">
        <f t="shared" si="3"/>
        <v>NO</v>
      </c>
    </row>
    <row r="35" spans="1:10">
      <c r="A35" s="126" t="s">
        <v>226</v>
      </c>
      <c r="B35" s="87" t="s">
        <v>17</v>
      </c>
      <c r="C35" s="87" t="s">
        <v>547</v>
      </c>
      <c r="D35" s="252">
        <v>0</v>
      </c>
      <c r="E35" s="144" t="str">
        <f t="shared" si="0"/>
        <v>NO</v>
      </c>
      <c r="F35" s="143">
        <v>0</v>
      </c>
      <c r="G35" s="144" t="str">
        <f t="shared" si="1"/>
        <v>NO</v>
      </c>
      <c r="H35" s="145">
        <f>SUM('2019 Legal Max'!L34-'2019 Legal Max'!I34)</f>
        <v>-17.5</v>
      </c>
      <c r="I35" s="144" t="str">
        <f t="shared" si="2"/>
        <v>YES</v>
      </c>
      <c r="J35" s="266" t="str">
        <f t="shared" si="3"/>
        <v>NO</v>
      </c>
    </row>
    <row r="36" spans="1:10">
      <c r="A36" s="126" t="s">
        <v>227</v>
      </c>
      <c r="B36" s="87" t="s">
        <v>17</v>
      </c>
      <c r="C36" s="87" t="s">
        <v>548</v>
      </c>
      <c r="D36" s="252">
        <v>0</v>
      </c>
      <c r="E36" s="144" t="str">
        <f t="shared" si="0"/>
        <v>NO</v>
      </c>
      <c r="F36" s="143">
        <v>0</v>
      </c>
      <c r="G36" s="144" t="str">
        <f t="shared" si="1"/>
        <v>NO</v>
      </c>
      <c r="H36" s="145">
        <f>SUM('2019 Legal Max'!L35-'2019 Legal Max'!I35)</f>
        <v>-33.700000000000003</v>
      </c>
      <c r="I36" s="144" t="str">
        <f t="shared" si="2"/>
        <v>YES</v>
      </c>
      <c r="J36" s="266" t="str">
        <f t="shared" si="3"/>
        <v>NO</v>
      </c>
    </row>
    <row r="37" spans="1:10">
      <c r="A37" s="126" t="s">
        <v>228</v>
      </c>
      <c r="B37" s="87" t="s">
        <v>18</v>
      </c>
      <c r="C37" s="87" t="s">
        <v>549</v>
      </c>
      <c r="D37" s="252">
        <v>0</v>
      </c>
      <c r="E37" s="144" t="str">
        <f t="shared" si="0"/>
        <v>NO</v>
      </c>
      <c r="F37" s="143">
        <v>0</v>
      </c>
      <c r="G37" s="144" t="str">
        <f t="shared" si="1"/>
        <v>NO</v>
      </c>
      <c r="H37" s="145">
        <f>SUM('2019 Legal Max'!L36-'2019 Legal Max'!I36)</f>
        <v>-7</v>
      </c>
      <c r="I37" s="144" t="str">
        <f t="shared" si="2"/>
        <v>YES</v>
      </c>
      <c r="J37" s="266" t="str">
        <f t="shared" si="3"/>
        <v>NO</v>
      </c>
    </row>
    <row r="38" spans="1:10">
      <c r="A38" s="126" t="s">
        <v>229</v>
      </c>
      <c r="B38" s="87" t="s">
        <v>18</v>
      </c>
      <c r="C38" s="87" t="s">
        <v>550</v>
      </c>
      <c r="D38" s="252">
        <v>0</v>
      </c>
      <c r="E38" s="144" t="str">
        <f t="shared" si="0"/>
        <v>NO</v>
      </c>
      <c r="F38" s="143">
        <v>0</v>
      </c>
      <c r="G38" s="144" t="str">
        <f t="shared" si="1"/>
        <v>NO</v>
      </c>
      <c r="H38" s="145">
        <f>SUM('2019 Legal Max'!L37-'2019 Legal Max'!I37)</f>
        <v>16.399999999999999</v>
      </c>
      <c r="I38" s="144" t="str">
        <f t="shared" si="2"/>
        <v>NO</v>
      </c>
      <c r="J38" s="266" t="str">
        <f t="shared" si="3"/>
        <v>NO</v>
      </c>
    </row>
    <row r="39" spans="1:10">
      <c r="A39" s="126" t="s">
        <v>230</v>
      </c>
      <c r="B39" s="87" t="s">
        <v>19</v>
      </c>
      <c r="C39" s="87" t="s">
        <v>551</v>
      </c>
      <c r="D39" s="252">
        <v>0</v>
      </c>
      <c r="E39" s="144" t="str">
        <f t="shared" si="0"/>
        <v>NO</v>
      </c>
      <c r="F39" s="143">
        <v>0</v>
      </c>
      <c r="G39" s="144" t="str">
        <f t="shared" si="1"/>
        <v>NO</v>
      </c>
      <c r="H39" s="145">
        <f>SUM('2019 Legal Max'!L38-'2019 Legal Max'!I38)</f>
        <v>1.4</v>
      </c>
      <c r="I39" s="144" t="str">
        <f t="shared" si="2"/>
        <v>NO</v>
      </c>
      <c r="J39" s="266" t="str">
        <f t="shared" si="3"/>
        <v>NO</v>
      </c>
    </row>
    <row r="40" spans="1:10">
      <c r="A40" s="126" t="s">
        <v>231</v>
      </c>
      <c r="B40" s="87" t="s">
        <v>19</v>
      </c>
      <c r="C40" s="87" t="s">
        <v>552</v>
      </c>
      <c r="D40" s="252">
        <v>0</v>
      </c>
      <c r="E40" s="144" t="str">
        <f t="shared" si="0"/>
        <v>NO</v>
      </c>
      <c r="F40" s="143">
        <v>0</v>
      </c>
      <c r="G40" s="144" t="str">
        <f t="shared" si="1"/>
        <v>NO</v>
      </c>
      <c r="H40" s="145">
        <f>SUM('2019 Legal Max'!L39-'2019 Legal Max'!I39)</f>
        <v>-13.5</v>
      </c>
      <c r="I40" s="144" t="str">
        <f t="shared" si="2"/>
        <v>YES</v>
      </c>
      <c r="J40" s="266" t="str">
        <f t="shared" si="3"/>
        <v>NO</v>
      </c>
    </row>
    <row r="41" spans="1:10">
      <c r="A41" s="126" t="s">
        <v>232</v>
      </c>
      <c r="B41" s="87" t="s">
        <v>20</v>
      </c>
      <c r="C41" s="87" t="s">
        <v>553</v>
      </c>
      <c r="D41" s="252">
        <v>0</v>
      </c>
      <c r="E41" s="144" t="str">
        <f t="shared" si="0"/>
        <v>NO</v>
      </c>
      <c r="F41" s="143">
        <v>0</v>
      </c>
      <c r="G41" s="144" t="str">
        <f t="shared" si="1"/>
        <v>NO</v>
      </c>
      <c r="H41" s="145">
        <f>SUM('2019 Legal Max'!L40-'2019 Legal Max'!I40)</f>
        <v>-9.5</v>
      </c>
      <c r="I41" s="144" t="str">
        <f t="shared" si="2"/>
        <v>YES</v>
      </c>
      <c r="J41" s="266" t="str">
        <f t="shared" si="3"/>
        <v>NO</v>
      </c>
    </row>
    <row r="42" spans="1:10">
      <c r="A42" s="126" t="s">
        <v>233</v>
      </c>
      <c r="B42" s="87" t="s">
        <v>20</v>
      </c>
      <c r="C42" s="87" t="s">
        <v>554</v>
      </c>
      <c r="D42" s="252">
        <v>0</v>
      </c>
      <c r="E42" s="144" t="str">
        <f t="shared" si="0"/>
        <v>NO</v>
      </c>
      <c r="F42" s="143">
        <v>0</v>
      </c>
      <c r="G42" s="144" t="str">
        <f t="shared" si="1"/>
        <v>NO</v>
      </c>
      <c r="H42" s="145">
        <f>SUM('2019 Legal Max'!L41-'2019 Legal Max'!I41)</f>
        <v>23.2</v>
      </c>
      <c r="I42" s="144" t="str">
        <f t="shared" si="2"/>
        <v>NO</v>
      </c>
      <c r="J42" s="266" t="str">
        <f t="shared" si="3"/>
        <v>NO</v>
      </c>
    </row>
    <row r="43" spans="1:10">
      <c r="A43" s="126" t="s">
        <v>234</v>
      </c>
      <c r="B43" s="87" t="s">
        <v>21</v>
      </c>
      <c r="C43" s="87" t="s">
        <v>555</v>
      </c>
      <c r="D43" s="252">
        <v>0</v>
      </c>
      <c r="E43" s="144" t="str">
        <f t="shared" si="0"/>
        <v>NO</v>
      </c>
      <c r="F43" s="143">
        <v>0</v>
      </c>
      <c r="G43" s="144" t="str">
        <f t="shared" si="1"/>
        <v>NO</v>
      </c>
      <c r="H43" s="145">
        <f>SUM('2019 Legal Max'!L42-'2019 Legal Max'!I42)</f>
        <v>9.5</v>
      </c>
      <c r="I43" s="144" t="str">
        <f t="shared" si="2"/>
        <v>NO</v>
      </c>
      <c r="J43" s="266" t="str">
        <f t="shared" si="3"/>
        <v>NO</v>
      </c>
    </row>
    <row r="44" spans="1:10">
      <c r="A44" s="126" t="s">
        <v>235</v>
      </c>
      <c r="B44" s="87" t="s">
        <v>22</v>
      </c>
      <c r="C44" s="87" t="s">
        <v>556</v>
      </c>
      <c r="D44" s="252">
        <v>0</v>
      </c>
      <c r="E44" s="144" t="str">
        <f t="shared" si="0"/>
        <v>NO</v>
      </c>
      <c r="F44" s="143">
        <v>0</v>
      </c>
      <c r="G44" s="144" t="str">
        <f t="shared" si="1"/>
        <v>NO</v>
      </c>
      <c r="H44" s="145">
        <f>SUM('2019 Legal Max'!L43-'2019 Legal Max'!I43)</f>
        <v>74.599999999999994</v>
      </c>
      <c r="I44" s="144" t="str">
        <f t="shared" si="2"/>
        <v>NO</v>
      </c>
      <c r="J44" s="266" t="str">
        <f t="shared" si="3"/>
        <v>NO</v>
      </c>
    </row>
    <row r="45" spans="1:10">
      <c r="A45" s="126" t="s">
        <v>236</v>
      </c>
      <c r="B45" s="87" t="s">
        <v>22</v>
      </c>
      <c r="C45" s="87" t="s">
        <v>557</v>
      </c>
      <c r="D45" s="252">
        <v>0</v>
      </c>
      <c r="E45" s="144" t="str">
        <f t="shared" si="0"/>
        <v>NO</v>
      </c>
      <c r="F45" s="143">
        <v>1</v>
      </c>
      <c r="G45" s="144" t="str">
        <f t="shared" si="1"/>
        <v>YES</v>
      </c>
      <c r="H45" s="145">
        <f>SUM('2019 Legal Max'!L44-'2019 Legal Max'!I44)</f>
        <v>147.30000000000001</v>
      </c>
      <c r="I45" s="144" t="str">
        <f t="shared" si="2"/>
        <v>NO</v>
      </c>
      <c r="J45" s="266" t="str">
        <f t="shared" si="3"/>
        <v>NO</v>
      </c>
    </row>
    <row r="46" spans="1:10">
      <c r="A46" s="126" t="s">
        <v>237</v>
      </c>
      <c r="B46" s="87" t="s">
        <v>22</v>
      </c>
      <c r="C46" s="87" t="s">
        <v>558</v>
      </c>
      <c r="D46" s="252">
        <v>0</v>
      </c>
      <c r="E46" s="144" t="str">
        <f t="shared" si="0"/>
        <v>NO</v>
      </c>
      <c r="F46" s="143">
        <v>1</v>
      </c>
      <c r="G46" s="144" t="str">
        <f t="shared" si="1"/>
        <v>YES</v>
      </c>
      <c r="H46" s="145">
        <f>SUM('2019 Legal Max'!L45-'2019 Legal Max'!I45)</f>
        <v>79.400000000000006</v>
      </c>
      <c r="I46" s="144" t="str">
        <f t="shared" si="2"/>
        <v>NO</v>
      </c>
      <c r="J46" s="266" t="str">
        <f t="shared" si="3"/>
        <v>NO</v>
      </c>
    </row>
    <row r="47" spans="1:10">
      <c r="A47" s="126" t="s">
        <v>238</v>
      </c>
      <c r="B47" s="87" t="s">
        <v>22</v>
      </c>
      <c r="C47" s="87" t="s">
        <v>559</v>
      </c>
      <c r="D47" s="252">
        <v>0</v>
      </c>
      <c r="E47" s="144" t="str">
        <f t="shared" si="0"/>
        <v>NO</v>
      </c>
      <c r="F47" s="143">
        <v>1</v>
      </c>
      <c r="G47" s="144" t="str">
        <f t="shared" si="1"/>
        <v>YES</v>
      </c>
      <c r="H47" s="145">
        <f>SUM('2019 Legal Max'!L46-'2019 Legal Max'!I46)</f>
        <v>129.9</v>
      </c>
      <c r="I47" s="144" t="str">
        <f t="shared" si="2"/>
        <v>NO</v>
      </c>
      <c r="J47" s="266" t="str">
        <f t="shared" si="3"/>
        <v>NO</v>
      </c>
    </row>
    <row r="48" spans="1:10">
      <c r="A48" s="126" t="s">
        <v>239</v>
      </c>
      <c r="B48" s="87" t="s">
        <v>22</v>
      </c>
      <c r="C48" s="87" t="s">
        <v>560</v>
      </c>
      <c r="D48" s="252">
        <v>0</v>
      </c>
      <c r="E48" s="144" t="str">
        <f t="shared" si="0"/>
        <v>NO</v>
      </c>
      <c r="F48" s="143">
        <v>1</v>
      </c>
      <c r="G48" s="144" t="str">
        <f t="shared" si="1"/>
        <v>YES</v>
      </c>
      <c r="H48" s="145">
        <f>SUM('2019 Legal Max'!L47-'2019 Legal Max'!I47)</f>
        <v>339.9</v>
      </c>
      <c r="I48" s="144" t="str">
        <f t="shared" si="2"/>
        <v>NO</v>
      </c>
      <c r="J48" s="266" t="str">
        <f t="shared" si="3"/>
        <v>NO</v>
      </c>
    </row>
    <row r="49" spans="1:10">
      <c r="A49" s="126" t="s">
        <v>240</v>
      </c>
      <c r="B49" s="87" t="s">
        <v>23</v>
      </c>
      <c r="C49" s="87" t="s">
        <v>561</v>
      </c>
      <c r="D49" s="252">
        <v>0</v>
      </c>
      <c r="E49" s="144" t="str">
        <f t="shared" si="0"/>
        <v>NO</v>
      </c>
      <c r="F49" s="143">
        <v>1</v>
      </c>
      <c r="G49" s="144" t="str">
        <f t="shared" si="1"/>
        <v>YES</v>
      </c>
      <c r="H49" s="145">
        <f>SUM('2019 Legal Max'!L48-'2019 Legal Max'!I48)</f>
        <v>11.5</v>
      </c>
      <c r="I49" s="144" t="str">
        <f t="shared" si="2"/>
        <v>NO</v>
      </c>
      <c r="J49" s="266" t="str">
        <f t="shared" si="3"/>
        <v>NO</v>
      </c>
    </row>
    <row r="50" spans="1:10">
      <c r="A50" s="126" t="s">
        <v>241</v>
      </c>
      <c r="B50" s="87" t="s">
        <v>23</v>
      </c>
      <c r="C50" s="87" t="s">
        <v>562</v>
      </c>
      <c r="D50" s="252">
        <v>0</v>
      </c>
      <c r="E50" s="144" t="str">
        <f t="shared" si="0"/>
        <v>NO</v>
      </c>
      <c r="F50" s="143">
        <v>0</v>
      </c>
      <c r="G50" s="144" t="str">
        <f t="shared" si="1"/>
        <v>NO</v>
      </c>
      <c r="H50" s="145">
        <f>SUM('2019 Legal Max'!L49-'2019 Legal Max'!I49)</f>
        <v>1.5</v>
      </c>
      <c r="I50" s="144" t="str">
        <f t="shared" si="2"/>
        <v>NO</v>
      </c>
      <c r="J50" s="266" t="str">
        <f t="shared" si="3"/>
        <v>NO</v>
      </c>
    </row>
    <row r="51" spans="1:10">
      <c r="A51" s="126" t="s">
        <v>242</v>
      </c>
      <c r="B51" s="87" t="s">
        <v>24</v>
      </c>
      <c r="C51" s="87" t="s">
        <v>563</v>
      </c>
      <c r="D51" s="252">
        <v>0</v>
      </c>
      <c r="E51" s="144" t="str">
        <f t="shared" si="0"/>
        <v>NO</v>
      </c>
      <c r="F51" s="143">
        <v>0</v>
      </c>
      <c r="G51" s="144" t="str">
        <f t="shared" si="1"/>
        <v>NO</v>
      </c>
      <c r="H51" s="145">
        <f>SUM('2019 Legal Max'!L50-'2019 Legal Max'!I50)</f>
        <v>1</v>
      </c>
      <c r="I51" s="144" t="str">
        <f t="shared" si="2"/>
        <v>NO</v>
      </c>
      <c r="J51" s="266" t="str">
        <f t="shared" si="3"/>
        <v>NO</v>
      </c>
    </row>
    <row r="52" spans="1:10">
      <c r="A52" s="126" t="s">
        <v>243</v>
      </c>
      <c r="B52" s="87" t="s">
        <v>25</v>
      </c>
      <c r="C52" s="87" t="s">
        <v>564</v>
      </c>
      <c r="D52" s="252">
        <v>0</v>
      </c>
      <c r="E52" s="144" t="str">
        <f t="shared" si="0"/>
        <v>NO</v>
      </c>
      <c r="F52" s="143">
        <v>0</v>
      </c>
      <c r="G52" s="144" t="str">
        <f t="shared" si="1"/>
        <v>NO</v>
      </c>
      <c r="H52" s="145">
        <f>SUM('2019 Legal Max'!L51-'2019 Legal Max'!I51)</f>
        <v>-5.2</v>
      </c>
      <c r="I52" s="144" t="str">
        <f t="shared" si="2"/>
        <v>YES</v>
      </c>
      <c r="J52" s="266" t="str">
        <f t="shared" si="3"/>
        <v>NO</v>
      </c>
    </row>
    <row r="53" spans="1:10">
      <c r="A53" s="126" t="s">
        <v>244</v>
      </c>
      <c r="B53" s="87" t="s">
        <v>25</v>
      </c>
      <c r="C53" s="87" t="s">
        <v>565</v>
      </c>
      <c r="D53" s="252">
        <v>0</v>
      </c>
      <c r="E53" s="144" t="str">
        <f t="shared" si="0"/>
        <v>NO</v>
      </c>
      <c r="F53" s="143">
        <v>1</v>
      </c>
      <c r="G53" s="144" t="str">
        <f t="shared" si="1"/>
        <v>YES</v>
      </c>
      <c r="H53" s="145">
        <f>SUM('2019 Legal Max'!L52-'2019 Legal Max'!I52)</f>
        <v>3.1</v>
      </c>
      <c r="I53" s="144" t="str">
        <f t="shared" si="2"/>
        <v>NO</v>
      </c>
      <c r="J53" s="266" t="str">
        <f t="shared" si="3"/>
        <v>NO</v>
      </c>
    </row>
    <row r="54" spans="1:10">
      <c r="A54" s="126" t="s">
        <v>245</v>
      </c>
      <c r="B54" s="87" t="s">
        <v>26</v>
      </c>
      <c r="C54" s="87" t="s">
        <v>566</v>
      </c>
      <c r="D54" s="252">
        <v>0</v>
      </c>
      <c r="E54" s="144" t="str">
        <f t="shared" si="0"/>
        <v>NO</v>
      </c>
      <c r="F54" s="143">
        <v>0</v>
      </c>
      <c r="G54" s="144" t="str">
        <f t="shared" si="1"/>
        <v>NO</v>
      </c>
      <c r="H54" s="145">
        <f>SUM('2019 Legal Max'!L53-'2019 Legal Max'!I53)</f>
        <v>-1</v>
      </c>
      <c r="I54" s="144" t="str">
        <f t="shared" si="2"/>
        <v>YES</v>
      </c>
      <c r="J54" s="266" t="str">
        <f t="shared" si="3"/>
        <v>NO</v>
      </c>
    </row>
    <row r="55" spans="1:10">
      <c r="A55" s="126" t="s">
        <v>246</v>
      </c>
      <c r="B55" s="87" t="s">
        <v>26</v>
      </c>
      <c r="C55" s="87" t="s">
        <v>567</v>
      </c>
      <c r="D55" s="252">
        <v>0</v>
      </c>
      <c r="E55" s="144" t="str">
        <f t="shared" si="0"/>
        <v>NO</v>
      </c>
      <c r="F55" s="143">
        <v>0</v>
      </c>
      <c r="G55" s="144" t="str">
        <f t="shared" si="1"/>
        <v>NO</v>
      </c>
      <c r="H55" s="145">
        <f>SUM('2019 Legal Max'!L54-'2019 Legal Max'!I54)</f>
        <v>1</v>
      </c>
      <c r="I55" s="144" t="str">
        <f t="shared" si="2"/>
        <v>NO</v>
      </c>
      <c r="J55" s="266" t="str">
        <f t="shared" si="3"/>
        <v>NO</v>
      </c>
    </row>
    <row r="56" spans="1:10">
      <c r="A56" s="126" t="s">
        <v>247</v>
      </c>
      <c r="B56" s="87" t="s">
        <v>27</v>
      </c>
      <c r="C56" s="87" t="s">
        <v>568</v>
      </c>
      <c r="D56" s="252">
        <v>0</v>
      </c>
      <c r="E56" s="144" t="str">
        <f t="shared" si="0"/>
        <v>NO</v>
      </c>
      <c r="F56" s="143">
        <v>1</v>
      </c>
      <c r="G56" s="144" t="str">
        <f t="shared" si="1"/>
        <v>YES</v>
      </c>
      <c r="H56" s="145">
        <f>SUM('2019 Legal Max'!L55-'2019 Legal Max'!I55)</f>
        <v>-7.5</v>
      </c>
      <c r="I56" s="144" t="str">
        <f t="shared" si="2"/>
        <v>YES</v>
      </c>
      <c r="J56" s="266" t="str">
        <f t="shared" si="3"/>
        <v>NO</v>
      </c>
    </row>
    <row r="57" spans="1:10">
      <c r="A57" s="126" t="s">
        <v>248</v>
      </c>
      <c r="B57" s="87" t="s">
        <v>27</v>
      </c>
      <c r="C57" s="87" t="s">
        <v>569</v>
      </c>
      <c r="D57" s="252">
        <v>19780</v>
      </c>
      <c r="E57" s="144" t="str">
        <f t="shared" si="0"/>
        <v>YES</v>
      </c>
      <c r="F57" s="143">
        <v>1</v>
      </c>
      <c r="G57" s="144" t="str">
        <f t="shared" si="1"/>
        <v>YES</v>
      </c>
      <c r="H57" s="145">
        <f>SUM('2019 Legal Max'!L56-'2019 Legal Max'!I56)</f>
        <v>-1.5</v>
      </c>
      <c r="I57" s="144" t="str">
        <f t="shared" si="2"/>
        <v>YES</v>
      </c>
      <c r="J57" s="266" t="str">
        <f t="shared" si="3"/>
        <v>YES</v>
      </c>
    </row>
    <row r="58" spans="1:10">
      <c r="A58" s="126" t="s">
        <v>249</v>
      </c>
      <c r="B58" s="87" t="s">
        <v>27</v>
      </c>
      <c r="C58" s="87" t="s">
        <v>570</v>
      </c>
      <c r="D58" s="252">
        <v>0</v>
      </c>
      <c r="E58" s="144" t="str">
        <f t="shared" si="0"/>
        <v>NO</v>
      </c>
      <c r="F58" s="143">
        <v>0</v>
      </c>
      <c r="G58" s="144" t="str">
        <f t="shared" si="1"/>
        <v>NO</v>
      </c>
      <c r="H58" s="145">
        <f>SUM('2019 Legal Max'!L57-'2019 Legal Max'!I57)</f>
        <v>-8.5</v>
      </c>
      <c r="I58" s="144" t="str">
        <f t="shared" si="2"/>
        <v>YES</v>
      </c>
      <c r="J58" s="266" t="str">
        <f t="shared" si="3"/>
        <v>NO</v>
      </c>
    </row>
    <row r="59" spans="1:10">
      <c r="A59" s="126" t="s">
        <v>250</v>
      </c>
      <c r="B59" s="87" t="s">
        <v>28</v>
      </c>
      <c r="C59" s="87" t="s">
        <v>571</v>
      </c>
      <c r="D59" s="252">
        <v>0</v>
      </c>
      <c r="E59" s="144" t="str">
        <f t="shared" si="0"/>
        <v>NO</v>
      </c>
      <c r="F59" s="143">
        <v>0</v>
      </c>
      <c r="G59" s="144" t="str">
        <f t="shared" si="1"/>
        <v>NO</v>
      </c>
      <c r="H59" s="145">
        <f>SUM('2019 Legal Max'!L58-'2019 Legal Max'!I58)</f>
        <v>-18.399999999999999</v>
      </c>
      <c r="I59" s="144" t="str">
        <f t="shared" si="2"/>
        <v>YES</v>
      </c>
      <c r="J59" s="266" t="str">
        <f t="shared" si="3"/>
        <v>NO</v>
      </c>
    </row>
    <row r="60" spans="1:10">
      <c r="A60" s="126" t="s">
        <v>251</v>
      </c>
      <c r="B60" s="87" t="s">
        <v>28</v>
      </c>
      <c r="C60" s="87" t="s">
        <v>572</v>
      </c>
      <c r="D60" s="252">
        <v>0</v>
      </c>
      <c r="E60" s="144" t="str">
        <f t="shared" si="0"/>
        <v>NO</v>
      </c>
      <c r="F60" s="143">
        <v>0</v>
      </c>
      <c r="G60" s="144" t="str">
        <f t="shared" si="1"/>
        <v>NO</v>
      </c>
      <c r="H60" s="145">
        <f>SUM('2019 Legal Max'!L59-'2019 Legal Max'!I59)</f>
        <v>13</v>
      </c>
      <c r="I60" s="144" t="str">
        <f t="shared" si="2"/>
        <v>NO</v>
      </c>
      <c r="J60" s="266" t="str">
        <f t="shared" si="3"/>
        <v>NO</v>
      </c>
    </row>
    <row r="61" spans="1:10">
      <c r="A61" s="126" t="s">
        <v>252</v>
      </c>
      <c r="B61" s="87" t="s">
        <v>28</v>
      </c>
      <c r="C61" s="87" t="s">
        <v>573</v>
      </c>
      <c r="D61" s="252">
        <v>0</v>
      </c>
      <c r="E61" s="144" t="str">
        <f t="shared" si="0"/>
        <v>NO</v>
      </c>
      <c r="F61" s="143">
        <v>0</v>
      </c>
      <c r="G61" s="144" t="str">
        <f t="shared" si="1"/>
        <v>NO</v>
      </c>
      <c r="H61" s="145">
        <f>SUM('2019 Legal Max'!L60-'2019 Legal Max'!I60)</f>
        <v>9</v>
      </c>
      <c r="I61" s="144" t="str">
        <f t="shared" si="2"/>
        <v>NO</v>
      </c>
      <c r="J61" s="266" t="str">
        <f t="shared" si="3"/>
        <v>NO</v>
      </c>
    </row>
    <row r="62" spans="1:10">
      <c r="A62" s="126" t="s">
        <v>253</v>
      </c>
      <c r="B62" s="87" t="s">
        <v>28</v>
      </c>
      <c r="C62" s="87" t="s">
        <v>574</v>
      </c>
      <c r="D62" s="252">
        <v>0</v>
      </c>
      <c r="E62" s="144" t="str">
        <f t="shared" si="0"/>
        <v>NO</v>
      </c>
      <c r="F62" s="143">
        <v>1</v>
      </c>
      <c r="G62" s="144" t="str">
        <f t="shared" si="1"/>
        <v>YES</v>
      </c>
      <c r="H62" s="145">
        <f>SUM('2019 Legal Max'!L61-'2019 Legal Max'!I61)</f>
        <v>29.5</v>
      </c>
      <c r="I62" s="144" t="str">
        <f t="shared" si="2"/>
        <v>NO</v>
      </c>
      <c r="J62" s="266" t="str">
        <f t="shared" si="3"/>
        <v>NO</v>
      </c>
    </row>
    <row r="63" spans="1:10">
      <c r="A63" s="126" t="s">
        <v>254</v>
      </c>
      <c r="B63" s="87" t="s">
        <v>28</v>
      </c>
      <c r="C63" s="87" t="s">
        <v>575</v>
      </c>
      <c r="D63" s="252">
        <v>0</v>
      </c>
      <c r="E63" s="144" t="str">
        <f t="shared" si="0"/>
        <v>NO</v>
      </c>
      <c r="F63" s="143">
        <v>0</v>
      </c>
      <c r="G63" s="144" t="str">
        <f t="shared" si="1"/>
        <v>NO</v>
      </c>
      <c r="H63" s="145">
        <f>SUM('2019 Legal Max'!L62-'2019 Legal Max'!I62)</f>
        <v>-45.4</v>
      </c>
      <c r="I63" s="144" t="str">
        <f t="shared" si="2"/>
        <v>YES</v>
      </c>
      <c r="J63" s="266" t="str">
        <f t="shared" si="3"/>
        <v>NO</v>
      </c>
    </row>
    <row r="64" spans="1:10">
      <c r="A64" s="126" t="s">
        <v>255</v>
      </c>
      <c r="B64" s="87" t="s">
        <v>30</v>
      </c>
      <c r="C64" s="87" t="s">
        <v>576</v>
      </c>
      <c r="D64" s="252">
        <v>0</v>
      </c>
      <c r="E64" s="144" t="str">
        <f t="shared" si="0"/>
        <v>NO</v>
      </c>
      <c r="F64" s="143">
        <v>0</v>
      </c>
      <c r="G64" s="144" t="str">
        <f t="shared" si="1"/>
        <v>NO</v>
      </c>
      <c r="H64" s="145">
        <f>SUM('2019 Legal Max'!L63-'2019 Legal Max'!I63)</f>
        <v>-9.9</v>
      </c>
      <c r="I64" s="144" t="str">
        <f t="shared" si="2"/>
        <v>YES</v>
      </c>
      <c r="J64" s="266" t="str">
        <f t="shared" si="3"/>
        <v>NO</v>
      </c>
    </row>
    <row r="65" spans="1:10">
      <c r="A65" s="126" t="s">
        <v>256</v>
      </c>
      <c r="B65" s="87" t="s">
        <v>30</v>
      </c>
      <c r="C65" s="87" t="s">
        <v>577</v>
      </c>
      <c r="D65" s="252">
        <v>0</v>
      </c>
      <c r="E65" s="144" t="str">
        <f t="shared" si="0"/>
        <v>NO</v>
      </c>
      <c r="F65" s="143">
        <v>0</v>
      </c>
      <c r="G65" s="144" t="str">
        <f t="shared" si="1"/>
        <v>NO</v>
      </c>
      <c r="H65" s="145">
        <f>SUM('2019 Legal Max'!L64-'2019 Legal Max'!I64)</f>
        <v>-20</v>
      </c>
      <c r="I65" s="144" t="str">
        <f t="shared" si="2"/>
        <v>YES</v>
      </c>
      <c r="J65" s="266" t="str">
        <f t="shared" si="3"/>
        <v>NO</v>
      </c>
    </row>
    <row r="66" spans="1:10">
      <c r="A66" s="126" t="s">
        <v>257</v>
      </c>
      <c r="B66" s="87" t="s">
        <v>30</v>
      </c>
      <c r="C66" s="87" t="s">
        <v>578</v>
      </c>
      <c r="D66" s="252">
        <v>0</v>
      </c>
      <c r="E66" s="144" t="str">
        <f t="shared" si="0"/>
        <v>NO</v>
      </c>
      <c r="F66" s="143">
        <v>1</v>
      </c>
      <c r="G66" s="144" t="str">
        <f t="shared" si="1"/>
        <v>YES</v>
      </c>
      <c r="H66" s="145">
        <f>SUM('2019 Legal Max'!L65-'2019 Legal Max'!I65)</f>
        <v>35.200000000000003</v>
      </c>
      <c r="I66" s="144" t="str">
        <f t="shared" si="2"/>
        <v>NO</v>
      </c>
      <c r="J66" s="266" t="str">
        <f t="shared" si="3"/>
        <v>NO</v>
      </c>
    </row>
    <row r="67" spans="1:10">
      <c r="A67" s="126" t="s">
        <v>258</v>
      </c>
      <c r="B67" s="87" t="s">
        <v>31</v>
      </c>
      <c r="C67" s="87" t="s">
        <v>579</v>
      </c>
      <c r="D67" s="252">
        <v>0</v>
      </c>
      <c r="E67" s="144" t="str">
        <f t="shared" si="0"/>
        <v>NO</v>
      </c>
      <c r="F67" s="143">
        <v>0</v>
      </c>
      <c r="G67" s="144" t="str">
        <f t="shared" si="1"/>
        <v>NO</v>
      </c>
      <c r="H67" s="145">
        <f>SUM('2019 Legal Max'!L66-'2019 Legal Max'!I66)</f>
        <v>-2.5</v>
      </c>
      <c r="I67" s="144" t="str">
        <f t="shared" si="2"/>
        <v>YES</v>
      </c>
      <c r="J67" s="266" t="str">
        <f t="shared" si="3"/>
        <v>NO</v>
      </c>
    </row>
    <row r="68" spans="1:10">
      <c r="A68" s="126" t="s">
        <v>259</v>
      </c>
      <c r="B68" s="87" t="s">
        <v>31</v>
      </c>
      <c r="C68" s="87" t="s">
        <v>580</v>
      </c>
      <c r="D68" s="252">
        <v>0</v>
      </c>
      <c r="E68" s="144" t="str">
        <f t="shared" si="0"/>
        <v>NO</v>
      </c>
      <c r="F68" s="143">
        <v>0</v>
      </c>
      <c r="G68" s="144" t="str">
        <f t="shared" si="1"/>
        <v>NO</v>
      </c>
      <c r="H68" s="145">
        <f>SUM('2019 Legal Max'!L67-'2019 Legal Max'!I67)</f>
        <v>-16.7</v>
      </c>
      <c r="I68" s="144" t="str">
        <f t="shared" si="2"/>
        <v>YES</v>
      </c>
      <c r="J68" s="266" t="str">
        <f t="shared" si="3"/>
        <v>NO</v>
      </c>
    </row>
    <row r="69" spans="1:10">
      <c r="A69" s="126" t="s">
        <v>260</v>
      </c>
      <c r="B69" s="87" t="s">
        <v>32</v>
      </c>
      <c r="C69" s="87" t="s">
        <v>581</v>
      </c>
      <c r="D69" s="252">
        <v>0</v>
      </c>
      <c r="E69" s="144" t="str">
        <f t="shared" si="0"/>
        <v>NO</v>
      </c>
      <c r="F69" s="143">
        <v>0</v>
      </c>
      <c r="G69" s="144" t="str">
        <f t="shared" si="1"/>
        <v>NO</v>
      </c>
      <c r="H69" s="145">
        <f>SUM('2019 Legal Max'!L68-'2019 Legal Max'!I68)</f>
        <v>-17.5</v>
      </c>
      <c r="I69" s="144" t="str">
        <f t="shared" si="2"/>
        <v>YES</v>
      </c>
      <c r="J69" s="266" t="str">
        <f t="shared" si="3"/>
        <v>NO</v>
      </c>
    </row>
    <row r="70" spans="1:10">
      <c r="A70" s="126" t="s">
        <v>261</v>
      </c>
      <c r="B70" s="87" t="s">
        <v>32</v>
      </c>
      <c r="C70" s="87" t="s">
        <v>582</v>
      </c>
      <c r="D70" s="252">
        <v>0</v>
      </c>
      <c r="E70" s="144" t="str">
        <f t="shared" si="0"/>
        <v>NO</v>
      </c>
      <c r="F70" s="143">
        <v>1</v>
      </c>
      <c r="G70" s="144" t="str">
        <f t="shared" si="1"/>
        <v>YES</v>
      </c>
      <c r="H70" s="145">
        <f>SUM('2019 Legal Max'!L69-'2019 Legal Max'!I69)</f>
        <v>-22</v>
      </c>
      <c r="I70" s="144" t="str">
        <f t="shared" si="2"/>
        <v>YES</v>
      </c>
      <c r="J70" s="266" t="str">
        <f t="shared" si="3"/>
        <v>NO</v>
      </c>
    </row>
    <row r="71" spans="1:10">
      <c r="A71" s="126" t="s">
        <v>262</v>
      </c>
      <c r="B71" s="87" t="s">
        <v>32</v>
      </c>
      <c r="C71" s="87" t="s">
        <v>583</v>
      </c>
      <c r="D71" s="252">
        <v>0</v>
      </c>
      <c r="E71" s="144" t="str">
        <f t="shared" ref="E71:E134" si="4">IF(D71&gt;0, "YES", "NO")</f>
        <v>NO</v>
      </c>
      <c r="F71" s="143">
        <v>0</v>
      </c>
      <c r="G71" s="144" t="str">
        <f t="shared" ref="G71:G134" si="5">IF(F71&gt;0, "YES", "NO")</f>
        <v>NO</v>
      </c>
      <c r="H71" s="145">
        <f>SUM('2019 Legal Max'!L70-'2019 Legal Max'!I70)</f>
        <v>13.5</v>
      </c>
      <c r="I71" s="144" t="str">
        <f t="shared" ref="I71:I134" si="6">IF(H71&lt;0, "YES", "NO")</f>
        <v>NO</v>
      </c>
      <c r="J71" s="266" t="str">
        <f t="shared" ref="J71:J134" si="7">IF(AND(E71="YES", G71="YES", I71="YES"), "YES", "NO")</f>
        <v>NO</v>
      </c>
    </row>
    <row r="72" spans="1:10">
      <c r="A72" s="126" t="s">
        <v>263</v>
      </c>
      <c r="B72" s="87" t="s">
        <v>33</v>
      </c>
      <c r="C72" s="87" t="s">
        <v>584</v>
      </c>
      <c r="D72" s="252">
        <v>0</v>
      </c>
      <c r="E72" s="144" t="str">
        <f t="shared" si="4"/>
        <v>NO</v>
      </c>
      <c r="F72" s="143">
        <v>1</v>
      </c>
      <c r="G72" s="144" t="str">
        <f t="shared" si="5"/>
        <v>YES</v>
      </c>
      <c r="H72" s="145">
        <f>SUM('2019 Legal Max'!L71-'2019 Legal Max'!I71)</f>
        <v>-239.4</v>
      </c>
      <c r="I72" s="144" t="str">
        <f t="shared" si="6"/>
        <v>YES</v>
      </c>
      <c r="J72" s="266" t="str">
        <f t="shared" si="7"/>
        <v>NO</v>
      </c>
    </row>
    <row r="73" spans="1:10">
      <c r="A73" s="126" t="s">
        <v>264</v>
      </c>
      <c r="B73" s="87" t="s">
        <v>33</v>
      </c>
      <c r="C73" s="87" t="s">
        <v>585</v>
      </c>
      <c r="D73" s="252">
        <v>125559</v>
      </c>
      <c r="E73" s="144" t="str">
        <f t="shared" si="4"/>
        <v>YES</v>
      </c>
      <c r="F73" s="143">
        <v>1</v>
      </c>
      <c r="G73" s="144" t="str">
        <f t="shared" si="5"/>
        <v>YES</v>
      </c>
      <c r="H73" s="145">
        <f>SUM('2019 Legal Max'!L72-'2019 Legal Max'!I72)</f>
        <v>64.3</v>
      </c>
      <c r="I73" s="144" t="str">
        <f t="shared" si="6"/>
        <v>NO</v>
      </c>
      <c r="J73" s="266" t="str">
        <f t="shared" si="7"/>
        <v>NO</v>
      </c>
    </row>
    <row r="74" spans="1:10">
      <c r="A74" s="126" t="s">
        <v>265</v>
      </c>
      <c r="B74" s="87" t="s">
        <v>33</v>
      </c>
      <c r="C74" s="87" t="s">
        <v>586</v>
      </c>
      <c r="D74" s="252">
        <v>0</v>
      </c>
      <c r="E74" s="144" t="str">
        <f t="shared" si="4"/>
        <v>NO</v>
      </c>
      <c r="F74" s="143">
        <v>1</v>
      </c>
      <c r="G74" s="144" t="str">
        <f t="shared" si="5"/>
        <v>YES</v>
      </c>
      <c r="H74" s="145">
        <f>SUM('2019 Legal Max'!L73-'2019 Legal Max'!I73)</f>
        <v>135</v>
      </c>
      <c r="I74" s="144" t="str">
        <f t="shared" si="6"/>
        <v>NO</v>
      </c>
      <c r="J74" s="266" t="str">
        <f t="shared" si="7"/>
        <v>NO</v>
      </c>
    </row>
    <row r="75" spans="1:10">
      <c r="A75" s="126" t="s">
        <v>266</v>
      </c>
      <c r="B75" s="87" t="s">
        <v>33</v>
      </c>
      <c r="C75" s="87" t="s">
        <v>587</v>
      </c>
      <c r="D75" s="252">
        <v>0</v>
      </c>
      <c r="E75" s="144" t="str">
        <f t="shared" si="4"/>
        <v>NO</v>
      </c>
      <c r="F75" s="143">
        <v>1</v>
      </c>
      <c r="G75" s="144" t="str">
        <f t="shared" si="5"/>
        <v>YES</v>
      </c>
      <c r="H75" s="145">
        <f>SUM('2019 Legal Max'!L74-'2019 Legal Max'!I74)</f>
        <v>55.4</v>
      </c>
      <c r="I75" s="144" t="str">
        <f t="shared" si="6"/>
        <v>NO</v>
      </c>
      <c r="J75" s="266" t="str">
        <f t="shared" si="7"/>
        <v>NO</v>
      </c>
    </row>
    <row r="76" spans="1:10">
      <c r="A76" s="126" t="s">
        <v>267</v>
      </c>
      <c r="B76" s="87" t="s">
        <v>33</v>
      </c>
      <c r="C76" s="87" t="s">
        <v>588</v>
      </c>
      <c r="D76" s="252">
        <v>0</v>
      </c>
      <c r="E76" s="144" t="str">
        <f t="shared" si="4"/>
        <v>NO</v>
      </c>
      <c r="F76" s="143">
        <v>1</v>
      </c>
      <c r="G76" s="144" t="str">
        <f t="shared" si="5"/>
        <v>YES</v>
      </c>
      <c r="H76" s="145">
        <f>SUM('2019 Legal Max'!L75-'2019 Legal Max'!I75)</f>
        <v>-5.3</v>
      </c>
      <c r="I76" s="144" t="str">
        <f t="shared" si="6"/>
        <v>YES</v>
      </c>
      <c r="J76" s="266" t="str">
        <f t="shared" si="7"/>
        <v>NO</v>
      </c>
    </row>
    <row r="77" spans="1:10">
      <c r="A77" s="126" t="s">
        <v>268</v>
      </c>
      <c r="B77" s="87" t="s">
        <v>33</v>
      </c>
      <c r="C77" s="87" t="s">
        <v>589</v>
      </c>
      <c r="D77" s="252">
        <v>0</v>
      </c>
      <c r="E77" s="144" t="str">
        <f t="shared" si="4"/>
        <v>NO</v>
      </c>
      <c r="F77" s="143">
        <v>1</v>
      </c>
      <c r="G77" s="144" t="str">
        <f t="shared" si="5"/>
        <v>YES</v>
      </c>
      <c r="H77" s="145">
        <f>SUM('2019 Legal Max'!L76-'2019 Legal Max'!I76)</f>
        <v>9.5</v>
      </c>
      <c r="I77" s="144" t="str">
        <f t="shared" si="6"/>
        <v>NO</v>
      </c>
      <c r="J77" s="266" t="str">
        <f t="shared" si="7"/>
        <v>NO</v>
      </c>
    </row>
    <row r="78" spans="1:10">
      <c r="A78" s="126" t="s">
        <v>269</v>
      </c>
      <c r="B78" s="87" t="s">
        <v>33</v>
      </c>
      <c r="C78" s="87" t="s">
        <v>590</v>
      </c>
      <c r="D78" s="252">
        <v>0</v>
      </c>
      <c r="E78" s="144" t="str">
        <f t="shared" si="4"/>
        <v>NO</v>
      </c>
      <c r="F78" s="143">
        <v>1</v>
      </c>
      <c r="G78" s="144" t="str">
        <f t="shared" si="5"/>
        <v>YES</v>
      </c>
      <c r="H78" s="145">
        <f>SUM('2019 Legal Max'!L77-'2019 Legal Max'!I77)</f>
        <v>55</v>
      </c>
      <c r="I78" s="144" t="str">
        <f t="shared" si="6"/>
        <v>NO</v>
      </c>
      <c r="J78" s="266" t="str">
        <f t="shared" si="7"/>
        <v>NO</v>
      </c>
    </row>
    <row r="79" spans="1:10">
      <c r="A79" s="126" t="s">
        <v>270</v>
      </c>
      <c r="B79" s="87" t="s">
        <v>33</v>
      </c>
      <c r="C79" s="87" t="s">
        <v>591</v>
      </c>
      <c r="D79" s="252">
        <v>0</v>
      </c>
      <c r="E79" s="144" t="str">
        <f t="shared" si="4"/>
        <v>NO</v>
      </c>
      <c r="F79" s="143">
        <v>1</v>
      </c>
      <c r="G79" s="144" t="str">
        <f t="shared" si="5"/>
        <v>YES</v>
      </c>
      <c r="H79" s="145">
        <f>SUM('2019 Legal Max'!L78-'2019 Legal Max'!I78)</f>
        <v>179.1</v>
      </c>
      <c r="I79" s="144" t="str">
        <f t="shared" si="6"/>
        <v>NO</v>
      </c>
      <c r="J79" s="266" t="str">
        <f t="shared" si="7"/>
        <v>NO</v>
      </c>
    </row>
    <row r="80" spans="1:10">
      <c r="A80" s="126" t="s">
        <v>271</v>
      </c>
      <c r="B80" s="87" t="s">
        <v>33</v>
      </c>
      <c r="C80" s="87" t="s">
        <v>592</v>
      </c>
      <c r="D80" s="252">
        <v>0</v>
      </c>
      <c r="E80" s="144" t="str">
        <f t="shared" si="4"/>
        <v>NO</v>
      </c>
      <c r="F80" s="143">
        <v>1</v>
      </c>
      <c r="G80" s="144" t="str">
        <f t="shared" si="5"/>
        <v>YES</v>
      </c>
      <c r="H80" s="145">
        <f>SUM('2019 Legal Max'!L79-'2019 Legal Max'!I79)</f>
        <v>-18.899999999999999</v>
      </c>
      <c r="I80" s="144" t="str">
        <f t="shared" si="6"/>
        <v>YES</v>
      </c>
      <c r="J80" s="266" t="str">
        <f t="shared" si="7"/>
        <v>NO</v>
      </c>
    </row>
    <row r="81" spans="1:10">
      <c r="A81" s="126" t="s">
        <v>272</v>
      </c>
      <c r="B81" s="87" t="s">
        <v>33</v>
      </c>
      <c r="C81" s="87" t="s">
        <v>593</v>
      </c>
      <c r="D81" s="252">
        <v>0</v>
      </c>
      <c r="E81" s="144" t="str">
        <f t="shared" si="4"/>
        <v>NO</v>
      </c>
      <c r="F81" s="143">
        <v>1</v>
      </c>
      <c r="G81" s="144" t="str">
        <f t="shared" si="5"/>
        <v>YES</v>
      </c>
      <c r="H81" s="145">
        <f>SUM('2019 Legal Max'!L80-'2019 Legal Max'!I80)</f>
        <v>4.3</v>
      </c>
      <c r="I81" s="144" t="str">
        <f t="shared" si="6"/>
        <v>NO</v>
      </c>
      <c r="J81" s="266" t="str">
        <f t="shared" si="7"/>
        <v>NO</v>
      </c>
    </row>
    <row r="82" spans="1:10">
      <c r="A82" s="126" t="s">
        <v>273</v>
      </c>
      <c r="B82" s="87" t="s">
        <v>35</v>
      </c>
      <c r="C82" s="87" t="s">
        <v>594</v>
      </c>
      <c r="D82" s="252">
        <v>0</v>
      </c>
      <c r="E82" s="144" t="str">
        <f t="shared" si="4"/>
        <v>NO</v>
      </c>
      <c r="F82" s="143">
        <v>0</v>
      </c>
      <c r="G82" s="144" t="str">
        <f t="shared" si="5"/>
        <v>NO</v>
      </c>
      <c r="H82" s="145">
        <f>SUM('2019 Legal Max'!L81-'2019 Legal Max'!I81)</f>
        <v>6.1</v>
      </c>
      <c r="I82" s="144" t="str">
        <f t="shared" si="6"/>
        <v>NO</v>
      </c>
      <c r="J82" s="266" t="str">
        <f t="shared" si="7"/>
        <v>NO</v>
      </c>
    </row>
    <row r="83" spans="1:10">
      <c r="A83" s="126" t="s">
        <v>274</v>
      </c>
      <c r="B83" s="87" t="s">
        <v>35</v>
      </c>
      <c r="C83" s="87" t="s">
        <v>595</v>
      </c>
      <c r="D83" s="252">
        <v>0</v>
      </c>
      <c r="E83" s="144" t="str">
        <f t="shared" si="4"/>
        <v>NO</v>
      </c>
      <c r="F83" s="143">
        <v>0</v>
      </c>
      <c r="G83" s="144" t="str">
        <f t="shared" si="5"/>
        <v>NO</v>
      </c>
      <c r="H83" s="145">
        <f>SUM('2019 Legal Max'!L82-'2019 Legal Max'!I82)</f>
        <v>26</v>
      </c>
      <c r="I83" s="144" t="str">
        <f t="shared" si="6"/>
        <v>NO</v>
      </c>
      <c r="J83" s="266" t="str">
        <f t="shared" si="7"/>
        <v>NO</v>
      </c>
    </row>
    <row r="84" spans="1:10">
      <c r="A84" s="126" t="s">
        <v>275</v>
      </c>
      <c r="B84" s="87" t="s">
        <v>35</v>
      </c>
      <c r="C84" s="87" t="s">
        <v>596</v>
      </c>
      <c r="D84" s="252">
        <v>0</v>
      </c>
      <c r="E84" s="144" t="str">
        <f t="shared" si="4"/>
        <v>NO</v>
      </c>
      <c r="F84" s="143">
        <v>0</v>
      </c>
      <c r="G84" s="144" t="str">
        <f t="shared" si="5"/>
        <v>NO</v>
      </c>
      <c r="H84" s="145">
        <f>SUM('2019 Legal Max'!L83-'2019 Legal Max'!I83)</f>
        <v>0.5</v>
      </c>
      <c r="I84" s="144" t="str">
        <f t="shared" si="6"/>
        <v>NO</v>
      </c>
      <c r="J84" s="266" t="str">
        <f t="shared" si="7"/>
        <v>NO</v>
      </c>
    </row>
    <row r="85" spans="1:10">
      <c r="A85" s="126" t="s">
        <v>276</v>
      </c>
      <c r="B85" s="87" t="s">
        <v>36</v>
      </c>
      <c r="C85" s="87" t="s">
        <v>597</v>
      </c>
      <c r="D85" s="252">
        <v>42828</v>
      </c>
      <c r="E85" s="144" t="str">
        <f t="shared" si="4"/>
        <v>YES</v>
      </c>
      <c r="F85" s="143">
        <v>0</v>
      </c>
      <c r="G85" s="144" t="str">
        <f t="shared" si="5"/>
        <v>NO</v>
      </c>
      <c r="H85" s="145">
        <f>SUM('2019 Legal Max'!L84-'2019 Legal Max'!I84)</f>
        <v>-24.5</v>
      </c>
      <c r="I85" s="144" t="str">
        <f t="shared" si="6"/>
        <v>YES</v>
      </c>
      <c r="J85" s="266" t="str">
        <f t="shared" si="7"/>
        <v>NO</v>
      </c>
    </row>
    <row r="86" spans="1:10">
      <c r="A86" s="126" t="s">
        <v>277</v>
      </c>
      <c r="B86" s="87" t="s">
        <v>36</v>
      </c>
      <c r="C86" s="87" t="s">
        <v>598</v>
      </c>
      <c r="D86" s="252">
        <v>0</v>
      </c>
      <c r="E86" s="144" t="str">
        <f t="shared" si="4"/>
        <v>NO</v>
      </c>
      <c r="F86" s="143">
        <v>0</v>
      </c>
      <c r="G86" s="144" t="str">
        <f t="shared" si="5"/>
        <v>NO</v>
      </c>
      <c r="H86" s="145">
        <f>SUM('2019 Legal Max'!L85-'2019 Legal Max'!I85)</f>
        <v>-20</v>
      </c>
      <c r="I86" s="144" t="str">
        <f t="shared" si="6"/>
        <v>YES</v>
      </c>
      <c r="J86" s="266" t="str">
        <f t="shared" si="7"/>
        <v>NO</v>
      </c>
    </row>
    <row r="87" spans="1:10">
      <c r="A87" s="126" t="s">
        <v>278</v>
      </c>
      <c r="B87" s="87" t="s">
        <v>37</v>
      </c>
      <c r="C87" s="87" t="s">
        <v>599</v>
      </c>
      <c r="D87" s="252">
        <v>0</v>
      </c>
      <c r="E87" s="144" t="str">
        <f t="shared" si="4"/>
        <v>NO</v>
      </c>
      <c r="F87" s="143">
        <v>0</v>
      </c>
      <c r="G87" s="144" t="str">
        <f t="shared" si="5"/>
        <v>NO</v>
      </c>
      <c r="H87" s="145">
        <f>SUM('2019 Legal Max'!L86-'2019 Legal Max'!I86)</f>
        <v>-9.8000000000000007</v>
      </c>
      <c r="I87" s="144" t="str">
        <f t="shared" si="6"/>
        <v>YES</v>
      </c>
      <c r="J87" s="266" t="str">
        <f t="shared" si="7"/>
        <v>NO</v>
      </c>
    </row>
    <row r="88" spans="1:10">
      <c r="A88" s="126" t="s">
        <v>279</v>
      </c>
      <c r="B88" s="87" t="s">
        <v>37</v>
      </c>
      <c r="C88" s="87" t="s">
        <v>600</v>
      </c>
      <c r="D88" s="252">
        <v>0</v>
      </c>
      <c r="E88" s="144" t="str">
        <f t="shared" si="4"/>
        <v>NO</v>
      </c>
      <c r="F88" s="143">
        <v>0</v>
      </c>
      <c r="G88" s="144" t="str">
        <f t="shared" si="5"/>
        <v>NO</v>
      </c>
      <c r="H88" s="145">
        <f>SUM('2019 Legal Max'!L87-'2019 Legal Max'!I87)</f>
        <v>-2</v>
      </c>
      <c r="I88" s="144" t="str">
        <f t="shared" si="6"/>
        <v>YES</v>
      </c>
      <c r="J88" s="266" t="str">
        <f t="shared" si="7"/>
        <v>NO</v>
      </c>
    </row>
    <row r="89" spans="1:10">
      <c r="A89" s="126" t="s">
        <v>280</v>
      </c>
      <c r="B89" s="87" t="s">
        <v>38</v>
      </c>
      <c r="C89" s="87" t="s">
        <v>601</v>
      </c>
      <c r="D89" s="252">
        <v>0</v>
      </c>
      <c r="E89" s="144" t="str">
        <f t="shared" si="4"/>
        <v>NO</v>
      </c>
      <c r="F89" s="143">
        <v>0</v>
      </c>
      <c r="G89" s="144" t="str">
        <f t="shared" si="5"/>
        <v>NO</v>
      </c>
      <c r="H89" s="145">
        <f>SUM('2019 Legal Max'!L88-'2019 Legal Max'!I88)</f>
        <v>16.5</v>
      </c>
      <c r="I89" s="144" t="str">
        <f t="shared" si="6"/>
        <v>NO</v>
      </c>
      <c r="J89" s="266" t="str">
        <f t="shared" si="7"/>
        <v>NO</v>
      </c>
    </row>
    <row r="90" spans="1:10">
      <c r="A90" s="126" t="s">
        <v>281</v>
      </c>
      <c r="B90" s="87" t="s">
        <v>39</v>
      </c>
      <c r="C90" s="87" t="s">
        <v>602</v>
      </c>
      <c r="D90" s="252">
        <v>0</v>
      </c>
      <c r="E90" s="144" t="str">
        <f t="shared" si="4"/>
        <v>NO</v>
      </c>
      <c r="F90" s="143">
        <v>0</v>
      </c>
      <c r="G90" s="144" t="str">
        <f t="shared" si="5"/>
        <v>NO</v>
      </c>
      <c r="H90" s="145">
        <f>SUM('2019 Legal Max'!L89-'2019 Legal Max'!I89)</f>
        <v>12.5</v>
      </c>
      <c r="I90" s="144" t="str">
        <f t="shared" si="6"/>
        <v>NO</v>
      </c>
      <c r="J90" s="266" t="str">
        <f t="shared" si="7"/>
        <v>NO</v>
      </c>
    </row>
    <row r="91" spans="1:10">
      <c r="A91" s="126" t="s">
        <v>282</v>
      </c>
      <c r="B91" s="87" t="s">
        <v>39</v>
      </c>
      <c r="C91" s="87" t="s">
        <v>603</v>
      </c>
      <c r="D91" s="252">
        <v>0</v>
      </c>
      <c r="E91" s="144" t="str">
        <f t="shared" si="4"/>
        <v>NO</v>
      </c>
      <c r="F91" s="143">
        <v>0</v>
      </c>
      <c r="G91" s="144" t="str">
        <f t="shared" si="5"/>
        <v>NO</v>
      </c>
      <c r="H91" s="145">
        <f>SUM('2019 Legal Max'!L90-'2019 Legal Max'!I90)</f>
        <v>-8.5</v>
      </c>
      <c r="I91" s="144" t="str">
        <f t="shared" si="6"/>
        <v>YES</v>
      </c>
      <c r="J91" s="266" t="str">
        <f t="shared" si="7"/>
        <v>NO</v>
      </c>
    </row>
    <row r="92" spans="1:10">
      <c r="A92" s="126" t="s">
        <v>283</v>
      </c>
      <c r="B92" s="87" t="s">
        <v>40</v>
      </c>
      <c r="C92" s="87" t="s">
        <v>604</v>
      </c>
      <c r="D92" s="252">
        <v>0</v>
      </c>
      <c r="E92" s="144" t="str">
        <f t="shared" si="4"/>
        <v>NO</v>
      </c>
      <c r="F92" s="143">
        <v>0</v>
      </c>
      <c r="G92" s="144" t="str">
        <f t="shared" si="5"/>
        <v>NO</v>
      </c>
      <c r="H92" s="145">
        <f>SUM('2019 Legal Max'!L91-'2019 Legal Max'!I91)</f>
        <v>-26</v>
      </c>
      <c r="I92" s="144" t="str">
        <f t="shared" si="6"/>
        <v>YES</v>
      </c>
      <c r="J92" s="266" t="str">
        <f t="shared" si="7"/>
        <v>NO</v>
      </c>
    </row>
    <row r="93" spans="1:10">
      <c r="A93" s="126" t="s">
        <v>284</v>
      </c>
      <c r="B93" s="87" t="s">
        <v>41</v>
      </c>
      <c r="C93" s="87" t="s">
        <v>605</v>
      </c>
      <c r="D93" s="252">
        <v>0</v>
      </c>
      <c r="E93" s="144" t="str">
        <f t="shared" si="4"/>
        <v>NO</v>
      </c>
      <c r="F93" s="143">
        <v>0</v>
      </c>
      <c r="G93" s="144" t="str">
        <f t="shared" si="5"/>
        <v>NO</v>
      </c>
      <c r="H93" s="145">
        <f>SUM('2019 Legal Max'!L92-'2019 Legal Max'!I92)</f>
        <v>-33.5</v>
      </c>
      <c r="I93" s="144" t="str">
        <f t="shared" si="6"/>
        <v>YES</v>
      </c>
      <c r="J93" s="266" t="str">
        <f t="shared" si="7"/>
        <v>NO</v>
      </c>
    </row>
    <row r="94" spans="1:10">
      <c r="A94" s="126" t="s">
        <v>285</v>
      </c>
      <c r="B94" s="87" t="s">
        <v>41</v>
      </c>
      <c r="C94" s="87" t="s">
        <v>606</v>
      </c>
      <c r="D94" s="252">
        <v>0</v>
      </c>
      <c r="E94" s="144" t="str">
        <f t="shared" si="4"/>
        <v>NO</v>
      </c>
      <c r="F94" s="143">
        <v>0</v>
      </c>
      <c r="G94" s="144" t="str">
        <f t="shared" si="5"/>
        <v>NO</v>
      </c>
      <c r="H94" s="145">
        <f>SUM('2019 Legal Max'!L93-'2019 Legal Max'!I93)</f>
        <v>-6.7</v>
      </c>
      <c r="I94" s="144" t="str">
        <f t="shared" si="6"/>
        <v>YES</v>
      </c>
      <c r="J94" s="266" t="str">
        <f t="shared" si="7"/>
        <v>NO</v>
      </c>
    </row>
    <row r="95" spans="1:10">
      <c r="A95" s="126" t="s">
        <v>286</v>
      </c>
      <c r="B95" s="87" t="s">
        <v>42</v>
      </c>
      <c r="C95" s="87" t="s">
        <v>607</v>
      </c>
      <c r="D95" s="252">
        <v>7561</v>
      </c>
      <c r="E95" s="144" t="str">
        <f t="shared" si="4"/>
        <v>YES</v>
      </c>
      <c r="F95" s="143">
        <v>1</v>
      </c>
      <c r="G95" s="144" t="str">
        <f t="shared" si="5"/>
        <v>YES</v>
      </c>
      <c r="H95" s="145">
        <f>SUM('2019 Legal Max'!L94-'2019 Legal Max'!I94)</f>
        <v>9.1</v>
      </c>
      <c r="I95" s="144" t="str">
        <f t="shared" si="6"/>
        <v>NO</v>
      </c>
      <c r="J95" s="266" t="str">
        <f t="shared" si="7"/>
        <v>NO</v>
      </c>
    </row>
    <row r="96" spans="1:10">
      <c r="A96" s="126" t="s">
        <v>287</v>
      </c>
      <c r="B96" s="87" t="s">
        <v>42</v>
      </c>
      <c r="C96" s="87" t="s">
        <v>608</v>
      </c>
      <c r="D96" s="252">
        <v>0</v>
      </c>
      <c r="E96" s="144" t="str">
        <f t="shared" si="4"/>
        <v>NO</v>
      </c>
      <c r="F96" s="143">
        <v>0</v>
      </c>
      <c r="G96" s="144" t="str">
        <f t="shared" si="5"/>
        <v>NO</v>
      </c>
      <c r="H96" s="145">
        <f>SUM('2019 Legal Max'!L95-'2019 Legal Max'!I95)</f>
        <v>-6.7</v>
      </c>
      <c r="I96" s="144" t="str">
        <f t="shared" si="6"/>
        <v>YES</v>
      </c>
      <c r="J96" s="266" t="str">
        <f t="shared" si="7"/>
        <v>NO</v>
      </c>
    </row>
    <row r="97" spans="1:10">
      <c r="A97" s="126" t="s">
        <v>288</v>
      </c>
      <c r="B97" s="87" t="s">
        <v>42</v>
      </c>
      <c r="C97" s="87" t="s">
        <v>609</v>
      </c>
      <c r="D97" s="252">
        <v>0</v>
      </c>
      <c r="E97" s="144" t="str">
        <f t="shared" si="4"/>
        <v>NO</v>
      </c>
      <c r="F97" s="143">
        <v>0</v>
      </c>
      <c r="G97" s="144" t="str">
        <f t="shared" si="5"/>
        <v>NO</v>
      </c>
      <c r="H97" s="145">
        <f>SUM('2019 Legal Max'!L96-'2019 Legal Max'!I96)</f>
        <v>0.5</v>
      </c>
      <c r="I97" s="144" t="str">
        <f t="shared" si="6"/>
        <v>NO</v>
      </c>
      <c r="J97" s="266" t="str">
        <f t="shared" si="7"/>
        <v>NO</v>
      </c>
    </row>
    <row r="98" spans="1:10">
      <c r="A98" s="126" t="s">
        <v>289</v>
      </c>
      <c r="B98" s="87" t="s">
        <v>42</v>
      </c>
      <c r="C98" s="87" t="s">
        <v>610</v>
      </c>
      <c r="D98" s="252">
        <v>0</v>
      </c>
      <c r="E98" s="144" t="str">
        <f t="shared" si="4"/>
        <v>NO</v>
      </c>
      <c r="F98" s="143">
        <v>1</v>
      </c>
      <c r="G98" s="144" t="str">
        <f t="shared" si="5"/>
        <v>YES</v>
      </c>
      <c r="H98" s="145">
        <f>SUM('2019 Legal Max'!L97-'2019 Legal Max'!I97)</f>
        <v>-54.9</v>
      </c>
      <c r="I98" s="144" t="str">
        <f t="shared" si="6"/>
        <v>YES</v>
      </c>
      <c r="J98" s="266" t="str">
        <f t="shared" si="7"/>
        <v>NO</v>
      </c>
    </row>
    <row r="99" spans="1:10">
      <c r="A99" s="126" t="s">
        <v>290</v>
      </c>
      <c r="B99" s="87" t="s">
        <v>43</v>
      </c>
      <c r="C99" s="87" t="s">
        <v>611</v>
      </c>
      <c r="D99" s="252">
        <v>0</v>
      </c>
      <c r="E99" s="144" t="str">
        <f t="shared" si="4"/>
        <v>NO</v>
      </c>
      <c r="F99" s="143">
        <v>0</v>
      </c>
      <c r="G99" s="144" t="str">
        <f t="shared" si="5"/>
        <v>NO</v>
      </c>
      <c r="H99" s="145">
        <f>SUM('2019 Legal Max'!L98-'2019 Legal Max'!I98)</f>
        <v>-10</v>
      </c>
      <c r="I99" s="144" t="str">
        <f t="shared" si="6"/>
        <v>YES</v>
      </c>
      <c r="J99" s="266" t="str">
        <f t="shared" si="7"/>
        <v>NO</v>
      </c>
    </row>
    <row r="100" spans="1:10">
      <c r="A100" s="126" t="s">
        <v>291</v>
      </c>
      <c r="B100" s="87" t="s">
        <v>43</v>
      </c>
      <c r="C100" s="87" t="s">
        <v>612</v>
      </c>
      <c r="D100" s="252">
        <v>0</v>
      </c>
      <c r="E100" s="144" t="str">
        <f t="shared" si="4"/>
        <v>NO</v>
      </c>
      <c r="F100" s="143">
        <v>0</v>
      </c>
      <c r="G100" s="144" t="str">
        <f t="shared" si="5"/>
        <v>NO</v>
      </c>
      <c r="H100" s="145">
        <f>SUM('2019 Legal Max'!L99-'2019 Legal Max'!I99)</f>
        <v>-0.5</v>
      </c>
      <c r="I100" s="144" t="str">
        <f t="shared" si="6"/>
        <v>YES</v>
      </c>
      <c r="J100" s="266" t="str">
        <f t="shared" si="7"/>
        <v>NO</v>
      </c>
    </row>
    <row r="101" spans="1:10">
      <c r="A101" s="126" t="s">
        <v>292</v>
      </c>
      <c r="B101" s="87" t="s">
        <v>43</v>
      </c>
      <c r="C101" s="87" t="s">
        <v>613</v>
      </c>
      <c r="D101" s="252">
        <v>0</v>
      </c>
      <c r="E101" s="144" t="str">
        <f t="shared" si="4"/>
        <v>NO</v>
      </c>
      <c r="F101" s="143">
        <v>0</v>
      </c>
      <c r="G101" s="144" t="str">
        <f t="shared" si="5"/>
        <v>NO</v>
      </c>
      <c r="H101" s="145">
        <f>SUM('2019 Legal Max'!L100-'2019 Legal Max'!I100)</f>
        <v>-12.5</v>
      </c>
      <c r="I101" s="144" t="str">
        <f t="shared" si="6"/>
        <v>YES</v>
      </c>
      <c r="J101" s="266" t="str">
        <f t="shared" si="7"/>
        <v>NO</v>
      </c>
    </row>
    <row r="102" spans="1:10">
      <c r="A102" s="126" t="s">
        <v>293</v>
      </c>
      <c r="B102" s="87" t="s">
        <v>44</v>
      </c>
      <c r="C102" s="87" t="s">
        <v>614</v>
      </c>
      <c r="D102" s="252">
        <v>0</v>
      </c>
      <c r="E102" s="144" t="str">
        <f t="shared" si="4"/>
        <v>NO</v>
      </c>
      <c r="F102" s="143">
        <v>0</v>
      </c>
      <c r="G102" s="144" t="str">
        <f t="shared" si="5"/>
        <v>NO</v>
      </c>
      <c r="H102" s="145">
        <f>SUM('2019 Legal Max'!L101-'2019 Legal Max'!I101)</f>
        <v>5.4</v>
      </c>
      <c r="I102" s="144" t="str">
        <f t="shared" si="6"/>
        <v>NO</v>
      </c>
      <c r="J102" s="266" t="str">
        <f t="shared" si="7"/>
        <v>NO</v>
      </c>
    </row>
    <row r="103" spans="1:10">
      <c r="A103" s="126" t="s">
        <v>294</v>
      </c>
      <c r="B103" s="87" t="s">
        <v>6</v>
      </c>
      <c r="C103" s="87" t="s">
        <v>615</v>
      </c>
      <c r="D103" s="252">
        <v>0</v>
      </c>
      <c r="E103" s="144" t="str">
        <f t="shared" si="4"/>
        <v>NO</v>
      </c>
      <c r="F103" s="143">
        <v>0</v>
      </c>
      <c r="G103" s="144" t="str">
        <f t="shared" si="5"/>
        <v>NO</v>
      </c>
      <c r="H103" s="145">
        <f>SUM('2019 Legal Max'!L102-'2019 Legal Max'!I102)</f>
        <v>-3.5</v>
      </c>
      <c r="I103" s="144" t="str">
        <f t="shared" si="6"/>
        <v>YES</v>
      </c>
      <c r="J103" s="266" t="str">
        <f t="shared" si="7"/>
        <v>NO</v>
      </c>
    </row>
    <row r="104" spans="1:10">
      <c r="A104" s="126" t="s">
        <v>295</v>
      </c>
      <c r="B104" s="87" t="s">
        <v>45</v>
      </c>
      <c r="C104" s="87" t="s">
        <v>616</v>
      </c>
      <c r="D104" s="252">
        <v>0</v>
      </c>
      <c r="E104" s="144" t="str">
        <f t="shared" si="4"/>
        <v>NO</v>
      </c>
      <c r="F104" s="143">
        <v>0</v>
      </c>
      <c r="G104" s="144" t="str">
        <f t="shared" si="5"/>
        <v>NO</v>
      </c>
      <c r="H104" s="145">
        <f>SUM('2019 Legal Max'!L103-'2019 Legal Max'!I103)</f>
        <v>2.5</v>
      </c>
      <c r="I104" s="144" t="str">
        <f t="shared" si="6"/>
        <v>NO</v>
      </c>
      <c r="J104" s="266" t="str">
        <f t="shared" si="7"/>
        <v>NO</v>
      </c>
    </row>
    <row r="105" spans="1:10">
      <c r="A105" s="126" t="s">
        <v>296</v>
      </c>
      <c r="B105" s="87" t="s">
        <v>45</v>
      </c>
      <c r="C105" s="87" t="s">
        <v>617</v>
      </c>
      <c r="D105" s="252">
        <v>0</v>
      </c>
      <c r="E105" s="144" t="str">
        <f t="shared" si="4"/>
        <v>NO</v>
      </c>
      <c r="F105" s="143">
        <v>0</v>
      </c>
      <c r="G105" s="144" t="str">
        <f t="shared" si="5"/>
        <v>NO</v>
      </c>
      <c r="H105" s="145">
        <f>SUM('2019 Legal Max'!L104-'2019 Legal Max'!I104)</f>
        <v>1.4</v>
      </c>
      <c r="I105" s="144" t="str">
        <f t="shared" si="6"/>
        <v>NO</v>
      </c>
      <c r="J105" s="266" t="str">
        <f t="shared" si="7"/>
        <v>NO</v>
      </c>
    </row>
    <row r="106" spans="1:10">
      <c r="A106" s="126" t="s">
        <v>297</v>
      </c>
      <c r="B106" s="87" t="s">
        <v>46</v>
      </c>
      <c r="C106" s="87" t="s">
        <v>618</v>
      </c>
      <c r="D106" s="252">
        <v>0</v>
      </c>
      <c r="E106" s="144" t="str">
        <f t="shared" si="4"/>
        <v>NO</v>
      </c>
      <c r="F106" s="143">
        <v>0</v>
      </c>
      <c r="G106" s="144" t="str">
        <f t="shared" si="5"/>
        <v>NO</v>
      </c>
      <c r="H106" s="145">
        <f>SUM('2019 Legal Max'!L105-'2019 Legal Max'!I105)</f>
        <v>2.5</v>
      </c>
      <c r="I106" s="144" t="str">
        <f t="shared" si="6"/>
        <v>NO</v>
      </c>
      <c r="J106" s="266" t="str">
        <f t="shared" si="7"/>
        <v>NO</v>
      </c>
    </row>
    <row r="107" spans="1:10">
      <c r="A107" s="126" t="s">
        <v>298</v>
      </c>
      <c r="B107" s="87" t="s">
        <v>47</v>
      </c>
      <c r="C107" s="87" t="s">
        <v>619</v>
      </c>
      <c r="D107" s="252">
        <v>0</v>
      </c>
      <c r="E107" s="144" t="str">
        <f t="shared" si="4"/>
        <v>NO</v>
      </c>
      <c r="F107" s="143">
        <v>0</v>
      </c>
      <c r="G107" s="144" t="str">
        <f t="shared" si="5"/>
        <v>NO</v>
      </c>
      <c r="H107" s="145">
        <f>SUM('2019 Legal Max'!L106-'2019 Legal Max'!I106)</f>
        <v>-25.8</v>
      </c>
      <c r="I107" s="144" t="str">
        <f t="shared" si="6"/>
        <v>YES</v>
      </c>
      <c r="J107" s="266" t="str">
        <f t="shared" si="7"/>
        <v>NO</v>
      </c>
    </row>
    <row r="108" spans="1:10">
      <c r="A108" s="126" t="s">
        <v>299</v>
      </c>
      <c r="B108" s="87" t="s">
        <v>48</v>
      </c>
      <c r="C108" s="87" t="s">
        <v>620</v>
      </c>
      <c r="D108" s="252">
        <v>0</v>
      </c>
      <c r="E108" s="144" t="str">
        <f t="shared" si="4"/>
        <v>NO</v>
      </c>
      <c r="F108" s="143">
        <v>1</v>
      </c>
      <c r="G108" s="144" t="str">
        <f t="shared" si="5"/>
        <v>YES</v>
      </c>
      <c r="H108" s="145">
        <f>SUM('2019 Legal Max'!L107-'2019 Legal Max'!I107)</f>
        <v>56.2</v>
      </c>
      <c r="I108" s="144" t="str">
        <f t="shared" si="6"/>
        <v>NO</v>
      </c>
      <c r="J108" s="266" t="str">
        <f t="shared" si="7"/>
        <v>NO</v>
      </c>
    </row>
    <row r="109" spans="1:10">
      <c r="A109" s="126" t="s">
        <v>300</v>
      </c>
      <c r="B109" s="87" t="s">
        <v>48</v>
      </c>
      <c r="C109" s="87" t="s">
        <v>621</v>
      </c>
      <c r="D109" s="252">
        <v>0</v>
      </c>
      <c r="E109" s="144" t="str">
        <f t="shared" si="4"/>
        <v>NO</v>
      </c>
      <c r="F109" s="143">
        <v>0</v>
      </c>
      <c r="G109" s="144" t="str">
        <f t="shared" si="5"/>
        <v>NO</v>
      </c>
      <c r="H109" s="145">
        <f>SUM('2019 Legal Max'!L108-'2019 Legal Max'!I108)</f>
        <v>-33</v>
      </c>
      <c r="I109" s="144" t="str">
        <f t="shared" si="6"/>
        <v>YES</v>
      </c>
      <c r="J109" s="266" t="str">
        <f t="shared" si="7"/>
        <v>NO</v>
      </c>
    </row>
    <row r="110" spans="1:10">
      <c r="A110" s="126" t="s">
        <v>301</v>
      </c>
      <c r="B110" s="87" t="s">
        <v>48</v>
      </c>
      <c r="C110" s="87" t="s">
        <v>622</v>
      </c>
      <c r="D110" s="252">
        <v>20441</v>
      </c>
      <c r="E110" s="144" t="str">
        <f t="shared" si="4"/>
        <v>YES</v>
      </c>
      <c r="F110" s="143">
        <v>0</v>
      </c>
      <c r="G110" s="144" t="str">
        <f t="shared" si="5"/>
        <v>NO</v>
      </c>
      <c r="H110" s="145">
        <f>SUM('2019 Legal Max'!L109-'2019 Legal Max'!I109)</f>
        <v>-11</v>
      </c>
      <c r="I110" s="144" t="str">
        <f t="shared" si="6"/>
        <v>YES</v>
      </c>
      <c r="J110" s="266" t="str">
        <f t="shared" si="7"/>
        <v>NO</v>
      </c>
    </row>
    <row r="111" spans="1:10">
      <c r="A111" s="126" t="s">
        <v>302</v>
      </c>
      <c r="B111" s="87" t="s">
        <v>49</v>
      </c>
      <c r="C111" s="87" t="s">
        <v>623</v>
      </c>
      <c r="D111" s="252">
        <v>0</v>
      </c>
      <c r="E111" s="144" t="str">
        <f t="shared" si="4"/>
        <v>NO</v>
      </c>
      <c r="F111" s="143">
        <v>1</v>
      </c>
      <c r="G111" s="144" t="str">
        <f t="shared" si="5"/>
        <v>YES</v>
      </c>
      <c r="H111" s="145">
        <f>SUM('2019 Legal Max'!L110-'2019 Legal Max'!I110)</f>
        <v>-21.3</v>
      </c>
      <c r="I111" s="144" t="str">
        <f t="shared" si="6"/>
        <v>YES</v>
      </c>
      <c r="J111" s="266" t="str">
        <f t="shared" si="7"/>
        <v>NO</v>
      </c>
    </row>
    <row r="112" spans="1:10">
      <c r="A112" s="126" t="s">
        <v>303</v>
      </c>
      <c r="B112" s="87" t="s">
        <v>49</v>
      </c>
      <c r="C112" s="87" t="s">
        <v>624</v>
      </c>
      <c r="D112" s="252">
        <v>0</v>
      </c>
      <c r="E112" s="144" t="str">
        <f t="shared" si="4"/>
        <v>NO</v>
      </c>
      <c r="F112" s="143">
        <v>0</v>
      </c>
      <c r="G112" s="144" t="str">
        <f t="shared" si="5"/>
        <v>NO</v>
      </c>
      <c r="H112" s="145">
        <f>SUM('2019 Legal Max'!L111-'2019 Legal Max'!I111)</f>
        <v>-3.3</v>
      </c>
      <c r="I112" s="144" t="str">
        <f t="shared" si="6"/>
        <v>YES</v>
      </c>
      <c r="J112" s="266" t="str">
        <f t="shared" si="7"/>
        <v>NO</v>
      </c>
    </row>
    <row r="113" spans="1:10">
      <c r="A113" s="126" t="s">
        <v>304</v>
      </c>
      <c r="B113" s="87" t="s">
        <v>49</v>
      </c>
      <c r="C113" s="87" t="s">
        <v>625</v>
      </c>
      <c r="D113" s="252">
        <v>0</v>
      </c>
      <c r="E113" s="144" t="str">
        <f t="shared" si="4"/>
        <v>NO</v>
      </c>
      <c r="F113" s="143">
        <v>0</v>
      </c>
      <c r="G113" s="144" t="str">
        <f t="shared" si="5"/>
        <v>NO</v>
      </c>
      <c r="H113" s="145">
        <f>SUM('2019 Legal Max'!L112-'2019 Legal Max'!I112)</f>
        <v>-5</v>
      </c>
      <c r="I113" s="144" t="str">
        <f t="shared" si="6"/>
        <v>YES</v>
      </c>
      <c r="J113" s="266" t="str">
        <f t="shared" si="7"/>
        <v>NO</v>
      </c>
    </row>
    <row r="114" spans="1:10">
      <c r="A114" s="126" t="s">
        <v>305</v>
      </c>
      <c r="B114" s="87" t="s">
        <v>49</v>
      </c>
      <c r="C114" s="87" t="s">
        <v>626</v>
      </c>
      <c r="D114" s="252">
        <v>0</v>
      </c>
      <c r="E114" s="144" t="str">
        <f t="shared" si="4"/>
        <v>NO</v>
      </c>
      <c r="F114" s="143">
        <v>0</v>
      </c>
      <c r="G114" s="144" t="str">
        <f t="shared" si="5"/>
        <v>NO</v>
      </c>
      <c r="H114" s="145">
        <f>SUM('2019 Legal Max'!L113-'2019 Legal Max'!I113)</f>
        <v>15.1</v>
      </c>
      <c r="I114" s="144" t="str">
        <f t="shared" si="6"/>
        <v>NO</v>
      </c>
      <c r="J114" s="266" t="str">
        <f t="shared" si="7"/>
        <v>NO</v>
      </c>
    </row>
    <row r="115" spans="1:10">
      <c r="A115" s="126" t="s">
        <v>306</v>
      </c>
      <c r="B115" s="87" t="s">
        <v>49</v>
      </c>
      <c r="C115" s="87" t="s">
        <v>627</v>
      </c>
      <c r="D115" s="252">
        <v>0</v>
      </c>
      <c r="E115" s="144" t="str">
        <f t="shared" si="4"/>
        <v>NO</v>
      </c>
      <c r="F115" s="143">
        <v>1</v>
      </c>
      <c r="G115" s="144" t="str">
        <f t="shared" si="5"/>
        <v>YES</v>
      </c>
      <c r="H115" s="145">
        <f>SUM('2019 Legal Max'!L114-'2019 Legal Max'!I114)</f>
        <v>-28</v>
      </c>
      <c r="I115" s="144" t="str">
        <f t="shared" si="6"/>
        <v>YES</v>
      </c>
      <c r="J115" s="266" t="str">
        <f t="shared" si="7"/>
        <v>NO</v>
      </c>
    </row>
    <row r="116" spans="1:10">
      <c r="A116" s="126" t="s">
        <v>307</v>
      </c>
      <c r="B116" s="87" t="s">
        <v>49</v>
      </c>
      <c r="C116" s="87" t="s">
        <v>628</v>
      </c>
      <c r="D116" s="252">
        <v>0</v>
      </c>
      <c r="E116" s="144" t="str">
        <f t="shared" si="4"/>
        <v>NO</v>
      </c>
      <c r="F116" s="143">
        <v>1</v>
      </c>
      <c r="G116" s="144" t="str">
        <f t="shared" si="5"/>
        <v>YES</v>
      </c>
      <c r="H116" s="145">
        <f>SUM('2019 Legal Max'!L115-'2019 Legal Max'!I115)</f>
        <v>5.4</v>
      </c>
      <c r="I116" s="144" t="str">
        <f t="shared" si="6"/>
        <v>NO</v>
      </c>
      <c r="J116" s="266" t="str">
        <f t="shared" si="7"/>
        <v>NO</v>
      </c>
    </row>
    <row r="117" spans="1:10">
      <c r="A117" s="126" t="s">
        <v>308</v>
      </c>
      <c r="B117" s="87" t="s">
        <v>50</v>
      </c>
      <c r="C117" s="87" t="s">
        <v>629</v>
      </c>
      <c r="D117" s="252">
        <v>0</v>
      </c>
      <c r="E117" s="144" t="str">
        <f t="shared" si="4"/>
        <v>NO</v>
      </c>
      <c r="F117" s="143">
        <v>0</v>
      </c>
      <c r="G117" s="144" t="str">
        <f t="shared" si="5"/>
        <v>NO</v>
      </c>
      <c r="H117" s="145">
        <f>SUM('2019 Legal Max'!L116-'2019 Legal Max'!I116)</f>
        <v>-10.3</v>
      </c>
      <c r="I117" s="144" t="str">
        <f t="shared" si="6"/>
        <v>YES</v>
      </c>
      <c r="J117" s="266" t="str">
        <f t="shared" si="7"/>
        <v>NO</v>
      </c>
    </row>
    <row r="118" spans="1:10">
      <c r="A118" s="126" t="s">
        <v>309</v>
      </c>
      <c r="B118" s="87" t="s">
        <v>50</v>
      </c>
      <c r="C118" s="87" t="s">
        <v>630</v>
      </c>
      <c r="D118" s="252">
        <v>0</v>
      </c>
      <c r="E118" s="144" t="str">
        <f t="shared" si="4"/>
        <v>NO</v>
      </c>
      <c r="F118" s="143">
        <v>0</v>
      </c>
      <c r="G118" s="144" t="str">
        <f t="shared" si="5"/>
        <v>NO</v>
      </c>
      <c r="H118" s="145">
        <f>SUM('2019 Legal Max'!L117-'2019 Legal Max'!I117)</f>
        <v>35</v>
      </c>
      <c r="I118" s="144" t="str">
        <f t="shared" si="6"/>
        <v>NO</v>
      </c>
      <c r="J118" s="266" t="str">
        <f t="shared" si="7"/>
        <v>NO</v>
      </c>
    </row>
    <row r="119" spans="1:10">
      <c r="A119" s="126" t="s">
        <v>310</v>
      </c>
      <c r="B119" s="87" t="s">
        <v>50</v>
      </c>
      <c r="C119" s="87" t="s">
        <v>631</v>
      </c>
      <c r="D119" s="252">
        <v>0</v>
      </c>
      <c r="E119" s="144" t="str">
        <f t="shared" si="4"/>
        <v>NO</v>
      </c>
      <c r="F119" s="143">
        <v>0</v>
      </c>
      <c r="G119" s="144" t="str">
        <f t="shared" si="5"/>
        <v>NO</v>
      </c>
      <c r="H119" s="145">
        <f>SUM('2019 Legal Max'!L118-'2019 Legal Max'!I118)</f>
        <v>2.5</v>
      </c>
      <c r="I119" s="144" t="str">
        <f t="shared" si="6"/>
        <v>NO</v>
      </c>
      <c r="J119" s="266" t="str">
        <f t="shared" si="7"/>
        <v>NO</v>
      </c>
    </row>
    <row r="120" spans="1:10">
      <c r="A120" s="126" t="s">
        <v>311</v>
      </c>
      <c r="B120" s="87" t="s">
        <v>52</v>
      </c>
      <c r="C120" s="87" t="s">
        <v>632</v>
      </c>
      <c r="D120" s="252">
        <v>0</v>
      </c>
      <c r="E120" s="144" t="str">
        <f t="shared" si="4"/>
        <v>NO</v>
      </c>
      <c r="F120" s="143">
        <v>1</v>
      </c>
      <c r="G120" s="144" t="str">
        <f t="shared" si="5"/>
        <v>YES</v>
      </c>
      <c r="H120" s="145">
        <f>SUM('2019 Legal Max'!L119-'2019 Legal Max'!I119)</f>
        <v>18.399999999999999</v>
      </c>
      <c r="I120" s="144" t="str">
        <f t="shared" si="6"/>
        <v>NO</v>
      </c>
      <c r="J120" s="266" t="str">
        <f t="shared" si="7"/>
        <v>NO</v>
      </c>
    </row>
    <row r="121" spans="1:10">
      <c r="A121" s="126" t="s">
        <v>312</v>
      </c>
      <c r="B121" s="87" t="s">
        <v>52</v>
      </c>
      <c r="C121" s="87" t="s">
        <v>633</v>
      </c>
      <c r="D121" s="252">
        <v>0</v>
      </c>
      <c r="E121" s="144" t="str">
        <f t="shared" si="4"/>
        <v>NO</v>
      </c>
      <c r="F121" s="143">
        <v>1</v>
      </c>
      <c r="G121" s="144" t="str">
        <f t="shared" si="5"/>
        <v>YES</v>
      </c>
      <c r="H121" s="145">
        <f>SUM('2019 Legal Max'!L120-'2019 Legal Max'!I120)</f>
        <v>-45.6</v>
      </c>
      <c r="I121" s="144" t="str">
        <f t="shared" si="6"/>
        <v>YES</v>
      </c>
      <c r="J121" s="266" t="str">
        <f t="shared" si="7"/>
        <v>NO</v>
      </c>
    </row>
    <row r="122" spans="1:10">
      <c r="A122" s="126" t="s">
        <v>313</v>
      </c>
      <c r="B122" s="87" t="s">
        <v>52</v>
      </c>
      <c r="C122" s="87" t="s">
        <v>634</v>
      </c>
      <c r="D122" s="252">
        <v>0</v>
      </c>
      <c r="E122" s="144" t="str">
        <f t="shared" si="4"/>
        <v>NO</v>
      </c>
      <c r="F122" s="143">
        <v>0</v>
      </c>
      <c r="G122" s="144" t="str">
        <f t="shared" si="5"/>
        <v>NO</v>
      </c>
      <c r="H122" s="145">
        <f>SUM('2019 Legal Max'!L121-'2019 Legal Max'!I121)</f>
        <v>-2</v>
      </c>
      <c r="I122" s="144" t="str">
        <f t="shared" si="6"/>
        <v>YES</v>
      </c>
      <c r="J122" s="266" t="str">
        <f t="shared" si="7"/>
        <v>NO</v>
      </c>
    </row>
    <row r="123" spans="1:10">
      <c r="A123" s="126" t="s">
        <v>314</v>
      </c>
      <c r="B123" s="87" t="s">
        <v>52</v>
      </c>
      <c r="C123" s="87" t="s">
        <v>635</v>
      </c>
      <c r="D123" s="252">
        <v>0</v>
      </c>
      <c r="E123" s="144" t="str">
        <f t="shared" si="4"/>
        <v>NO</v>
      </c>
      <c r="F123" s="143">
        <v>1</v>
      </c>
      <c r="G123" s="144" t="str">
        <f t="shared" si="5"/>
        <v>YES</v>
      </c>
      <c r="H123" s="145">
        <f>SUM('2019 Legal Max'!L122-'2019 Legal Max'!I122)</f>
        <v>24.9</v>
      </c>
      <c r="I123" s="144" t="str">
        <f t="shared" si="6"/>
        <v>NO</v>
      </c>
      <c r="J123" s="266" t="str">
        <f t="shared" si="7"/>
        <v>NO</v>
      </c>
    </row>
    <row r="124" spans="1:10">
      <c r="A124" s="126" t="s">
        <v>315</v>
      </c>
      <c r="B124" s="87" t="s">
        <v>53</v>
      </c>
      <c r="C124" s="87" t="s">
        <v>636</v>
      </c>
      <c r="D124" s="252">
        <v>0</v>
      </c>
      <c r="E124" s="144" t="str">
        <f t="shared" si="4"/>
        <v>NO</v>
      </c>
      <c r="F124" s="143">
        <v>0</v>
      </c>
      <c r="G124" s="144" t="str">
        <f t="shared" si="5"/>
        <v>NO</v>
      </c>
      <c r="H124" s="145">
        <f>SUM('2019 Legal Max'!L123-'2019 Legal Max'!I123)</f>
        <v>4.3</v>
      </c>
      <c r="I124" s="144" t="str">
        <f t="shared" si="6"/>
        <v>NO</v>
      </c>
      <c r="J124" s="266" t="str">
        <f t="shared" si="7"/>
        <v>NO</v>
      </c>
    </row>
    <row r="125" spans="1:10">
      <c r="A125" s="126" t="s">
        <v>316</v>
      </c>
      <c r="B125" s="87" t="s">
        <v>53</v>
      </c>
      <c r="C125" s="87" t="s">
        <v>637</v>
      </c>
      <c r="D125" s="252">
        <v>0</v>
      </c>
      <c r="E125" s="144" t="str">
        <f t="shared" si="4"/>
        <v>NO</v>
      </c>
      <c r="F125" s="143">
        <v>0</v>
      </c>
      <c r="G125" s="144" t="str">
        <f t="shared" si="5"/>
        <v>NO</v>
      </c>
      <c r="H125" s="145">
        <f>SUM('2019 Legal Max'!L124-'2019 Legal Max'!I124)</f>
        <v>2.5</v>
      </c>
      <c r="I125" s="144" t="str">
        <f t="shared" si="6"/>
        <v>NO</v>
      </c>
      <c r="J125" s="266" t="str">
        <f t="shared" si="7"/>
        <v>NO</v>
      </c>
    </row>
    <row r="126" spans="1:10">
      <c r="A126" s="126" t="s">
        <v>317</v>
      </c>
      <c r="B126" s="87" t="s">
        <v>54</v>
      </c>
      <c r="C126" s="87" t="s">
        <v>638</v>
      </c>
      <c r="D126" s="252">
        <v>0</v>
      </c>
      <c r="E126" s="144" t="str">
        <f t="shared" si="4"/>
        <v>NO</v>
      </c>
      <c r="F126" s="143">
        <v>0</v>
      </c>
      <c r="G126" s="144" t="str">
        <f t="shared" si="5"/>
        <v>NO</v>
      </c>
      <c r="H126" s="145">
        <f>SUM('2019 Legal Max'!L125-'2019 Legal Max'!I125)</f>
        <v>5.3</v>
      </c>
      <c r="I126" s="144" t="str">
        <f t="shared" si="6"/>
        <v>NO</v>
      </c>
      <c r="J126" s="266" t="str">
        <f t="shared" si="7"/>
        <v>NO</v>
      </c>
    </row>
    <row r="127" spans="1:10">
      <c r="A127" s="126" t="s">
        <v>318</v>
      </c>
      <c r="B127" s="87" t="s">
        <v>55</v>
      </c>
      <c r="C127" s="87" t="s">
        <v>639</v>
      </c>
      <c r="D127" s="252">
        <v>0</v>
      </c>
      <c r="E127" s="144" t="str">
        <f t="shared" si="4"/>
        <v>NO</v>
      </c>
      <c r="F127" s="143">
        <v>1</v>
      </c>
      <c r="G127" s="144" t="str">
        <f t="shared" si="5"/>
        <v>YES</v>
      </c>
      <c r="H127" s="145">
        <f>SUM('2019 Legal Max'!L126-'2019 Legal Max'!I126)</f>
        <v>7</v>
      </c>
      <c r="I127" s="144" t="str">
        <f t="shared" si="6"/>
        <v>NO</v>
      </c>
      <c r="J127" s="266" t="str">
        <f t="shared" si="7"/>
        <v>NO</v>
      </c>
    </row>
    <row r="128" spans="1:10">
      <c r="A128" s="126" t="s">
        <v>319</v>
      </c>
      <c r="B128" s="87" t="s">
        <v>55</v>
      </c>
      <c r="C128" s="87" t="s">
        <v>640</v>
      </c>
      <c r="D128" s="252">
        <v>0</v>
      </c>
      <c r="E128" s="144" t="str">
        <f t="shared" si="4"/>
        <v>NO</v>
      </c>
      <c r="F128" s="143">
        <v>1</v>
      </c>
      <c r="G128" s="144" t="str">
        <f t="shared" si="5"/>
        <v>YES</v>
      </c>
      <c r="H128" s="145">
        <f>SUM('2019 Legal Max'!L127-'2019 Legal Max'!I127)</f>
        <v>-37.5</v>
      </c>
      <c r="I128" s="144" t="str">
        <f t="shared" si="6"/>
        <v>YES</v>
      </c>
      <c r="J128" s="266" t="str">
        <f t="shared" si="7"/>
        <v>NO</v>
      </c>
    </row>
    <row r="129" spans="1:10">
      <c r="A129" s="126" t="s">
        <v>320</v>
      </c>
      <c r="B129" s="87" t="s">
        <v>56</v>
      </c>
      <c r="C129" s="87" t="s">
        <v>641</v>
      </c>
      <c r="D129" s="252">
        <v>0</v>
      </c>
      <c r="E129" s="144" t="str">
        <f t="shared" si="4"/>
        <v>NO</v>
      </c>
      <c r="F129" s="143">
        <v>1</v>
      </c>
      <c r="G129" s="144" t="str">
        <f t="shared" si="5"/>
        <v>YES</v>
      </c>
      <c r="H129" s="145">
        <f>SUM('2019 Legal Max'!L128-'2019 Legal Max'!I128)</f>
        <v>-36</v>
      </c>
      <c r="I129" s="144" t="str">
        <f t="shared" si="6"/>
        <v>YES</v>
      </c>
      <c r="J129" s="266" t="str">
        <f t="shared" si="7"/>
        <v>NO</v>
      </c>
    </row>
    <row r="130" spans="1:10">
      <c r="A130" s="126" t="s">
        <v>321</v>
      </c>
      <c r="B130" s="87" t="s">
        <v>56</v>
      </c>
      <c r="C130" s="87" t="s">
        <v>642</v>
      </c>
      <c r="D130" s="252">
        <v>0</v>
      </c>
      <c r="E130" s="144" t="str">
        <f t="shared" si="4"/>
        <v>NO</v>
      </c>
      <c r="F130" s="143">
        <v>0</v>
      </c>
      <c r="G130" s="144" t="str">
        <f t="shared" si="5"/>
        <v>NO</v>
      </c>
      <c r="H130" s="145">
        <f>SUM('2019 Legal Max'!L129-'2019 Legal Max'!I129)</f>
        <v>1.5</v>
      </c>
      <c r="I130" s="144" t="str">
        <f t="shared" si="6"/>
        <v>NO</v>
      </c>
      <c r="J130" s="266" t="str">
        <f t="shared" si="7"/>
        <v>NO</v>
      </c>
    </row>
    <row r="131" spans="1:10">
      <c r="A131" s="126" t="s">
        <v>322</v>
      </c>
      <c r="B131" s="87" t="s">
        <v>57</v>
      </c>
      <c r="C131" s="87" t="s">
        <v>643</v>
      </c>
      <c r="D131" s="252">
        <v>0</v>
      </c>
      <c r="E131" s="144" t="str">
        <f t="shared" si="4"/>
        <v>NO</v>
      </c>
      <c r="F131" s="143">
        <v>1</v>
      </c>
      <c r="G131" s="144" t="str">
        <f t="shared" si="5"/>
        <v>YES</v>
      </c>
      <c r="H131" s="145">
        <f>SUM('2019 Legal Max'!L130-'2019 Legal Max'!I130)</f>
        <v>15.7</v>
      </c>
      <c r="I131" s="144" t="str">
        <f t="shared" si="6"/>
        <v>NO</v>
      </c>
      <c r="J131" s="266" t="str">
        <f t="shared" si="7"/>
        <v>NO</v>
      </c>
    </row>
    <row r="132" spans="1:10">
      <c r="A132" s="126" t="s">
        <v>323</v>
      </c>
      <c r="B132" s="87" t="s">
        <v>57</v>
      </c>
      <c r="C132" s="87" t="s">
        <v>644</v>
      </c>
      <c r="D132" s="252">
        <v>0</v>
      </c>
      <c r="E132" s="144" t="str">
        <f t="shared" si="4"/>
        <v>NO</v>
      </c>
      <c r="F132" s="143">
        <v>0</v>
      </c>
      <c r="G132" s="144" t="str">
        <f t="shared" si="5"/>
        <v>NO</v>
      </c>
      <c r="H132" s="145">
        <f>SUM('2019 Legal Max'!L131-'2019 Legal Max'!I131)</f>
        <v>-19</v>
      </c>
      <c r="I132" s="144" t="str">
        <f t="shared" si="6"/>
        <v>YES</v>
      </c>
      <c r="J132" s="266" t="str">
        <f t="shared" si="7"/>
        <v>NO</v>
      </c>
    </row>
    <row r="133" spans="1:10">
      <c r="A133" s="126" t="s">
        <v>324</v>
      </c>
      <c r="B133" s="87" t="s">
        <v>58</v>
      </c>
      <c r="C133" s="87" t="s">
        <v>645</v>
      </c>
      <c r="D133" s="252">
        <v>0</v>
      </c>
      <c r="E133" s="144" t="str">
        <f t="shared" si="4"/>
        <v>NO</v>
      </c>
      <c r="F133" s="143">
        <v>0</v>
      </c>
      <c r="G133" s="144" t="str">
        <f t="shared" si="5"/>
        <v>NO</v>
      </c>
      <c r="H133" s="145">
        <f>SUM('2019 Legal Max'!L132-'2019 Legal Max'!I132)</f>
        <v>18</v>
      </c>
      <c r="I133" s="144" t="str">
        <f t="shared" si="6"/>
        <v>NO</v>
      </c>
      <c r="J133" s="266" t="str">
        <f t="shared" si="7"/>
        <v>NO</v>
      </c>
    </row>
    <row r="134" spans="1:10">
      <c r="A134" s="126" t="s">
        <v>325</v>
      </c>
      <c r="B134" s="87" t="s">
        <v>58</v>
      </c>
      <c r="C134" s="87" t="s">
        <v>646</v>
      </c>
      <c r="D134" s="252">
        <v>0</v>
      </c>
      <c r="E134" s="144" t="str">
        <f t="shared" si="4"/>
        <v>NO</v>
      </c>
      <c r="F134" s="143">
        <v>0</v>
      </c>
      <c r="G134" s="144" t="str">
        <f t="shared" si="5"/>
        <v>NO</v>
      </c>
      <c r="H134" s="145">
        <f>SUM('2019 Legal Max'!L133-'2019 Legal Max'!I133)</f>
        <v>24.5</v>
      </c>
      <c r="I134" s="144" t="str">
        <f t="shared" si="6"/>
        <v>NO</v>
      </c>
      <c r="J134" s="266" t="str">
        <f t="shared" si="7"/>
        <v>NO</v>
      </c>
    </row>
    <row r="135" spans="1:10">
      <c r="A135" s="126" t="s">
        <v>326</v>
      </c>
      <c r="B135" s="87" t="s">
        <v>58</v>
      </c>
      <c r="C135" s="87" t="s">
        <v>647</v>
      </c>
      <c r="D135" s="252">
        <v>250981</v>
      </c>
      <c r="E135" s="144" t="str">
        <f t="shared" ref="E135:E198" si="8">IF(D135&gt;0, "YES", "NO")</f>
        <v>YES</v>
      </c>
      <c r="F135" s="143">
        <v>1</v>
      </c>
      <c r="G135" s="144" t="str">
        <f t="shared" ref="G135:G198" si="9">IF(F135&gt;0, "YES", "NO")</f>
        <v>YES</v>
      </c>
      <c r="H135" s="145">
        <f>SUM('2019 Legal Max'!L134-'2019 Legal Max'!I134)</f>
        <v>-37.9</v>
      </c>
      <c r="I135" s="144" t="str">
        <f t="shared" ref="I135:I198" si="10">IF(H135&lt;0, "YES", "NO")</f>
        <v>YES</v>
      </c>
      <c r="J135" s="266" t="str">
        <f t="shared" ref="J135:J198" si="11">IF(AND(E135="YES", G135="YES", I135="YES"), "YES", "NO")</f>
        <v>YES</v>
      </c>
    </row>
    <row r="136" spans="1:10">
      <c r="A136" s="126" t="s">
        <v>327</v>
      </c>
      <c r="B136" s="87" t="s">
        <v>59</v>
      </c>
      <c r="C136" s="87" t="s">
        <v>648</v>
      </c>
      <c r="D136" s="252">
        <v>0</v>
      </c>
      <c r="E136" s="144" t="str">
        <f t="shared" si="8"/>
        <v>NO</v>
      </c>
      <c r="F136" s="143">
        <v>1</v>
      </c>
      <c r="G136" s="144" t="str">
        <f t="shared" si="9"/>
        <v>YES</v>
      </c>
      <c r="H136" s="145">
        <f>SUM('2019 Legal Max'!L135-'2019 Legal Max'!I135)</f>
        <v>-14.5</v>
      </c>
      <c r="I136" s="144" t="str">
        <f t="shared" si="10"/>
        <v>YES</v>
      </c>
      <c r="J136" s="266" t="str">
        <f t="shared" si="11"/>
        <v>NO</v>
      </c>
    </row>
    <row r="137" spans="1:10">
      <c r="A137" s="126" t="s">
        <v>328</v>
      </c>
      <c r="B137" s="87" t="s">
        <v>59</v>
      </c>
      <c r="C137" s="87" t="s">
        <v>649</v>
      </c>
      <c r="D137" s="252">
        <v>0</v>
      </c>
      <c r="E137" s="144" t="str">
        <f t="shared" si="8"/>
        <v>NO</v>
      </c>
      <c r="F137" s="143">
        <v>1</v>
      </c>
      <c r="G137" s="144" t="str">
        <f t="shared" si="9"/>
        <v>YES</v>
      </c>
      <c r="H137" s="145">
        <f>SUM('2019 Legal Max'!L136-'2019 Legal Max'!I136)</f>
        <v>-1</v>
      </c>
      <c r="I137" s="144" t="str">
        <f t="shared" si="10"/>
        <v>YES</v>
      </c>
      <c r="J137" s="266" t="str">
        <f t="shared" si="11"/>
        <v>NO</v>
      </c>
    </row>
    <row r="138" spans="1:10">
      <c r="A138" s="126" t="s">
        <v>329</v>
      </c>
      <c r="B138" s="87" t="s">
        <v>59</v>
      </c>
      <c r="C138" s="87" t="s">
        <v>650</v>
      </c>
      <c r="D138" s="252">
        <v>27397</v>
      </c>
      <c r="E138" s="144" t="str">
        <f t="shared" si="8"/>
        <v>YES</v>
      </c>
      <c r="F138" s="143">
        <v>1</v>
      </c>
      <c r="G138" s="144" t="str">
        <f t="shared" si="9"/>
        <v>YES</v>
      </c>
      <c r="H138" s="145">
        <f>SUM('2019 Legal Max'!L137-'2019 Legal Max'!I137)</f>
        <v>-6.8</v>
      </c>
      <c r="I138" s="144" t="str">
        <f t="shared" si="10"/>
        <v>YES</v>
      </c>
      <c r="J138" s="266" t="str">
        <f t="shared" si="11"/>
        <v>YES</v>
      </c>
    </row>
    <row r="139" spans="1:10">
      <c r="A139" s="126" t="s">
        <v>330</v>
      </c>
      <c r="B139" s="87" t="s">
        <v>59</v>
      </c>
      <c r="C139" s="87" t="s">
        <v>651</v>
      </c>
      <c r="D139" s="252">
        <v>40142</v>
      </c>
      <c r="E139" s="144" t="str">
        <f t="shared" si="8"/>
        <v>YES</v>
      </c>
      <c r="F139" s="143">
        <v>0</v>
      </c>
      <c r="G139" s="144" t="str">
        <f t="shared" si="9"/>
        <v>NO</v>
      </c>
      <c r="H139" s="145">
        <f>SUM('2019 Legal Max'!L138-'2019 Legal Max'!I138)</f>
        <v>-17.600000000000001</v>
      </c>
      <c r="I139" s="144" t="str">
        <f t="shared" si="10"/>
        <v>YES</v>
      </c>
      <c r="J139" s="266" t="str">
        <f t="shared" si="11"/>
        <v>NO</v>
      </c>
    </row>
    <row r="140" spans="1:10">
      <c r="A140" s="126" t="s">
        <v>331</v>
      </c>
      <c r="B140" s="87" t="s">
        <v>59</v>
      </c>
      <c r="C140" s="87" t="s">
        <v>652</v>
      </c>
      <c r="D140" s="252">
        <v>0</v>
      </c>
      <c r="E140" s="144" t="str">
        <f t="shared" si="8"/>
        <v>NO</v>
      </c>
      <c r="F140" s="143">
        <v>1</v>
      </c>
      <c r="G140" s="144" t="str">
        <f t="shared" si="9"/>
        <v>YES</v>
      </c>
      <c r="H140" s="145">
        <f>SUM('2019 Legal Max'!L139-'2019 Legal Max'!I139)</f>
        <v>10.4</v>
      </c>
      <c r="I140" s="144" t="str">
        <f t="shared" si="10"/>
        <v>NO</v>
      </c>
      <c r="J140" s="266" t="str">
        <f t="shared" si="11"/>
        <v>NO</v>
      </c>
    </row>
    <row r="141" spans="1:10">
      <c r="A141" s="126" t="s">
        <v>332</v>
      </c>
      <c r="B141" s="87" t="s">
        <v>59</v>
      </c>
      <c r="C141" s="87" t="s">
        <v>653</v>
      </c>
      <c r="D141" s="252">
        <v>26192</v>
      </c>
      <c r="E141" s="144" t="str">
        <f t="shared" si="8"/>
        <v>YES</v>
      </c>
      <c r="F141" s="143">
        <v>0</v>
      </c>
      <c r="G141" s="144" t="str">
        <f t="shared" si="9"/>
        <v>NO</v>
      </c>
      <c r="H141" s="145">
        <f>SUM('2019 Legal Max'!L140-'2019 Legal Max'!I140)</f>
        <v>-2.5</v>
      </c>
      <c r="I141" s="144" t="str">
        <f t="shared" si="10"/>
        <v>YES</v>
      </c>
      <c r="J141" s="266" t="str">
        <f t="shared" si="11"/>
        <v>NO</v>
      </c>
    </row>
    <row r="142" spans="1:10">
      <c r="A142" s="126" t="s">
        <v>333</v>
      </c>
      <c r="B142" s="87" t="s">
        <v>60</v>
      </c>
      <c r="C142" s="87" t="s">
        <v>654</v>
      </c>
      <c r="D142" s="252">
        <v>0</v>
      </c>
      <c r="E142" s="144" t="str">
        <f t="shared" si="8"/>
        <v>NO</v>
      </c>
      <c r="F142" s="143">
        <v>0</v>
      </c>
      <c r="G142" s="144" t="str">
        <f t="shared" si="9"/>
        <v>NO</v>
      </c>
      <c r="H142" s="145">
        <f>SUM('2019 Legal Max'!L141-'2019 Legal Max'!I141)</f>
        <v>19.5</v>
      </c>
      <c r="I142" s="144" t="str">
        <f t="shared" si="10"/>
        <v>NO</v>
      </c>
      <c r="J142" s="266" t="str">
        <f t="shared" si="11"/>
        <v>NO</v>
      </c>
    </row>
    <row r="143" spans="1:10">
      <c r="A143" s="126" t="s">
        <v>334</v>
      </c>
      <c r="B143" s="87" t="s">
        <v>61</v>
      </c>
      <c r="C143" s="87" t="s">
        <v>655</v>
      </c>
      <c r="D143" s="252">
        <v>0</v>
      </c>
      <c r="E143" s="144" t="str">
        <f t="shared" si="8"/>
        <v>NO</v>
      </c>
      <c r="F143" s="143">
        <v>0</v>
      </c>
      <c r="G143" s="144" t="str">
        <f t="shared" si="9"/>
        <v>NO</v>
      </c>
      <c r="H143" s="145">
        <f>SUM('2019 Legal Max'!L142-'2019 Legal Max'!I142)</f>
        <v>112.8</v>
      </c>
      <c r="I143" s="144" t="str">
        <f t="shared" si="10"/>
        <v>NO</v>
      </c>
      <c r="J143" s="266" t="str">
        <f t="shared" si="11"/>
        <v>NO</v>
      </c>
    </row>
    <row r="144" spans="1:10">
      <c r="A144" s="126" t="s">
        <v>335</v>
      </c>
      <c r="B144" s="87" t="s">
        <v>60</v>
      </c>
      <c r="C144" s="87" t="s">
        <v>656</v>
      </c>
      <c r="D144" s="252">
        <v>0</v>
      </c>
      <c r="E144" s="144" t="str">
        <f t="shared" si="8"/>
        <v>NO</v>
      </c>
      <c r="F144" s="143">
        <v>0</v>
      </c>
      <c r="G144" s="144" t="str">
        <f t="shared" si="9"/>
        <v>NO</v>
      </c>
      <c r="H144" s="145">
        <f>SUM('2019 Legal Max'!L143-'2019 Legal Max'!I143)</f>
        <v>22.8</v>
      </c>
      <c r="I144" s="144" t="str">
        <f t="shared" si="10"/>
        <v>NO</v>
      </c>
      <c r="J144" s="266" t="str">
        <f t="shared" si="11"/>
        <v>NO</v>
      </c>
    </row>
    <row r="145" spans="1:10">
      <c r="A145" s="126" t="s">
        <v>336</v>
      </c>
      <c r="B145" s="87" t="s">
        <v>62</v>
      </c>
      <c r="C145" s="87" t="s">
        <v>657</v>
      </c>
      <c r="D145" s="252">
        <v>0</v>
      </c>
      <c r="E145" s="144" t="str">
        <f t="shared" si="8"/>
        <v>NO</v>
      </c>
      <c r="F145" s="143">
        <v>0</v>
      </c>
      <c r="G145" s="144" t="str">
        <f t="shared" si="9"/>
        <v>NO</v>
      </c>
      <c r="H145" s="145">
        <f>SUM('2019 Legal Max'!L144-'2019 Legal Max'!I144)</f>
        <v>-19</v>
      </c>
      <c r="I145" s="144" t="str">
        <f t="shared" si="10"/>
        <v>YES</v>
      </c>
      <c r="J145" s="266" t="str">
        <f t="shared" si="11"/>
        <v>NO</v>
      </c>
    </row>
    <row r="146" spans="1:10">
      <c r="A146" s="126" t="s">
        <v>337</v>
      </c>
      <c r="B146" s="87" t="s">
        <v>63</v>
      </c>
      <c r="C146" s="87" t="s">
        <v>658</v>
      </c>
      <c r="D146" s="252">
        <v>0</v>
      </c>
      <c r="E146" s="144" t="str">
        <f t="shared" si="8"/>
        <v>NO</v>
      </c>
      <c r="F146" s="143">
        <v>1</v>
      </c>
      <c r="G146" s="144" t="str">
        <f t="shared" si="9"/>
        <v>YES</v>
      </c>
      <c r="H146" s="145">
        <f>SUM('2019 Legal Max'!L145-'2019 Legal Max'!I145)</f>
        <v>-38.700000000000003</v>
      </c>
      <c r="I146" s="144" t="str">
        <f t="shared" si="10"/>
        <v>YES</v>
      </c>
      <c r="J146" s="266" t="str">
        <f t="shared" si="11"/>
        <v>NO</v>
      </c>
    </row>
    <row r="147" spans="1:10">
      <c r="A147" s="126" t="s">
        <v>338</v>
      </c>
      <c r="B147" s="87" t="s">
        <v>64</v>
      </c>
      <c r="C147" s="87" t="s">
        <v>659</v>
      </c>
      <c r="D147" s="252">
        <v>0</v>
      </c>
      <c r="E147" s="144" t="str">
        <f t="shared" si="8"/>
        <v>NO</v>
      </c>
      <c r="F147" s="143">
        <v>0</v>
      </c>
      <c r="G147" s="144" t="str">
        <f t="shared" si="9"/>
        <v>NO</v>
      </c>
      <c r="H147" s="145">
        <f>SUM('2019 Legal Max'!L146-'2019 Legal Max'!I146)</f>
        <v>27.7</v>
      </c>
      <c r="I147" s="144" t="str">
        <f t="shared" si="10"/>
        <v>NO</v>
      </c>
      <c r="J147" s="266" t="str">
        <f t="shared" si="11"/>
        <v>NO</v>
      </c>
    </row>
    <row r="148" spans="1:10">
      <c r="A148" s="126" t="s">
        <v>339</v>
      </c>
      <c r="B148" s="87" t="s">
        <v>64</v>
      </c>
      <c r="C148" s="87" t="s">
        <v>660</v>
      </c>
      <c r="D148" s="252">
        <v>0</v>
      </c>
      <c r="E148" s="144" t="str">
        <f t="shared" si="8"/>
        <v>NO</v>
      </c>
      <c r="F148" s="143">
        <v>0</v>
      </c>
      <c r="G148" s="144" t="str">
        <f t="shared" si="9"/>
        <v>NO</v>
      </c>
      <c r="H148" s="145">
        <f>SUM('2019 Legal Max'!L147-'2019 Legal Max'!I147)</f>
        <v>-22.7</v>
      </c>
      <c r="I148" s="144" t="str">
        <f t="shared" si="10"/>
        <v>YES</v>
      </c>
      <c r="J148" s="266" t="str">
        <f t="shared" si="11"/>
        <v>NO</v>
      </c>
    </row>
    <row r="149" spans="1:10">
      <c r="A149" s="126" t="s">
        <v>340</v>
      </c>
      <c r="B149" s="87" t="s">
        <v>64</v>
      </c>
      <c r="C149" s="87" t="s">
        <v>661</v>
      </c>
      <c r="D149" s="252">
        <v>0</v>
      </c>
      <c r="E149" s="144" t="str">
        <f t="shared" si="8"/>
        <v>NO</v>
      </c>
      <c r="F149" s="143">
        <v>0</v>
      </c>
      <c r="G149" s="144" t="str">
        <f t="shared" si="9"/>
        <v>NO</v>
      </c>
      <c r="H149" s="145">
        <f>SUM('2019 Legal Max'!L148-'2019 Legal Max'!I148)</f>
        <v>-7</v>
      </c>
      <c r="I149" s="144" t="str">
        <f t="shared" si="10"/>
        <v>YES</v>
      </c>
      <c r="J149" s="266" t="str">
        <f t="shared" si="11"/>
        <v>NO</v>
      </c>
    </row>
    <row r="150" spans="1:10">
      <c r="A150" s="126" t="s">
        <v>341</v>
      </c>
      <c r="B150" s="87" t="s">
        <v>65</v>
      </c>
      <c r="C150" s="87" t="s">
        <v>662</v>
      </c>
      <c r="D150" s="252">
        <v>0</v>
      </c>
      <c r="E150" s="144" t="str">
        <f t="shared" si="8"/>
        <v>NO</v>
      </c>
      <c r="F150" s="143">
        <v>0</v>
      </c>
      <c r="G150" s="144" t="str">
        <f t="shared" si="9"/>
        <v>NO</v>
      </c>
      <c r="H150" s="145">
        <f>SUM('2019 Legal Max'!L149-'2019 Legal Max'!I149)</f>
        <v>-8.4</v>
      </c>
      <c r="I150" s="144" t="str">
        <f t="shared" si="10"/>
        <v>YES</v>
      </c>
      <c r="J150" s="266" t="str">
        <f t="shared" si="11"/>
        <v>NO</v>
      </c>
    </row>
    <row r="151" spans="1:10">
      <c r="A151" s="126" t="s">
        <v>342</v>
      </c>
      <c r="B151" s="87" t="s">
        <v>66</v>
      </c>
      <c r="C151" s="87" t="s">
        <v>663</v>
      </c>
      <c r="D151" s="252">
        <v>0</v>
      </c>
      <c r="E151" s="144" t="str">
        <f t="shared" si="8"/>
        <v>NO</v>
      </c>
      <c r="F151" s="143">
        <v>0</v>
      </c>
      <c r="G151" s="144" t="str">
        <f t="shared" si="9"/>
        <v>NO</v>
      </c>
      <c r="H151" s="145">
        <f>SUM('2019 Legal Max'!L150-'2019 Legal Max'!I150)</f>
        <v>-61.3</v>
      </c>
      <c r="I151" s="144" t="str">
        <f t="shared" si="10"/>
        <v>YES</v>
      </c>
      <c r="J151" s="266" t="str">
        <f t="shared" si="11"/>
        <v>NO</v>
      </c>
    </row>
    <row r="152" spans="1:10">
      <c r="A152" s="126" t="s">
        <v>343</v>
      </c>
      <c r="B152" s="87" t="s">
        <v>67</v>
      </c>
      <c r="C152" s="87" t="s">
        <v>664</v>
      </c>
      <c r="D152" s="252">
        <v>0</v>
      </c>
      <c r="E152" s="144" t="str">
        <f t="shared" si="8"/>
        <v>NO</v>
      </c>
      <c r="F152" s="143">
        <v>0</v>
      </c>
      <c r="G152" s="144" t="str">
        <f t="shared" si="9"/>
        <v>NO</v>
      </c>
      <c r="H152" s="145">
        <f>SUM('2019 Legal Max'!L151-'2019 Legal Max'!I151)</f>
        <v>3.9</v>
      </c>
      <c r="I152" s="144" t="str">
        <f t="shared" si="10"/>
        <v>NO</v>
      </c>
      <c r="J152" s="266" t="str">
        <f t="shared" si="11"/>
        <v>NO</v>
      </c>
    </row>
    <row r="153" spans="1:10">
      <c r="A153" s="126" t="s">
        <v>344</v>
      </c>
      <c r="B153" s="87" t="s">
        <v>66</v>
      </c>
      <c r="C153" s="87" t="s">
        <v>665</v>
      </c>
      <c r="D153" s="252">
        <v>0</v>
      </c>
      <c r="E153" s="144" t="str">
        <f t="shared" si="8"/>
        <v>NO</v>
      </c>
      <c r="F153" s="143">
        <v>0</v>
      </c>
      <c r="G153" s="144" t="str">
        <f t="shared" si="9"/>
        <v>NO</v>
      </c>
      <c r="H153" s="145">
        <f>SUM('2019 Legal Max'!L152-'2019 Legal Max'!I152)</f>
        <v>-20.5</v>
      </c>
      <c r="I153" s="144" t="str">
        <f t="shared" si="10"/>
        <v>YES</v>
      </c>
      <c r="J153" s="266" t="str">
        <f t="shared" si="11"/>
        <v>NO</v>
      </c>
    </row>
    <row r="154" spans="1:10">
      <c r="A154" s="126" t="s">
        <v>345</v>
      </c>
      <c r="B154" s="87" t="s">
        <v>66</v>
      </c>
      <c r="C154" s="87" t="s">
        <v>666</v>
      </c>
      <c r="D154" s="252">
        <v>0</v>
      </c>
      <c r="E154" s="144" t="str">
        <f t="shared" si="8"/>
        <v>NO</v>
      </c>
      <c r="F154" s="143">
        <v>1</v>
      </c>
      <c r="G154" s="144" t="str">
        <f t="shared" si="9"/>
        <v>YES</v>
      </c>
      <c r="H154" s="145">
        <f>SUM('2019 Legal Max'!L153-'2019 Legal Max'!I153)</f>
        <v>27.4</v>
      </c>
      <c r="I154" s="144" t="str">
        <f t="shared" si="10"/>
        <v>NO</v>
      </c>
      <c r="J154" s="266" t="str">
        <f t="shared" si="11"/>
        <v>NO</v>
      </c>
    </row>
    <row r="155" spans="1:10">
      <c r="A155" s="126" t="s">
        <v>346</v>
      </c>
      <c r="B155" s="87" t="s">
        <v>66</v>
      </c>
      <c r="C155" s="87" t="s">
        <v>667</v>
      </c>
      <c r="D155" s="252">
        <v>0</v>
      </c>
      <c r="E155" s="144" t="str">
        <f t="shared" si="8"/>
        <v>NO</v>
      </c>
      <c r="F155" s="143">
        <v>1</v>
      </c>
      <c r="G155" s="144" t="str">
        <f t="shared" si="9"/>
        <v>YES</v>
      </c>
      <c r="H155" s="145">
        <f>SUM('2019 Legal Max'!L154-'2019 Legal Max'!I154)</f>
        <v>72.400000000000006</v>
      </c>
      <c r="I155" s="144" t="str">
        <f t="shared" si="10"/>
        <v>NO</v>
      </c>
      <c r="J155" s="266" t="str">
        <f t="shared" si="11"/>
        <v>NO</v>
      </c>
    </row>
    <row r="156" spans="1:10">
      <c r="A156" s="126" t="s">
        <v>347</v>
      </c>
      <c r="B156" s="87" t="s">
        <v>66</v>
      </c>
      <c r="C156" s="87" t="s">
        <v>668</v>
      </c>
      <c r="D156" s="252">
        <v>0</v>
      </c>
      <c r="E156" s="144" t="str">
        <f t="shared" si="8"/>
        <v>NO</v>
      </c>
      <c r="F156" s="143">
        <v>0</v>
      </c>
      <c r="G156" s="144" t="str">
        <f t="shared" si="9"/>
        <v>NO</v>
      </c>
      <c r="H156" s="145">
        <f>SUM('2019 Legal Max'!L155-'2019 Legal Max'!I155)</f>
        <v>-16</v>
      </c>
      <c r="I156" s="144" t="str">
        <f t="shared" si="10"/>
        <v>YES</v>
      </c>
      <c r="J156" s="266" t="str">
        <f t="shared" si="11"/>
        <v>NO</v>
      </c>
    </row>
    <row r="157" spans="1:10">
      <c r="A157" s="126" t="s">
        <v>348</v>
      </c>
      <c r="B157" s="87" t="s">
        <v>66</v>
      </c>
      <c r="C157" s="87" t="s">
        <v>669</v>
      </c>
      <c r="D157" s="252">
        <v>0</v>
      </c>
      <c r="E157" s="144" t="str">
        <f t="shared" si="8"/>
        <v>NO</v>
      </c>
      <c r="F157" s="143">
        <v>1</v>
      </c>
      <c r="G157" s="144" t="str">
        <f t="shared" si="9"/>
        <v>YES</v>
      </c>
      <c r="H157" s="145">
        <f>SUM('2019 Legal Max'!L156-'2019 Legal Max'!I156)</f>
        <v>17.5</v>
      </c>
      <c r="I157" s="144" t="str">
        <f t="shared" si="10"/>
        <v>NO</v>
      </c>
      <c r="J157" s="266" t="str">
        <f t="shared" si="11"/>
        <v>NO</v>
      </c>
    </row>
    <row r="158" spans="1:10">
      <c r="A158" s="126" t="s">
        <v>349</v>
      </c>
      <c r="B158" s="87" t="s">
        <v>68</v>
      </c>
      <c r="C158" s="87" t="s">
        <v>823</v>
      </c>
      <c r="D158" s="252">
        <v>0</v>
      </c>
      <c r="E158" s="144" t="str">
        <f t="shared" si="8"/>
        <v>NO</v>
      </c>
      <c r="F158" s="143">
        <v>0</v>
      </c>
      <c r="G158" s="144" t="str">
        <f t="shared" si="9"/>
        <v>NO</v>
      </c>
      <c r="H158" s="145">
        <f>SUM('2019 Legal Max'!L157-'2019 Legal Max'!I157)</f>
        <v>-17.2</v>
      </c>
      <c r="I158" s="144" t="str">
        <f t="shared" si="10"/>
        <v>YES</v>
      </c>
      <c r="J158" s="266" t="str">
        <f t="shared" si="11"/>
        <v>NO</v>
      </c>
    </row>
    <row r="159" spans="1:10">
      <c r="A159" s="126" t="s">
        <v>350</v>
      </c>
      <c r="B159" s="87" t="s">
        <v>60</v>
      </c>
      <c r="C159" s="87" t="s">
        <v>671</v>
      </c>
      <c r="D159" s="252">
        <v>0</v>
      </c>
      <c r="E159" s="144" t="str">
        <f t="shared" si="8"/>
        <v>NO</v>
      </c>
      <c r="F159" s="143">
        <v>1</v>
      </c>
      <c r="G159" s="144" t="str">
        <f t="shared" si="9"/>
        <v>YES</v>
      </c>
      <c r="H159" s="145">
        <f>SUM('2019 Legal Max'!L158-'2019 Legal Max'!I158)</f>
        <v>-25.6</v>
      </c>
      <c r="I159" s="144" t="str">
        <f t="shared" si="10"/>
        <v>YES</v>
      </c>
      <c r="J159" s="266" t="str">
        <f t="shared" si="11"/>
        <v>NO</v>
      </c>
    </row>
    <row r="160" spans="1:10">
      <c r="A160" s="126" t="s">
        <v>351</v>
      </c>
      <c r="B160" s="87" t="s">
        <v>69</v>
      </c>
      <c r="C160" s="87" t="s">
        <v>672</v>
      </c>
      <c r="D160" s="252">
        <v>0</v>
      </c>
      <c r="E160" s="144" t="str">
        <f t="shared" si="8"/>
        <v>NO</v>
      </c>
      <c r="F160" s="143">
        <v>1</v>
      </c>
      <c r="G160" s="144" t="str">
        <f t="shared" si="9"/>
        <v>YES</v>
      </c>
      <c r="H160" s="145">
        <f>SUM('2019 Legal Max'!L159-'2019 Legal Max'!I159)</f>
        <v>-17.5</v>
      </c>
      <c r="I160" s="144" t="str">
        <f t="shared" si="10"/>
        <v>YES</v>
      </c>
      <c r="J160" s="266" t="str">
        <f t="shared" si="11"/>
        <v>NO</v>
      </c>
    </row>
    <row r="161" spans="1:10">
      <c r="A161" s="126" t="s">
        <v>352</v>
      </c>
      <c r="B161" s="87" t="s">
        <v>70</v>
      </c>
      <c r="C161" s="87" t="s">
        <v>673</v>
      </c>
      <c r="D161" s="252">
        <v>0</v>
      </c>
      <c r="E161" s="144" t="str">
        <f t="shared" si="8"/>
        <v>NO</v>
      </c>
      <c r="F161" s="143">
        <v>0</v>
      </c>
      <c r="G161" s="144" t="str">
        <f t="shared" si="9"/>
        <v>NO</v>
      </c>
      <c r="H161" s="145">
        <f>SUM('2019 Legal Max'!L160-'2019 Legal Max'!I160)</f>
        <v>32.9</v>
      </c>
      <c r="I161" s="144" t="str">
        <f t="shared" si="10"/>
        <v>NO</v>
      </c>
      <c r="J161" s="266" t="str">
        <f t="shared" si="11"/>
        <v>NO</v>
      </c>
    </row>
    <row r="162" spans="1:10">
      <c r="A162" s="126" t="s">
        <v>353</v>
      </c>
      <c r="B162" s="87" t="s">
        <v>71</v>
      </c>
      <c r="C162" s="87" t="s">
        <v>674</v>
      </c>
      <c r="D162" s="252">
        <v>0</v>
      </c>
      <c r="E162" s="144" t="str">
        <f t="shared" si="8"/>
        <v>NO</v>
      </c>
      <c r="F162" s="143">
        <v>0</v>
      </c>
      <c r="G162" s="144" t="str">
        <f t="shared" si="9"/>
        <v>NO</v>
      </c>
      <c r="H162" s="145">
        <f>SUM('2019 Legal Max'!L161-'2019 Legal Max'!I161)</f>
        <v>19.899999999999999</v>
      </c>
      <c r="I162" s="144" t="str">
        <f t="shared" si="10"/>
        <v>NO</v>
      </c>
      <c r="J162" s="266" t="str">
        <f t="shared" si="11"/>
        <v>NO</v>
      </c>
    </row>
    <row r="163" spans="1:10">
      <c r="A163" s="126" t="s">
        <v>354</v>
      </c>
      <c r="B163" s="87" t="s">
        <v>72</v>
      </c>
      <c r="C163" s="87" t="s">
        <v>675</v>
      </c>
      <c r="D163" s="252">
        <v>0</v>
      </c>
      <c r="E163" s="144" t="str">
        <f t="shared" si="8"/>
        <v>NO</v>
      </c>
      <c r="F163" s="143">
        <v>1</v>
      </c>
      <c r="G163" s="144" t="str">
        <f t="shared" si="9"/>
        <v>YES</v>
      </c>
      <c r="H163" s="145">
        <f>SUM('2019 Legal Max'!L162-'2019 Legal Max'!I162)</f>
        <v>12</v>
      </c>
      <c r="I163" s="144" t="str">
        <f t="shared" si="10"/>
        <v>NO</v>
      </c>
      <c r="J163" s="266" t="str">
        <f t="shared" si="11"/>
        <v>NO</v>
      </c>
    </row>
    <row r="164" spans="1:10">
      <c r="A164" s="126" t="s">
        <v>355</v>
      </c>
      <c r="B164" s="87" t="s">
        <v>73</v>
      </c>
      <c r="C164" s="87" t="s">
        <v>676</v>
      </c>
      <c r="D164" s="252">
        <v>0</v>
      </c>
      <c r="E164" s="144" t="str">
        <f t="shared" si="8"/>
        <v>NO</v>
      </c>
      <c r="F164" s="143">
        <v>0</v>
      </c>
      <c r="G164" s="144" t="str">
        <f t="shared" si="9"/>
        <v>NO</v>
      </c>
      <c r="H164" s="145">
        <f>SUM('2019 Legal Max'!L163-'2019 Legal Max'!I163)</f>
        <v>-13.2</v>
      </c>
      <c r="I164" s="144" t="str">
        <f t="shared" si="10"/>
        <v>YES</v>
      </c>
      <c r="J164" s="266" t="str">
        <f t="shared" si="11"/>
        <v>NO</v>
      </c>
    </row>
    <row r="165" spans="1:10">
      <c r="A165" s="126" t="s">
        <v>356</v>
      </c>
      <c r="B165" s="87" t="s">
        <v>73</v>
      </c>
      <c r="C165" s="87" t="s">
        <v>677</v>
      </c>
      <c r="D165" s="252">
        <v>0</v>
      </c>
      <c r="E165" s="144" t="str">
        <f t="shared" si="8"/>
        <v>NO</v>
      </c>
      <c r="F165" s="143">
        <v>1</v>
      </c>
      <c r="G165" s="144" t="str">
        <f t="shared" si="9"/>
        <v>YES</v>
      </c>
      <c r="H165" s="145">
        <f>SUM('2019 Legal Max'!L164-'2019 Legal Max'!I164)</f>
        <v>19.5</v>
      </c>
      <c r="I165" s="144" t="str">
        <f t="shared" si="10"/>
        <v>NO</v>
      </c>
      <c r="J165" s="266" t="str">
        <f t="shared" si="11"/>
        <v>NO</v>
      </c>
    </row>
    <row r="166" spans="1:10">
      <c r="A166" s="126" t="s">
        <v>357</v>
      </c>
      <c r="B166" s="87" t="s">
        <v>74</v>
      </c>
      <c r="C166" s="87" t="s">
        <v>678</v>
      </c>
      <c r="D166" s="252">
        <v>0</v>
      </c>
      <c r="E166" s="144" t="str">
        <f t="shared" si="8"/>
        <v>NO</v>
      </c>
      <c r="F166" s="143">
        <v>0</v>
      </c>
      <c r="G166" s="144" t="str">
        <f t="shared" si="9"/>
        <v>NO</v>
      </c>
      <c r="H166" s="145">
        <f>SUM('2019 Legal Max'!L165-'2019 Legal Max'!I165)</f>
        <v>-9.5</v>
      </c>
      <c r="I166" s="144" t="str">
        <f t="shared" si="10"/>
        <v>YES</v>
      </c>
      <c r="J166" s="266" t="str">
        <f t="shared" si="11"/>
        <v>NO</v>
      </c>
    </row>
    <row r="167" spans="1:10">
      <c r="A167" s="126" t="s">
        <v>358</v>
      </c>
      <c r="B167" s="87" t="s">
        <v>5</v>
      </c>
      <c r="C167" s="87" t="s">
        <v>679</v>
      </c>
      <c r="D167" s="252">
        <v>0</v>
      </c>
      <c r="E167" s="144" t="str">
        <f t="shared" si="8"/>
        <v>NO</v>
      </c>
      <c r="F167" s="143">
        <v>0</v>
      </c>
      <c r="G167" s="144" t="str">
        <f t="shared" si="9"/>
        <v>NO</v>
      </c>
      <c r="H167" s="145">
        <f>SUM('2019 Legal Max'!L166-'2019 Legal Max'!I166)</f>
        <v>-3.5</v>
      </c>
      <c r="I167" s="144" t="str">
        <f t="shared" si="10"/>
        <v>YES</v>
      </c>
      <c r="J167" s="266" t="str">
        <f t="shared" si="11"/>
        <v>NO</v>
      </c>
    </row>
    <row r="168" spans="1:10">
      <c r="A168" s="126" t="s">
        <v>359</v>
      </c>
      <c r="B168" s="87" t="s">
        <v>61</v>
      </c>
      <c r="C168" s="87" t="s">
        <v>680</v>
      </c>
      <c r="D168" s="252">
        <v>0</v>
      </c>
      <c r="E168" s="144" t="str">
        <f t="shared" si="8"/>
        <v>NO</v>
      </c>
      <c r="F168" s="143">
        <v>0</v>
      </c>
      <c r="G168" s="144" t="str">
        <f t="shared" si="9"/>
        <v>NO</v>
      </c>
      <c r="H168" s="145">
        <f>SUM('2019 Legal Max'!L167-'2019 Legal Max'!I167)</f>
        <v>18.600000000000001</v>
      </c>
      <c r="I168" s="144" t="str">
        <f t="shared" si="10"/>
        <v>NO</v>
      </c>
      <c r="J168" s="266" t="str">
        <f t="shared" si="11"/>
        <v>NO</v>
      </c>
    </row>
    <row r="169" spans="1:10">
      <c r="A169" s="126" t="s">
        <v>360</v>
      </c>
      <c r="B169" s="87" t="s">
        <v>74</v>
      </c>
      <c r="C169" s="87" t="s">
        <v>681</v>
      </c>
      <c r="D169" s="252">
        <v>0</v>
      </c>
      <c r="E169" s="144" t="str">
        <f t="shared" si="8"/>
        <v>NO</v>
      </c>
      <c r="F169" s="143">
        <v>0</v>
      </c>
      <c r="G169" s="144" t="str">
        <f t="shared" si="9"/>
        <v>NO</v>
      </c>
      <c r="H169" s="145">
        <f>SUM('2019 Legal Max'!L168-'2019 Legal Max'!I168)</f>
        <v>-16.399999999999999</v>
      </c>
      <c r="I169" s="144" t="str">
        <f t="shared" si="10"/>
        <v>YES</v>
      </c>
      <c r="J169" s="266" t="str">
        <f t="shared" si="11"/>
        <v>NO</v>
      </c>
    </row>
    <row r="170" spans="1:10">
      <c r="A170" s="126" t="s">
        <v>361</v>
      </c>
      <c r="B170" s="87" t="s">
        <v>75</v>
      </c>
      <c r="C170" s="87" t="s">
        <v>682</v>
      </c>
      <c r="D170" s="252">
        <v>0</v>
      </c>
      <c r="E170" s="144" t="str">
        <f t="shared" si="8"/>
        <v>NO</v>
      </c>
      <c r="F170" s="143">
        <v>0</v>
      </c>
      <c r="G170" s="144" t="str">
        <f t="shared" si="9"/>
        <v>NO</v>
      </c>
      <c r="H170" s="145">
        <f>SUM('2019 Legal Max'!L169-'2019 Legal Max'!I169)</f>
        <v>-8.5</v>
      </c>
      <c r="I170" s="144" t="str">
        <f t="shared" si="10"/>
        <v>YES</v>
      </c>
      <c r="J170" s="266" t="str">
        <f t="shared" si="11"/>
        <v>NO</v>
      </c>
    </row>
    <row r="171" spans="1:10">
      <c r="A171" s="126" t="s">
        <v>362</v>
      </c>
      <c r="B171" s="87" t="s">
        <v>10</v>
      </c>
      <c r="C171" s="87" t="s">
        <v>683</v>
      </c>
      <c r="D171" s="252">
        <v>0</v>
      </c>
      <c r="E171" s="144" t="str">
        <f t="shared" si="8"/>
        <v>NO</v>
      </c>
      <c r="F171" s="143">
        <v>1</v>
      </c>
      <c r="G171" s="144" t="str">
        <f t="shared" si="9"/>
        <v>YES</v>
      </c>
      <c r="H171" s="145">
        <f>SUM('2019 Legal Max'!L170-'2019 Legal Max'!I170)</f>
        <v>53.8</v>
      </c>
      <c r="I171" s="144" t="str">
        <f t="shared" si="10"/>
        <v>NO</v>
      </c>
      <c r="J171" s="266" t="str">
        <f t="shared" si="11"/>
        <v>NO</v>
      </c>
    </row>
    <row r="172" spans="1:10">
      <c r="A172" s="126" t="s">
        <v>363</v>
      </c>
      <c r="B172" s="87" t="s">
        <v>76</v>
      </c>
      <c r="C172" s="87" t="s">
        <v>684</v>
      </c>
      <c r="D172" s="252">
        <v>0</v>
      </c>
      <c r="E172" s="144" t="str">
        <f t="shared" si="8"/>
        <v>NO</v>
      </c>
      <c r="F172" s="143">
        <v>0</v>
      </c>
      <c r="G172" s="144" t="str">
        <f t="shared" si="9"/>
        <v>NO</v>
      </c>
      <c r="H172" s="145">
        <f>SUM('2019 Legal Max'!L171-'2019 Legal Max'!I171)</f>
        <v>-12.1</v>
      </c>
      <c r="I172" s="144" t="str">
        <f t="shared" si="10"/>
        <v>YES</v>
      </c>
      <c r="J172" s="266" t="str">
        <f t="shared" si="11"/>
        <v>NO</v>
      </c>
    </row>
    <row r="173" spans="1:10">
      <c r="A173" s="126" t="s">
        <v>364</v>
      </c>
      <c r="B173" s="87" t="s">
        <v>77</v>
      </c>
      <c r="C173" s="87" t="s">
        <v>685</v>
      </c>
      <c r="D173" s="252">
        <v>0</v>
      </c>
      <c r="E173" s="144" t="str">
        <f t="shared" si="8"/>
        <v>NO</v>
      </c>
      <c r="F173" s="143">
        <v>0</v>
      </c>
      <c r="G173" s="144" t="str">
        <f t="shared" si="9"/>
        <v>NO</v>
      </c>
      <c r="H173" s="145">
        <f>SUM('2019 Legal Max'!L172-'2019 Legal Max'!I172)</f>
        <v>-28</v>
      </c>
      <c r="I173" s="144" t="str">
        <f t="shared" si="10"/>
        <v>YES</v>
      </c>
      <c r="J173" s="266" t="str">
        <f t="shared" si="11"/>
        <v>NO</v>
      </c>
    </row>
    <row r="174" spans="1:10">
      <c r="A174" s="126" t="s">
        <v>365</v>
      </c>
      <c r="B174" s="87" t="s">
        <v>78</v>
      </c>
      <c r="C174" s="87" t="s">
        <v>686</v>
      </c>
      <c r="D174" s="252">
        <v>35198</v>
      </c>
      <c r="E174" s="144" t="str">
        <f t="shared" si="8"/>
        <v>YES</v>
      </c>
      <c r="F174" s="143">
        <v>1</v>
      </c>
      <c r="G174" s="144" t="str">
        <f t="shared" si="9"/>
        <v>YES</v>
      </c>
      <c r="H174" s="145">
        <f>SUM('2019 Legal Max'!L173-'2019 Legal Max'!I173)</f>
        <v>-14.4</v>
      </c>
      <c r="I174" s="144" t="str">
        <f t="shared" si="10"/>
        <v>YES</v>
      </c>
      <c r="J174" s="266" t="str">
        <f t="shared" si="11"/>
        <v>YES</v>
      </c>
    </row>
    <row r="175" spans="1:10">
      <c r="A175" s="126" t="s">
        <v>366</v>
      </c>
      <c r="B175" s="87" t="s">
        <v>79</v>
      </c>
      <c r="C175" s="87" t="s">
        <v>687</v>
      </c>
      <c r="D175" s="252">
        <v>21615</v>
      </c>
      <c r="E175" s="144" t="str">
        <f t="shared" si="8"/>
        <v>YES</v>
      </c>
      <c r="F175" s="143">
        <v>1</v>
      </c>
      <c r="G175" s="144" t="str">
        <f t="shared" si="9"/>
        <v>YES</v>
      </c>
      <c r="H175" s="145">
        <f>SUM('2019 Legal Max'!L174-'2019 Legal Max'!I174)</f>
        <v>-39.1</v>
      </c>
      <c r="I175" s="144" t="str">
        <f t="shared" si="10"/>
        <v>YES</v>
      </c>
      <c r="J175" s="266" t="str">
        <f t="shared" si="11"/>
        <v>YES</v>
      </c>
    </row>
    <row r="176" spans="1:10">
      <c r="A176" s="126" t="s">
        <v>367</v>
      </c>
      <c r="B176" s="87" t="s">
        <v>70</v>
      </c>
      <c r="C176" s="87" t="s">
        <v>688</v>
      </c>
      <c r="D176" s="252">
        <v>0</v>
      </c>
      <c r="E176" s="144" t="str">
        <f t="shared" si="8"/>
        <v>NO</v>
      </c>
      <c r="F176" s="143">
        <v>0</v>
      </c>
      <c r="G176" s="144" t="str">
        <f t="shared" si="9"/>
        <v>NO</v>
      </c>
      <c r="H176" s="145">
        <f>SUM('2019 Legal Max'!L175-'2019 Legal Max'!I175)</f>
        <v>-29</v>
      </c>
      <c r="I176" s="144" t="str">
        <f t="shared" si="10"/>
        <v>YES</v>
      </c>
      <c r="J176" s="266" t="str">
        <f t="shared" si="11"/>
        <v>NO</v>
      </c>
    </row>
    <row r="177" spans="1:10">
      <c r="A177" s="126" t="s">
        <v>368</v>
      </c>
      <c r="B177" s="87" t="s">
        <v>80</v>
      </c>
      <c r="C177" s="87" t="s">
        <v>689</v>
      </c>
      <c r="D177" s="252">
        <v>0</v>
      </c>
      <c r="E177" s="144" t="str">
        <f t="shared" si="8"/>
        <v>NO</v>
      </c>
      <c r="F177" s="143">
        <v>0</v>
      </c>
      <c r="G177" s="144" t="str">
        <f t="shared" si="9"/>
        <v>NO</v>
      </c>
      <c r="H177" s="145">
        <f>SUM('2019 Legal Max'!L176-'2019 Legal Max'!I176)</f>
        <v>-24.5</v>
      </c>
      <c r="I177" s="144" t="str">
        <f t="shared" si="10"/>
        <v>YES</v>
      </c>
      <c r="J177" s="266" t="str">
        <f t="shared" si="11"/>
        <v>NO</v>
      </c>
    </row>
    <row r="178" spans="1:10">
      <c r="A178" s="126" t="s">
        <v>369</v>
      </c>
      <c r="B178" s="87" t="s">
        <v>81</v>
      </c>
      <c r="C178" s="87" t="s">
        <v>690</v>
      </c>
      <c r="D178" s="252">
        <v>0</v>
      </c>
      <c r="E178" s="144" t="str">
        <f t="shared" si="8"/>
        <v>NO</v>
      </c>
      <c r="F178" s="143">
        <v>0</v>
      </c>
      <c r="G178" s="144" t="str">
        <f t="shared" si="9"/>
        <v>NO</v>
      </c>
      <c r="H178" s="145">
        <f>SUM('2019 Legal Max'!L177-'2019 Legal Max'!I177)</f>
        <v>-3</v>
      </c>
      <c r="I178" s="144" t="str">
        <f t="shared" si="10"/>
        <v>YES</v>
      </c>
      <c r="J178" s="266" t="str">
        <f t="shared" si="11"/>
        <v>NO</v>
      </c>
    </row>
    <row r="179" spans="1:10">
      <c r="A179" s="126" t="s">
        <v>370</v>
      </c>
      <c r="B179" s="87" t="s">
        <v>78</v>
      </c>
      <c r="C179" s="87" t="s">
        <v>691</v>
      </c>
      <c r="D179" s="252">
        <v>53352</v>
      </c>
      <c r="E179" s="144" t="str">
        <f t="shared" si="8"/>
        <v>YES</v>
      </c>
      <c r="F179" s="143">
        <v>1</v>
      </c>
      <c r="G179" s="144" t="str">
        <f t="shared" si="9"/>
        <v>YES</v>
      </c>
      <c r="H179" s="145">
        <f>SUM('2019 Legal Max'!L178-'2019 Legal Max'!I178)</f>
        <v>222.2</v>
      </c>
      <c r="I179" s="144" t="str">
        <f t="shared" si="10"/>
        <v>NO</v>
      </c>
      <c r="J179" s="266" t="str">
        <f t="shared" si="11"/>
        <v>NO</v>
      </c>
    </row>
    <row r="180" spans="1:10">
      <c r="A180" s="126" t="s">
        <v>371</v>
      </c>
      <c r="B180" s="87" t="s">
        <v>78</v>
      </c>
      <c r="C180" s="87" t="s">
        <v>556</v>
      </c>
      <c r="D180" s="252">
        <v>57517</v>
      </c>
      <c r="E180" s="144" t="str">
        <f t="shared" si="8"/>
        <v>YES</v>
      </c>
      <c r="F180" s="143">
        <v>1</v>
      </c>
      <c r="G180" s="144" t="str">
        <f t="shared" si="9"/>
        <v>YES</v>
      </c>
      <c r="H180" s="145">
        <f>SUM('2019 Legal Max'!L179-'2019 Legal Max'!I179)</f>
        <v>-5</v>
      </c>
      <c r="I180" s="144" t="str">
        <f t="shared" si="10"/>
        <v>YES</v>
      </c>
      <c r="J180" s="266" t="str">
        <f t="shared" si="11"/>
        <v>YES</v>
      </c>
    </row>
    <row r="181" spans="1:10">
      <c r="A181" s="126" t="s">
        <v>372</v>
      </c>
      <c r="B181" s="87" t="s">
        <v>10</v>
      </c>
      <c r="C181" s="87" t="s">
        <v>692</v>
      </c>
      <c r="D181" s="252">
        <v>0</v>
      </c>
      <c r="E181" s="144" t="str">
        <f t="shared" si="8"/>
        <v>NO</v>
      </c>
      <c r="F181" s="143">
        <v>1</v>
      </c>
      <c r="G181" s="144" t="str">
        <f t="shared" si="9"/>
        <v>YES</v>
      </c>
      <c r="H181" s="145">
        <f>SUM('2019 Legal Max'!L180-'2019 Legal Max'!I180)</f>
        <v>90.9</v>
      </c>
      <c r="I181" s="144" t="str">
        <f t="shared" si="10"/>
        <v>NO</v>
      </c>
      <c r="J181" s="266" t="str">
        <f t="shared" si="11"/>
        <v>NO</v>
      </c>
    </row>
    <row r="182" spans="1:10">
      <c r="A182" s="126" t="s">
        <v>373</v>
      </c>
      <c r="B182" s="87" t="s">
        <v>82</v>
      </c>
      <c r="C182" s="87" t="s">
        <v>693</v>
      </c>
      <c r="D182" s="252">
        <v>0</v>
      </c>
      <c r="E182" s="144" t="str">
        <f t="shared" si="8"/>
        <v>NO</v>
      </c>
      <c r="F182" s="143">
        <v>0</v>
      </c>
      <c r="G182" s="144" t="str">
        <f t="shared" si="9"/>
        <v>NO</v>
      </c>
      <c r="H182" s="145">
        <f>SUM('2019 Legal Max'!L181-'2019 Legal Max'!I181)</f>
        <v>7</v>
      </c>
      <c r="I182" s="144" t="str">
        <f t="shared" si="10"/>
        <v>NO</v>
      </c>
      <c r="J182" s="266" t="str">
        <f t="shared" si="11"/>
        <v>NO</v>
      </c>
    </row>
    <row r="183" spans="1:10">
      <c r="A183" s="126" t="s">
        <v>374</v>
      </c>
      <c r="B183" s="87" t="s">
        <v>83</v>
      </c>
      <c r="C183" s="87" t="s">
        <v>694</v>
      </c>
      <c r="D183" s="252">
        <v>0</v>
      </c>
      <c r="E183" s="144" t="str">
        <f t="shared" si="8"/>
        <v>NO</v>
      </c>
      <c r="F183" s="143">
        <v>0</v>
      </c>
      <c r="G183" s="144" t="str">
        <f t="shared" si="9"/>
        <v>NO</v>
      </c>
      <c r="H183" s="145">
        <f>SUM('2019 Legal Max'!L182-'2019 Legal Max'!I182)</f>
        <v>0.5</v>
      </c>
      <c r="I183" s="144" t="str">
        <f t="shared" si="10"/>
        <v>NO</v>
      </c>
      <c r="J183" s="266" t="str">
        <f t="shared" si="11"/>
        <v>NO</v>
      </c>
    </row>
    <row r="184" spans="1:10">
      <c r="A184" s="126" t="s">
        <v>375</v>
      </c>
      <c r="B184" s="87" t="s">
        <v>84</v>
      </c>
      <c r="C184" s="87" t="s">
        <v>695</v>
      </c>
      <c r="D184" s="252">
        <v>0</v>
      </c>
      <c r="E184" s="144" t="str">
        <f t="shared" si="8"/>
        <v>NO</v>
      </c>
      <c r="F184" s="143">
        <v>0</v>
      </c>
      <c r="G184" s="144" t="str">
        <f t="shared" si="9"/>
        <v>NO</v>
      </c>
      <c r="H184" s="145">
        <f>SUM('2019 Legal Max'!L183-'2019 Legal Max'!I183)</f>
        <v>-4.3</v>
      </c>
      <c r="I184" s="144" t="str">
        <f t="shared" si="10"/>
        <v>YES</v>
      </c>
      <c r="J184" s="266" t="str">
        <f t="shared" si="11"/>
        <v>NO</v>
      </c>
    </row>
    <row r="185" spans="1:10">
      <c r="A185" s="126" t="s">
        <v>376</v>
      </c>
      <c r="B185" s="87" t="s">
        <v>82</v>
      </c>
      <c r="C185" s="87" t="s">
        <v>696</v>
      </c>
      <c r="D185" s="252">
        <v>7834</v>
      </c>
      <c r="E185" s="144" t="str">
        <f t="shared" si="8"/>
        <v>YES</v>
      </c>
      <c r="F185" s="143">
        <v>0</v>
      </c>
      <c r="G185" s="144" t="str">
        <f t="shared" si="9"/>
        <v>NO</v>
      </c>
      <c r="H185" s="145">
        <f>SUM('2019 Legal Max'!L184-'2019 Legal Max'!I184)</f>
        <v>10.5</v>
      </c>
      <c r="I185" s="144" t="str">
        <f t="shared" si="10"/>
        <v>NO</v>
      </c>
      <c r="J185" s="266" t="str">
        <f t="shared" si="11"/>
        <v>NO</v>
      </c>
    </row>
    <row r="186" spans="1:10">
      <c r="A186" s="126" t="s">
        <v>377</v>
      </c>
      <c r="B186" s="87" t="s">
        <v>82</v>
      </c>
      <c r="C186" s="87" t="s">
        <v>697</v>
      </c>
      <c r="D186" s="252">
        <v>0</v>
      </c>
      <c r="E186" s="144" t="str">
        <f t="shared" si="8"/>
        <v>NO</v>
      </c>
      <c r="F186" s="143">
        <v>0</v>
      </c>
      <c r="G186" s="144" t="str">
        <f t="shared" si="9"/>
        <v>NO</v>
      </c>
      <c r="H186" s="145">
        <f>SUM('2019 Legal Max'!L185-'2019 Legal Max'!I185)</f>
        <v>-3</v>
      </c>
      <c r="I186" s="144" t="str">
        <f t="shared" si="10"/>
        <v>YES</v>
      </c>
      <c r="J186" s="266" t="str">
        <f t="shared" si="11"/>
        <v>NO</v>
      </c>
    </row>
    <row r="187" spans="1:10">
      <c r="A187" s="126" t="s">
        <v>378</v>
      </c>
      <c r="B187" s="87" t="s">
        <v>86</v>
      </c>
      <c r="C187" s="87" t="s">
        <v>698</v>
      </c>
      <c r="D187" s="252">
        <v>0</v>
      </c>
      <c r="E187" s="144" t="str">
        <f t="shared" si="8"/>
        <v>NO</v>
      </c>
      <c r="F187" s="143">
        <v>0</v>
      </c>
      <c r="G187" s="144" t="str">
        <f t="shared" si="9"/>
        <v>NO</v>
      </c>
      <c r="H187" s="145">
        <f>SUM('2019 Legal Max'!L186-'2019 Legal Max'!I186)</f>
        <v>-5.9</v>
      </c>
      <c r="I187" s="144" t="str">
        <f t="shared" si="10"/>
        <v>YES</v>
      </c>
      <c r="J187" s="266" t="str">
        <f t="shared" si="11"/>
        <v>NO</v>
      </c>
    </row>
    <row r="188" spans="1:10">
      <c r="A188" s="126" t="s">
        <v>379</v>
      </c>
      <c r="B188" s="87" t="s">
        <v>87</v>
      </c>
      <c r="C188" s="87" t="s">
        <v>699</v>
      </c>
      <c r="D188" s="252">
        <v>0</v>
      </c>
      <c r="E188" s="144" t="str">
        <f t="shared" si="8"/>
        <v>NO</v>
      </c>
      <c r="F188" s="143">
        <v>1</v>
      </c>
      <c r="G188" s="144" t="str">
        <f t="shared" si="9"/>
        <v>YES</v>
      </c>
      <c r="H188" s="145">
        <f>SUM('2019 Legal Max'!L187-'2019 Legal Max'!I187)</f>
        <v>-4</v>
      </c>
      <c r="I188" s="144" t="str">
        <f t="shared" si="10"/>
        <v>YES</v>
      </c>
      <c r="J188" s="266" t="str">
        <f t="shared" si="11"/>
        <v>NO</v>
      </c>
    </row>
    <row r="189" spans="1:10">
      <c r="A189" s="126" t="s">
        <v>380</v>
      </c>
      <c r="B189" s="87" t="s">
        <v>10</v>
      </c>
      <c r="C189" s="87" t="s">
        <v>700</v>
      </c>
      <c r="D189" s="252">
        <v>0</v>
      </c>
      <c r="E189" s="144" t="str">
        <f t="shared" si="8"/>
        <v>NO</v>
      </c>
      <c r="F189" s="143">
        <v>1</v>
      </c>
      <c r="G189" s="144" t="str">
        <f t="shared" si="9"/>
        <v>YES</v>
      </c>
      <c r="H189" s="145">
        <f>SUM('2019 Legal Max'!L188-'2019 Legal Max'!I188)</f>
        <v>8.5</v>
      </c>
      <c r="I189" s="144" t="str">
        <f t="shared" si="10"/>
        <v>NO</v>
      </c>
      <c r="J189" s="266" t="str">
        <f t="shared" si="11"/>
        <v>NO</v>
      </c>
    </row>
    <row r="190" spans="1:10">
      <c r="A190" s="126" t="s">
        <v>381</v>
      </c>
      <c r="B190" s="87" t="s">
        <v>88</v>
      </c>
      <c r="C190" s="87" t="s">
        <v>701</v>
      </c>
      <c r="D190" s="252">
        <v>0</v>
      </c>
      <c r="E190" s="144" t="str">
        <f t="shared" si="8"/>
        <v>NO</v>
      </c>
      <c r="F190" s="143">
        <v>0</v>
      </c>
      <c r="G190" s="144" t="str">
        <f t="shared" si="9"/>
        <v>NO</v>
      </c>
      <c r="H190" s="145">
        <f>SUM('2019 Legal Max'!L189-'2019 Legal Max'!I189)</f>
        <v>-1</v>
      </c>
      <c r="I190" s="144" t="str">
        <f t="shared" si="10"/>
        <v>YES</v>
      </c>
      <c r="J190" s="266" t="str">
        <f t="shared" si="11"/>
        <v>NO</v>
      </c>
    </row>
    <row r="191" spans="1:10">
      <c r="A191" s="126" t="s">
        <v>382</v>
      </c>
      <c r="B191" s="87" t="s">
        <v>10</v>
      </c>
      <c r="C191" s="87" t="s">
        <v>702</v>
      </c>
      <c r="D191" s="252">
        <v>0</v>
      </c>
      <c r="E191" s="144" t="str">
        <f t="shared" si="8"/>
        <v>NO</v>
      </c>
      <c r="F191" s="143">
        <v>1</v>
      </c>
      <c r="G191" s="144" t="str">
        <f t="shared" si="9"/>
        <v>YES</v>
      </c>
      <c r="H191" s="145">
        <f>SUM('2019 Legal Max'!L190-'2019 Legal Max'!I190)</f>
        <v>-21.6</v>
      </c>
      <c r="I191" s="144" t="str">
        <f t="shared" si="10"/>
        <v>YES</v>
      </c>
      <c r="J191" s="266" t="str">
        <f t="shared" si="11"/>
        <v>NO</v>
      </c>
    </row>
    <row r="192" spans="1:10">
      <c r="A192" s="126" t="s">
        <v>383</v>
      </c>
      <c r="B192" s="87" t="s">
        <v>89</v>
      </c>
      <c r="C192" s="87" t="s">
        <v>703</v>
      </c>
      <c r="D192" s="252">
        <v>0</v>
      </c>
      <c r="E192" s="144" t="str">
        <f t="shared" si="8"/>
        <v>NO</v>
      </c>
      <c r="F192" s="143">
        <v>1</v>
      </c>
      <c r="G192" s="144" t="str">
        <f t="shared" si="9"/>
        <v>YES</v>
      </c>
      <c r="H192" s="145">
        <f>SUM('2019 Legal Max'!L191-'2019 Legal Max'!I191)</f>
        <v>-7</v>
      </c>
      <c r="I192" s="144" t="str">
        <f t="shared" si="10"/>
        <v>YES</v>
      </c>
      <c r="J192" s="266" t="str">
        <f t="shared" si="11"/>
        <v>NO</v>
      </c>
    </row>
    <row r="193" spans="1:10">
      <c r="A193" s="126" t="s">
        <v>384</v>
      </c>
      <c r="B193" s="87" t="s">
        <v>89</v>
      </c>
      <c r="C193" s="87" t="s">
        <v>704</v>
      </c>
      <c r="D193" s="252">
        <v>0</v>
      </c>
      <c r="E193" s="144" t="str">
        <f t="shared" si="8"/>
        <v>NO</v>
      </c>
      <c r="F193" s="143">
        <v>0</v>
      </c>
      <c r="G193" s="144" t="str">
        <f t="shared" si="9"/>
        <v>NO</v>
      </c>
      <c r="H193" s="145">
        <f>SUM('2019 Legal Max'!L192-'2019 Legal Max'!I192)</f>
        <v>-4.5</v>
      </c>
      <c r="I193" s="144" t="str">
        <f t="shared" si="10"/>
        <v>YES</v>
      </c>
      <c r="J193" s="266" t="str">
        <f t="shared" si="11"/>
        <v>NO</v>
      </c>
    </row>
    <row r="194" spans="1:10">
      <c r="A194" s="126" t="s">
        <v>385</v>
      </c>
      <c r="B194" s="87" t="s">
        <v>90</v>
      </c>
      <c r="C194" s="87" t="s">
        <v>705</v>
      </c>
      <c r="D194" s="252">
        <v>0</v>
      </c>
      <c r="E194" s="144" t="str">
        <f t="shared" si="8"/>
        <v>NO</v>
      </c>
      <c r="F194" s="143">
        <v>0</v>
      </c>
      <c r="G194" s="144" t="str">
        <f t="shared" si="9"/>
        <v>NO</v>
      </c>
      <c r="H194" s="145">
        <f>SUM('2019 Legal Max'!L193-'2019 Legal Max'!I193)</f>
        <v>1.5</v>
      </c>
      <c r="I194" s="144" t="str">
        <f t="shared" si="10"/>
        <v>NO</v>
      </c>
      <c r="J194" s="266" t="str">
        <f t="shared" si="11"/>
        <v>NO</v>
      </c>
    </row>
    <row r="195" spans="1:10">
      <c r="A195" s="126" t="s">
        <v>386</v>
      </c>
      <c r="B195" s="87" t="s">
        <v>91</v>
      </c>
      <c r="C195" s="87" t="s">
        <v>706</v>
      </c>
      <c r="D195" s="252">
        <v>0</v>
      </c>
      <c r="E195" s="144" t="str">
        <f t="shared" si="8"/>
        <v>NO</v>
      </c>
      <c r="F195" s="143">
        <v>1</v>
      </c>
      <c r="G195" s="144" t="str">
        <f t="shared" si="9"/>
        <v>YES</v>
      </c>
      <c r="H195" s="145">
        <f>SUM('2019 Legal Max'!L194-'2019 Legal Max'!I194)</f>
        <v>-40.299999999999997</v>
      </c>
      <c r="I195" s="144" t="str">
        <f t="shared" si="10"/>
        <v>YES</v>
      </c>
      <c r="J195" s="266" t="str">
        <f t="shared" si="11"/>
        <v>NO</v>
      </c>
    </row>
    <row r="196" spans="1:10">
      <c r="A196" s="126" t="s">
        <v>387</v>
      </c>
      <c r="B196" s="87" t="s">
        <v>76</v>
      </c>
      <c r="C196" s="87" t="s">
        <v>707</v>
      </c>
      <c r="D196" s="252">
        <v>0</v>
      </c>
      <c r="E196" s="144" t="str">
        <f t="shared" si="8"/>
        <v>NO</v>
      </c>
      <c r="F196" s="143">
        <v>0</v>
      </c>
      <c r="G196" s="144" t="str">
        <f t="shared" si="9"/>
        <v>NO</v>
      </c>
      <c r="H196" s="145">
        <f>SUM('2019 Legal Max'!L195-'2019 Legal Max'!I195)</f>
        <v>11.5</v>
      </c>
      <c r="I196" s="144" t="str">
        <f t="shared" si="10"/>
        <v>NO</v>
      </c>
      <c r="J196" s="266" t="str">
        <f t="shared" si="11"/>
        <v>NO</v>
      </c>
    </row>
    <row r="197" spans="1:10">
      <c r="A197" s="126" t="s">
        <v>388</v>
      </c>
      <c r="B197" s="87" t="s">
        <v>10</v>
      </c>
      <c r="C197" s="87" t="s">
        <v>708</v>
      </c>
      <c r="D197" s="252">
        <v>0</v>
      </c>
      <c r="E197" s="144" t="str">
        <f t="shared" si="8"/>
        <v>NO</v>
      </c>
      <c r="F197" s="143">
        <v>1</v>
      </c>
      <c r="G197" s="144" t="str">
        <f t="shared" si="9"/>
        <v>YES</v>
      </c>
      <c r="H197" s="145">
        <f>SUM('2019 Legal Max'!L196-'2019 Legal Max'!I196)</f>
        <v>2.9</v>
      </c>
      <c r="I197" s="144" t="str">
        <f t="shared" si="10"/>
        <v>NO</v>
      </c>
      <c r="J197" s="266" t="str">
        <f t="shared" si="11"/>
        <v>NO</v>
      </c>
    </row>
    <row r="198" spans="1:10">
      <c r="A198" s="126" t="s">
        <v>389</v>
      </c>
      <c r="B198" s="87" t="s">
        <v>88</v>
      </c>
      <c r="C198" s="87" t="s">
        <v>709</v>
      </c>
      <c r="D198" s="252">
        <v>0</v>
      </c>
      <c r="E198" s="144" t="str">
        <f t="shared" si="8"/>
        <v>NO</v>
      </c>
      <c r="F198" s="143">
        <v>0</v>
      </c>
      <c r="G198" s="144" t="str">
        <f t="shared" si="9"/>
        <v>NO</v>
      </c>
      <c r="H198" s="145">
        <f>SUM('2019 Legal Max'!L197-'2019 Legal Max'!I197)</f>
        <v>15.2</v>
      </c>
      <c r="I198" s="144" t="str">
        <f t="shared" si="10"/>
        <v>NO</v>
      </c>
      <c r="J198" s="266" t="str">
        <f t="shared" si="11"/>
        <v>NO</v>
      </c>
    </row>
    <row r="199" spans="1:10">
      <c r="A199" s="126" t="s">
        <v>390</v>
      </c>
      <c r="B199" s="87" t="s">
        <v>29</v>
      </c>
      <c r="C199" s="87" t="s">
        <v>710</v>
      </c>
      <c r="D199" s="252">
        <v>0</v>
      </c>
      <c r="E199" s="144" t="str">
        <f t="shared" ref="E199:E262" si="12">IF(D199&gt;0, "YES", "NO")</f>
        <v>NO</v>
      </c>
      <c r="F199" s="143">
        <v>0</v>
      </c>
      <c r="G199" s="144" t="str">
        <f t="shared" ref="G199:G262" si="13">IF(F199&gt;0, "YES", "NO")</f>
        <v>NO</v>
      </c>
      <c r="H199" s="145">
        <f>SUM('2019 Legal Max'!L198-'2019 Legal Max'!I198)</f>
        <v>6.5</v>
      </c>
      <c r="I199" s="144" t="str">
        <f t="shared" ref="I199:I262" si="14">IF(H199&lt;0, "YES", "NO")</f>
        <v>NO</v>
      </c>
      <c r="J199" s="266" t="str">
        <f t="shared" ref="J199:J262" si="15">IF(AND(E199="YES", G199="YES", I199="YES"), "YES", "NO")</f>
        <v>NO</v>
      </c>
    </row>
    <row r="200" spans="1:10">
      <c r="A200" s="126" t="s">
        <v>391</v>
      </c>
      <c r="B200" s="87" t="s">
        <v>76</v>
      </c>
      <c r="C200" s="87" t="s">
        <v>711</v>
      </c>
      <c r="D200" s="252">
        <v>0</v>
      </c>
      <c r="E200" s="144" t="str">
        <f t="shared" si="12"/>
        <v>NO</v>
      </c>
      <c r="F200" s="143">
        <v>0</v>
      </c>
      <c r="G200" s="144" t="str">
        <f t="shared" si="13"/>
        <v>NO</v>
      </c>
      <c r="H200" s="145">
        <f>SUM('2019 Legal Max'!L199-'2019 Legal Max'!I199)</f>
        <v>-48.1</v>
      </c>
      <c r="I200" s="144" t="str">
        <f t="shared" si="14"/>
        <v>YES</v>
      </c>
      <c r="J200" s="266" t="str">
        <f t="shared" si="15"/>
        <v>NO</v>
      </c>
    </row>
    <row r="201" spans="1:10">
      <c r="A201" s="126" t="s">
        <v>392</v>
      </c>
      <c r="B201" s="87" t="s">
        <v>90</v>
      </c>
      <c r="C201" s="87" t="s">
        <v>712</v>
      </c>
      <c r="D201" s="252">
        <v>0</v>
      </c>
      <c r="E201" s="144" t="str">
        <f t="shared" si="12"/>
        <v>NO</v>
      </c>
      <c r="F201" s="143">
        <v>1</v>
      </c>
      <c r="G201" s="144" t="str">
        <f t="shared" si="13"/>
        <v>YES</v>
      </c>
      <c r="H201" s="145">
        <f>SUM('2019 Legal Max'!L200-'2019 Legal Max'!I200)</f>
        <v>16.399999999999999</v>
      </c>
      <c r="I201" s="144" t="str">
        <f t="shared" si="14"/>
        <v>NO</v>
      </c>
      <c r="J201" s="266" t="str">
        <f t="shared" si="15"/>
        <v>NO</v>
      </c>
    </row>
    <row r="202" spans="1:10">
      <c r="A202" s="126" t="s">
        <v>393</v>
      </c>
      <c r="B202" s="87" t="s">
        <v>89</v>
      </c>
      <c r="C202" s="87" t="s">
        <v>713</v>
      </c>
      <c r="D202" s="252">
        <v>0</v>
      </c>
      <c r="E202" s="144" t="str">
        <f t="shared" si="12"/>
        <v>NO</v>
      </c>
      <c r="F202" s="143">
        <v>1</v>
      </c>
      <c r="G202" s="144" t="str">
        <f t="shared" si="13"/>
        <v>YES</v>
      </c>
      <c r="H202" s="145">
        <f>SUM('2019 Legal Max'!L201-'2019 Legal Max'!I201)</f>
        <v>-1.5</v>
      </c>
      <c r="I202" s="144" t="str">
        <f t="shared" si="14"/>
        <v>YES</v>
      </c>
      <c r="J202" s="266" t="str">
        <f t="shared" si="15"/>
        <v>NO</v>
      </c>
    </row>
    <row r="203" spans="1:10">
      <c r="A203" s="126" t="s">
        <v>394</v>
      </c>
      <c r="B203" s="87" t="s">
        <v>77</v>
      </c>
      <c r="C203" s="87" t="s">
        <v>714</v>
      </c>
      <c r="D203" s="252">
        <v>0</v>
      </c>
      <c r="E203" s="144" t="str">
        <f t="shared" si="12"/>
        <v>NO</v>
      </c>
      <c r="F203" s="143">
        <v>1</v>
      </c>
      <c r="G203" s="144" t="str">
        <f t="shared" si="13"/>
        <v>YES</v>
      </c>
      <c r="H203" s="145">
        <f>SUM('2019 Legal Max'!L202-'2019 Legal Max'!I202)</f>
        <v>-13.2</v>
      </c>
      <c r="I203" s="144" t="str">
        <f t="shared" si="14"/>
        <v>YES</v>
      </c>
      <c r="J203" s="266" t="str">
        <f t="shared" si="15"/>
        <v>NO</v>
      </c>
    </row>
    <row r="204" spans="1:10">
      <c r="A204" s="126" t="s">
        <v>395</v>
      </c>
      <c r="B204" s="87" t="s">
        <v>89</v>
      </c>
      <c r="C204" s="87" t="s">
        <v>715</v>
      </c>
      <c r="D204" s="252">
        <v>0</v>
      </c>
      <c r="E204" s="144" t="str">
        <f t="shared" si="12"/>
        <v>NO</v>
      </c>
      <c r="F204" s="143">
        <v>0</v>
      </c>
      <c r="G204" s="144" t="str">
        <f t="shared" si="13"/>
        <v>NO</v>
      </c>
      <c r="H204" s="145">
        <f>SUM('2019 Legal Max'!L203-'2019 Legal Max'!I203)</f>
        <v>1</v>
      </c>
      <c r="I204" s="144" t="str">
        <f t="shared" si="14"/>
        <v>NO</v>
      </c>
      <c r="J204" s="266" t="str">
        <f t="shared" si="15"/>
        <v>NO</v>
      </c>
    </row>
    <row r="205" spans="1:10">
      <c r="A205" s="126" t="s">
        <v>396</v>
      </c>
      <c r="B205" s="87" t="s">
        <v>89</v>
      </c>
      <c r="C205" s="87" t="s">
        <v>716</v>
      </c>
      <c r="D205" s="252">
        <v>0</v>
      </c>
      <c r="E205" s="144" t="str">
        <f t="shared" si="12"/>
        <v>NO</v>
      </c>
      <c r="F205" s="143">
        <v>0</v>
      </c>
      <c r="G205" s="144" t="str">
        <f t="shared" si="13"/>
        <v>NO</v>
      </c>
      <c r="H205" s="145">
        <f>SUM('2019 Legal Max'!L204-'2019 Legal Max'!I204)</f>
        <v>16.600000000000001</v>
      </c>
      <c r="I205" s="144" t="str">
        <f t="shared" si="14"/>
        <v>NO</v>
      </c>
      <c r="J205" s="266" t="str">
        <f t="shared" si="15"/>
        <v>NO</v>
      </c>
    </row>
    <row r="206" spans="1:10">
      <c r="A206" s="126" t="s">
        <v>397</v>
      </c>
      <c r="B206" s="87" t="s">
        <v>93</v>
      </c>
      <c r="C206" s="87" t="s">
        <v>717</v>
      </c>
      <c r="D206" s="252">
        <v>0</v>
      </c>
      <c r="E206" s="144" t="str">
        <f t="shared" si="12"/>
        <v>NO</v>
      </c>
      <c r="F206" s="143">
        <v>0</v>
      </c>
      <c r="G206" s="144" t="str">
        <f t="shared" si="13"/>
        <v>NO</v>
      </c>
      <c r="H206" s="145">
        <f>SUM('2019 Legal Max'!L205-'2019 Legal Max'!I205)</f>
        <v>17</v>
      </c>
      <c r="I206" s="144" t="str">
        <f t="shared" si="14"/>
        <v>NO</v>
      </c>
      <c r="J206" s="266" t="str">
        <f t="shared" si="15"/>
        <v>NO</v>
      </c>
    </row>
    <row r="207" spans="1:10">
      <c r="A207" s="126" t="s">
        <v>398</v>
      </c>
      <c r="B207" s="87" t="s">
        <v>4</v>
      </c>
      <c r="C207" s="87" t="s">
        <v>718</v>
      </c>
      <c r="D207" s="252">
        <v>0</v>
      </c>
      <c r="E207" s="144" t="str">
        <f t="shared" si="12"/>
        <v>NO</v>
      </c>
      <c r="F207" s="143">
        <v>1</v>
      </c>
      <c r="G207" s="144" t="str">
        <f t="shared" si="13"/>
        <v>YES</v>
      </c>
      <c r="H207" s="145">
        <f>SUM('2019 Legal Max'!L206-'2019 Legal Max'!I206)</f>
        <v>20.3</v>
      </c>
      <c r="I207" s="144" t="str">
        <f t="shared" si="14"/>
        <v>NO</v>
      </c>
      <c r="J207" s="266" t="str">
        <f t="shared" si="15"/>
        <v>NO</v>
      </c>
    </row>
    <row r="208" spans="1:10">
      <c r="A208" s="126" t="s">
        <v>399</v>
      </c>
      <c r="B208" s="87" t="s">
        <v>94</v>
      </c>
      <c r="C208" s="87" t="s">
        <v>719</v>
      </c>
      <c r="D208" s="252">
        <v>0</v>
      </c>
      <c r="E208" s="144" t="str">
        <f t="shared" si="12"/>
        <v>NO</v>
      </c>
      <c r="F208" s="143">
        <v>0</v>
      </c>
      <c r="G208" s="144" t="str">
        <f t="shared" si="13"/>
        <v>NO</v>
      </c>
      <c r="H208" s="145">
        <f>SUM('2019 Legal Max'!L207-'2019 Legal Max'!I207)</f>
        <v>-2.6</v>
      </c>
      <c r="I208" s="144" t="str">
        <f t="shared" si="14"/>
        <v>YES</v>
      </c>
      <c r="J208" s="266" t="str">
        <f t="shared" si="15"/>
        <v>NO</v>
      </c>
    </row>
    <row r="209" spans="1:10">
      <c r="A209" s="126" t="s">
        <v>400</v>
      </c>
      <c r="B209" s="87" t="s">
        <v>73</v>
      </c>
      <c r="C209" s="87" t="s">
        <v>720</v>
      </c>
      <c r="D209" s="252">
        <v>0</v>
      </c>
      <c r="E209" s="144" t="str">
        <f t="shared" si="12"/>
        <v>NO</v>
      </c>
      <c r="F209" s="143">
        <v>1</v>
      </c>
      <c r="G209" s="144" t="str">
        <f t="shared" si="13"/>
        <v>YES</v>
      </c>
      <c r="H209" s="145">
        <f>SUM('2019 Legal Max'!L208-'2019 Legal Max'!I208)</f>
        <v>31.6</v>
      </c>
      <c r="I209" s="144" t="str">
        <f t="shared" si="14"/>
        <v>NO</v>
      </c>
      <c r="J209" s="266" t="str">
        <f t="shared" si="15"/>
        <v>NO</v>
      </c>
    </row>
    <row r="210" spans="1:10">
      <c r="A210" s="126" t="s">
        <v>401</v>
      </c>
      <c r="B210" s="87" t="s">
        <v>95</v>
      </c>
      <c r="C210" s="87" t="s">
        <v>721</v>
      </c>
      <c r="D210" s="252">
        <v>0</v>
      </c>
      <c r="E210" s="144" t="str">
        <f t="shared" si="12"/>
        <v>NO</v>
      </c>
      <c r="F210" s="143">
        <v>1</v>
      </c>
      <c r="G210" s="144" t="str">
        <f t="shared" si="13"/>
        <v>YES</v>
      </c>
      <c r="H210" s="145">
        <f>SUM('2019 Legal Max'!L209-'2019 Legal Max'!I209)</f>
        <v>28.7</v>
      </c>
      <c r="I210" s="144" t="str">
        <f t="shared" si="14"/>
        <v>NO</v>
      </c>
      <c r="J210" s="266" t="str">
        <f t="shared" si="15"/>
        <v>NO</v>
      </c>
    </row>
    <row r="211" spans="1:10">
      <c r="A211" s="126" t="s">
        <v>402</v>
      </c>
      <c r="B211" s="87" t="s">
        <v>91</v>
      </c>
      <c r="C211" s="87" t="s">
        <v>722</v>
      </c>
      <c r="D211" s="252">
        <v>0</v>
      </c>
      <c r="E211" s="144" t="str">
        <f t="shared" si="12"/>
        <v>NO</v>
      </c>
      <c r="F211" s="143">
        <v>1</v>
      </c>
      <c r="G211" s="144" t="str">
        <f t="shared" si="13"/>
        <v>YES</v>
      </c>
      <c r="H211" s="145">
        <f>SUM('2019 Legal Max'!L210-'2019 Legal Max'!I210)</f>
        <v>60.9</v>
      </c>
      <c r="I211" s="144" t="str">
        <f t="shared" si="14"/>
        <v>NO</v>
      </c>
      <c r="J211" s="266" t="str">
        <f t="shared" si="15"/>
        <v>NO</v>
      </c>
    </row>
    <row r="212" spans="1:10">
      <c r="A212" s="126" t="s">
        <v>403</v>
      </c>
      <c r="B212" s="87" t="s">
        <v>91</v>
      </c>
      <c r="C212" s="87" t="s">
        <v>723</v>
      </c>
      <c r="D212" s="252">
        <v>0</v>
      </c>
      <c r="E212" s="144" t="str">
        <f t="shared" si="12"/>
        <v>NO</v>
      </c>
      <c r="F212" s="143">
        <v>0</v>
      </c>
      <c r="G212" s="144" t="str">
        <f t="shared" si="13"/>
        <v>NO</v>
      </c>
      <c r="H212" s="145">
        <f>SUM('2019 Legal Max'!L211-'2019 Legal Max'!I211)</f>
        <v>-4.3</v>
      </c>
      <c r="I212" s="144" t="str">
        <f t="shared" si="14"/>
        <v>YES</v>
      </c>
      <c r="J212" s="266" t="str">
        <f t="shared" si="15"/>
        <v>NO</v>
      </c>
    </row>
    <row r="213" spans="1:10">
      <c r="A213" s="126" t="s">
        <v>404</v>
      </c>
      <c r="B213" s="87" t="s">
        <v>96</v>
      </c>
      <c r="C213" s="87" t="s">
        <v>724</v>
      </c>
      <c r="D213" s="252">
        <v>0</v>
      </c>
      <c r="E213" s="144" t="str">
        <f t="shared" si="12"/>
        <v>NO</v>
      </c>
      <c r="F213" s="143">
        <v>1</v>
      </c>
      <c r="G213" s="144" t="str">
        <f t="shared" si="13"/>
        <v>YES</v>
      </c>
      <c r="H213" s="145">
        <f>SUM('2019 Legal Max'!L212-'2019 Legal Max'!I212)</f>
        <v>-2.7</v>
      </c>
      <c r="I213" s="144" t="str">
        <f t="shared" si="14"/>
        <v>YES</v>
      </c>
      <c r="J213" s="266" t="str">
        <f t="shared" si="15"/>
        <v>NO</v>
      </c>
    </row>
    <row r="214" spans="1:10">
      <c r="A214" s="126" t="s">
        <v>405</v>
      </c>
      <c r="B214" s="87" t="s">
        <v>96</v>
      </c>
      <c r="C214" s="87" t="s">
        <v>725</v>
      </c>
      <c r="D214" s="252">
        <v>0</v>
      </c>
      <c r="E214" s="144" t="str">
        <f t="shared" si="12"/>
        <v>NO</v>
      </c>
      <c r="F214" s="143">
        <v>0</v>
      </c>
      <c r="G214" s="144" t="str">
        <f t="shared" si="13"/>
        <v>NO</v>
      </c>
      <c r="H214" s="145">
        <f>SUM('2019 Legal Max'!L213-'2019 Legal Max'!I213)</f>
        <v>0.5</v>
      </c>
      <c r="I214" s="144" t="str">
        <f t="shared" si="14"/>
        <v>NO</v>
      </c>
      <c r="J214" s="266" t="str">
        <f t="shared" si="15"/>
        <v>NO</v>
      </c>
    </row>
    <row r="215" spans="1:10">
      <c r="A215" s="126" t="s">
        <v>406</v>
      </c>
      <c r="B215" s="87" t="s">
        <v>97</v>
      </c>
      <c r="C215" s="87" t="s">
        <v>726</v>
      </c>
      <c r="D215" s="252">
        <v>0</v>
      </c>
      <c r="E215" s="144" t="str">
        <f t="shared" si="12"/>
        <v>NO</v>
      </c>
      <c r="F215" s="143">
        <v>0</v>
      </c>
      <c r="G215" s="144" t="str">
        <f t="shared" si="13"/>
        <v>NO</v>
      </c>
      <c r="H215" s="145">
        <f>SUM('2019 Legal Max'!L214-'2019 Legal Max'!I214)</f>
        <v>-3.5</v>
      </c>
      <c r="I215" s="144" t="str">
        <f t="shared" si="14"/>
        <v>YES</v>
      </c>
      <c r="J215" s="266" t="str">
        <f t="shared" si="15"/>
        <v>NO</v>
      </c>
    </row>
    <row r="216" spans="1:10">
      <c r="A216" s="126" t="s">
        <v>407</v>
      </c>
      <c r="B216" s="87" t="s">
        <v>91</v>
      </c>
      <c r="C216" s="87" t="s">
        <v>727</v>
      </c>
      <c r="D216" s="252">
        <v>0</v>
      </c>
      <c r="E216" s="144" t="str">
        <f t="shared" si="12"/>
        <v>NO</v>
      </c>
      <c r="F216" s="143">
        <v>0</v>
      </c>
      <c r="G216" s="144" t="str">
        <f t="shared" si="13"/>
        <v>NO</v>
      </c>
      <c r="H216" s="145">
        <f>SUM('2019 Legal Max'!L215-'2019 Legal Max'!I215)</f>
        <v>9.4</v>
      </c>
      <c r="I216" s="144" t="str">
        <f t="shared" si="14"/>
        <v>NO</v>
      </c>
      <c r="J216" s="266" t="str">
        <f t="shared" si="15"/>
        <v>NO</v>
      </c>
    </row>
    <row r="217" spans="1:10">
      <c r="A217" s="126" t="s">
        <v>408</v>
      </c>
      <c r="B217" s="87" t="s">
        <v>98</v>
      </c>
      <c r="C217" s="87" t="s">
        <v>728</v>
      </c>
      <c r="D217" s="252">
        <v>0</v>
      </c>
      <c r="E217" s="144" t="str">
        <f t="shared" si="12"/>
        <v>NO</v>
      </c>
      <c r="F217" s="143">
        <v>0</v>
      </c>
      <c r="G217" s="144" t="str">
        <f t="shared" si="13"/>
        <v>NO</v>
      </c>
      <c r="H217" s="145">
        <f>SUM('2019 Legal Max'!L216-'2019 Legal Max'!I216)</f>
        <v>-16.5</v>
      </c>
      <c r="I217" s="144" t="str">
        <f t="shared" si="14"/>
        <v>YES</v>
      </c>
      <c r="J217" s="266" t="str">
        <f t="shared" si="15"/>
        <v>NO</v>
      </c>
    </row>
    <row r="218" spans="1:10">
      <c r="A218" s="126" t="s">
        <v>409</v>
      </c>
      <c r="B218" s="87" t="s">
        <v>67</v>
      </c>
      <c r="C218" s="87" t="s">
        <v>729</v>
      </c>
      <c r="D218" s="252">
        <v>0</v>
      </c>
      <c r="E218" s="144" t="str">
        <f t="shared" si="12"/>
        <v>NO</v>
      </c>
      <c r="F218" s="143">
        <v>1</v>
      </c>
      <c r="G218" s="144" t="str">
        <f t="shared" si="13"/>
        <v>YES</v>
      </c>
      <c r="H218" s="145">
        <f>SUM('2019 Legal Max'!L217-'2019 Legal Max'!I217)</f>
        <v>-8.6999999999999993</v>
      </c>
      <c r="I218" s="144" t="str">
        <f t="shared" si="14"/>
        <v>YES</v>
      </c>
      <c r="J218" s="266" t="str">
        <f t="shared" si="15"/>
        <v>NO</v>
      </c>
    </row>
    <row r="219" spans="1:10">
      <c r="A219" s="126" t="s">
        <v>410</v>
      </c>
      <c r="B219" s="87" t="s">
        <v>92</v>
      </c>
      <c r="C219" s="87" t="s">
        <v>730</v>
      </c>
      <c r="D219" s="252">
        <v>0</v>
      </c>
      <c r="E219" s="144" t="str">
        <f t="shared" si="12"/>
        <v>NO</v>
      </c>
      <c r="F219" s="143">
        <v>0</v>
      </c>
      <c r="G219" s="144" t="str">
        <f t="shared" si="13"/>
        <v>NO</v>
      </c>
      <c r="H219" s="145">
        <f>SUM('2019 Legal Max'!L218-'2019 Legal Max'!I218)</f>
        <v>3.9</v>
      </c>
      <c r="I219" s="144" t="str">
        <f t="shared" si="14"/>
        <v>NO</v>
      </c>
      <c r="J219" s="266" t="str">
        <f t="shared" si="15"/>
        <v>NO</v>
      </c>
    </row>
    <row r="220" spans="1:10">
      <c r="A220" s="126" t="s">
        <v>411</v>
      </c>
      <c r="B220" s="87" t="s">
        <v>94</v>
      </c>
      <c r="C220" s="87" t="s">
        <v>731</v>
      </c>
      <c r="D220" s="252">
        <v>74180</v>
      </c>
      <c r="E220" s="144" t="str">
        <f t="shared" si="12"/>
        <v>YES</v>
      </c>
      <c r="F220" s="143">
        <v>0</v>
      </c>
      <c r="G220" s="144" t="str">
        <f t="shared" si="13"/>
        <v>NO</v>
      </c>
      <c r="H220" s="145">
        <f>SUM('2019 Legal Max'!L219-'2019 Legal Max'!I219)</f>
        <v>-5.5</v>
      </c>
      <c r="I220" s="144" t="str">
        <f t="shared" si="14"/>
        <v>YES</v>
      </c>
      <c r="J220" s="266" t="str">
        <f t="shared" si="15"/>
        <v>NO</v>
      </c>
    </row>
    <row r="221" spans="1:10">
      <c r="A221" s="126" t="s">
        <v>412</v>
      </c>
      <c r="B221" s="87" t="s">
        <v>67</v>
      </c>
      <c r="C221" s="87" t="s">
        <v>732</v>
      </c>
      <c r="D221" s="252">
        <v>0</v>
      </c>
      <c r="E221" s="144" t="str">
        <f t="shared" si="12"/>
        <v>NO</v>
      </c>
      <c r="F221" s="143">
        <v>0</v>
      </c>
      <c r="G221" s="144" t="str">
        <f t="shared" si="13"/>
        <v>NO</v>
      </c>
      <c r="H221" s="145">
        <f>SUM('2019 Legal Max'!L220-'2019 Legal Max'!I220)</f>
        <v>-19.399999999999999</v>
      </c>
      <c r="I221" s="144" t="str">
        <f t="shared" si="14"/>
        <v>YES</v>
      </c>
      <c r="J221" s="266" t="str">
        <f t="shared" si="15"/>
        <v>NO</v>
      </c>
    </row>
    <row r="222" spans="1:10">
      <c r="A222" s="126" t="s">
        <v>413</v>
      </c>
      <c r="B222" s="87" t="s">
        <v>84</v>
      </c>
      <c r="C222" s="87" t="s">
        <v>733</v>
      </c>
      <c r="D222" s="252">
        <v>0</v>
      </c>
      <c r="E222" s="144" t="str">
        <f t="shared" si="12"/>
        <v>NO</v>
      </c>
      <c r="F222" s="143">
        <v>1</v>
      </c>
      <c r="G222" s="144" t="str">
        <f t="shared" si="13"/>
        <v>YES</v>
      </c>
      <c r="H222" s="145">
        <f>SUM('2019 Legal Max'!L221-'2019 Legal Max'!I221)</f>
        <v>1</v>
      </c>
      <c r="I222" s="144" t="str">
        <f t="shared" si="14"/>
        <v>NO</v>
      </c>
      <c r="J222" s="266" t="str">
        <f t="shared" si="15"/>
        <v>NO</v>
      </c>
    </row>
    <row r="223" spans="1:10">
      <c r="A223" s="126" t="s">
        <v>414</v>
      </c>
      <c r="B223" s="87" t="s">
        <v>96</v>
      </c>
      <c r="C223" s="87" t="s">
        <v>734</v>
      </c>
      <c r="D223" s="252">
        <v>0</v>
      </c>
      <c r="E223" s="144" t="str">
        <f t="shared" si="12"/>
        <v>NO</v>
      </c>
      <c r="F223" s="143">
        <v>1</v>
      </c>
      <c r="G223" s="144" t="str">
        <f t="shared" si="13"/>
        <v>YES</v>
      </c>
      <c r="H223" s="145">
        <f>SUM('2019 Legal Max'!L222-'2019 Legal Max'!I222)</f>
        <v>14.1</v>
      </c>
      <c r="I223" s="144" t="str">
        <f t="shared" si="14"/>
        <v>NO</v>
      </c>
      <c r="J223" s="266" t="str">
        <f t="shared" si="15"/>
        <v>NO</v>
      </c>
    </row>
    <row r="224" spans="1:10">
      <c r="A224" s="126" t="s">
        <v>415</v>
      </c>
      <c r="B224" s="87" t="s">
        <v>87</v>
      </c>
      <c r="C224" s="87" t="s">
        <v>735</v>
      </c>
      <c r="D224" s="252">
        <v>325</v>
      </c>
      <c r="E224" s="144" t="str">
        <f t="shared" si="12"/>
        <v>YES</v>
      </c>
      <c r="F224" s="143">
        <v>1</v>
      </c>
      <c r="G224" s="144" t="str">
        <f t="shared" si="13"/>
        <v>YES</v>
      </c>
      <c r="H224" s="145">
        <f>SUM('2019 Legal Max'!L223-'2019 Legal Max'!I223)</f>
        <v>-37</v>
      </c>
      <c r="I224" s="144" t="str">
        <f t="shared" si="14"/>
        <v>YES</v>
      </c>
      <c r="J224" s="266" t="str">
        <f t="shared" si="15"/>
        <v>YES</v>
      </c>
    </row>
    <row r="225" spans="1:10">
      <c r="A225" s="126" t="s">
        <v>416</v>
      </c>
      <c r="B225" s="87" t="s">
        <v>99</v>
      </c>
      <c r="C225" s="87" t="s">
        <v>736</v>
      </c>
      <c r="D225" s="252">
        <v>0</v>
      </c>
      <c r="E225" s="144" t="str">
        <f t="shared" si="12"/>
        <v>NO</v>
      </c>
      <c r="F225" s="143">
        <v>0</v>
      </c>
      <c r="G225" s="144" t="str">
        <f t="shared" si="13"/>
        <v>NO</v>
      </c>
      <c r="H225" s="145">
        <f>SUM('2019 Legal Max'!L224-'2019 Legal Max'!I224)</f>
        <v>35.1</v>
      </c>
      <c r="I225" s="144" t="str">
        <f t="shared" si="14"/>
        <v>NO</v>
      </c>
      <c r="J225" s="266" t="str">
        <f t="shared" si="15"/>
        <v>NO</v>
      </c>
    </row>
    <row r="226" spans="1:10">
      <c r="A226" s="126" t="s">
        <v>417</v>
      </c>
      <c r="B226" s="87" t="s">
        <v>61</v>
      </c>
      <c r="C226" s="87" t="s">
        <v>737</v>
      </c>
      <c r="D226" s="252">
        <v>0</v>
      </c>
      <c r="E226" s="144" t="str">
        <f t="shared" si="12"/>
        <v>NO</v>
      </c>
      <c r="F226" s="143">
        <v>1</v>
      </c>
      <c r="G226" s="144" t="str">
        <f t="shared" si="13"/>
        <v>YES</v>
      </c>
      <c r="H226" s="145">
        <f>SUM('2019 Legal Max'!L225-'2019 Legal Max'!I225)</f>
        <v>6.4</v>
      </c>
      <c r="I226" s="144" t="str">
        <f t="shared" si="14"/>
        <v>NO</v>
      </c>
      <c r="J226" s="266" t="str">
        <f t="shared" si="15"/>
        <v>NO</v>
      </c>
    </row>
    <row r="227" spans="1:10">
      <c r="A227" s="126" t="s">
        <v>418</v>
      </c>
      <c r="B227" s="87" t="s">
        <v>81</v>
      </c>
      <c r="C227" s="87" t="s">
        <v>738</v>
      </c>
      <c r="D227" s="252">
        <v>0</v>
      </c>
      <c r="E227" s="144" t="str">
        <f t="shared" si="12"/>
        <v>NO</v>
      </c>
      <c r="F227" s="143">
        <v>0</v>
      </c>
      <c r="G227" s="144" t="str">
        <f t="shared" si="13"/>
        <v>NO</v>
      </c>
      <c r="H227" s="145">
        <f>SUM('2019 Legal Max'!L226-'2019 Legal Max'!I226)</f>
        <v>-17</v>
      </c>
      <c r="I227" s="144" t="str">
        <f t="shared" si="14"/>
        <v>YES</v>
      </c>
      <c r="J227" s="266" t="str">
        <f t="shared" si="15"/>
        <v>NO</v>
      </c>
    </row>
    <row r="228" spans="1:10">
      <c r="A228" s="126" t="s">
        <v>419</v>
      </c>
      <c r="B228" s="87" t="s">
        <v>74</v>
      </c>
      <c r="C228" s="87" t="s">
        <v>739</v>
      </c>
      <c r="D228" s="252">
        <v>0</v>
      </c>
      <c r="E228" s="144" t="str">
        <f t="shared" si="12"/>
        <v>NO</v>
      </c>
      <c r="F228" s="143">
        <v>0</v>
      </c>
      <c r="G228" s="144" t="str">
        <f t="shared" si="13"/>
        <v>NO</v>
      </c>
      <c r="H228" s="145">
        <f>SUM('2019 Legal Max'!L227-'2019 Legal Max'!I227)</f>
        <v>-1.5</v>
      </c>
      <c r="I228" s="144" t="str">
        <f t="shared" si="14"/>
        <v>YES</v>
      </c>
      <c r="J228" s="266" t="str">
        <f t="shared" si="15"/>
        <v>NO</v>
      </c>
    </row>
    <row r="229" spans="1:10">
      <c r="A229" s="126" t="s">
        <v>420</v>
      </c>
      <c r="B229" s="87" t="s">
        <v>74</v>
      </c>
      <c r="C229" s="87" t="s">
        <v>740</v>
      </c>
      <c r="D229" s="252">
        <v>0</v>
      </c>
      <c r="E229" s="144" t="str">
        <f t="shared" si="12"/>
        <v>NO</v>
      </c>
      <c r="F229" s="143">
        <v>1</v>
      </c>
      <c r="G229" s="144" t="str">
        <f t="shared" si="13"/>
        <v>YES</v>
      </c>
      <c r="H229" s="145">
        <f>SUM('2019 Legal Max'!L228-'2019 Legal Max'!I228)</f>
        <v>13.5</v>
      </c>
      <c r="I229" s="144" t="str">
        <f t="shared" si="14"/>
        <v>NO</v>
      </c>
      <c r="J229" s="266" t="str">
        <f t="shared" si="15"/>
        <v>NO</v>
      </c>
    </row>
    <row r="230" spans="1:10">
      <c r="A230" s="126" t="s">
        <v>421</v>
      </c>
      <c r="B230" s="87" t="s">
        <v>80</v>
      </c>
      <c r="C230" s="87" t="s">
        <v>741</v>
      </c>
      <c r="D230" s="252">
        <v>0</v>
      </c>
      <c r="E230" s="144" t="str">
        <f t="shared" si="12"/>
        <v>NO</v>
      </c>
      <c r="F230" s="143">
        <v>0</v>
      </c>
      <c r="G230" s="144" t="str">
        <f t="shared" si="13"/>
        <v>NO</v>
      </c>
      <c r="H230" s="145">
        <f>SUM('2019 Legal Max'!L229-'2019 Legal Max'!I229)</f>
        <v>-54.4</v>
      </c>
      <c r="I230" s="144" t="str">
        <f t="shared" si="14"/>
        <v>YES</v>
      </c>
      <c r="J230" s="266" t="str">
        <f t="shared" si="15"/>
        <v>NO</v>
      </c>
    </row>
    <row r="231" spans="1:10">
      <c r="A231" s="126" t="s">
        <v>422</v>
      </c>
      <c r="B231" s="87" t="s">
        <v>76</v>
      </c>
      <c r="C231" s="87" t="s">
        <v>742</v>
      </c>
      <c r="D231" s="252">
        <v>0</v>
      </c>
      <c r="E231" s="144" t="str">
        <f t="shared" si="12"/>
        <v>NO</v>
      </c>
      <c r="F231" s="143">
        <v>0</v>
      </c>
      <c r="G231" s="144" t="str">
        <f t="shared" si="13"/>
        <v>NO</v>
      </c>
      <c r="H231" s="145">
        <f>SUM('2019 Legal Max'!L230-'2019 Legal Max'!I230)</f>
        <v>-18.5</v>
      </c>
      <c r="I231" s="144" t="str">
        <f t="shared" si="14"/>
        <v>YES</v>
      </c>
      <c r="J231" s="266" t="str">
        <f t="shared" si="15"/>
        <v>NO</v>
      </c>
    </row>
    <row r="232" spans="1:10">
      <c r="A232" s="126" t="s">
        <v>423</v>
      </c>
      <c r="B232" s="87" t="s">
        <v>99</v>
      </c>
      <c r="C232" s="87" t="s">
        <v>743</v>
      </c>
      <c r="D232" s="252">
        <v>0</v>
      </c>
      <c r="E232" s="144" t="str">
        <f t="shared" si="12"/>
        <v>NO</v>
      </c>
      <c r="F232" s="143">
        <v>0</v>
      </c>
      <c r="G232" s="144" t="str">
        <f t="shared" si="13"/>
        <v>NO</v>
      </c>
      <c r="H232" s="145">
        <f>SUM('2019 Legal Max'!L231-'2019 Legal Max'!I231)</f>
        <v>11.1</v>
      </c>
      <c r="I232" s="144" t="str">
        <f t="shared" si="14"/>
        <v>NO</v>
      </c>
      <c r="J232" s="266" t="str">
        <f t="shared" si="15"/>
        <v>NO</v>
      </c>
    </row>
    <row r="233" spans="1:10">
      <c r="A233" s="126" t="s">
        <v>424</v>
      </c>
      <c r="B233" s="87" t="s">
        <v>99</v>
      </c>
      <c r="C233" s="87" t="s">
        <v>744</v>
      </c>
      <c r="D233" s="252">
        <v>16582</v>
      </c>
      <c r="E233" s="144" t="str">
        <f t="shared" si="12"/>
        <v>YES</v>
      </c>
      <c r="F233" s="143">
        <v>0</v>
      </c>
      <c r="G233" s="144" t="str">
        <f t="shared" si="13"/>
        <v>NO</v>
      </c>
      <c r="H233" s="145">
        <f>SUM('2019 Legal Max'!L232-'2019 Legal Max'!I232)</f>
        <v>6</v>
      </c>
      <c r="I233" s="144" t="str">
        <f t="shared" si="14"/>
        <v>NO</v>
      </c>
      <c r="J233" s="266" t="str">
        <f t="shared" si="15"/>
        <v>NO</v>
      </c>
    </row>
    <row r="234" spans="1:10">
      <c r="A234" s="126" t="s">
        <v>425</v>
      </c>
      <c r="B234" s="87" t="s">
        <v>99</v>
      </c>
      <c r="C234" s="87" t="s">
        <v>745</v>
      </c>
      <c r="D234" s="252">
        <v>0</v>
      </c>
      <c r="E234" s="144" t="str">
        <f t="shared" si="12"/>
        <v>NO</v>
      </c>
      <c r="F234" s="143">
        <v>0</v>
      </c>
      <c r="G234" s="144" t="str">
        <f t="shared" si="13"/>
        <v>NO</v>
      </c>
      <c r="H234" s="145">
        <f>SUM('2019 Legal Max'!L233-'2019 Legal Max'!I233)</f>
        <v>-14.4</v>
      </c>
      <c r="I234" s="144" t="str">
        <f t="shared" si="14"/>
        <v>YES</v>
      </c>
      <c r="J234" s="266" t="str">
        <f t="shared" si="15"/>
        <v>NO</v>
      </c>
    </row>
    <row r="235" spans="1:10">
      <c r="A235" s="126" t="s">
        <v>426</v>
      </c>
      <c r="B235" s="87" t="s">
        <v>91</v>
      </c>
      <c r="C235" s="87" t="s">
        <v>746</v>
      </c>
      <c r="D235" s="252">
        <v>0</v>
      </c>
      <c r="E235" s="144" t="str">
        <f t="shared" si="12"/>
        <v>NO</v>
      </c>
      <c r="F235" s="143">
        <v>0</v>
      </c>
      <c r="G235" s="144" t="str">
        <f t="shared" si="13"/>
        <v>NO</v>
      </c>
      <c r="H235" s="145">
        <f>SUM('2019 Legal Max'!L234-'2019 Legal Max'!I234)</f>
        <v>3.6</v>
      </c>
      <c r="I235" s="144" t="str">
        <f t="shared" si="14"/>
        <v>NO</v>
      </c>
      <c r="J235" s="266" t="str">
        <f t="shared" si="15"/>
        <v>NO</v>
      </c>
    </row>
    <row r="236" spans="1:10">
      <c r="A236" s="126" t="s">
        <v>427</v>
      </c>
      <c r="B236" s="87" t="s">
        <v>11</v>
      </c>
      <c r="C236" s="87" t="s">
        <v>747</v>
      </c>
      <c r="D236" s="252">
        <v>0</v>
      </c>
      <c r="E236" s="144" t="str">
        <f t="shared" si="12"/>
        <v>NO</v>
      </c>
      <c r="F236" s="143">
        <v>1</v>
      </c>
      <c r="G236" s="144" t="str">
        <f t="shared" si="13"/>
        <v>YES</v>
      </c>
      <c r="H236" s="145">
        <f>SUM('2019 Legal Max'!L235-'2019 Legal Max'!I235)</f>
        <v>20</v>
      </c>
      <c r="I236" s="144" t="str">
        <f t="shared" si="14"/>
        <v>NO</v>
      </c>
      <c r="J236" s="266" t="str">
        <f t="shared" si="15"/>
        <v>NO</v>
      </c>
    </row>
    <row r="237" spans="1:10">
      <c r="A237" s="126" t="s">
        <v>428</v>
      </c>
      <c r="B237" s="87" t="s">
        <v>61</v>
      </c>
      <c r="C237" s="87" t="s">
        <v>748</v>
      </c>
      <c r="D237" s="252">
        <v>0</v>
      </c>
      <c r="E237" s="144" t="str">
        <f t="shared" si="12"/>
        <v>NO</v>
      </c>
      <c r="F237" s="143">
        <v>1</v>
      </c>
      <c r="G237" s="144" t="str">
        <f t="shared" si="13"/>
        <v>YES</v>
      </c>
      <c r="H237" s="145">
        <f>SUM('2019 Legal Max'!L236-'2019 Legal Max'!I236)</f>
        <v>22.3</v>
      </c>
      <c r="I237" s="144" t="str">
        <f t="shared" si="14"/>
        <v>NO</v>
      </c>
      <c r="J237" s="266" t="str">
        <f t="shared" si="15"/>
        <v>NO</v>
      </c>
    </row>
    <row r="238" spans="1:10">
      <c r="A238" s="126" t="s">
        <v>429</v>
      </c>
      <c r="B238" s="87" t="s">
        <v>101</v>
      </c>
      <c r="C238" s="87" t="s">
        <v>749</v>
      </c>
      <c r="D238" s="252">
        <v>0</v>
      </c>
      <c r="E238" s="144" t="str">
        <f t="shared" si="12"/>
        <v>NO</v>
      </c>
      <c r="F238" s="143">
        <v>0</v>
      </c>
      <c r="G238" s="144" t="str">
        <f t="shared" si="13"/>
        <v>NO</v>
      </c>
      <c r="H238" s="145">
        <f>SUM('2019 Legal Max'!L237-'2019 Legal Max'!I237)</f>
        <v>-13</v>
      </c>
      <c r="I238" s="144" t="str">
        <f t="shared" si="14"/>
        <v>YES</v>
      </c>
      <c r="J238" s="266" t="str">
        <f t="shared" si="15"/>
        <v>NO</v>
      </c>
    </row>
    <row r="239" spans="1:10">
      <c r="A239" s="126" t="s">
        <v>430</v>
      </c>
      <c r="B239" s="87" t="s">
        <v>11</v>
      </c>
      <c r="C239" s="87" t="s">
        <v>750</v>
      </c>
      <c r="D239" s="252">
        <v>93192</v>
      </c>
      <c r="E239" s="144" t="str">
        <f t="shared" si="12"/>
        <v>YES</v>
      </c>
      <c r="F239" s="143">
        <v>1</v>
      </c>
      <c r="G239" s="144" t="str">
        <f t="shared" si="13"/>
        <v>YES</v>
      </c>
      <c r="H239" s="145">
        <f>SUM('2019 Legal Max'!L238-'2019 Legal Max'!I238)</f>
        <v>-43.9</v>
      </c>
      <c r="I239" s="144" t="str">
        <f t="shared" si="14"/>
        <v>YES</v>
      </c>
      <c r="J239" s="266" t="str">
        <f t="shared" si="15"/>
        <v>YES</v>
      </c>
    </row>
    <row r="240" spans="1:10">
      <c r="A240" s="126" t="s">
        <v>431</v>
      </c>
      <c r="B240" s="87" t="s">
        <v>96</v>
      </c>
      <c r="C240" s="87" t="s">
        <v>751</v>
      </c>
      <c r="D240" s="252">
        <v>0</v>
      </c>
      <c r="E240" s="144" t="str">
        <f t="shared" si="12"/>
        <v>NO</v>
      </c>
      <c r="F240" s="143">
        <v>0</v>
      </c>
      <c r="G240" s="144" t="str">
        <f t="shared" si="13"/>
        <v>NO</v>
      </c>
      <c r="H240" s="145">
        <f>SUM('2019 Legal Max'!L239-'2019 Legal Max'!I239)</f>
        <v>-4.9000000000000004</v>
      </c>
      <c r="I240" s="144" t="str">
        <f t="shared" si="14"/>
        <v>YES</v>
      </c>
      <c r="J240" s="266" t="str">
        <f t="shared" si="15"/>
        <v>NO</v>
      </c>
    </row>
    <row r="241" spans="1:10">
      <c r="A241" s="126" t="s">
        <v>432</v>
      </c>
      <c r="B241" s="87" t="s">
        <v>96</v>
      </c>
      <c r="C241" s="87" t="s">
        <v>752</v>
      </c>
      <c r="D241" s="252">
        <v>0</v>
      </c>
      <c r="E241" s="144" t="str">
        <f t="shared" si="12"/>
        <v>NO</v>
      </c>
      <c r="F241" s="143">
        <v>0</v>
      </c>
      <c r="G241" s="144" t="str">
        <f t="shared" si="13"/>
        <v>NO</v>
      </c>
      <c r="H241" s="145">
        <f>SUM('2019 Legal Max'!L240-'2019 Legal Max'!I240)</f>
        <v>-5</v>
      </c>
      <c r="I241" s="144" t="str">
        <f t="shared" si="14"/>
        <v>YES</v>
      </c>
      <c r="J241" s="266" t="str">
        <f t="shared" si="15"/>
        <v>NO</v>
      </c>
    </row>
    <row r="242" spans="1:10">
      <c r="A242" s="126" t="s">
        <v>433</v>
      </c>
      <c r="B242" s="87" t="s">
        <v>69</v>
      </c>
      <c r="C242" s="87" t="s">
        <v>753</v>
      </c>
      <c r="D242" s="252">
        <v>0</v>
      </c>
      <c r="E242" s="144" t="str">
        <f t="shared" si="12"/>
        <v>NO</v>
      </c>
      <c r="F242" s="143">
        <v>1</v>
      </c>
      <c r="G242" s="144" t="str">
        <f t="shared" si="13"/>
        <v>YES</v>
      </c>
      <c r="H242" s="145">
        <f>SUM('2019 Legal Max'!L241-'2019 Legal Max'!I241)</f>
        <v>-156.30000000000001</v>
      </c>
      <c r="I242" s="144" t="str">
        <f t="shared" si="14"/>
        <v>YES</v>
      </c>
      <c r="J242" s="266" t="str">
        <f t="shared" si="15"/>
        <v>NO</v>
      </c>
    </row>
    <row r="243" spans="1:10">
      <c r="A243" s="126" t="s">
        <v>434</v>
      </c>
      <c r="B243" s="87" t="s">
        <v>11</v>
      </c>
      <c r="C243" s="87" t="s">
        <v>754</v>
      </c>
      <c r="D243" s="252">
        <v>0</v>
      </c>
      <c r="E243" s="144" t="str">
        <f t="shared" si="12"/>
        <v>NO</v>
      </c>
      <c r="F243" s="143">
        <v>1</v>
      </c>
      <c r="G243" s="144" t="str">
        <f t="shared" si="13"/>
        <v>YES</v>
      </c>
      <c r="H243" s="145">
        <f>SUM('2019 Legal Max'!L242-'2019 Legal Max'!I242)</f>
        <v>80.7</v>
      </c>
      <c r="I243" s="144" t="str">
        <f t="shared" si="14"/>
        <v>NO</v>
      </c>
      <c r="J243" s="266" t="str">
        <f t="shared" si="15"/>
        <v>NO</v>
      </c>
    </row>
    <row r="244" spans="1:10">
      <c r="A244" s="126" t="s">
        <v>435</v>
      </c>
      <c r="B244" s="87" t="s">
        <v>80</v>
      </c>
      <c r="C244" s="87" t="s">
        <v>755</v>
      </c>
      <c r="D244" s="252">
        <v>0</v>
      </c>
      <c r="E244" s="144" t="str">
        <f t="shared" si="12"/>
        <v>NO</v>
      </c>
      <c r="F244" s="143">
        <v>0</v>
      </c>
      <c r="G244" s="144" t="str">
        <f t="shared" si="13"/>
        <v>NO</v>
      </c>
      <c r="H244" s="145">
        <f>SUM('2019 Legal Max'!L243-'2019 Legal Max'!I243)</f>
        <v>5</v>
      </c>
      <c r="I244" s="144" t="str">
        <f t="shared" si="14"/>
        <v>NO</v>
      </c>
      <c r="J244" s="266" t="str">
        <f t="shared" si="15"/>
        <v>NO</v>
      </c>
    </row>
    <row r="245" spans="1:10">
      <c r="A245" s="126" t="s">
        <v>436</v>
      </c>
      <c r="B245" s="87" t="s">
        <v>74</v>
      </c>
      <c r="C245" s="87" t="s">
        <v>756</v>
      </c>
      <c r="D245" s="252">
        <v>0</v>
      </c>
      <c r="E245" s="144" t="str">
        <f t="shared" si="12"/>
        <v>NO</v>
      </c>
      <c r="F245" s="143">
        <v>0</v>
      </c>
      <c r="G245" s="144" t="str">
        <f t="shared" si="13"/>
        <v>NO</v>
      </c>
      <c r="H245" s="145">
        <f>SUM('2019 Legal Max'!L244-'2019 Legal Max'!I244)</f>
        <v>11.4</v>
      </c>
      <c r="I245" s="144" t="str">
        <f t="shared" si="14"/>
        <v>NO</v>
      </c>
      <c r="J245" s="266" t="str">
        <f t="shared" si="15"/>
        <v>NO</v>
      </c>
    </row>
    <row r="246" spans="1:10">
      <c r="A246" s="126" t="s">
        <v>437</v>
      </c>
      <c r="B246" s="87" t="s">
        <v>83</v>
      </c>
      <c r="C246" s="87" t="s">
        <v>757</v>
      </c>
      <c r="D246" s="252">
        <v>0</v>
      </c>
      <c r="E246" s="144" t="str">
        <f t="shared" si="12"/>
        <v>NO</v>
      </c>
      <c r="F246" s="143">
        <v>1</v>
      </c>
      <c r="G246" s="144" t="str">
        <f t="shared" si="13"/>
        <v>YES</v>
      </c>
      <c r="H246" s="145">
        <f>SUM('2019 Legal Max'!L245-'2019 Legal Max'!I245)</f>
        <v>-10</v>
      </c>
      <c r="I246" s="144" t="str">
        <f t="shared" si="14"/>
        <v>YES</v>
      </c>
      <c r="J246" s="266" t="str">
        <f t="shared" si="15"/>
        <v>NO</v>
      </c>
    </row>
    <row r="247" spans="1:10">
      <c r="A247" s="126" t="s">
        <v>438</v>
      </c>
      <c r="B247" s="87" t="s">
        <v>102</v>
      </c>
      <c r="C247" s="87" t="s">
        <v>758</v>
      </c>
      <c r="D247" s="252">
        <v>0</v>
      </c>
      <c r="E247" s="144" t="str">
        <f t="shared" si="12"/>
        <v>NO</v>
      </c>
      <c r="F247" s="143">
        <v>1</v>
      </c>
      <c r="G247" s="144" t="str">
        <f t="shared" si="13"/>
        <v>YES</v>
      </c>
      <c r="H247" s="145">
        <f>SUM('2019 Legal Max'!L246-'2019 Legal Max'!I246)</f>
        <v>-6.2</v>
      </c>
      <c r="I247" s="144" t="str">
        <f t="shared" si="14"/>
        <v>YES</v>
      </c>
      <c r="J247" s="266" t="str">
        <f t="shared" si="15"/>
        <v>NO</v>
      </c>
    </row>
    <row r="248" spans="1:10">
      <c r="A248" s="126" t="s">
        <v>439</v>
      </c>
      <c r="B248" s="87" t="s">
        <v>102</v>
      </c>
      <c r="C248" s="87" t="s">
        <v>759</v>
      </c>
      <c r="D248" s="252">
        <v>0</v>
      </c>
      <c r="E248" s="144" t="str">
        <f t="shared" si="12"/>
        <v>NO</v>
      </c>
      <c r="F248" s="143">
        <v>1</v>
      </c>
      <c r="G248" s="144" t="str">
        <f t="shared" si="13"/>
        <v>YES</v>
      </c>
      <c r="H248" s="145">
        <f>SUM('2019 Legal Max'!L247-'2019 Legal Max'!I247)</f>
        <v>7.3</v>
      </c>
      <c r="I248" s="144" t="str">
        <f t="shared" si="14"/>
        <v>NO</v>
      </c>
      <c r="J248" s="266" t="str">
        <f t="shared" si="15"/>
        <v>NO</v>
      </c>
    </row>
    <row r="249" spans="1:10">
      <c r="A249" s="126" t="s">
        <v>440</v>
      </c>
      <c r="B249" s="87" t="s">
        <v>11</v>
      </c>
      <c r="C249" s="87" t="s">
        <v>760</v>
      </c>
      <c r="D249" s="252">
        <v>0</v>
      </c>
      <c r="E249" s="144" t="str">
        <f t="shared" si="12"/>
        <v>NO</v>
      </c>
      <c r="F249" s="143">
        <v>1</v>
      </c>
      <c r="G249" s="144" t="str">
        <f t="shared" si="13"/>
        <v>YES</v>
      </c>
      <c r="H249" s="145">
        <f>SUM('2019 Legal Max'!L248-'2019 Legal Max'!I248)</f>
        <v>24.1</v>
      </c>
      <c r="I249" s="144" t="str">
        <f t="shared" si="14"/>
        <v>NO</v>
      </c>
      <c r="J249" s="266" t="str">
        <f t="shared" si="15"/>
        <v>NO</v>
      </c>
    </row>
    <row r="250" spans="1:10">
      <c r="A250" s="126" t="s">
        <v>441</v>
      </c>
      <c r="B250" s="87" t="s">
        <v>102</v>
      </c>
      <c r="C250" s="87" t="s">
        <v>761</v>
      </c>
      <c r="D250" s="252">
        <v>0</v>
      </c>
      <c r="E250" s="144" t="str">
        <f t="shared" si="12"/>
        <v>NO</v>
      </c>
      <c r="F250" s="143">
        <v>1</v>
      </c>
      <c r="G250" s="144" t="str">
        <f t="shared" si="13"/>
        <v>YES</v>
      </c>
      <c r="H250" s="145">
        <f>SUM('2019 Legal Max'!L249-'2019 Legal Max'!I249)</f>
        <v>-15.1</v>
      </c>
      <c r="I250" s="144" t="str">
        <f t="shared" si="14"/>
        <v>YES</v>
      </c>
      <c r="J250" s="266" t="str">
        <f t="shared" si="15"/>
        <v>NO</v>
      </c>
    </row>
    <row r="251" spans="1:10">
      <c r="A251" s="126" t="s">
        <v>442</v>
      </c>
      <c r="B251" s="87" t="s">
        <v>103</v>
      </c>
      <c r="C251" s="87" t="s">
        <v>762</v>
      </c>
      <c r="D251" s="252">
        <v>0</v>
      </c>
      <c r="E251" s="144" t="str">
        <f t="shared" si="12"/>
        <v>NO</v>
      </c>
      <c r="F251" s="143">
        <v>0</v>
      </c>
      <c r="G251" s="144" t="str">
        <f t="shared" si="13"/>
        <v>NO</v>
      </c>
      <c r="H251" s="145">
        <f>SUM('2019 Legal Max'!L250-'2019 Legal Max'!I250)</f>
        <v>-16</v>
      </c>
      <c r="I251" s="144" t="str">
        <f t="shared" si="14"/>
        <v>YES</v>
      </c>
      <c r="J251" s="266" t="str">
        <f t="shared" si="15"/>
        <v>NO</v>
      </c>
    </row>
    <row r="252" spans="1:10">
      <c r="A252" s="126" t="s">
        <v>443</v>
      </c>
      <c r="B252" s="87" t="s">
        <v>34</v>
      </c>
      <c r="C252" s="87" t="s">
        <v>763</v>
      </c>
      <c r="D252" s="252">
        <v>0</v>
      </c>
      <c r="E252" s="144" t="str">
        <f t="shared" si="12"/>
        <v>NO</v>
      </c>
      <c r="F252" s="143">
        <v>0</v>
      </c>
      <c r="G252" s="144" t="str">
        <f t="shared" si="13"/>
        <v>NO</v>
      </c>
      <c r="H252" s="145">
        <f>SUM('2019 Legal Max'!L251-'2019 Legal Max'!I251)</f>
        <v>2</v>
      </c>
      <c r="I252" s="144" t="str">
        <f t="shared" si="14"/>
        <v>NO</v>
      </c>
      <c r="J252" s="266" t="str">
        <f t="shared" si="15"/>
        <v>NO</v>
      </c>
    </row>
    <row r="253" spans="1:10">
      <c r="A253" s="126" t="s">
        <v>444</v>
      </c>
      <c r="B253" s="87" t="s">
        <v>104</v>
      </c>
      <c r="C253" s="87" t="s">
        <v>764</v>
      </c>
      <c r="D253" s="252">
        <v>0</v>
      </c>
      <c r="E253" s="144" t="str">
        <f t="shared" si="12"/>
        <v>NO</v>
      </c>
      <c r="F253" s="143">
        <v>0</v>
      </c>
      <c r="G253" s="144" t="str">
        <f t="shared" si="13"/>
        <v>NO</v>
      </c>
      <c r="H253" s="145">
        <f>SUM('2019 Legal Max'!L252-'2019 Legal Max'!I252)</f>
        <v>-10</v>
      </c>
      <c r="I253" s="144" t="str">
        <f t="shared" si="14"/>
        <v>YES</v>
      </c>
      <c r="J253" s="266" t="str">
        <f t="shared" si="15"/>
        <v>NO</v>
      </c>
    </row>
    <row r="254" spans="1:10">
      <c r="A254" s="126" t="s">
        <v>445</v>
      </c>
      <c r="B254" s="87" t="s">
        <v>11</v>
      </c>
      <c r="C254" s="87" t="s">
        <v>765</v>
      </c>
      <c r="D254" s="253">
        <v>10777</v>
      </c>
      <c r="E254" s="144" t="str">
        <f t="shared" si="12"/>
        <v>YES</v>
      </c>
      <c r="F254" s="143">
        <v>1</v>
      </c>
      <c r="G254" s="144" t="str">
        <f t="shared" si="13"/>
        <v>YES</v>
      </c>
      <c r="H254" s="145">
        <f>SUM('2019 Legal Max'!L253-'2019 Legal Max'!I253)</f>
        <v>27.3</v>
      </c>
      <c r="I254" s="144" t="str">
        <f t="shared" si="14"/>
        <v>NO</v>
      </c>
      <c r="J254" s="266" t="str">
        <f t="shared" si="15"/>
        <v>NO</v>
      </c>
    </row>
    <row r="255" spans="1:10">
      <c r="A255" s="126" t="s">
        <v>446</v>
      </c>
      <c r="B255" s="87" t="s">
        <v>102</v>
      </c>
      <c r="C255" s="87" t="s">
        <v>766</v>
      </c>
      <c r="D255" s="252">
        <v>0</v>
      </c>
      <c r="E255" s="144" t="str">
        <f t="shared" si="12"/>
        <v>NO</v>
      </c>
      <c r="F255" s="143">
        <v>1</v>
      </c>
      <c r="G255" s="144" t="str">
        <f t="shared" si="13"/>
        <v>YES</v>
      </c>
      <c r="H255" s="145">
        <f>SUM('2019 Legal Max'!L254-'2019 Legal Max'!I254)</f>
        <v>-10</v>
      </c>
      <c r="I255" s="144" t="str">
        <f t="shared" si="14"/>
        <v>YES</v>
      </c>
      <c r="J255" s="266" t="str">
        <f t="shared" si="15"/>
        <v>NO</v>
      </c>
    </row>
    <row r="256" spans="1:10">
      <c r="A256" s="126" t="s">
        <v>447</v>
      </c>
      <c r="B256" s="87" t="s">
        <v>102</v>
      </c>
      <c r="C256" s="87" t="s">
        <v>767</v>
      </c>
      <c r="D256" s="252">
        <v>0</v>
      </c>
      <c r="E256" s="144" t="str">
        <f t="shared" si="12"/>
        <v>NO</v>
      </c>
      <c r="F256" s="143">
        <v>0</v>
      </c>
      <c r="G256" s="144" t="str">
        <f t="shared" si="13"/>
        <v>NO</v>
      </c>
      <c r="H256" s="145">
        <f>SUM('2019 Legal Max'!L255-'2019 Legal Max'!I255)</f>
        <v>23.1</v>
      </c>
      <c r="I256" s="144" t="str">
        <f t="shared" si="14"/>
        <v>NO</v>
      </c>
      <c r="J256" s="266" t="str">
        <f t="shared" si="15"/>
        <v>NO</v>
      </c>
    </row>
    <row r="257" spans="1:10">
      <c r="A257" s="126" t="s">
        <v>448</v>
      </c>
      <c r="B257" s="87" t="s">
        <v>87</v>
      </c>
      <c r="C257" s="87" t="s">
        <v>768</v>
      </c>
      <c r="D257" s="252">
        <v>37912</v>
      </c>
      <c r="E257" s="144" t="str">
        <f t="shared" si="12"/>
        <v>YES</v>
      </c>
      <c r="F257" s="143">
        <v>1</v>
      </c>
      <c r="G257" s="144" t="str">
        <f t="shared" si="13"/>
        <v>YES</v>
      </c>
      <c r="H257" s="145">
        <f>SUM('2019 Legal Max'!L256-'2019 Legal Max'!I256)</f>
        <v>-28.5</v>
      </c>
      <c r="I257" s="144" t="str">
        <f t="shared" si="14"/>
        <v>YES</v>
      </c>
      <c r="J257" s="266" t="str">
        <f t="shared" si="15"/>
        <v>YES</v>
      </c>
    </row>
    <row r="258" spans="1:10">
      <c r="A258" s="126" t="s">
        <v>449</v>
      </c>
      <c r="B258" s="87" t="s">
        <v>97</v>
      </c>
      <c r="C258" s="87" t="s">
        <v>769</v>
      </c>
      <c r="D258" s="252">
        <v>0</v>
      </c>
      <c r="E258" s="144" t="str">
        <f t="shared" si="12"/>
        <v>NO</v>
      </c>
      <c r="F258" s="143">
        <v>0</v>
      </c>
      <c r="G258" s="144" t="str">
        <f t="shared" si="13"/>
        <v>NO</v>
      </c>
      <c r="H258" s="145">
        <f>SUM('2019 Legal Max'!L257-'2019 Legal Max'!I257)</f>
        <v>3</v>
      </c>
      <c r="I258" s="144" t="str">
        <f t="shared" si="14"/>
        <v>NO</v>
      </c>
      <c r="J258" s="266" t="str">
        <f t="shared" si="15"/>
        <v>NO</v>
      </c>
    </row>
    <row r="259" spans="1:10">
      <c r="A259" s="126" t="s">
        <v>450</v>
      </c>
      <c r="B259" s="87" t="s">
        <v>105</v>
      </c>
      <c r="C259" s="87" t="s">
        <v>770</v>
      </c>
      <c r="D259" s="252">
        <v>9148839</v>
      </c>
      <c r="E259" s="144" t="str">
        <f t="shared" si="12"/>
        <v>YES</v>
      </c>
      <c r="F259" s="143">
        <v>1</v>
      </c>
      <c r="G259" s="144" t="str">
        <f t="shared" si="13"/>
        <v>YES</v>
      </c>
      <c r="H259" s="145">
        <f>SUM('2019 Legal Max'!L258-'2019 Legal Max'!I258)</f>
        <v>-266.10000000000002</v>
      </c>
      <c r="I259" s="144" t="str">
        <f t="shared" si="14"/>
        <v>YES</v>
      </c>
      <c r="J259" s="266" t="str">
        <f t="shared" si="15"/>
        <v>YES</v>
      </c>
    </row>
    <row r="260" spans="1:10">
      <c r="A260" s="126" t="s">
        <v>451</v>
      </c>
      <c r="B260" s="87" t="s">
        <v>5</v>
      </c>
      <c r="C260" s="87" t="s">
        <v>771</v>
      </c>
      <c r="D260" s="252">
        <v>0</v>
      </c>
      <c r="E260" s="144" t="str">
        <f t="shared" si="12"/>
        <v>NO</v>
      </c>
      <c r="F260" s="143">
        <v>0</v>
      </c>
      <c r="G260" s="144" t="str">
        <f t="shared" si="13"/>
        <v>NO</v>
      </c>
      <c r="H260" s="145">
        <f>SUM('2019 Legal Max'!L259-'2019 Legal Max'!I259)</f>
        <v>6</v>
      </c>
      <c r="I260" s="144" t="str">
        <f t="shared" si="14"/>
        <v>NO</v>
      </c>
      <c r="J260" s="266" t="str">
        <f t="shared" si="15"/>
        <v>NO</v>
      </c>
    </row>
    <row r="261" spans="1:10">
      <c r="A261" s="126" t="s">
        <v>452</v>
      </c>
      <c r="B261" s="87" t="s">
        <v>5</v>
      </c>
      <c r="C261" s="87" t="s">
        <v>772</v>
      </c>
      <c r="D261" s="252">
        <v>0</v>
      </c>
      <c r="E261" s="144" t="str">
        <f t="shared" si="12"/>
        <v>NO</v>
      </c>
      <c r="F261" s="143">
        <v>0</v>
      </c>
      <c r="G261" s="144" t="str">
        <f t="shared" si="13"/>
        <v>NO</v>
      </c>
      <c r="H261" s="145">
        <f>SUM('2019 Legal Max'!L260-'2019 Legal Max'!I260)</f>
        <v>24</v>
      </c>
      <c r="I261" s="144" t="str">
        <f t="shared" si="14"/>
        <v>NO</v>
      </c>
      <c r="J261" s="266" t="str">
        <f t="shared" si="15"/>
        <v>NO</v>
      </c>
    </row>
    <row r="262" spans="1:10">
      <c r="A262" s="126" t="s">
        <v>453</v>
      </c>
      <c r="B262" s="87" t="s">
        <v>71</v>
      </c>
      <c r="C262" s="87" t="s">
        <v>773</v>
      </c>
      <c r="D262" s="252">
        <v>0</v>
      </c>
      <c r="E262" s="144" t="str">
        <f t="shared" si="12"/>
        <v>NO</v>
      </c>
      <c r="F262" s="143">
        <v>0</v>
      </c>
      <c r="G262" s="144" t="str">
        <f t="shared" si="13"/>
        <v>NO</v>
      </c>
      <c r="H262" s="145">
        <f>SUM('2019 Legal Max'!L261-'2019 Legal Max'!I261)</f>
        <v>2</v>
      </c>
      <c r="I262" s="144" t="str">
        <f t="shared" si="14"/>
        <v>NO</v>
      </c>
      <c r="J262" s="266" t="str">
        <f t="shared" si="15"/>
        <v>NO</v>
      </c>
    </row>
    <row r="263" spans="1:10">
      <c r="A263" s="126" t="s">
        <v>454</v>
      </c>
      <c r="B263" s="87" t="s">
        <v>106</v>
      </c>
      <c r="C263" s="87" t="s">
        <v>774</v>
      </c>
      <c r="D263" s="252">
        <v>0</v>
      </c>
      <c r="E263" s="144" t="str">
        <f t="shared" ref="E263:E291" si="16">IF(D263&gt;0, "YES", "NO")</f>
        <v>NO</v>
      </c>
      <c r="F263" s="143">
        <v>1</v>
      </c>
      <c r="G263" s="144" t="str">
        <f t="shared" ref="G263:G291" si="17">IF(F263&gt;0, "YES", "NO")</f>
        <v>YES</v>
      </c>
      <c r="H263" s="145">
        <f>SUM('2019 Legal Max'!L262-'2019 Legal Max'!I262)</f>
        <v>-19.5</v>
      </c>
      <c r="I263" s="144" t="str">
        <f t="shared" ref="I263:I291" si="18">IF(H263&lt;0, "YES", "NO")</f>
        <v>YES</v>
      </c>
      <c r="J263" s="266" t="str">
        <f t="shared" ref="J263:J291" si="19">IF(AND(E263="YES", G263="YES", I263="YES"), "YES", "NO")</f>
        <v>NO</v>
      </c>
    </row>
    <row r="264" spans="1:10">
      <c r="A264" s="126" t="s">
        <v>455</v>
      </c>
      <c r="B264" s="87" t="s">
        <v>87</v>
      </c>
      <c r="C264" s="87" t="s">
        <v>775</v>
      </c>
      <c r="D264" s="252">
        <v>0</v>
      </c>
      <c r="E264" s="144" t="str">
        <f t="shared" si="16"/>
        <v>NO</v>
      </c>
      <c r="F264" s="143">
        <v>1</v>
      </c>
      <c r="G264" s="144" t="str">
        <f t="shared" si="17"/>
        <v>YES</v>
      </c>
      <c r="H264" s="145">
        <f>SUM('2019 Legal Max'!L263-'2019 Legal Max'!I263)</f>
        <v>-34</v>
      </c>
      <c r="I264" s="144" t="str">
        <f t="shared" si="18"/>
        <v>YES</v>
      </c>
      <c r="J264" s="266" t="str">
        <f t="shared" si="19"/>
        <v>NO</v>
      </c>
    </row>
    <row r="265" spans="1:10">
      <c r="A265" s="126" t="s">
        <v>456</v>
      </c>
      <c r="B265" s="87" t="s">
        <v>104</v>
      </c>
      <c r="C265" s="87" t="s">
        <v>776</v>
      </c>
      <c r="D265" s="252">
        <v>0</v>
      </c>
      <c r="E265" s="144" t="str">
        <f t="shared" si="16"/>
        <v>NO</v>
      </c>
      <c r="F265" s="143">
        <v>0</v>
      </c>
      <c r="G265" s="144" t="str">
        <f t="shared" si="17"/>
        <v>NO</v>
      </c>
      <c r="H265" s="145">
        <f>SUM('2019 Legal Max'!L264-'2019 Legal Max'!I264)</f>
        <v>14.9</v>
      </c>
      <c r="I265" s="144" t="str">
        <f t="shared" si="18"/>
        <v>NO</v>
      </c>
      <c r="J265" s="266" t="str">
        <f t="shared" si="19"/>
        <v>NO</v>
      </c>
    </row>
    <row r="266" spans="1:10">
      <c r="A266" s="126" t="s">
        <v>457</v>
      </c>
      <c r="B266" s="87" t="s">
        <v>106</v>
      </c>
      <c r="C266" s="87" t="s">
        <v>777</v>
      </c>
      <c r="D266" s="252">
        <v>0</v>
      </c>
      <c r="E266" s="144" t="str">
        <f t="shared" si="16"/>
        <v>NO</v>
      </c>
      <c r="F266" s="143">
        <v>0</v>
      </c>
      <c r="G266" s="144" t="str">
        <f t="shared" si="17"/>
        <v>NO</v>
      </c>
      <c r="H266" s="145">
        <f>SUM('2019 Legal Max'!L265-'2019 Legal Max'!I265)</f>
        <v>-56</v>
      </c>
      <c r="I266" s="144" t="str">
        <f t="shared" si="18"/>
        <v>YES</v>
      </c>
      <c r="J266" s="266" t="str">
        <f t="shared" si="19"/>
        <v>NO</v>
      </c>
    </row>
    <row r="267" spans="1:10">
      <c r="A267" s="126" t="s">
        <v>458</v>
      </c>
      <c r="B267" s="87" t="s">
        <v>83</v>
      </c>
      <c r="C267" s="87" t="s">
        <v>778</v>
      </c>
      <c r="D267" s="252">
        <v>0</v>
      </c>
      <c r="E267" s="144" t="str">
        <f t="shared" si="16"/>
        <v>NO</v>
      </c>
      <c r="F267" s="143">
        <v>1</v>
      </c>
      <c r="G267" s="144" t="str">
        <f t="shared" si="17"/>
        <v>YES</v>
      </c>
      <c r="H267" s="145">
        <f>SUM('2019 Legal Max'!L266-'2019 Legal Max'!I266)</f>
        <v>32</v>
      </c>
      <c r="I267" s="144" t="str">
        <f t="shared" si="18"/>
        <v>NO</v>
      </c>
      <c r="J267" s="266" t="str">
        <f t="shared" si="19"/>
        <v>NO</v>
      </c>
    </row>
    <row r="268" spans="1:10">
      <c r="A268" s="126" t="s">
        <v>459</v>
      </c>
      <c r="B268" s="87" t="s">
        <v>87</v>
      </c>
      <c r="C268" s="87" t="s">
        <v>779</v>
      </c>
      <c r="D268" s="252">
        <v>0</v>
      </c>
      <c r="E268" s="144" t="str">
        <f t="shared" si="16"/>
        <v>NO</v>
      </c>
      <c r="F268" s="143">
        <v>1</v>
      </c>
      <c r="G268" s="144" t="str">
        <f t="shared" si="17"/>
        <v>YES</v>
      </c>
      <c r="H268" s="145">
        <f>SUM('2019 Legal Max'!L267-'2019 Legal Max'!I267)</f>
        <v>18.399999999999999</v>
      </c>
      <c r="I268" s="144" t="str">
        <f t="shared" si="18"/>
        <v>NO</v>
      </c>
      <c r="J268" s="266" t="str">
        <f t="shared" si="19"/>
        <v>NO</v>
      </c>
    </row>
    <row r="269" spans="1:10">
      <c r="A269" s="126" t="s">
        <v>460</v>
      </c>
      <c r="B269" s="87" t="s">
        <v>84</v>
      </c>
      <c r="C269" s="87" t="s">
        <v>780</v>
      </c>
      <c r="D269" s="252">
        <v>0</v>
      </c>
      <c r="E269" s="144" t="str">
        <f t="shared" si="16"/>
        <v>NO</v>
      </c>
      <c r="F269" s="143">
        <v>1</v>
      </c>
      <c r="G269" s="144" t="str">
        <f t="shared" si="17"/>
        <v>YES</v>
      </c>
      <c r="H269" s="145">
        <f>SUM('2019 Legal Max'!L268-'2019 Legal Max'!I268)</f>
        <v>3.5</v>
      </c>
      <c r="I269" s="144" t="str">
        <f t="shared" si="18"/>
        <v>NO</v>
      </c>
      <c r="J269" s="266" t="str">
        <f t="shared" si="19"/>
        <v>NO</v>
      </c>
    </row>
    <row r="270" spans="1:10">
      <c r="A270" s="126" t="s">
        <v>461</v>
      </c>
      <c r="B270" s="87" t="s">
        <v>10</v>
      </c>
      <c r="C270" s="87" t="s">
        <v>781</v>
      </c>
      <c r="D270" s="252">
        <v>0</v>
      </c>
      <c r="E270" s="144" t="str">
        <f t="shared" si="16"/>
        <v>NO</v>
      </c>
      <c r="F270" s="143">
        <v>1</v>
      </c>
      <c r="G270" s="144" t="str">
        <f t="shared" si="17"/>
        <v>YES</v>
      </c>
      <c r="H270" s="145">
        <f>SUM('2019 Legal Max'!L269-'2019 Legal Max'!I269)</f>
        <v>-29.9</v>
      </c>
      <c r="I270" s="144" t="str">
        <f t="shared" si="18"/>
        <v>YES</v>
      </c>
      <c r="J270" s="266" t="str">
        <f t="shared" si="19"/>
        <v>NO</v>
      </c>
    </row>
    <row r="271" spans="1:10">
      <c r="A271" s="126" t="s">
        <v>462</v>
      </c>
      <c r="B271" s="87" t="s">
        <v>63</v>
      </c>
      <c r="C271" s="87" t="s">
        <v>782</v>
      </c>
      <c r="D271" s="252">
        <v>0</v>
      </c>
      <c r="E271" s="144" t="str">
        <f t="shared" si="16"/>
        <v>NO</v>
      </c>
      <c r="F271" s="143">
        <v>1</v>
      </c>
      <c r="G271" s="144" t="str">
        <f t="shared" si="17"/>
        <v>YES</v>
      </c>
      <c r="H271" s="145">
        <f>SUM('2019 Legal Max'!L270-'2019 Legal Max'!I270)</f>
        <v>15.3</v>
      </c>
      <c r="I271" s="144" t="str">
        <f t="shared" si="18"/>
        <v>NO</v>
      </c>
      <c r="J271" s="266" t="str">
        <f t="shared" si="19"/>
        <v>NO</v>
      </c>
    </row>
    <row r="272" spans="1:10">
      <c r="A272" s="126" t="s">
        <v>463</v>
      </c>
      <c r="B272" s="87" t="s">
        <v>10</v>
      </c>
      <c r="C272" s="87" t="s">
        <v>783</v>
      </c>
      <c r="D272" s="252">
        <v>0</v>
      </c>
      <c r="E272" s="144" t="str">
        <f t="shared" si="16"/>
        <v>NO</v>
      </c>
      <c r="F272" s="143">
        <v>0</v>
      </c>
      <c r="G272" s="144" t="str">
        <f t="shared" si="17"/>
        <v>NO</v>
      </c>
      <c r="H272" s="145">
        <f>SUM('2019 Legal Max'!L271-'2019 Legal Max'!I271)</f>
        <v>-4.5</v>
      </c>
      <c r="I272" s="144" t="str">
        <f t="shared" si="18"/>
        <v>YES</v>
      </c>
      <c r="J272" s="266" t="str">
        <f t="shared" si="19"/>
        <v>NO</v>
      </c>
    </row>
    <row r="273" spans="1:10">
      <c r="A273" s="126" t="s">
        <v>464</v>
      </c>
      <c r="B273" s="87" t="s">
        <v>29</v>
      </c>
      <c r="C273" s="87" t="s">
        <v>784</v>
      </c>
      <c r="D273" s="252">
        <v>0</v>
      </c>
      <c r="E273" s="144" t="str">
        <f t="shared" si="16"/>
        <v>NO</v>
      </c>
      <c r="F273" s="143">
        <v>1</v>
      </c>
      <c r="G273" s="144" t="str">
        <f t="shared" si="17"/>
        <v>YES</v>
      </c>
      <c r="H273" s="145">
        <f>SUM('2019 Legal Max'!L272-'2019 Legal Max'!I272)</f>
        <v>-25.5</v>
      </c>
      <c r="I273" s="144" t="str">
        <f t="shared" si="18"/>
        <v>YES</v>
      </c>
      <c r="J273" s="266" t="str">
        <f t="shared" si="19"/>
        <v>NO</v>
      </c>
    </row>
    <row r="274" spans="1:10">
      <c r="A274" s="126" t="s">
        <v>465</v>
      </c>
      <c r="B274" s="87" t="s">
        <v>85</v>
      </c>
      <c r="C274" s="87" t="s">
        <v>785</v>
      </c>
      <c r="D274" s="252">
        <v>0</v>
      </c>
      <c r="E274" s="144" t="str">
        <f t="shared" si="16"/>
        <v>NO</v>
      </c>
      <c r="F274" s="143">
        <v>0</v>
      </c>
      <c r="G274" s="144" t="str">
        <f t="shared" si="17"/>
        <v>NO</v>
      </c>
      <c r="H274" s="145">
        <f>SUM('2019 Legal Max'!L273-'2019 Legal Max'!I273)</f>
        <v>38.5</v>
      </c>
      <c r="I274" s="144" t="str">
        <f t="shared" si="18"/>
        <v>NO</v>
      </c>
      <c r="J274" s="266" t="str">
        <f t="shared" si="19"/>
        <v>NO</v>
      </c>
    </row>
    <row r="275" spans="1:10">
      <c r="A275" s="126" t="s">
        <v>466</v>
      </c>
      <c r="B275" s="87" t="s">
        <v>107</v>
      </c>
      <c r="C275" s="87" t="s">
        <v>786</v>
      </c>
      <c r="D275" s="252">
        <v>0</v>
      </c>
      <c r="E275" s="144" t="str">
        <f t="shared" si="16"/>
        <v>NO</v>
      </c>
      <c r="F275" s="143">
        <v>0</v>
      </c>
      <c r="G275" s="144" t="str">
        <f t="shared" si="17"/>
        <v>NO</v>
      </c>
      <c r="H275" s="145">
        <f>SUM('2019 Legal Max'!L274-'2019 Legal Max'!I274)</f>
        <v>-44.1</v>
      </c>
      <c r="I275" s="144" t="str">
        <f t="shared" si="18"/>
        <v>YES</v>
      </c>
      <c r="J275" s="266" t="str">
        <f t="shared" si="19"/>
        <v>NO</v>
      </c>
    </row>
    <row r="276" spans="1:10">
      <c r="A276" s="126" t="s">
        <v>467</v>
      </c>
      <c r="B276" s="87" t="s">
        <v>107</v>
      </c>
      <c r="C276" s="87" t="s">
        <v>787</v>
      </c>
      <c r="D276" s="252">
        <v>0</v>
      </c>
      <c r="E276" s="144" t="str">
        <f t="shared" si="16"/>
        <v>NO</v>
      </c>
      <c r="F276" s="143">
        <v>0</v>
      </c>
      <c r="G276" s="144" t="str">
        <f t="shared" si="17"/>
        <v>NO</v>
      </c>
      <c r="H276" s="145">
        <f>SUM('2019 Legal Max'!L275-'2019 Legal Max'!I275)</f>
        <v>-7.5</v>
      </c>
      <c r="I276" s="144" t="str">
        <f t="shared" si="18"/>
        <v>YES</v>
      </c>
      <c r="J276" s="266" t="str">
        <f t="shared" si="19"/>
        <v>NO</v>
      </c>
    </row>
    <row r="277" spans="1:10">
      <c r="A277" s="126" t="s">
        <v>468</v>
      </c>
      <c r="B277" s="87" t="s">
        <v>63</v>
      </c>
      <c r="C277" s="87" t="s">
        <v>788</v>
      </c>
      <c r="D277" s="252">
        <v>0</v>
      </c>
      <c r="E277" s="144" t="str">
        <f t="shared" si="16"/>
        <v>NO</v>
      </c>
      <c r="F277" s="143">
        <v>1</v>
      </c>
      <c r="G277" s="144" t="str">
        <f t="shared" si="17"/>
        <v>YES</v>
      </c>
      <c r="H277" s="145">
        <f>SUM('2019 Legal Max'!L276-'2019 Legal Max'!I276)</f>
        <v>-47.8</v>
      </c>
      <c r="I277" s="144" t="str">
        <f t="shared" si="18"/>
        <v>YES</v>
      </c>
      <c r="J277" s="266" t="str">
        <f t="shared" si="19"/>
        <v>NO</v>
      </c>
    </row>
    <row r="278" spans="1:10">
      <c r="A278" s="126" t="s">
        <v>469</v>
      </c>
      <c r="B278" s="87" t="s">
        <v>70</v>
      </c>
      <c r="C278" s="87" t="s">
        <v>789</v>
      </c>
      <c r="D278" s="252">
        <v>0</v>
      </c>
      <c r="E278" s="144" t="str">
        <f t="shared" si="16"/>
        <v>NO</v>
      </c>
      <c r="F278" s="143">
        <v>0</v>
      </c>
      <c r="G278" s="144" t="str">
        <f t="shared" si="17"/>
        <v>NO</v>
      </c>
      <c r="H278" s="145">
        <f>SUM('2019 Legal Max'!L277-'2019 Legal Max'!I277)</f>
        <v>5</v>
      </c>
      <c r="I278" s="144" t="str">
        <f t="shared" si="18"/>
        <v>NO</v>
      </c>
      <c r="J278" s="266" t="str">
        <f t="shared" si="19"/>
        <v>NO</v>
      </c>
    </row>
    <row r="279" spans="1:10">
      <c r="A279" s="126" t="s">
        <v>470</v>
      </c>
      <c r="B279" s="87" t="s">
        <v>29</v>
      </c>
      <c r="C279" s="87" t="s">
        <v>790</v>
      </c>
      <c r="D279" s="252">
        <v>0</v>
      </c>
      <c r="E279" s="144" t="str">
        <f t="shared" si="16"/>
        <v>NO</v>
      </c>
      <c r="F279" s="143">
        <v>0</v>
      </c>
      <c r="G279" s="144" t="str">
        <f t="shared" si="17"/>
        <v>NO</v>
      </c>
      <c r="H279" s="145">
        <f>SUM('2019 Legal Max'!L278-'2019 Legal Max'!I278)</f>
        <v>21.5</v>
      </c>
      <c r="I279" s="144" t="str">
        <f t="shared" si="18"/>
        <v>NO</v>
      </c>
      <c r="J279" s="266" t="str">
        <f t="shared" si="19"/>
        <v>NO</v>
      </c>
    </row>
    <row r="280" spans="1:10">
      <c r="A280" s="126" t="s">
        <v>471</v>
      </c>
      <c r="B280" s="87" t="s">
        <v>9</v>
      </c>
      <c r="C280" s="87" t="s">
        <v>791</v>
      </c>
      <c r="D280" s="252">
        <v>0</v>
      </c>
      <c r="E280" s="144" t="str">
        <f t="shared" si="16"/>
        <v>NO</v>
      </c>
      <c r="F280" s="143">
        <v>0</v>
      </c>
      <c r="G280" s="144" t="str">
        <f t="shared" si="17"/>
        <v>NO</v>
      </c>
      <c r="H280" s="145">
        <f>SUM('2019 Legal Max'!L279-'2019 Legal Max'!I279)</f>
        <v>372.7</v>
      </c>
      <c r="I280" s="144" t="str">
        <f t="shared" si="18"/>
        <v>NO</v>
      </c>
      <c r="J280" s="266" t="str">
        <f t="shared" si="19"/>
        <v>NO</v>
      </c>
    </row>
    <row r="281" spans="1:10">
      <c r="A281" s="126" t="s">
        <v>472</v>
      </c>
      <c r="B281" s="87" t="s">
        <v>61</v>
      </c>
      <c r="C281" s="87" t="s">
        <v>792</v>
      </c>
      <c r="D281" s="252">
        <v>0</v>
      </c>
      <c r="E281" s="144" t="str">
        <f t="shared" si="16"/>
        <v>NO</v>
      </c>
      <c r="F281" s="143">
        <v>0</v>
      </c>
      <c r="G281" s="144" t="str">
        <f t="shared" si="17"/>
        <v>NO</v>
      </c>
      <c r="H281" s="145">
        <f>SUM('2019 Legal Max'!L280-'2019 Legal Max'!I280)</f>
        <v>-275.10000000000002</v>
      </c>
      <c r="I281" s="144" t="str">
        <f t="shared" si="18"/>
        <v>YES</v>
      </c>
      <c r="J281" s="266" t="str">
        <f t="shared" si="19"/>
        <v>NO</v>
      </c>
    </row>
    <row r="282" spans="1:10">
      <c r="A282" s="126" t="s">
        <v>473</v>
      </c>
      <c r="B282" s="87" t="s">
        <v>62</v>
      </c>
      <c r="C282" s="87" t="s">
        <v>793</v>
      </c>
      <c r="D282" s="252">
        <v>0</v>
      </c>
      <c r="E282" s="144" t="str">
        <f t="shared" si="16"/>
        <v>NO</v>
      </c>
      <c r="F282" s="143">
        <v>0</v>
      </c>
      <c r="G282" s="144" t="str">
        <f t="shared" si="17"/>
        <v>NO</v>
      </c>
      <c r="H282" s="145">
        <f>SUM('2019 Legal Max'!L281-'2019 Legal Max'!I281)</f>
        <v>11.5</v>
      </c>
      <c r="I282" s="144" t="str">
        <f t="shared" si="18"/>
        <v>NO</v>
      </c>
      <c r="J282" s="266" t="str">
        <f t="shared" si="19"/>
        <v>NO</v>
      </c>
    </row>
    <row r="283" spans="1:10">
      <c r="A283" s="126" t="s">
        <v>474</v>
      </c>
      <c r="B283" s="87" t="s">
        <v>108</v>
      </c>
      <c r="C283" s="87" t="s">
        <v>794</v>
      </c>
      <c r="D283" s="252">
        <v>0</v>
      </c>
      <c r="E283" s="144" t="str">
        <f t="shared" si="16"/>
        <v>NO</v>
      </c>
      <c r="F283" s="143">
        <v>1</v>
      </c>
      <c r="G283" s="144" t="str">
        <f t="shared" si="17"/>
        <v>YES</v>
      </c>
      <c r="H283" s="145">
        <f>SUM('2019 Legal Max'!L282-'2019 Legal Max'!I282)</f>
        <v>-51.9</v>
      </c>
      <c r="I283" s="144" t="str">
        <f t="shared" si="18"/>
        <v>YES</v>
      </c>
      <c r="J283" s="266" t="str">
        <f t="shared" si="19"/>
        <v>NO</v>
      </c>
    </row>
    <row r="284" spans="1:10">
      <c r="A284" s="126" t="s">
        <v>475</v>
      </c>
      <c r="B284" s="87" t="s">
        <v>108</v>
      </c>
      <c r="C284" s="87" t="s">
        <v>795</v>
      </c>
      <c r="D284" s="252">
        <v>0</v>
      </c>
      <c r="E284" s="144" t="str">
        <f t="shared" si="16"/>
        <v>NO</v>
      </c>
      <c r="F284" s="143">
        <v>0</v>
      </c>
      <c r="G284" s="144" t="str">
        <f t="shared" si="17"/>
        <v>NO</v>
      </c>
      <c r="H284" s="145">
        <f>SUM('2019 Legal Max'!L283-'2019 Legal Max'!I283)</f>
        <v>28</v>
      </c>
      <c r="I284" s="144" t="str">
        <f t="shared" si="18"/>
        <v>NO</v>
      </c>
      <c r="J284" s="266" t="str">
        <f t="shared" si="19"/>
        <v>NO</v>
      </c>
    </row>
    <row r="285" spans="1:10">
      <c r="A285" s="126" t="s">
        <v>476</v>
      </c>
      <c r="B285" s="87" t="s">
        <v>108</v>
      </c>
      <c r="C285" s="87" t="s">
        <v>796</v>
      </c>
      <c r="D285" s="252">
        <v>0</v>
      </c>
      <c r="E285" s="144" t="str">
        <f t="shared" si="16"/>
        <v>NO</v>
      </c>
      <c r="F285" s="143">
        <v>1</v>
      </c>
      <c r="G285" s="144" t="str">
        <f t="shared" si="17"/>
        <v>YES</v>
      </c>
      <c r="H285" s="145">
        <f>SUM('2019 Legal Max'!L284-'2019 Legal Max'!I284)</f>
        <v>-5.5</v>
      </c>
      <c r="I285" s="144" t="str">
        <f t="shared" si="18"/>
        <v>YES</v>
      </c>
      <c r="J285" s="266" t="str">
        <f t="shared" si="19"/>
        <v>NO</v>
      </c>
    </row>
    <row r="286" spans="1:10">
      <c r="A286" s="126" t="s">
        <v>477</v>
      </c>
      <c r="B286" s="87" t="s">
        <v>108</v>
      </c>
      <c r="C286" s="87" t="s">
        <v>797</v>
      </c>
      <c r="D286" s="252">
        <v>0</v>
      </c>
      <c r="E286" s="144" t="str">
        <f t="shared" si="16"/>
        <v>NO</v>
      </c>
      <c r="F286" s="143">
        <v>1</v>
      </c>
      <c r="G286" s="144" t="str">
        <f t="shared" si="17"/>
        <v>YES</v>
      </c>
      <c r="H286" s="145">
        <f>SUM('2019 Legal Max'!L285-'2019 Legal Max'!I285)</f>
        <v>20.100000000000001</v>
      </c>
      <c r="I286" s="144" t="str">
        <f t="shared" si="18"/>
        <v>NO</v>
      </c>
      <c r="J286" s="266" t="str">
        <f t="shared" si="19"/>
        <v>NO</v>
      </c>
    </row>
    <row r="287" spans="1:10">
      <c r="A287" s="126" t="s">
        <v>478</v>
      </c>
      <c r="B287" s="87" t="s">
        <v>75</v>
      </c>
      <c r="C287" s="87" t="s">
        <v>798</v>
      </c>
      <c r="D287" s="252">
        <v>0</v>
      </c>
      <c r="E287" s="144" t="str">
        <f t="shared" si="16"/>
        <v>NO</v>
      </c>
      <c r="F287" s="143">
        <v>0</v>
      </c>
      <c r="G287" s="144" t="str">
        <f t="shared" si="17"/>
        <v>NO</v>
      </c>
      <c r="H287" s="145">
        <f>SUM('2019 Legal Max'!L286-'2019 Legal Max'!I286)</f>
        <v>-22.5</v>
      </c>
      <c r="I287" s="144" t="str">
        <f t="shared" si="18"/>
        <v>YES</v>
      </c>
      <c r="J287" s="266" t="str">
        <f t="shared" si="19"/>
        <v>NO</v>
      </c>
    </row>
    <row r="288" spans="1:10">
      <c r="A288" s="126" t="s">
        <v>479</v>
      </c>
      <c r="B288" s="87" t="s">
        <v>29</v>
      </c>
      <c r="C288" s="87" t="s">
        <v>799</v>
      </c>
      <c r="D288" s="252">
        <v>0</v>
      </c>
      <c r="E288" s="144" t="str">
        <f t="shared" si="16"/>
        <v>NO</v>
      </c>
      <c r="F288" s="143">
        <v>0</v>
      </c>
      <c r="G288" s="144" t="str">
        <f t="shared" si="17"/>
        <v>NO</v>
      </c>
      <c r="H288" s="145">
        <f>SUM('2019 Legal Max'!L287-'2019 Legal Max'!I287)</f>
        <v>-42.5</v>
      </c>
      <c r="I288" s="144" t="str">
        <f t="shared" si="18"/>
        <v>YES</v>
      </c>
      <c r="J288" s="266" t="str">
        <f t="shared" si="19"/>
        <v>NO</v>
      </c>
    </row>
    <row r="289" spans="1:10">
      <c r="A289" s="126" t="s">
        <v>480</v>
      </c>
      <c r="B289" s="87" t="s">
        <v>66</v>
      </c>
      <c r="C289" s="87" t="s">
        <v>800</v>
      </c>
      <c r="D289" s="252">
        <v>0</v>
      </c>
      <c r="E289" s="144" t="str">
        <f t="shared" si="16"/>
        <v>NO</v>
      </c>
      <c r="F289" s="143">
        <v>0</v>
      </c>
      <c r="G289" s="144" t="str">
        <f t="shared" si="17"/>
        <v>NO</v>
      </c>
      <c r="H289" s="145">
        <f>SUM('2019 Legal Max'!L288-'2019 Legal Max'!I288)</f>
        <v>-13.1</v>
      </c>
      <c r="I289" s="144" t="str">
        <f t="shared" si="18"/>
        <v>YES</v>
      </c>
      <c r="J289" s="266" t="str">
        <f t="shared" si="19"/>
        <v>NO</v>
      </c>
    </row>
    <row r="290" spans="1:10">
      <c r="A290" s="126" t="s">
        <v>481</v>
      </c>
      <c r="B290" s="87" t="s">
        <v>68</v>
      </c>
      <c r="C290" s="87" t="s">
        <v>801</v>
      </c>
      <c r="D290" s="252">
        <v>0</v>
      </c>
      <c r="E290" s="144" t="str">
        <f t="shared" si="16"/>
        <v>NO</v>
      </c>
      <c r="F290" s="143">
        <v>0</v>
      </c>
      <c r="G290" s="144" t="str">
        <f t="shared" si="17"/>
        <v>NO</v>
      </c>
      <c r="H290" s="145">
        <f>SUM('2019 Legal Max'!L289-'2019 Legal Max'!I289)</f>
        <v>-6.5</v>
      </c>
      <c r="I290" s="144" t="str">
        <f t="shared" si="18"/>
        <v>YES</v>
      </c>
      <c r="J290" s="266" t="str">
        <f t="shared" si="19"/>
        <v>NO</v>
      </c>
    </row>
    <row r="291" spans="1:10">
      <c r="A291" s="126" t="s">
        <v>482</v>
      </c>
      <c r="B291" s="87" t="s">
        <v>22</v>
      </c>
      <c r="C291" s="87" t="s">
        <v>802</v>
      </c>
      <c r="D291" s="252">
        <v>0</v>
      </c>
      <c r="E291" s="144" t="str">
        <f t="shared" si="16"/>
        <v>NO</v>
      </c>
      <c r="F291" s="143">
        <v>1</v>
      </c>
      <c r="G291" s="144" t="str">
        <f t="shared" si="17"/>
        <v>YES</v>
      </c>
      <c r="H291" s="145">
        <f>SUM('2019 Legal Max'!L290-'2019 Legal Max'!I290)</f>
        <v>-44.8</v>
      </c>
      <c r="I291" s="144" t="str">
        <f t="shared" si="18"/>
        <v>YES</v>
      </c>
      <c r="J291" s="266" t="str">
        <f t="shared" si="19"/>
        <v>NO</v>
      </c>
    </row>
  </sheetData>
  <autoFilter ref="A5:J291"/>
  <mergeCells count="1">
    <mergeCell ref="L3:R3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CF489"/>
  <sheetViews>
    <sheetView workbookViewId="0">
      <pane xSplit="1" ySplit="2" topLeftCell="AV243" activePane="bottomRight" state="frozen"/>
      <selection pane="topRight" activeCell="B1" sqref="B1"/>
      <selection pane="bottomLeft" activeCell="A3" sqref="A3"/>
      <selection pane="bottomRight" activeCell="AX252" sqref="AX252:AX289"/>
    </sheetView>
  </sheetViews>
  <sheetFormatPr defaultColWidth="9.140625" defaultRowHeight="12.75"/>
  <cols>
    <col min="1" max="1" width="9.28515625" style="1" customWidth="1"/>
    <col min="2" max="4" width="9.7109375" style="126" customWidth="1"/>
    <col min="5" max="5" width="9.140625" style="126" customWidth="1"/>
    <col min="6" max="12" width="9.140625" style="126"/>
    <col min="13" max="13" width="8.140625" style="126" customWidth="1"/>
    <col min="14" max="15" width="9.140625" style="126" hidden="1" customWidth="1"/>
    <col min="16" max="16" width="8.5703125" style="126" hidden="1" customWidth="1"/>
    <col min="17" max="17" width="9.140625" style="126" customWidth="1"/>
    <col min="18" max="18" width="7.7109375" style="126" customWidth="1"/>
    <col min="19" max="19" width="6.7109375" style="126" customWidth="1"/>
    <col min="20" max="20" width="9.140625" style="126" hidden="1" customWidth="1"/>
    <col min="21" max="21" width="9.140625" style="126" customWidth="1"/>
    <col min="22" max="22" width="9.140625" style="126" hidden="1" customWidth="1"/>
    <col min="23" max="23" width="9" style="126" hidden="1" customWidth="1"/>
    <col min="24" max="24" width="9.28515625" style="126" customWidth="1"/>
    <col min="25" max="26" width="8.85546875" style="126" customWidth="1"/>
    <col min="27" max="27" width="7.7109375" style="126" hidden="1" customWidth="1"/>
    <col min="28" max="28" width="7.42578125" style="126" hidden="1" customWidth="1"/>
    <col min="29" max="31" width="9.140625" style="126"/>
    <col min="32" max="32" width="9.85546875" style="126" customWidth="1"/>
    <col min="33" max="33" width="8.28515625" style="126" customWidth="1"/>
    <col min="34" max="34" width="9.5703125" style="126" hidden="1" customWidth="1"/>
    <col min="35" max="35" width="9.85546875" style="126" customWidth="1"/>
    <col min="36" max="36" width="8.5703125" style="126" customWidth="1"/>
    <col min="37" max="37" width="8.28515625" style="126" customWidth="1"/>
    <col min="38" max="38" width="10.85546875" style="126" customWidth="1"/>
    <col min="39" max="40" width="8.5703125" style="126" hidden="1" customWidth="1"/>
    <col min="41" max="44" width="8.5703125" style="126" customWidth="1"/>
    <col min="45" max="45" width="11.140625" style="126" customWidth="1"/>
    <col min="46" max="47" width="9.5703125" style="126" customWidth="1"/>
    <col min="48" max="48" width="10.42578125" style="1" customWidth="1"/>
    <col min="49" max="49" width="10.42578125" style="129" customWidth="1"/>
    <col min="50" max="50" width="7.7109375" style="126" customWidth="1"/>
    <col min="51" max="51" width="10.140625" style="126" customWidth="1"/>
    <col min="52" max="52" width="10.42578125" style="126" customWidth="1"/>
    <col min="53" max="53" width="9.140625" style="126" hidden="1" customWidth="1"/>
    <col min="54" max="54" width="9.85546875" style="126" hidden="1" customWidth="1"/>
    <col min="55" max="55" width="9" style="126" hidden="1" customWidth="1"/>
    <col min="56" max="56" width="4.7109375" style="126" hidden="1" customWidth="1"/>
    <col min="57" max="57" width="10.28515625" style="126" customWidth="1"/>
    <col min="58" max="58" width="9.28515625" style="126" customWidth="1"/>
    <col min="59" max="59" width="8.7109375" style="126" hidden="1" customWidth="1"/>
    <col min="60" max="61" width="9.140625" style="126"/>
    <col min="62" max="62" width="8.28515625" style="126" customWidth="1"/>
    <col min="63" max="64" width="9.140625" style="126"/>
    <col min="65" max="65" width="10.5703125" style="126" customWidth="1"/>
    <col min="66" max="66" width="11.5703125" style="1" customWidth="1"/>
    <col min="67" max="68" width="9.140625" style="126" customWidth="1"/>
    <col min="69" max="69" width="9.140625" style="126" hidden="1" customWidth="1"/>
    <col min="70" max="70" width="9.140625" style="126" customWidth="1"/>
    <col min="71" max="72" width="9.140625" style="1" customWidth="1"/>
    <col min="73" max="73" width="9.140625" style="129"/>
    <col min="74" max="74" width="9.140625" style="1" customWidth="1"/>
    <col min="75" max="75" width="9.85546875" style="1" customWidth="1"/>
    <col min="76" max="77" width="9.140625" style="126"/>
    <col min="78" max="78" width="10.28515625" style="1" customWidth="1"/>
    <col min="79" max="79" width="10.5703125" style="1" customWidth="1"/>
    <col min="80" max="80" width="9.140625" style="1" customWidth="1"/>
    <col min="81" max="84" width="9.140625" style="1"/>
    <col min="85" max="85" width="10.7109375" style="1" customWidth="1"/>
    <col min="86" max="16384" width="9.140625" style="1"/>
  </cols>
  <sheetData>
    <row r="1" spans="1:84" ht="89.25" customHeight="1">
      <c r="A1" s="1" t="s">
        <v>0</v>
      </c>
      <c r="B1" s="196" t="s">
        <v>3556</v>
      </c>
      <c r="C1" s="196" t="s">
        <v>3635</v>
      </c>
      <c r="D1" s="196" t="s">
        <v>3555</v>
      </c>
      <c r="E1" s="196" t="s">
        <v>3455</v>
      </c>
      <c r="F1" s="196" t="s">
        <v>3522</v>
      </c>
      <c r="G1" s="196" t="s">
        <v>3523</v>
      </c>
      <c r="H1" s="196" t="s">
        <v>3524</v>
      </c>
      <c r="I1" s="196" t="s">
        <v>3525</v>
      </c>
      <c r="J1" s="196" t="s">
        <v>3526</v>
      </c>
      <c r="K1" s="196" t="s">
        <v>3527</v>
      </c>
      <c r="L1" s="196" t="s">
        <v>3528</v>
      </c>
      <c r="M1" s="196" t="s">
        <v>3529</v>
      </c>
      <c r="N1" s="129"/>
      <c r="P1" s="129"/>
      <c r="Q1" s="196" t="s">
        <v>3530</v>
      </c>
      <c r="R1" s="196" t="s">
        <v>3476</v>
      </c>
      <c r="S1" s="196" t="s">
        <v>3477</v>
      </c>
      <c r="U1" s="221" t="s">
        <v>3531</v>
      </c>
      <c r="W1" s="129"/>
      <c r="X1" s="221" t="s">
        <v>3532</v>
      </c>
      <c r="Y1" s="221" t="s">
        <v>3481</v>
      </c>
      <c r="Z1" s="221" t="s">
        <v>3484</v>
      </c>
      <c r="AA1" s="129"/>
      <c r="AC1" s="221" t="s">
        <v>3533</v>
      </c>
      <c r="AD1" s="221" t="s">
        <v>3534</v>
      </c>
      <c r="AE1" s="221" t="s">
        <v>3535</v>
      </c>
      <c r="AF1" s="221" t="s">
        <v>3536</v>
      </c>
      <c r="AG1" s="222" t="s">
        <v>3537</v>
      </c>
      <c r="AI1" s="222" t="s">
        <v>3538</v>
      </c>
      <c r="AJ1" s="221" t="s">
        <v>3539</v>
      </c>
      <c r="AK1" s="223" t="s">
        <v>3540</v>
      </c>
      <c r="AL1" s="221" t="s">
        <v>3541</v>
      </c>
      <c r="AO1" s="221" t="s">
        <v>3542</v>
      </c>
      <c r="AP1" s="221" t="s">
        <v>3543</v>
      </c>
      <c r="AQ1" s="221" t="s">
        <v>3479</v>
      </c>
      <c r="AR1" s="229" t="s">
        <v>3483</v>
      </c>
      <c r="AS1" s="222" t="s">
        <v>3489</v>
      </c>
      <c r="AT1" s="221" t="s">
        <v>3490</v>
      </c>
      <c r="AU1" s="230" t="s">
        <v>195</v>
      </c>
      <c r="AV1" s="229" t="s">
        <v>3644</v>
      </c>
      <c r="AW1" s="217" t="s">
        <v>3471</v>
      </c>
      <c r="AX1" s="129" t="s">
        <v>510</v>
      </c>
      <c r="AY1" s="1" t="s">
        <v>184</v>
      </c>
      <c r="AZ1" s="1" t="s">
        <v>803</v>
      </c>
      <c r="BA1" s="133"/>
      <c r="BB1" s="133" t="s">
        <v>3473</v>
      </c>
      <c r="BC1" s="215" t="s">
        <v>3475</v>
      </c>
      <c r="BD1" s="215"/>
      <c r="BE1" s="218" t="s">
        <v>3647</v>
      </c>
      <c r="BF1" s="218" t="s">
        <v>3474</v>
      </c>
      <c r="BG1" s="218" t="s">
        <v>3478</v>
      </c>
      <c r="BH1" s="218" t="s">
        <v>3544</v>
      </c>
      <c r="BI1" s="218" t="s">
        <v>3545</v>
      </c>
      <c r="BJ1" s="218" t="s">
        <v>3546</v>
      </c>
      <c r="BK1" s="218" t="s">
        <v>3547</v>
      </c>
      <c r="BL1" s="218" t="s">
        <v>3548</v>
      </c>
      <c r="BM1" s="218" t="s">
        <v>3549</v>
      </c>
      <c r="BN1" s="218" t="s">
        <v>3550</v>
      </c>
      <c r="BO1" s="218" t="s">
        <v>3551</v>
      </c>
      <c r="BP1" s="218" t="s">
        <v>3552</v>
      </c>
      <c r="BQ1" s="218" t="s">
        <v>3553</v>
      </c>
      <c r="BR1" s="234" t="s">
        <v>3554</v>
      </c>
      <c r="BS1" s="220" t="s">
        <v>3482</v>
      </c>
      <c r="BT1" s="133" t="s">
        <v>3472</v>
      </c>
      <c r="BU1" s="218" t="s">
        <v>3646</v>
      </c>
      <c r="BY1" s="1"/>
    </row>
    <row r="2" spans="1:84">
      <c r="A2" s="70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U2" s="129"/>
      <c r="AV2" s="70"/>
      <c r="AX2" s="233">
        <v>0</v>
      </c>
      <c r="AY2" s="232" t="str">
        <f>IF(AW2="", "A", "AM")</f>
        <v>A</v>
      </c>
      <c r="AZ2" s="233" t="b">
        <f t="shared" ref="AZ2:AZ65" si="0">COUNTIF(A:A,A2)&gt;1</f>
        <v>0</v>
      </c>
      <c r="BA2" s="129"/>
      <c r="BB2" s="129"/>
      <c r="BC2" s="129"/>
      <c r="BD2" s="129"/>
      <c r="BE2" s="82">
        <f>SUM(U2+B2)</f>
        <v>0</v>
      </c>
      <c r="BF2" s="82">
        <f>SUM(X2+F2)</f>
        <v>0</v>
      </c>
      <c r="BG2" s="82">
        <f>SUM(Z2+E2)</f>
        <v>0</v>
      </c>
      <c r="BH2" s="129">
        <f t="shared" ref="BH2:BL3" si="1">SUM(AC2+H2)</f>
        <v>0</v>
      </c>
      <c r="BI2" s="82">
        <f t="shared" si="1"/>
        <v>0</v>
      </c>
      <c r="BJ2" s="82">
        <f t="shared" si="1"/>
        <v>0</v>
      </c>
      <c r="BK2" s="82">
        <f t="shared" si="1"/>
        <v>0</v>
      </c>
      <c r="BL2" s="82">
        <f t="shared" si="1"/>
        <v>0</v>
      </c>
      <c r="BM2" s="82">
        <f>SUM(AI2+O2)</f>
        <v>0</v>
      </c>
      <c r="BN2" s="82">
        <f>SUM(AJ2+R2)</f>
        <v>0</v>
      </c>
      <c r="BO2" s="82">
        <f>SUM(AK2+S2)</f>
        <v>0</v>
      </c>
      <c r="BP2" s="82">
        <f>SUM(AL2+T2)</f>
        <v>0</v>
      </c>
      <c r="BQ2" s="82">
        <f>SUM(AM2+S2)</f>
        <v>0</v>
      </c>
      <c r="BS2" s="261">
        <v>709</v>
      </c>
      <c r="BU2" s="82">
        <f>SUM(U2-AQ2-AR2-AU2)</f>
        <v>0</v>
      </c>
      <c r="BV2" s="216"/>
      <c r="BW2" s="124"/>
      <c r="BX2" s="124"/>
      <c r="BY2" s="124"/>
      <c r="BZ2" s="129"/>
    </row>
    <row r="3" spans="1:84">
      <c r="A3" s="126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4"/>
      <c r="AR3" s="132"/>
      <c r="AS3" s="134"/>
      <c r="AT3" s="134"/>
      <c r="AU3" s="132"/>
      <c r="AV3" s="237"/>
      <c r="AX3" s="233">
        <v>0</v>
      </c>
      <c r="AY3" s="232" t="s">
        <v>3487</v>
      </c>
      <c r="AZ3" s="233" t="b">
        <f t="shared" si="0"/>
        <v>0</v>
      </c>
      <c r="BA3" s="129"/>
      <c r="BB3" s="129"/>
      <c r="BC3" s="129"/>
      <c r="BD3" s="129"/>
      <c r="BE3" s="82">
        <f>SUM(U3+C3-AO3-AP3-AR3)</f>
        <v>0</v>
      </c>
      <c r="BF3" s="82">
        <f>SUM(X3+F3)</f>
        <v>0</v>
      </c>
      <c r="BG3" s="82"/>
      <c r="BH3" s="82">
        <f t="shared" si="1"/>
        <v>0</v>
      </c>
      <c r="BI3" s="82">
        <f t="shared" si="1"/>
        <v>0</v>
      </c>
      <c r="BJ3" s="82">
        <f t="shared" si="1"/>
        <v>0</v>
      </c>
      <c r="BK3" s="82">
        <f t="shared" si="1"/>
        <v>0</v>
      </c>
      <c r="BL3" s="82">
        <f t="shared" si="1"/>
        <v>0</v>
      </c>
      <c r="BM3" s="82">
        <f>SUM(AI3+M3)</f>
        <v>0</v>
      </c>
      <c r="BN3" s="82">
        <f>SUM(AJ3+Q3)</f>
        <v>0</v>
      </c>
      <c r="BO3" s="82">
        <f>SUM(AK3+R3)</f>
        <v>0</v>
      </c>
      <c r="BP3" s="82">
        <f>SUM(AL3+S3)</f>
        <v>0</v>
      </c>
      <c r="BQ3" s="82"/>
      <c r="BR3" s="129">
        <f>SUMIF('Audit HD AR - School Level'!$B$6:B664, "=" &amp; A3,'Audit HD AR - School Level'!$Q$6:Q664)</f>
        <v>0</v>
      </c>
      <c r="BS3" s="224">
        <f>SUM(AS3-AQ3)*$BS$2</f>
        <v>0</v>
      </c>
      <c r="BT3" s="126">
        <f>IF(BS3&lt;0,BS3,0)</f>
        <v>0</v>
      </c>
      <c r="BU3" s="82">
        <f>SUM(U3-AO3-AP3-AR3)</f>
        <v>0</v>
      </c>
      <c r="BV3" s="238"/>
      <c r="BW3" s="124"/>
      <c r="BX3" s="124"/>
      <c r="BY3" s="124"/>
      <c r="BZ3" s="129"/>
      <c r="CA3" s="129"/>
      <c r="CB3" s="129"/>
      <c r="CC3" s="129"/>
      <c r="CD3" s="129"/>
      <c r="CE3" s="129"/>
      <c r="CF3" s="129"/>
    </row>
    <row r="4" spans="1:84">
      <c r="A4" s="1" t="s">
        <v>204</v>
      </c>
      <c r="U4" s="126">
        <v>515.4</v>
      </c>
      <c r="X4" s="126">
        <v>0</v>
      </c>
      <c r="Y4" s="126">
        <v>511</v>
      </c>
      <c r="Z4" s="126">
        <v>0</v>
      </c>
      <c r="AC4" s="126">
        <v>112.8</v>
      </c>
      <c r="AD4" s="126">
        <v>2</v>
      </c>
      <c r="AE4" s="126">
        <v>0</v>
      </c>
      <c r="AF4" s="126">
        <v>522</v>
      </c>
      <c r="AG4" s="126">
        <v>186</v>
      </c>
      <c r="AI4" s="126">
        <v>0</v>
      </c>
      <c r="AJ4" s="126">
        <v>156.5</v>
      </c>
      <c r="AK4" s="132">
        <v>21</v>
      </c>
      <c r="AL4" s="126">
        <v>31</v>
      </c>
      <c r="AO4" s="132">
        <v>0</v>
      </c>
      <c r="AP4" s="126">
        <v>0</v>
      </c>
      <c r="AQ4" s="134">
        <v>0</v>
      </c>
      <c r="AR4" s="132">
        <v>0</v>
      </c>
      <c r="AS4" s="134">
        <v>0</v>
      </c>
      <c r="AT4" s="132">
        <v>0</v>
      </c>
      <c r="AU4" s="132">
        <v>0</v>
      </c>
      <c r="AV4" s="83">
        <v>188527</v>
      </c>
      <c r="AW4" s="237">
        <v>43469</v>
      </c>
      <c r="AX4" s="233">
        <f>IF(AW4=AW3,AX3,AX3+1)</f>
        <v>1</v>
      </c>
      <c r="AY4" s="232" t="s">
        <v>3487</v>
      </c>
      <c r="AZ4" s="233" t="b">
        <f t="shared" si="0"/>
        <v>0</v>
      </c>
      <c r="BA4" s="129"/>
      <c r="BB4" s="129"/>
      <c r="BC4" s="129"/>
      <c r="BD4" s="129"/>
      <c r="BE4" s="82">
        <f t="shared" ref="BE4:BE6" si="2">SUM(U4+C4-AO4-AP4-AR4)</f>
        <v>515.4</v>
      </c>
      <c r="BF4" s="82">
        <f t="shared" ref="BF4:BF6" si="3">SUM(X4+F4)</f>
        <v>0</v>
      </c>
      <c r="BG4" s="82"/>
      <c r="BH4" s="82">
        <f t="shared" ref="BH4:BH6" si="4">SUM(AC4+H4)</f>
        <v>112.8</v>
      </c>
      <c r="BI4" s="82">
        <f t="shared" ref="BI4:BI6" si="5">SUM(AD4+I4)</f>
        <v>2</v>
      </c>
      <c r="BJ4" s="82">
        <f t="shared" ref="BJ4:BJ6" si="6">SUM(AE4+J4)</f>
        <v>0</v>
      </c>
      <c r="BK4" s="82">
        <f t="shared" ref="BK4:BK6" si="7">SUM(AF4+K4)</f>
        <v>522</v>
      </c>
      <c r="BL4" s="82">
        <f t="shared" ref="BL4:BL6" si="8">SUM(AG4+L4)</f>
        <v>186</v>
      </c>
      <c r="BM4" s="82">
        <f t="shared" ref="BM4:BM6" si="9">SUM(AI4+M4)</f>
        <v>0</v>
      </c>
      <c r="BN4" s="82">
        <f t="shared" ref="BN4:BN6" si="10">SUM(AJ4+Q4)</f>
        <v>156.5</v>
      </c>
      <c r="BO4" s="82">
        <f t="shared" ref="BO4:BO6" si="11">SUM(AK4+R4)</f>
        <v>21</v>
      </c>
      <c r="BP4" s="82">
        <f t="shared" ref="BP4:BP6" si="12">SUM(AL4+S4)</f>
        <v>31</v>
      </c>
      <c r="BQ4" s="82"/>
      <c r="BR4" s="129">
        <f>SUMIF('Audit HD AR - School Level'!$B$6:B1147, "=" &amp; A4,'Audit HD AR - School Level'!$Q$6:Q1147)</f>
        <v>2.1</v>
      </c>
      <c r="BS4" s="224">
        <f t="shared" ref="BS4:BS6" si="13">SUM(AS4-AQ4)*$BS$2</f>
        <v>0</v>
      </c>
      <c r="BT4" s="126">
        <f t="shared" ref="BT4:BT6" si="14">IF(BS4&lt;0,BS4,0)</f>
        <v>0</v>
      </c>
      <c r="BU4" s="82">
        <f t="shared" ref="BU4:BU6" si="15">SUM(U4-AO4-AP4-AR4)</f>
        <v>515.4</v>
      </c>
    </row>
    <row r="5" spans="1:84">
      <c r="A5" s="1" t="s">
        <v>210</v>
      </c>
      <c r="U5" s="126">
        <v>564.4</v>
      </c>
      <c r="X5" s="126">
        <v>13.5</v>
      </c>
      <c r="Y5" s="126">
        <v>573.79999999999995</v>
      </c>
      <c r="Z5" s="126">
        <v>0</v>
      </c>
      <c r="AC5" s="126">
        <v>253</v>
      </c>
      <c r="AD5" s="126">
        <v>9</v>
      </c>
      <c r="AE5" s="126">
        <v>0</v>
      </c>
      <c r="AF5" s="126">
        <v>609</v>
      </c>
      <c r="AG5" s="126">
        <v>114</v>
      </c>
      <c r="AI5" s="126">
        <v>0</v>
      </c>
      <c r="AJ5" s="126">
        <v>212.6</v>
      </c>
      <c r="AK5" s="132">
        <v>16.7</v>
      </c>
      <c r="AL5" s="126">
        <v>6.5</v>
      </c>
      <c r="AO5" s="132">
        <v>0</v>
      </c>
      <c r="AP5" s="126">
        <v>0</v>
      </c>
      <c r="AQ5" s="134">
        <v>0</v>
      </c>
      <c r="AR5" s="132">
        <v>0</v>
      </c>
      <c r="AS5" s="134">
        <v>0</v>
      </c>
      <c r="AT5" s="132">
        <v>0</v>
      </c>
      <c r="AU5" s="132">
        <v>0</v>
      </c>
      <c r="AV5" s="83">
        <v>228681</v>
      </c>
      <c r="AW5" s="237">
        <v>43469</v>
      </c>
      <c r="AX5" s="233">
        <f t="shared" ref="AX5:AX68" si="16">IF(AW5=AW4,AX4,AX4+1)</f>
        <v>1</v>
      </c>
      <c r="AY5" s="232" t="s">
        <v>3487</v>
      </c>
      <c r="AZ5" s="233" t="b">
        <f t="shared" si="0"/>
        <v>0</v>
      </c>
      <c r="BA5" s="129"/>
      <c r="BB5" s="129"/>
      <c r="BC5" s="129"/>
      <c r="BD5" s="129"/>
      <c r="BE5" s="82">
        <f t="shared" si="2"/>
        <v>564.4</v>
      </c>
      <c r="BF5" s="82">
        <f t="shared" si="3"/>
        <v>13.5</v>
      </c>
      <c r="BG5" s="82"/>
      <c r="BH5" s="82">
        <f t="shared" si="4"/>
        <v>253</v>
      </c>
      <c r="BI5" s="82">
        <f t="shared" si="5"/>
        <v>9</v>
      </c>
      <c r="BJ5" s="82">
        <f t="shared" si="6"/>
        <v>0</v>
      </c>
      <c r="BK5" s="82">
        <f t="shared" si="7"/>
        <v>609</v>
      </c>
      <c r="BL5" s="82">
        <f t="shared" si="8"/>
        <v>114</v>
      </c>
      <c r="BM5" s="82">
        <f t="shared" si="9"/>
        <v>0</v>
      </c>
      <c r="BN5" s="82">
        <f t="shared" si="10"/>
        <v>212.6</v>
      </c>
      <c r="BO5" s="82">
        <f t="shared" si="11"/>
        <v>16.7</v>
      </c>
      <c r="BP5" s="82">
        <f t="shared" si="12"/>
        <v>6.5</v>
      </c>
      <c r="BQ5" s="82"/>
      <c r="BR5" s="129">
        <f>SUMIF('Audit HD AR - School Level'!$B$6:B1148, "=" &amp; A5,'Audit HD AR - School Level'!$Q$6:Q1148)</f>
        <v>0</v>
      </c>
      <c r="BS5" s="224">
        <f t="shared" si="13"/>
        <v>0</v>
      </c>
      <c r="BT5" s="126">
        <f t="shared" si="14"/>
        <v>0</v>
      </c>
      <c r="BU5" s="82">
        <f t="shared" si="15"/>
        <v>564.4</v>
      </c>
    </row>
    <row r="6" spans="1:84">
      <c r="A6" s="1" t="s">
        <v>345</v>
      </c>
      <c r="U6" s="126">
        <v>608.20000000000005</v>
      </c>
      <c r="X6" s="126">
        <v>8.5</v>
      </c>
      <c r="Y6" s="126">
        <v>622.4</v>
      </c>
      <c r="Z6" s="126">
        <v>0</v>
      </c>
      <c r="AC6" s="126">
        <v>124.5</v>
      </c>
      <c r="AD6" s="126">
        <v>0</v>
      </c>
      <c r="AE6" s="126">
        <v>0</v>
      </c>
      <c r="AF6" s="126">
        <v>631</v>
      </c>
      <c r="AG6" s="126">
        <v>202</v>
      </c>
      <c r="AI6" s="126">
        <v>138.19999999999999</v>
      </c>
      <c r="AJ6" s="126">
        <v>155.5</v>
      </c>
      <c r="AK6" s="132">
        <v>33</v>
      </c>
      <c r="AL6" s="126">
        <v>24.5</v>
      </c>
      <c r="AO6" s="132">
        <v>3</v>
      </c>
      <c r="AP6" s="126">
        <v>0.9</v>
      </c>
      <c r="AQ6" s="134">
        <v>19</v>
      </c>
      <c r="AR6" s="132">
        <v>2</v>
      </c>
      <c r="AS6" s="134">
        <v>19</v>
      </c>
      <c r="AT6" s="132">
        <v>30</v>
      </c>
      <c r="AU6" s="132">
        <v>0</v>
      </c>
      <c r="AV6" s="83">
        <v>146427</v>
      </c>
      <c r="AW6" s="237">
        <v>43469</v>
      </c>
      <c r="AX6" s="233">
        <f t="shared" si="16"/>
        <v>1</v>
      </c>
      <c r="AY6" s="232" t="s">
        <v>3487</v>
      </c>
      <c r="AZ6" s="233" t="b">
        <f t="shared" si="0"/>
        <v>0</v>
      </c>
      <c r="BA6" s="129"/>
      <c r="BB6" s="129"/>
      <c r="BC6" s="129"/>
      <c r="BD6" s="129"/>
      <c r="BE6" s="82">
        <f t="shared" si="2"/>
        <v>602.29999999999995</v>
      </c>
      <c r="BF6" s="82">
        <f t="shared" si="3"/>
        <v>8.5</v>
      </c>
      <c r="BG6" s="82"/>
      <c r="BH6" s="82">
        <f t="shared" si="4"/>
        <v>124.5</v>
      </c>
      <c r="BI6" s="82">
        <f t="shared" si="5"/>
        <v>0</v>
      </c>
      <c r="BJ6" s="82">
        <f t="shared" si="6"/>
        <v>0</v>
      </c>
      <c r="BK6" s="82">
        <f t="shared" si="7"/>
        <v>631</v>
      </c>
      <c r="BL6" s="82">
        <f t="shared" si="8"/>
        <v>202</v>
      </c>
      <c r="BM6" s="82">
        <f t="shared" si="9"/>
        <v>138.19999999999999</v>
      </c>
      <c r="BN6" s="82">
        <f t="shared" si="10"/>
        <v>155.5</v>
      </c>
      <c r="BO6" s="82">
        <f t="shared" si="11"/>
        <v>33</v>
      </c>
      <c r="BP6" s="82">
        <f t="shared" si="12"/>
        <v>24.5</v>
      </c>
      <c r="BQ6" s="82"/>
      <c r="BR6" s="129">
        <f>SUMIF('Audit HD AR - School Level'!$B$6:B1149, "=" &amp; A6,'Audit HD AR - School Level'!$Q$6:Q1149)</f>
        <v>3.6</v>
      </c>
      <c r="BS6" s="224">
        <f t="shared" si="13"/>
        <v>0</v>
      </c>
      <c r="BT6" s="126">
        <f t="shared" si="14"/>
        <v>0</v>
      </c>
      <c r="BU6" s="82">
        <f t="shared" si="15"/>
        <v>602.29999999999995</v>
      </c>
    </row>
    <row r="7" spans="1:84">
      <c r="A7" s="126" t="s">
        <v>226</v>
      </c>
      <c r="U7" s="126">
        <v>113</v>
      </c>
      <c r="X7" s="126">
        <v>0</v>
      </c>
      <c r="Y7" s="126">
        <v>132.5</v>
      </c>
      <c r="Z7" s="126">
        <v>0</v>
      </c>
      <c r="AC7" s="126">
        <v>62.4</v>
      </c>
      <c r="AD7" s="126">
        <v>33</v>
      </c>
      <c r="AE7" s="126">
        <v>115.7</v>
      </c>
      <c r="AF7" s="126">
        <v>113</v>
      </c>
      <c r="AG7" s="126">
        <v>40</v>
      </c>
      <c r="AI7" s="126">
        <v>0</v>
      </c>
      <c r="AJ7" s="126">
        <v>20</v>
      </c>
      <c r="AK7" s="132">
        <v>0</v>
      </c>
      <c r="AL7" s="126">
        <v>0</v>
      </c>
      <c r="AO7" s="132">
        <v>0</v>
      </c>
      <c r="AP7" s="126">
        <v>0</v>
      </c>
      <c r="AQ7" s="134">
        <v>0</v>
      </c>
      <c r="AR7" s="132">
        <v>0</v>
      </c>
      <c r="AS7" s="134">
        <v>0</v>
      </c>
      <c r="AT7" s="132">
        <v>0</v>
      </c>
      <c r="AU7" s="132">
        <v>0</v>
      </c>
      <c r="AV7" s="83">
        <v>44522</v>
      </c>
      <c r="AW7" s="237">
        <v>43476</v>
      </c>
      <c r="AX7" s="233">
        <f t="shared" si="16"/>
        <v>2</v>
      </c>
      <c r="AY7" s="232" t="s">
        <v>3487</v>
      </c>
      <c r="AZ7" s="233" t="b">
        <f t="shared" si="0"/>
        <v>0</v>
      </c>
      <c r="BA7" s="129"/>
      <c r="BB7" s="129"/>
      <c r="BC7" s="129"/>
      <c r="BD7" s="129"/>
      <c r="BE7" s="82">
        <f t="shared" ref="BE7:BE8" si="17">SUM(U7+C7-AO7-AP7-AR7)</f>
        <v>113</v>
      </c>
      <c r="BF7" s="82">
        <f t="shared" ref="BF7:BF8" si="18">SUM(X7+F7)</f>
        <v>0</v>
      </c>
      <c r="BG7" s="82"/>
      <c r="BH7" s="82">
        <f t="shared" ref="BH7:BH8" si="19">SUM(AC7+H7)</f>
        <v>62.4</v>
      </c>
      <c r="BI7" s="82">
        <f t="shared" ref="BI7:BI8" si="20">SUM(AD7+I7)</f>
        <v>33</v>
      </c>
      <c r="BJ7" s="82">
        <f t="shared" ref="BJ7:BJ8" si="21">SUM(AE7+J7)</f>
        <v>115.7</v>
      </c>
      <c r="BK7" s="82">
        <f t="shared" ref="BK7:BK8" si="22">SUM(AF7+K7)</f>
        <v>113</v>
      </c>
      <c r="BL7" s="82">
        <f t="shared" ref="BL7:BL8" si="23">SUM(AG7+L7)</f>
        <v>40</v>
      </c>
      <c r="BM7" s="82">
        <f t="shared" ref="BM7:BM8" si="24">SUM(AI7+M7)</f>
        <v>0</v>
      </c>
      <c r="BN7" s="82">
        <f t="shared" ref="BN7:BN8" si="25">SUM(AJ7+Q7)</f>
        <v>20</v>
      </c>
      <c r="BO7" s="82">
        <f t="shared" ref="BO7:BO8" si="26">SUM(AK7+R7)</f>
        <v>0</v>
      </c>
      <c r="BP7" s="82">
        <f t="shared" ref="BP7:BP8" si="27">SUM(AL7+S7)</f>
        <v>0</v>
      </c>
      <c r="BQ7" s="82"/>
      <c r="BR7" s="129">
        <f>SUMIF('Audit HD AR - School Level'!$B$6:B1150, "=" &amp; A7,'Audit HD AR - School Level'!$Q$6:Q1150)</f>
        <v>1.8</v>
      </c>
      <c r="BS7" s="224">
        <f t="shared" ref="BS7:BS8" si="28">SUM(AS7-AQ7)*$BS$2</f>
        <v>0</v>
      </c>
      <c r="BT7" s="126">
        <f t="shared" ref="BT7:BT8" si="29">IF(BS7&lt;0,BS7,0)</f>
        <v>0</v>
      </c>
      <c r="BU7" s="82">
        <f t="shared" ref="BU7:BU8" si="30">SUM(U7-AO7-AP7-AR7)</f>
        <v>113</v>
      </c>
    </row>
    <row r="8" spans="1:84">
      <c r="A8" s="1" t="s">
        <v>259</v>
      </c>
      <c r="U8" s="126">
        <v>241.5</v>
      </c>
      <c r="X8" s="126">
        <v>1.5</v>
      </c>
      <c r="Y8" s="126">
        <v>247</v>
      </c>
      <c r="Z8" s="126">
        <v>0</v>
      </c>
      <c r="AC8" s="126">
        <v>89.6</v>
      </c>
      <c r="AD8" s="126">
        <v>5</v>
      </c>
      <c r="AE8" s="126">
        <v>7.3</v>
      </c>
      <c r="AF8" s="126">
        <v>246</v>
      </c>
      <c r="AG8" s="126">
        <v>91</v>
      </c>
      <c r="AI8" s="126">
        <v>0</v>
      </c>
      <c r="AJ8" s="126">
        <v>52</v>
      </c>
      <c r="AK8" s="132">
        <v>3.5</v>
      </c>
      <c r="AL8" s="126">
        <v>17</v>
      </c>
      <c r="AO8" s="132">
        <v>0</v>
      </c>
      <c r="AP8" s="126">
        <v>0</v>
      </c>
      <c r="AQ8" s="134">
        <v>0</v>
      </c>
      <c r="AR8" s="132">
        <v>0</v>
      </c>
      <c r="AS8" s="134">
        <v>0</v>
      </c>
      <c r="AT8" s="132">
        <v>0</v>
      </c>
      <c r="AU8" s="132">
        <v>0</v>
      </c>
      <c r="AV8" s="83">
        <v>116063</v>
      </c>
      <c r="AW8" s="237">
        <v>43476</v>
      </c>
      <c r="AX8" s="233">
        <f t="shared" si="16"/>
        <v>2</v>
      </c>
      <c r="AY8" s="232" t="s">
        <v>3487</v>
      </c>
      <c r="AZ8" s="233" t="b">
        <f t="shared" si="0"/>
        <v>0</v>
      </c>
      <c r="BA8" s="129"/>
      <c r="BB8" s="129"/>
      <c r="BC8" s="129"/>
      <c r="BD8" s="129"/>
      <c r="BE8" s="82">
        <f t="shared" si="17"/>
        <v>241.5</v>
      </c>
      <c r="BF8" s="82">
        <f t="shared" si="18"/>
        <v>1.5</v>
      </c>
      <c r="BG8" s="82"/>
      <c r="BH8" s="82">
        <f t="shared" si="19"/>
        <v>89.6</v>
      </c>
      <c r="BI8" s="82">
        <f t="shared" si="20"/>
        <v>5</v>
      </c>
      <c r="BJ8" s="82">
        <f t="shared" si="21"/>
        <v>7.3</v>
      </c>
      <c r="BK8" s="82">
        <f t="shared" si="22"/>
        <v>246</v>
      </c>
      <c r="BL8" s="82">
        <f t="shared" si="23"/>
        <v>91</v>
      </c>
      <c r="BM8" s="82">
        <f t="shared" si="24"/>
        <v>0</v>
      </c>
      <c r="BN8" s="82">
        <f t="shared" si="25"/>
        <v>52</v>
      </c>
      <c r="BO8" s="82">
        <f t="shared" si="26"/>
        <v>3.5</v>
      </c>
      <c r="BP8" s="82">
        <f t="shared" si="27"/>
        <v>17</v>
      </c>
      <c r="BQ8" s="82"/>
      <c r="BR8" s="129">
        <f>SUMIF('Audit HD AR - School Level'!$B$6:B1151, "=" &amp; A8,'Audit HD AR - School Level'!$Q$6:Q1151)</f>
        <v>3.4</v>
      </c>
      <c r="BS8" s="224">
        <f t="shared" si="28"/>
        <v>0</v>
      </c>
      <c r="BT8" s="126">
        <f t="shared" si="29"/>
        <v>0</v>
      </c>
      <c r="BU8" s="82">
        <f t="shared" si="30"/>
        <v>241.5</v>
      </c>
    </row>
    <row r="9" spans="1:84">
      <c r="A9" s="1" t="s">
        <v>280</v>
      </c>
      <c r="U9" s="126">
        <v>385.5</v>
      </c>
      <c r="X9" s="126">
        <v>0</v>
      </c>
      <c r="Y9" s="126">
        <v>378.5</v>
      </c>
      <c r="Z9" s="126">
        <v>0</v>
      </c>
      <c r="AC9" s="126">
        <v>99.2</v>
      </c>
      <c r="AD9" s="126">
        <v>0</v>
      </c>
      <c r="AE9" s="126">
        <v>0</v>
      </c>
      <c r="AF9" s="126">
        <v>391</v>
      </c>
      <c r="AG9" s="126">
        <v>145</v>
      </c>
      <c r="AI9" s="126">
        <v>0</v>
      </c>
      <c r="AJ9" s="126">
        <v>84.5</v>
      </c>
      <c r="AK9" s="132">
        <v>2</v>
      </c>
      <c r="AL9" s="126">
        <v>17</v>
      </c>
      <c r="AO9" s="132">
        <v>0</v>
      </c>
      <c r="AP9" s="126">
        <v>0</v>
      </c>
      <c r="AQ9" s="134">
        <v>0</v>
      </c>
      <c r="AR9" s="132">
        <v>0</v>
      </c>
      <c r="AS9" s="134">
        <v>0</v>
      </c>
      <c r="AT9" s="132">
        <v>0</v>
      </c>
      <c r="AU9" s="132">
        <v>1</v>
      </c>
      <c r="AV9" s="83">
        <v>174229</v>
      </c>
      <c r="AW9" s="237">
        <v>43483</v>
      </c>
      <c r="AX9" s="233">
        <f t="shared" si="16"/>
        <v>3</v>
      </c>
      <c r="AY9" s="232" t="s">
        <v>3487</v>
      </c>
      <c r="AZ9" s="233" t="b">
        <f t="shared" si="0"/>
        <v>0</v>
      </c>
      <c r="BA9" s="129"/>
      <c r="BB9" s="129"/>
      <c r="BC9" s="129"/>
      <c r="BD9" s="129"/>
      <c r="BE9" s="82">
        <f t="shared" ref="BE9:BE16" si="31">SUM(U9+C9-AO9-AP9-AR9)</f>
        <v>385.5</v>
      </c>
      <c r="BF9" s="82">
        <f t="shared" ref="BF9:BF16" si="32">SUM(X9+F9)</f>
        <v>0</v>
      </c>
      <c r="BG9" s="82"/>
      <c r="BH9" s="82">
        <f t="shared" ref="BH9:BH16" si="33">SUM(AC9+H9)</f>
        <v>99.2</v>
      </c>
      <c r="BI9" s="82">
        <f t="shared" ref="BI9:BI16" si="34">SUM(AD9+I9)</f>
        <v>0</v>
      </c>
      <c r="BJ9" s="82">
        <f t="shared" ref="BJ9:BJ16" si="35">SUM(AE9+J9)</f>
        <v>0</v>
      </c>
      <c r="BK9" s="82">
        <f t="shared" ref="BK9:BK16" si="36">SUM(AF9+K9)</f>
        <v>391</v>
      </c>
      <c r="BL9" s="82">
        <f t="shared" ref="BL9:BL16" si="37">SUM(AG9+L9)</f>
        <v>145</v>
      </c>
      <c r="BM9" s="82">
        <f t="shared" ref="BM9:BM16" si="38">SUM(AI9+M9)</f>
        <v>0</v>
      </c>
      <c r="BN9" s="82">
        <f t="shared" ref="BN9:BN16" si="39">SUM(AJ9+Q9)</f>
        <v>84.5</v>
      </c>
      <c r="BO9" s="82">
        <f t="shared" ref="BO9:BO16" si="40">SUM(AK9+R9)</f>
        <v>2</v>
      </c>
      <c r="BP9" s="82">
        <f t="shared" ref="BP9:BP16" si="41">SUM(AL9+S9)</f>
        <v>17</v>
      </c>
      <c r="BQ9" s="82"/>
      <c r="BR9" s="129">
        <f>SUMIF('Audit HD AR - School Level'!$B$6:B1152, "=" &amp; A9,'Audit HD AR - School Level'!$Q$6:Q1152)</f>
        <v>2.1</v>
      </c>
      <c r="BS9" s="224">
        <f t="shared" ref="BS9:BS16" si="42">SUM(AS9-AQ9)*$BS$2</f>
        <v>0</v>
      </c>
      <c r="BT9" s="126">
        <f t="shared" ref="BT9:BT16" si="43">IF(BS9&lt;0,BS9,0)</f>
        <v>0</v>
      </c>
      <c r="BU9" s="82">
        <f t="shared" ref="BU9:BU16" si="44">SUM(U9-AO9-AP9-AR9)</f>
        <v>385.5</v>
      </c>
    </row>
    <row r="10" spans="1:84">
      <c r="A10" s="1" t="s">
        <v>298</v>
      </c>
      <c r="U10" s="126">
        <v>278.5</v>
      </c>
      <c r="X10" s="126">
        <v>5</v>
      </c>
      <c r="Y10" s="126">
        <v>302.89999999999998</v>
      </c>
      <c r="Z10" s="126">
        <v>0</v>
      </c>
      <c r="AC10" s="126">
        <v>178.6</v>
      </c>
      <c r="AD10" s="126">
        <v>42</v>
      </c>
      <c r="AE10" s="126">
        <v>118.3</v>
      </c>
      <c r="AF10" s="126">
        <v>294</v>
      </c>
      <c r="AG10" s="126">
        <v>87</v>
      </c>
      <c r="AI10" s="126">
        <v>0</v>
      </c>
      <c r="AJ10" s="126">
        <v>26.5</v>
      </c>
      <c r="AK10" s="132">
        <v>1.5</v>
      </c>
      <c r="AL10" s="126">
        <v>0</v>
      </c>
      <c r="AO10" s="132">
        <v>0</v>
      </c>
      <c r="AP10" s="126">
        <v>0</v>
      </c>
      <c r="AQ10" s="134">
        <v>0</v>
      </c>
      <c r="AR10" s="132">
        <v>0</v>
      </c>
      <c r="AS10" s="134">
        <v>0</v>
      </c>
      <c r="AT10" s="132">
        <v>0</v>
      </c>
      <c r="AU10" s="132">
        <v>0</v>
      </c>
      <c r="AV10" s="83">
        <v>106015</v>
      </c>
      <c r="AW10" s="237">
        <v>43483</v>
      </c>
      <c r="AX10" s="233">
        <f t="shared" si="16"/>
        <v>3</v>
      </c>
      <c r="AY10" s="232" t="s">
        <v>3487</v>
      </c>
      <c r="AZ10" s="233" t="b">
        <f t="shared" si="0"/>
        <v>0</v>
      </c>
      <c r="BA10" s="129"/>
      <c r="BB10" s="129"/>
      <c r="BC10" s="129"/>
      <c r="BD10" s="129"/>
      <c r="BE10" s="82">
        <f t="shared" si="31"/>
        <v>278.5</v>
      </c>
      <c r="BF10" s="82">
        <f t="shared" si="32"/>
        <v>5</v>
      </c>
      <c r="BG10" s="82"/>
      <c r="BH10" s="82">
        <f t="shared" si="33"/>
        <v>178.6</v>
      </c>
      <c r="BI10" s="82">
        <f t="shared" si="34"/>
        <v>42</v>
      </c>
      <c r="BJ10" s="82">
        <f t="shared" si="35"/>
        <v>118.3</v>
      </c>
      <c r="BK10" s="82">
        <f t="shared" si="36"/>
        <v>294</v>
      </c>
      <c r="BL10" s="82">
        <f t="shared" si="37"/>
        <v>87</v>
      </c>
      <c r="BM10" s="82">
        <f t="shared" si="38"/>
        <v>0</v>
      </c>
      <c r="BN10" s="82">
        <f t="shared" si="39"/>
        <v>26.5</v>
      </c>
      <c r="BO10" s="82">
        <f t="shared" si="40"/>
        <v>1.5</v>
      </c>
      <c r="BP10" s="82">
        <f t="shared" si="41"/>
        <v>0</v>
      </c>
      <c r="BQ10" s="82"/>
      <c r="BR10" s="129">
        <f>SUMIF('Audit HD AR - School Level'!$B$6:B1153, "=" &amp; A10,'Audit HD AR - School Level'!$Q$6:Q1153)</f>
        <v>0</v>
      </c>
      <c r="BS10" s="224">
        <f t="shared" si="42"/>
        <v>0</v>
      </c>
      <c r="BT10" s="126">
        <f t="shared" si="43"/>
        <v>0</v>
      </c>
      <c r="BU10" s="82">
        <f t="shared" si="44"/>
        <v>278.5</v>
      </c>
    </row>
    <row r="11" spans="1:84">
      <c r="A11" s="1" t="s">
        <v>332</v>
      </c>
      <c r="U11" s="126">
        <v>740.5</v>
      </c>
      <c r="X11" s="126">
        <v>7.5</v>
      </c>
      <c r="Y11" s="126">
        <v>737.5</v>
      </c>
      <c r="Z11" s="126">
        <v>0</v>
      </c>
      <c r="AC11" s="126">
        <v>92.8</v>
      </c>
      <c r="AD11" s="126">
        <v>0</v>
      </c>
      <c r="AE11" s="126">
        <v>0</v>
      </c>
      <c r="AF11" s="126">
        <v>762</v>
      </c>
      <c r="AG11" s="126">
        <v>196</v>
      </c>
      <c r="AI11" s="126">
        <v>0</v>
      </c>
      <c r="AJ11" s="126">
        <v>455.5</v>
      </c>
      <c r="AK11" s="132">
        <v>160</v>
      </c>
      <c r="AL11" s="126">
        <v>123.5</v>
      </c>
      <c r="AO11" s="132">
        <v>0</v>
      </c>
      <c r="AP11" s="126">
        <v>0</v>
      </c>
      <c r="AQ11" s="134">
        <v>0</v>
      </c>
      <c r="AR11" s="132">
        <v>0</v>
      </c>
      <c r="AS11" s="134">
        <v>0</v>
      </c>
      <c r="AT11" s="132">
        <v>0</v>
      </c>
      <c r="AU11" s="132">
        <v>0</v>
      </c>
      <c r="AV11" s="83">
        <v>344535</v>
      </c>
      <c r="AW11" s="237">
        <v>43483</v>
      </c>
      <c r="AX11" s="233">
        <f t="shared" si="16"/>
        <v>3</v>
      </c>
      <c r="AY11" s="232" t="s">
        <v>3487</v>
      </c>
      <c r="AZ11" s="233" t="b">
        <f t="shared" si="0"/>
        <v>0</v>
      </c>
      <c r="BA11" s="129"/>
      <c r="BB11" s="129"/>
      <c r="BC11" s="129"/>
      <c r="BD11" s="129"/>
      <c r="BE11" s="82">
        <f t="shared" si="31"/>
        <v>740.5</v>
      </c>
      <c r="BF11" s="82">
        <f t="shared" si="32"/>
        <v>7.5</v>
      </c>
      <c r="BG11" s="82"/>
      <c r="BH11" s="82">
        <f t="shared" si="33"/>
        <v>92.8</v>
      </c>
      <c r="BI11" s="82">
        <f t="shared" si="34"/>
        <v>0</v>
      </c>
      <c r="BJ11" s="82">
        <f t="shared" si="35"/>
        <v>0</v>
      </c>
      <c r="BK11" s="82">
        <f t="shared" si="36"/>
        <v>762</v>
      </c>
      <c r="BL11" s="82">
        <f t="shared" si="37"/>
        <v>196</v>
      </c>
      <c r="BM11" s="82">
        <f t="shared" si="38"/>
        <v>0</v>
      </c>
      <c r="BN11" s="82">
        <f t="shared" si="39"/>
        <v>455.5</v>
      </c>
      <c r="BO11" s="82">
        <f t="shared" si="40"/>
        <v>160</v>
      </c>
      <c r="BP11" s="82">
        <f t="shared" si="41"/>
        <v>123.5</v>
      </c>
      <c r="BQ11" s="82"/>
      <c r="BR11" s="129">
        <f>SUMIF('Audit HD AR - School Level'!$B$6:B1154, "=" &amp; A11,'Audit HD AR - School Level'!$Q$6:Q1154)</f>
        <v>0</v>
      </c>
      <c r="BS11" s="224">
        <f t="shared" si="42"/>
        <v>0</v>
      </c>
      <c r="BT11" s="126">
        <f t="shared" si="43"/>
        <v>0</v>
      </c>
      <c r="BU11" s="82">
        <f t="shared" si="44"/>
        <v>740.5</v>
      </c>
    </row>
    <row r="12" spans="1:84">
      <c r="A12" s="1" t="s">
        <v>344</v>
      </c>
      <c r="U12" s="126">
        <v>431</v>
      </c>
      <c r="X12" s="126">
        <v>0</v>
      </c>
      <c r="Y12" s="126">
        <v>465.2</v>
      </c>
      <c r="Z12" s="126">
        <v>0</v>
      </c>
      <c r="AC12" s="126">
        <v>116.2</v>
      </c>
      <c r="AD12" s="126">
        <v>0</v>
      </c>
      <c r="AE12" s="126">
        <v>0</v>
      </c>
      <c r="AF12" s="126">
        <v>514</v>
      </c>
      <c r="AG12" s="126">
        <v>88</v>
      </c>
      <c r="AI12" s="126">
        <v>0</v>
      </c>
      <c r="AJ12" s="126">
        <v>134.6</v>
      </c>
      <c r="AK12" s="132">
        <v>65.7</v>
      </c>
      <c r="AL12" s="126">
        <v>32.9</v>
      </c>
      <c r="AO12" s="132">
        <v>1</v>
      </c>
      <c r="AP12" s="126">
        <v>0</v>
      </c>
      <c r="AQ12" s="134">
        <v>0</v>
      </c>
      <c r="AR12" s="132">
        <v>0</v>
      </c>
      <c r="AS12" s="134">
        <v>0</v>
      </c>
      <c r="AT12" s="132">
        <v>0</v>
      </c>
      <c r="AU12" s="132">
        <v>0</v>
      </c>
      <c r="AV12" s="83">
        <v>73073</v>
      </c>
      <c r="AW12" s="237">
        <v>43483</v>
      </c>
      <c r="AX12" s="233">
        <f t="shared" si="16"/>
        <v>3</v>
      </c>
      <c r="AY12" s="232" t="s">
        <v>3487</v>
      </c>
      <c r="AZ12" s="233" t="b">
        <f t="shared" si="0"/>
        <v>0</v>
      </c>
      <c r="BA12" s="129"/>
      <c r="BB12" s="129"/>
      <c r="BC12" s="129"/>
      <c r="BD12" s="129"/>
      <c r="BE12" s="82">
        <f t="shared" si="31"/>
        <v>430</v>
      </c>
      <c r="BF12" s="82">
        <f t="shared" si="32"/>
        <v>0</v>
      </c>
      <c r="BG12" s="82"/>
      <c r="BH12" s="82">
        <f t="shared" si="33"/>
        <v>116.2</v>
      </c>
      <c r="BI12" s="82">
        <f t="shared" si="34"/>
        <v>0</v>
      </c>
      <c r="BJ12" s="82">
        <f t="shared" si="35"/>
        <v>0</v>
      </c>
      <c r="BK12" s="82">
        <f t="shared" si="36"/>
        <v>514</v>
      </c>
      <c r="BL12" s="82">
        <f t="shared" si="37"/>
        <v>88</v>
      </c>
      <c r="BM12" s="82">
        <f t="shared" si="38"/>
        <v>0</v>
      </c>
      <c r="BN12" s="82">
        <f t="shared" si="39"/>
        <v>134.6</v>
      </c>
      <c r="BO12" s="82">
        <f t="shared" si="40"/>
        <v>65.7</v>
      </c>
      <c r="BP12" s="82">
        <f t="shared" si="41"/>
        <v>32.9</v>
      </c>
      <c r="BQ12" s="82"/>
      <c r="BR12" s="129">
        <f>SUMIF('Audit HD AR - School Level'!$B$6:B1154, "=" &amp; A12,'Audit HD AR - School Level'!$Q$6:Q1154)</f>
        <v>0</v>
      </c>
      <c r="BS12" s="224">
        <f t="shared" si="42"/>
        <v>0</v>
      </c>
      <c r="BT12" s="126">
        <f t="shared" si="43"/>
        <v>0</v>
      </c>
      <c r="BU12" s="82">
        <f t="shared" si="44"/>
        <v>430</v>
      </c>
    </row>
    <row r="13" spans="1:84">
      <c r="A13" s="1" t="s">
        <v>347</v>
      </c>
      <c r="U13" s="126">
        <v>171.5</v>
      </c>
      <c r="X13" s="126">
        <v>2</v>
      </c>
      <c r="Y13" s="126">
        <v>188</v>
      </c>
      <c r="Z13" s="126">
        <v>0</v>
      </c>
      <c r="AC13" s="126">
        <v>75.2</v>
      </c>
      <c r="AD13" s="126">
        <v>0</v>
      </c>
      <c r="AE13" s="126">
        <v>0</v>
      </c>
      <c r="AF13" s="126">
        <v>177</v>
      </c>
      <c r="AG13" s="126">
        <v>67</v>
      </c>
      <c r="AI13" s="126">
        <v>0</v>
      </c>
      <c r="AJ13" s="126">
        <v>35.5</v>
      </c>
      <c r="AK13" s="132">
        <v>38</v>
      </c>
      <c r="AL13" s="126">
        <v>6</v>
      </c>
      <c r="AO13" s="132">
        <v>0</v>
      </c>
      <c r="AP13" s="126">
        <v>0</v>
      </c>
      <c r="AQ13" s="134">
        <v>0</v>
      </c>
      <c r="AR13" s="132">
        <v>0</v>
      </c>
      <c r="AS13" s="134">
        <v>0</v>
      </c>
      <c r="AT13" s="132">
        <v>0</v>
      </c>
      <c r="AU13" s="132">
        <v>0</v>
      </c>
      <c r="AV13" s="83">
        <v>69402</v>
      </c>
      <c r="AW13" s="237">
        <v>43483</v>
      </c>
      <c r="AX13" s="233">
        <f t="shared" si="16"/>
        <v>3</v>
      </c>
      <c r="AY13" s="232" t="s">
        <v>3487</v>
      </c>
      <c r="AZ13" s="233" t="b">
        <f t="shared" si="0"/>
        <v>0</v>
      </c>
      <c r="BA13" s="129"/>
      <c r="BB13" s="129"/>
      <c r="BC13" s="129"/>
      <c r="BD13" s="129"/>
      <c r="BE13" s="82">
        <f t="shared" si="31"/>
        <v>171.5</v>
      </c>
      <c r="BF13" s="82">
        <f t="shared" si="32"/>
        <v>2</v>
      </c>
      <c r="BG13" s="82"/>
      <c r="BH13" s="82">
        <f t="shared" si="33"/>
        <v>75.2</v>
      </c>
      <c r="BI13" s="82">
        <f t="shared" si="34"/>
        <v>0</v>
      </c>
      <c r="BJ13" s="82">
        <f t="shared" si="35"/>
        <v>0</v>
      </c>
      <c r="BK13" s="82">
        <f t="shared" si="36"/>
        <v>177</v>
      </c>
      <c r="BL13" s="82">
        <f t="shared" si="37"/>
        <v>67</v>
      </c>
      <c r="BM13" s="82">
        <f t="shared" si="38"/>
        <v>0</v>
      </c>
      <c r="BN13" s="82">
        <f t="shared" si="39"/>
        <v>35.5</v>
      </c>
      <c r="BO13" s="82">
        <f t="shared" si="40"/>
        <v>38</v>
      </c>
      <c r="BP13" s="82">
        <f t="shared" si="41"/>
        <v>6</v>
      </c>
      <c r="BQ13" s="82"/>
      <c r="BR13" s="129">
        <f>SUMIF('Audit HD AR - School Level'!$B$6:B1155, "=" &amp; A13,'Audit HD AR - School Level'!$Q$6:Q1155)</f>
        <v>2.5</v>
      </c>
      <c r="BS13" s="224">
        <f t="shared" si="42"/>
        <v>0</v>
      </c>
      <c r="BT13" s="126">
        <f t="shared" si="43"/>
        <v>0</v>
      </c>
      <c r="BU13" s="82">
        <f t="shared" si="44"/>
        <v>171.5</v>
      </c>
    </row>
    <row r="14" spans="1:84">
      <c r="A14" s="1" t="s">
        <v>348</v>
      </c>
      <c r="U14" s="126">
        <v>249.1</v>
      </c>
      <c r="X14" s="126">
        <v>5</v>
      </c>
      <c r="Y14" s="126">
        <v>244</v>
      </c>
      <c r="Z14" s="126">
        <v>0</v>
      </c>
      <c r="AC14" s="126">
        <v>117.2</v>
      </c>
      <c r="AD14" s="126">
        <v>0</v>
      </c>
      <c r="AE14" s="126">
        <v>0</v>
      </c>
      <c r="AF14" s="126">
        <v>262</v>
      </c>
      <c r="AG14" s="126">
        <v>118</v>
      </c>
      <c r="AI14" s="126">
        <v>0</v>
      </c>
      <c r="AJ14" s="126">
        <v>38</v>
      </c>
      <c r="AK14" s="132">
        <v>0</v>
      </c>
      <c r="AL14" s="126">
        <v>14</v>
      </c>
      <c r="AO14" s="132">
        <v>2</v>
      </c>
      <c r="AP14" s="126">
        <v>0</v>
      </c>
      <c r="AQ14" s="134">
        <v>0</v>
      </c>
      <c r="AR14" s="132">
        <v>1</v>
      </c>
      <c r="AS14" s="134">
        <v>0</v>
      </c>
      <c r="AT14" s="132">
        <v>0</v>
      </c>
      <c r="AU14" s="132">
        <v>0</v>
      </c>
      <c r="AV14" s="83">
        <v>77779</v>
      </c>
      <c r="AW14" s="237">
        <v>43483</v>
      </c>
      <c r="AX14" s="233">
        <f t="shared" si="16"/>
        <v>3</v>
      </c>
      <c r="AY14" s="232" t="s">
        <v>3487</v>
      </c>
      <c r="AZ14" s="233" t="b">
        <f t="shared" si="0"/>
        <v>0</v>
      </c>
      <c r="BA14" s="129"/>
      <c r="BB14" s="129"/>
      <c r="BC14" s="129"/>
      <c r="BD14" s="129"/>
      <c r="BE14" s="82">
        <f t="shared" si="31"/>
        <v>246.1</v>
      </c>
      <c r="BF14" s="82">
        <f t="shared" si="32"/>
        <v>5</v>
      </c>
      <c r="BG14" s="82"/>
      <c r="BH14" s="82">
        <f t="shared" si="33"/>
        <v>117.2</v>
      </c>
      <c r="BI14" s="82">
        <f t="shared" si="34"/>
        <v>0</v>
      </c>
      <c r="BJ14" s="82">
        <f t="shared" si="35"/>
        <v>0</v>
      </c>
      <c r="BK14" s="82">
        <f t="shared" si="36"/>
        <v>262</v>
      </c>
      <c r="BL14" s="82">
        <f t="shared" si="37"/>
        <v>118</v>
      </c>
      <c r="BM14" s="82">
        <f t="shared" si="38"/>
        <v>0</v>
      </c>
      <c r="BN14" s="82">
        <f t="shared" si="39"/>
        <v>38</v>
      </c>
      <c r="BO14" s="82">
        <f t="shared" si="40"/>
        <v>0</v>
      </c>
      <c r="BP14" s="82">
        <f t="shared" si="41"/>
        <v>14</v>
      </c>
      <c r="BQ14" s="82"/>
      <c r="BR14" s="129">
        <f>SUMIF('Audit HD AR - School Level'!$B$6:B1156, "=" &amp; A14,'Audit HD AR - School Level'!$Q$6:Q1156)</f>
        <v>7.9</v>
      </c>
      <c r="BS14" s="224">
        <f t="shared" si="42"/>
        <v>0</v>
      </c>
      <c r="BT14" s="126">
        <f t="shared" si="43"/>
        <v>0</v>
      </c>
      <c r="BU14" s="82">
        <f t="shared" si="44"/>
        <v>246.1</v>
      </c>
    </row>
    <row r="15" spans="1:84">
      <c r="A15" s="1" t="s">
        <v>385</v>
      </c>
      <c r="C15" s="132"/>
      <c r="D15" s="143"/>
      <c r="E15" s="132"/>
      <c r="F15" s="89"/>
      <c r="G15" s="132"/>
      <c r="H15" s="132"/>
      <c r="U15" s="126">
        <v>111.1</v>
      </c>
      <c r="X15" s="135">
        <v>3</v>
      </c>
      <c r="Y15" s="126">
        <v>113.5</v>
      </c>
      <c r="Z15" s="126">
        <v>0</v>
      </c>
      <c r="AC15" s="126">
        <v>31</v>
      </c>
      <c r="AD15" s="126">
        <v>0</v>
      </c>
      <c r="AE15" s="126">
        <v>0</v>
      </c>
      <c r="AF15" s="126">
        <v>118</v>
      </c>
      <c r="AG15" s="126">
        <v>47</v>
      </c>
      <c r="AI15" s="126">
        <v>0</v>
      </c>
      <c r="AJ15" s="126">
        <v>21</v>
      </c>
      <c r="AK15" s="132">
        <v>1</v>
      </c>
      <c r="AL15" s="126">
        <v>41</v>
      </c>
      <c r="AO15" s="132">
        <v>0</v>
      </c>
      <c r="AP15" s="126">
        <v>0</v>
      </c>
      <c r="AQ15" s="134">
        <v>0</v>
      </c>
      <c r="AR15" s="132">
        <v>0</v>
      </c>
      <c r="AS15" s="134">
        <v>0</v>
      </c>
      <c r="AT15" s="132">
        <v>0</v>
      </c>
      <c r="AU15" s="132">
        <v>0</v>
      </c>
      <c r="AV15" s="83">
        <v>104778</v>
      </c>
      <c r="AW15" s="237">
        <v>43483</v>
      </c>
      <c r="AX15" s="233">
        <f t="shared" si="16"/>
        <v>3</v>
      </c>
      <c r="AY15" s="232" t="s">
        <v>3487</v>
      </c>
      <c r="AZ15" s="233" t="b">
        <f t="shared" si="0"/>
        <v>0</v>
      </c>
      <c r="BA15" s="129"/>
      <c r="BB15" s="129"/>
      <c r="BC15" s="129"/>
      <c r="BD15" s="129"/>
      <c r="BE15" s="82">
        <f t="shared" si="31"/>
        <v>111.1</v>
      </c>
      <c r="BF15" s="82">
        <f t="shared" si="32"/>
        <v>3</v>
      </c>
      <c r="BG15" s="82"/>
      <c r="BH15" s="82">
        <f t="shared" si="33"/>
        <v>31</v>
      </c>
      <c r="BI15" s="82">
        <f t="shared" si="34"/>
        <v>0</v>
      </c>
      <c r="BJ15" s="82">
        <f t="shared" si="35"/>
        <v>0</v>
      </c>
      <c r="BK15" s="82">
        <f t="shared" si="36"/>
        <v>118</v>
      </c>
      <c r="BL15" s="82">
        <f t="shared" si="37"/>
        <v>47</v>
      </c>
      <c r="BM15" s="82">
        <f t="shared" si="38"/>
        <v>0</v>
      </c>
      <c r="BN15" s="82">
        <f t="shared" si="39"/>
        <v>21</v>
      </c>
      <c r="BO15" s="82">
        <f t="shared" si="40"/>
        <v>1</v>
      </c>
      <c r="BP15" s="82">
        <f t="shared" si="41"/>
        <v>41</v>
      </c>
      <c r="BQ15" s="82"/>
      <c r="BR15" s="129">
        <f>SUMIF('Audit HD AR - School Level'!$B$6:B1157, "=" &amp; A15,'Audit HD AR - School Level'!$Q$6:Q1157)</f>
        <v>3</v>
      </c>
      <c r="BS15" s="224">
        <f t="shared" si="42"/>
        <v>0</v>
      </c>
      <c r="BT15" s="126">
        <f t="shared" si="43"/>
        <v>0</v>
      </c>
      <c r="BU15" s="82">
        <f t="shared" si="44"/>
        <v>111.1</v>
      </c>
    </row>
    <row r="16" spans="1:84">
      <c r="A16" s="1" t="s">
        <v>401</v>
      </c>
      <c r="U16" s="126">
        <v>770.2</v>
      </c>
      <c r="X16" s="126">
        <v>15.5</v>
      </c>
      <c r="Y16" s="126">
        <v>760</v>
      </c>
      <c r="Z16" s="126">
        <v>0</v>
      </c>
      <c r="AC16" s="126">
        <v>173.9</v>
      </c>
      <c r="AD16" s="126">
        <v>17</v>
      </c>
      <c r="AE16" s="126">
        <v>17.100000000000001</v>
      </c>
      <c r="AF16" s="126">
        <v>804</v>
      </c>
      <c r="AG16" s="126">
        <v>286</v>
      </c>
      <c r="AI16" s="126">
        <v>0</v>
      </c>
      <c r="AJ16" s="126">
        <v>248</v>
      </c>
      <c r="AK16" s="132">
        <v>44</v>
      </c>
      <c r="AL16" s="126">
        <v>6</v>
      </c>
      <c r="AO16" s="132">
        <v>0</v>
      </c>
      <c r="AP16" s="126">
        <v>0</v>
      </c>
      <c r="AQ16" s="134">
        <v>0</v>
      </c>
      <c r="AR16" s="132">
        <v>0</v>
      </c>
      <c r="AS16" s="134">
        <v>0</v>
      </c>
      <c r="AT16" s="132">
        <v>0</v>
      </c>
      <c r="AU16" s="132">
        <v>0</v>
      </c>
      <c r="AV16" s="83">
        <v>351051</v>
      </c>
      <c r="AW16" s="237">
        <v>43483</v>
      </c>
      <c r="AX16" s="233">
        <f t="shared" si="16"/>
        <v>3</v>
      </c>
      <c r="AY16" s="232" t="s">
        <v>3487</v>
      </c>
      <c r="AZ16" s="233" t="b">
        <f t="shared" si="0"/>
        <v>0</v>
      </c>
      <c r="BA16" s="129"/>
      <c r="BB16" s="129"/>
      <c r="BC16" s="129"/>
      <c r="BD16" s="129"/>
      <c r="BE16" s="82">
        <f t="shared" si="31"/>
        <v>770.2</v>
      </c>
      <c r="BF16" s="82">
        <f t="shared" si="32"/>
        <v>15.5</v>
      </c>
      <c r="BG16" s="82"/>
      <c r="BH16" s="82">
        <f t="shared" si="33"/>
        <v>173.9</v>
      </c>
      <c r="BI16" s="82">
        <f t="shared" si="34"/>
        <v>17</v>
      </c>
      <c r="BJ16" s="82">
        <f t="shared" si="35"/>
        <v>17.100000000000001</v>
      </c>
      <c r="BK16" s="82">
        <f t="shared" si="36"/>
        <v>804</v>
      </c>
      <c r="BL16" s="82">
        <f t="shared" si="37"/>
        <v>286</v>
      </c>
      <c r="BM16" s="82">
        <f t="shared" si="38"/>
        <v>0</v>
      </c>
      <c r="BN16" s="82">
        <f t="shared" si="39"/>
        <v>248</v>
      </c>
      <c r="BO16" s="82">
        <f t="shared" si="40"/>
        <v>44</v>
      </c>
      <c r="BP16" s="82">
        <f t="shared" si="41"/>
        <v>6</v>
      </c>
      <c r="BQ16" s="82"/>
      <c r="BR16" s="129">
        <f>SUMIF('Audit HD AR - School Level'!$B$6:B1158, "=" &amp; A16,'Audit HD AR - School Level'!$Q$6:Q1158)</f>
        <v>5.7</v>
      </c>
      <c r="BS16" s="224">
        <f t="shared" si="42"/>
        <v>0</v>
      </c>
      <c r="BT16" s="126">
        <f t="shared" si="43"/>
        <v>0</v>
      </c>
      <c r="BU16" s="82">
        <f t="shared" si="44"/>
        <v>770.2</v>
      </c>
    </row>
    <row r="17" spans="1:73">
      <c r="A17" s="1" t="s">
        <v>203</v>
      </c>
      <c r="U17" s="126">
        <v>327.3</v>
      </c>
      <c r="X17" s="126">
        <v>0</v>
      </c>
      <c r="Y17" s="126">
        <v>334.5</v>
      </c>
      <c r="Z17" s="126">
        <v>0</v>
      </c>
      <c r="AC17" s="126">
        <v>108.3</v>
      </c>
      <c r="AD17" s="126">
        <v>15</v>
      </c>
      <c r="AE17" s="126">
        <v>8.8000000000000007</v>
      </c>
      <c r="AF17" s="126">
        <v>332</v>
      </c>
      <c r="AG17" s="126">
        <v>111</v>
      </c>
      <c r="AI17" s="126">
        <v>0</v>
      </c>
      <c r="AJ17" s="126">
        <v>132</v>
      </c>
      <c r="AK17" s="132">
        <v>22</v>
      </c>
      <c r="AL17" s="126">
        <v>10</v>
      </c>
      <c r="AO17" s="132">
        <v>0</v>
      </c>
      <c r="AP17" s="126">
        <v>0</v>
      </c>
      <c r="AQ17" s="134">
        <v>0</v>
      </c>
      <c r="AR17" s="132">
        <v>0</v>
      </c>
      <c r="AS17" s="134">
        <v>0</v>
      </c>
      <c r="AT17" s="132">
        <v>0</v>
      </c>
      <c r="AU17" s="132">
        <v>0</v>
      </c>
      <c r="AV17" s="83">
        <v>168175</v>
      </c>
      <c r="AW17" s="237">
        <v>43494</v>
      </c>
      <c r="AX17" s="233">
        <f t="shared" si="16"/>
        <v>4</v>
      </c>
      <c r="AY17" s="232" t="s">
        <v>3487</v>
      </c>
      <c r="AZ17" s="233" t="b">
        <f t="shared" si="0"/>
        <v>0</v>
      </c>
      <c r="BA17" s="129"/>
      <c r="BB17" s="129"/>
      <c r="BC17" s="129"/>
      <c r="BD17" s="129"/>
      <c r="BE17" s="82">
        <f t="shared" ref="BE17:BE28" si="45">SUM(U17+C17-AO17-AP17-AR17)</f>
        <v>327.3</v>
      </c>
      <c r="BF17" s="82">
        <f t="shared" ref="BF17:BF28" si="46">SUM(X17+F17)</f>
        <v>0</v>
      </c>
      <c r="BG17" s="82"/>
      <c r="BH17" s="82">
        <f t="shared" ref="BH17:BH28" si="47">SUM(AC17+H17)</f>
        <v>108.3</v>
      </c>
      <c r="BI17" s="82">
        <f t="shared" ref="BI17:BI28" si="48">SUM(AD17+I17)</f>
        <v>15</v>
      </c>
      <c r="BJ17" s="82">
        <f t="shared" ref="BJ17:BJ28" si="49">SUM(AE17+J17)</f>
        <v>8.8000000000000007</v>
      </c>
      <c r="BK17" s="82">
        <f t="shared" ref="BK17:BK28" si="50">SUM(AF17+K17)</f>
        <v>332</v>
      </c>
      <c r="BL17" s="82">
        <f t="shared" ref="BL17:BL28" si="51">SUM(AG17+L17)</f>
        <v>111</v>
      </c>
      <c r="BM17" s="82">
        <f t="shared" ref="BM17:BM28" si="52">SUM(AI17+M17)</f>
        <v>0</v>
      </c>
      <c r="BN17" s="82">
        <f t="shared" ref="BN17:BN28" si="53">SUM(AJ17+Q17)</f>
        <v>132</v>
      </c>
      <c r="BO17" s="82">
        <f t="shared" ref="BO17:BO28" si="54">SUM(AK17+R17)</f>
        <v>22</v>
      </c>
      <c r="BP17" s="82">
        <f t="shared" ref="BP17:BP28" si="55">SUM(AL17+S17)</f>
        <v>10</v>
      </c>
      <c r="BQ17" s="82"/>
      <c r="BR17" s="129">
        <f>SUMIF('Audit HD AR - School Level'!$B$6:B1159, "=" &amp; A17,'Audit HD AR - School Level'!$Q$6:Q1159)</f>
        <v>0.4</v>
      </c>
      <c r="BS17" s="224">
        <f t="shared" ref="BS17:BS28" si="56">SUM(AS17-AQ17)*$BS$2</f>
        <v>0</v>
      </c>
      <c r="BT17" s="126">
        <f t="shared" ref="BT17:BT28" si="57">IF(BS17&lt;0,BS17,0)</f>
        <v>0</v>
      </c>
      <c r="BU17" s="82">
        <f t="shared" ref="BU17:BU28" si="58">SUM(U17-AO17-AP17-AR17)</f>
        <v>327.3</v>
      </c>
    </row>
    <row r="18" spans="1:73">
      <c r="A18" s="1" t="s">
        <v>263</v>
      </c>
      <c r="U18" s="126">
        <v>47275.5</v>
      </c>
      <c r="X18" s="126">
        <v>939.5</v>
      </c>
      <c r="Y18" s="126">
        <v>48316</v>
      </c>
      <c r="Z18" s="126">
        <v>0</v>
      </c>
      <c r="AC18" s="126">
        <v>9959.7999999999993</v>
      </c>
      <c r="AD18" s="126">
        <v>9748</v>
      </c>
      <c r="AE18" s="126">
        <v>32276.3</v>
      </c>
      <c r="AF18" s="126">
        <v>49418</v>
      </c>
      <c r="AG18" s="126">
        <v>32798</v>
      </c>
      <c r="AI18" s="126">
        <v>774</v>
      </c>
      <c r="AJ18" s="126">
        <v>14888</v>
      </c>
      <c r="AK18" s="132">
        <v>2006</v>
      </c>
      <c r="AL18" s="126">
        <v>54</v>
      </c>
      <c r="AO18" s="132">
        <v>303</v>
      </c>
      <c r="AP18" s="126">
        <v>9.3000000000000007</v>
      </c>
      <c r="AQ18" s="134">
        <v>0</v>
      </c>
      <c r="AR18" s="132">
        <v>9</v>
      </c>
      <c r="AS18" s="134">
        <v>0</v>
      </c>
      <c r="AT18" s="132">
        <v>0</v>
      </c>
      <c r="AU18" s="132">
        <v>3</v>
      </c>
      <c r="AV18" s="83">
        <v>12747056</v>
      </c>
      <c r="AW18" s="237">
        <v>43494</v>
      </c>
      <c r="AX18" s="233">
        <f t="shared" si="16"/>
        <v>4</v>
      </c>
      <c r="AY18" s="232" t="s">
        <v>3487</v>
      </c>
      <c r="AZ18" s="233" t="b">
        <f t="shared" si="0"/>
        <v>0</v>
      </c>
      <c r="BA18" s="129"/>
      <c r="BB18" s="129"/>
      <c r="BC18" s="129"/>
      <c r="BD18" s="129"/>
      <c r="BE18" s="82">
        <f t="shared" si="45"/>
        <v>46954.2</v>
      </c>
      <c r="BF18" s="82">
        <f t="shared" si="46"/>
        <v>939.5</v>
      </c>
      <c r="BG18" s="82"/>
      <c r="BH18" s="82">
        <f t="shared" si="47"/>
        <v>9959.7999999999993</v>
      </c>
      <c r="BI18" s="82">
        <f t="shared" si="48"/>
        <v>9748</v>
      </c>
      <c r="BJ18" s="82">
        <f t="shared" si="49"/>
        <v>32276.3</v>
      </c>
      <c r="BK18" s="82">
        <f t="shared" si="50"/>
        <v>49418</v>
      </c>
      <c r="BL18" s="82">
        <f t="shared" si="51"/>
        <v>32798</v>
      </c>
      <c r="BM18" s="82">
        <f t="shared" si="52"/>
        <v>774</v>
      </c>
      <c r="BN18" s="82">
        <f t="shared" si="53"/>
        <v>14888</v>
      </c>
      <c r="BO18" s="82">
        <f t="shared" si="54"/>
        <v>2006</v>
      </c>
      <c r="BP18" s="82">
        <f t="shared" si="55"/>
        <v>54</v>
      </c>
      <c r="BQ18" s="82"/>
      <c r="BR18" s="129">
        <f>SUMIF('Audit HD AR - School Level'!$B$6:B1160, "=" &amp; A18,'Audit HD AR - School Level'!$Q$6:Q1160)</f>
        <v>3228.5</v>
      </c>
      <c r="BS18" s="224">
        <f t="shared" si="56"/>
        <v>0</v>
      </c>
      <c r="BT18" s="126">
        <f t="shared" si="57"/>
        <v>0</v>
      </c>
      <c r="BU18" s="82">
        <f t="shared" si="58"/>
        <v>46954.2</v>
      </c>
    </row>
    <row r="19" spans="1:73">
      <c r="A19" s="1" t="s">
        <v>327</v>
      </c>
      <c r="U19" s="126">
        <v>363</v>
      </c>
      <c r="X19" s="126">
        <v>3.5</v>
      </c>
      <c r="Y19" s="126">
        <v>373.5</v>
      </c>
      <c r="Z19" s="126">
        <v>0</v>
      </c>
      <c r="AC19" s="126">
        <v>74.2</v>
      </c>
      <c r="AD19" s="126">
        <v>0</v>
      </c>
      <c r="AE19" s="126">
        <v>0</v>
      </c>
      <c r="AF19" s="126">
        <v>375</v>
      </c>
      <c r="AG19" s="126">
        <v>94</v>
      </c>
      <c r="AI19" s="126">
        <v>0</v>
      </c>
      <c r="AJ19" s="126">
        <v>116</v>
      </c>
      <c r="AK19" s="132">
        <v>59</v>
      </c>
      <c r="AL19" s="126">
        <v>6</v>
      </c>
      <c r="AO19" s="132">
        <v>0</v>
      </c>
      <c r="AP19" s="126">
        <v>0</v>
      </c>
      <c r="AQ19" s="134">
        <v>0</v>
      </c>
      <c r="AR19" s="132">
        <v>0</v>
      </c>
      <c r="AS19" s="134">
        <v>0</v>
      </c>
      <c r="AT19" s="132">
        <v>0</v>
      </c>
      <c r="AU19" s="132">
        <v>0</v>
      </c>
      <c r="AV19" s="83">
        <v>140049</v>
      </c>
      <c r="AW19" s="237">
        <v>43494</v>
      </c>
      <c r="AX19" s="233">
        <f t="shared" si="16"/>
        <v>4</v>
      </c>
      <c r="AY19" s="232" t="s">
        <v>3487</v>
      </c>
      <c r="AZ19" s="233" t="b">
        <f t="shared" si="0"/>
        <v>0</v>
      </c>
      <c r="BA19" s="129"/>
      <c r="BB19" s="129"/>
      <c r="BC19" s="129"/>
      <c r="BD19" s="129"/>
      <c r="BE19" s="82">
        <f t="shared" si="45"/>
        <v>363</v>
      </c>
      <c r="BF19" s="82">
        <f t="shared" si="46"/>
        <v>3.5</v>
      </c>
      <c r="BG19" s="82"/>
      <c r="BH19" s="82">
        <f t="shared" si="47"/>
        <v>74.2</v>
      </c>
      <c r="BI19" s="82">
        <f t="shared" si="48"/>
        <v>0</v>
      </c>
      <c r="BJ19" s="82">
        <f t="shared" si="49"/>
        <v>0</v>
      </c>
      <c r="BK19" s="82">
        <f t="shared" si="50"/>
        <v>375</v>
      </c>
      <c r="BL19" s="82">
        <f t="shared" si="51"/>
        <v>94</v>
      </c>
      <c r="BM19" s="82">
        <f t="shared" si="52"/>
        <v>0</v>
      </c>
      <c r="BN19" s="82">
        <f t="shared" si="53"/>
        <v>116</v>
      </c>
      <c r="BO19" s="82">
        <f t="shared" si="54"/>
        <v>59</v>
      </c>
      <c r="BP19" s="82">
        <f t="shared" si="55"/>
        <v>6</v>
      </c>
      <c r="BQ19" s="82"/>
      <c r="BR19" s="129">
        <f>SUMIF('Audit HD AR - School Level'!$B$6:B1160, "=" &amp; A19,'Audit HD AR - School Level'!$Q$6:Q1160)</f>
        <v>0</v>
      </c>
      <c r="BS19" s="224">
        <f t="shared" si="56"/>
        <v>0</v>
      </c>
      <c r="BT19" s="126">
        <f t="shared" si="57"/>
        <v>0</v>
      </c>
      <c r="BU19" s="82">
        <f t="shared" si="58"/>
        <v>363</v>
      </c>
    </row>
    <row r="20" spans="1:73">
      <c r="A20" s="1" t="s">
        <v>352</v>
      </c>
      <c r="U20" s="126">
        <v>740</v>
      </c>
      <c r="X20" s="126">
        <v>5</v>
      </c>
      <c r="Y20" s="126">
        <v>740.4</v>
      </c>
      <c r="Z20" s="126">
        <v>0</v>
      </c>
      <c r="AC20" s="126">
        <v>348.4</v>
      </c>
      <c r="AD20" s="126">
        <v>6</v>
      </c>
      <c r="AE20" s="126">
        <v>0</v>
      </c>
      <c r="AF20" s="126">
        <v>785</v>
      </c>
      <c r="AG20" s="126">
        <v>240</v>
      </c>
      <c r="AI20" s="126">
        <v>0</v>
      </c>
      <c r="AJ20" s="126">
        <v>197.5</v>
      </c>
      <c r="AK20" s="132">
        <v>66.5</v>
      </c>
      <c r="AL20" s="126">
        <v>23</v>
      </c>
      <c r="AO20" s="132">
        <v>0</v>
      </c>
      <c r="AP20" s="126">
        <v>0</v>
      </c>
      <c r="AQ20" s="134">
        <v>0</v>
      </c>
      <c r="AR20" s="132">
        <v>0</v>
      </c>
      <c r="AS20" s="134">
        <v>0</v>
      </c>
      <c r="AT20" s="132">
        <v>0</v>
      </c>
      <c r="AU20" s="132">
        <v>0</v>
      </c>
      <c r="AV20" s="83">
        <v>174579</v>
      </c>
      <c r="AW20" s="237">
        <v>43494</v>
      </c>
      <c r="AX20" s="233">
        <f t="shared" si="16"/>
        <v>4</v>
      </c>
      <c r="AY20" s="232" t="s">
        <v>3487</v>
      </c>
      <c r="AZ20" s="233" t="b">
        <f t="shared" si="0"/>
        <v>0</v>
      </c>
      <c r="BA20" s="129"/>
      <c r="BB20" s="129"/>
      <c r="BC20" s="129"/>
      <c r="BD20" s="129"/>
      <c r="BE20" s="82">
        <f t="shared" si="45"/>
        <v>740</v>
      </c>
      <c r="BF20" s="82">
        <f t="shared" si="46"/>
        <v>5</v>
      </c>
      <c r="BG20" s="82"/>
      <c r="BH20" s="82">
        <f t="shared" si="47"/>
        <v>348.4</v>
      </c>
      <c r="BI20" s="82">
        <f t="shared" si="48"/>
        <v>6</v>
      </c>
      <c r="BJ20" s="82">
        <f t="shared" si="49"/>
        <v>0</v>
      </c>
      <c r="BK20" s="82">
        <f t="shared" si="50"/>
        <v>785</v>
      </c>
      <c r="BL20" s="82">
        <f t="shared" si="51"/>
        <v>240</v>
      </c>
      <c r="BM20" s="82">
        <f t="shared" si="52"/>
        <v>0</v>
      </c>
      <c r="BN20" s="82">
        <f t="shared" si="53"/>
        <v>197.5</v>
      </c>
      <c r="BO20" s="82">
        <f t="shared" si="54"/>
        <v>66.5</v>
      </c>
      <c r="BP20" s="82">
        <f t="shared" si="55"/>
        <v>23</v>
      </c>
      <c r="BQ20" s="82"/>
      <c r="BR20" s="129">
        <f>SUMIF('Audit HD AR - School Level'!$B$6:B1161, "=" &amp; A20,'Audit HD AR - School Level'!$Q$6:Q1161)</f>
        <v>3.3</v>
      </c>
      <c r="BS20" s="224">
        <f t="shared" si="56"/>
        <v>0</v>
      </c>
      <c r="BT20" s="126">
        <f t="shared" si="57"/>
        <v>0</v>
      </c>
      <c r="BU20" s="82">
        <f t="shared" si="58"/>
        <v>740</v>
      </c>
    </row>
    <row r="21" spans="1:73">
      <c r="A21" s="1" t="s">
        <v>367</v>
      </c>
      <c r="U21" s="126">
        <v>528.70000000000005</v>
      </c>
      <c r="X21" s="126">
        <v>10</v>
      </c>
      <c r="Y21" s="126">
        <v>566.5</v>
      </c>
      <c r="Z21" s="126">
        <v>0</v>
      </c>
      <c r="AC21" s="126">
        <v>132</v>
      </c>
      <c r="AD21" s="126">
        <v>1</v>
      </c>
      <c r="AE21" s="126">
        <v>0</v>
      </c>
      <c r="AF21" s="126">
        <v>554</v>
      </c>
      <c r="AG21" s="126">
        <v>101</v>
      </c>
      <c r="AI21" s="126">
        <v>0</v>
      </c>
      <c r="AJ21" s="126">
        <v>281</v>
      </c>
      <c r="AK21" s="132">
        <v>31</v>
      </c>
      <c r="AL21" s="126">
        <v>55</v>
      </c>
      <c r="AO21" s="132">
        <v>0</v>
      </c>
      <c r="AP21" s="126">
        <v>0</v>
      </c>
      <c r="AQ21" s="134">
        <v>0</v>
      </c>
      <c r="AR21" s="132">
        <v>0</v>
      </c>
      <c r="AS21" s="134">
        <v>0</v>
      </c>
      <c r="AT21" s="132">
        <v>0</v>
      </c>
      <c r="AU21" s="132">
        <v>0</v>
      </c>
      <c r="AV21" s="83">
        <v>321263</v>
      </c>
      <c r="AW21" s="237">
        <v>43494</v>
      </c>
      <c r="AX21" s="233">
        <f t="shared" si="16"/>
        <v>4</v>
      </c>
      <c r="AY21" s="232" t="s">
        <v>3487</v>
      </c>
      <c r="AZ21" s="233" t="b">
        <f t="shared" si="0"/>
        <v>0</v>
      </c>
      <c r="BA21" s="129"/>
      <c r="BB21" s="129"/>
      <c r="BC21" s="129"/>
      <c r="BD21" s="129"/>
      <c r="BE21" s="82">
        <f t="shared" si="45"/>
        <v>528.70000000000005</v>
      </c>
      <c r="BF21" s="82">
        <f t="shared" si="46"/>
        <v>10</v>
      </c>
      <c r="BG21" s="82"/>
      <c r="BH21" s="82">
        <f t="shared" si="47"/>
        <v>132</v>
      </c>
      <c r="BI21" s="82">
        <f t="shared" si="48"/>
        <v>1</v>
      </c>
      <c r="BJ21" s="82">
        <f t="shared" si="49"/>
        <v>0</v>
      </c>
      <c r="BK21" s="82">
        <f t="shared" si="50"/>
        <v>554</v>
      </c>
      <c r="BL21" s="82">
        <f t="shared" si="51"/>
        <v>101</v>
      </c>
      <c r="BM21" s="82">
        <f t="shared" si="52"/>
        <v>0</v>
      </c>
      <c r="BN21" s="82">
        <f t="shared" si="53"/>
        <v>281</v>
      </c>
      <c r="BO21" s="82">
        <f t="shared" si="54"/>
        <v>31</v>
      </c>
      <c r="BP21" s="82">
        <f t="shared" si="55"/>
        <v>55</v>
      </c>
      <c r="BQ21" s="82"/>
      <c r="BR21" s="129">
        <f>SUMIF('Audit HD AR - School Level'!$B$6:B1162, "=" &amp; A21,'Audit HD AR - School Level'!$Q$6:Q1162)</f>
        <v>0</v>
      </c>
      <c r="BS21" s="224">
        <f t="shared" si="56"/>
        <v>0</v>
      </c>
      <c r="BT21" s="126">
        <f t="shared" si="57"/>
        <v>0</v>
      </c>
      <c r="BU21" s="82">
        <f t="shared" si="58"/>
        <v>528.70000000000005</v>
      </c>
    </row>
    <row r="22" spans="1:73">
      <c r="A22" s="1" t="s">
        <v>408</v>
      </c>
      <c r="U22" s="126">
        <v>200</v>
      </c>
      <c r="X22" s="126">
        <v>2.5</v>
      </c>
      <c r="Y22" s="126">
        <v>223.5</v>
      </c>
      <c r="Z22" s="126">
        <v>0</v>
      </c>
      <c r="AC22" s="126">
        <v>38.700000000000003</v>
      </c>
      <c r="AD22" s="126">
        <v>0</v>
      </c>
      <c r="AE22" s="126">
        <v>0</v>
      </c>
      <c r="AF22" s="126">
        <v>206</v>
      </c>
      <c r="AG22" s="126">
        <v>76</v>
      </c>
      <c r="AI22" s="126">
        <v>0</v>
      </c>
      <c r="AJ22" s="126">
        <v>91</v>
      </c>
      <c r="AK22" s="132">
        <v>4</v>
      </c>
      <c r="AL22" s="126">
        <v>59</v>
      </c>
      <c r="AO22" s="132">
        <v>0</v>
      </c>
      <c r="AP22" s="126">
        <v>0</v>
      </c>
      <c r="AQ22" s="134">
        <v>0</v>
      </c>
      <c r="AR22" s="132">
        <v>0</v>
      </c>
      <c r="AS22" s="134">
        <v>0</v>
      </c>
      <c r="AT22" s="132">
        <v>0</v>
      </c>
      <c r="AU22" s="132">
        <v>0</v>
      </c>
      <c r="AV22" s="83">
        <v>194359</v>
      </c>
      <c r="AW22" s="237">
        <v>43494</v>
      </c>
      <c r="AX22" s="233">
        <f t="shared" si="16"/>
        <v>4</v>
      </c>
      <c r="AY22" s="232" t="s">
        <v>3487</v>
      </c>
      <c r="AZ22" s="233" t="b">
        <f t="shared" si="0"/>
        <v>0</v>
      </c>
      <c r="BA22" s="129"/>
      <c r="BB22" s="129"/>
      <c r="BC22" s="129"/>
      <c r="BD22" s="129"/>
      <c r="BE22" s="82">
        <f t="shared" si="45"/>
        <v>200</v>
      </c>
      <c r="BF22" s="82">
        <f t="shared" si="46"/>
        <v>2.5</v>
      </c>
      <c r="BG22" s="82"/>
      <c r="BH22" s="82">
        <f t="shared" si="47"/>
        <v>38.700000000000003</v>
      </c>
      <c r="BI22" s="82">
        <f t="shared" si="48"/>
        <v>0</v>
      </c>
      <c r="BJ22" s="82">
        <f t="shared" si="49"/>
        <v>0</v>
      </c>
      <c r="BK22" s="82">
        <f t="shared" si="50"/>
        <v>206</v>
      </c>
      <c r="BL22" s="82">
        <f t="shared" si="51"/>
        <v>76</v>
      </c>
      <c r="BM22" s="82">
        <f t="shared" si="52"/>
        <v>0</v>
      </c>
      <c r="BN22" s="82">
        <f t="shared" si="53"/>
        <v>91</v>
      </c>
      <c r="BO22" s="82">
        <f t="shared" si="54"/>
        <v>4</v>
      </c>
      <c r="BP22" s="82">
        <f t="shared" si="55"/>
        <v>59</v>
      </c>
      <c r="BQ22" s="82"/>
      <c r="BR22" s="129">
        <f>SUMIF('Audit HD AR - School Level'!$B$6:B1163, "=" &amp; A22,'Audit HD AR - School Level'!$Q$6:Q1163)</f>
        <v>2.6</v>
      </c>
      <c r="BS22" s="224">
        <f t="shared" si="56"/>
        <v>0</v>
      </c>
      <c r="BT22" s="126">
        <f t="shared" si="57"/>
        <v>0</v>
      </c>
      <c r="BU22" s="82">
        <f t="shared" si="58"/>
        <v>200</v>
      </c>
    </row>
    <row r="23" spans="1:73">
      <c r="A23" s="1" t="s">
        <v>411</v>
      </c>
      <c r="U23" s="126">
        <v>513.4</v>
      </c>
      <c r="X23" s="126">
        <v>0</v>
      </c>
      <c r="Y23" s="126">
        <v>570</v>
      </c>
      <c r="Z23" s="126">
        <v>0</v>
      </c>
      <c r="AC23" s="126">
        <v>163</v>
      </c>
      <c r="AD23" s="126">
        <v>21</v>
      </c>
      <c r="AE23" s="126">
        <v>24.9</v>
      </c>
      <c r="AF23" s="126">
        <v>517</v>
      </c>
      <c r="AG23" s="126">
        <v>287</v>
      </c>
      <c r="AI23" s="126">
        <v>0</v>
      </c>
      <c r="AJ23" s="126">
        <v>285.5</v>
      </c>
      <c r="AK23" s="132">
        <v>19.5</v>
      </c>
      <c r="AL23" s="126">
        <v>26.5</v>
      </c>
      <c r="AO23" s="132">
        <v>0</v>
      </c>
      <c r="AP23" s="126">
        <v>0</v>
      </c>
      <c r="AQ23" s="134">
        <v>0</v>
      </c>
      <c r="AR23" s="132">
        <v>0</v>
      </c>
      <c r="AS23" s="134">
        <v>0</v>
      </c>
      <c r="AT23" s="132">
        <v>0</v>
      </c>
      <c r="AU23" s="132">
        <v>0</v>
      </c>
      <c r="AV23" s="83">
        <v>171553</v>
      </c>
      <c r="AW23" s="237">
        <v>43494</v>
      </c>
      <c r="AX23" s="233">
        <f t="shared" si="16"/>
        <v>4</v>
      </c>
      <c r="AY23" s="232" t="s">
        <v>3487</v>
      </c>
      <c r="AZ23" s="233" t="b">
        <f t="shared" si="0"/>
        <v>0</v>
      </c>
      <c r="BA23" s="129"/>
      <c r="BB23" s="129"/>
      <c r="BC23" s="129"/>
      <c r="BD23" s="129"/>
      <c r="BE23" s="82">
        <f t="shared" si="45"/>
        <v>513.4</v>
      </c>
      <c r="BF23" s="82">
        <f t="shared" si="46"/>
        <v>0</v>
      </c>
      <c r="BG23" s="82"/>
      <c r="BH23" s="82">
        <f t="shared" si="47"/>
        <v>163</v>
      </c>
      <c r="BI23" s="82">
        <f t="shared" si="48"/>
        <v>21</v>
      </c>
      <c r="BJ23" s="82">
        <f t="shared" si="49"/>
        <v>24.9</v>
      </c>
      <c r="BK23" s="82">
        <f t="shared" si="50"/>
        <v>517</v>
      </c>
      <c r="BL23" s="82">
        <f t="shared" si="51"/>
        <v>287</v>
      </c>
      <c r="BM23" s="82">
        <f t="shared" si="52"/>
        <v>0</v>
      </c>
      <c r="BN23" s="82">
        <f t="shared" si="53"/>
        <v>285.5</v>
      </c>
      <c r="BO23" s="82">
        <f t="shared" si="54"/>
        <v>19.5</v>
      </c>
      <c r="BP23" s="82">
        <f t="shared" si="55"/>
        <v>26.5</v>
      </c>
      <c r="BQ23" s="82"/>
      <c r="BR23" s="129">
        <f>SUMIF('Audit HD AR - School Level'!$B$6:B1164, "=" &amp; A23,'Audit HD AR - School Level'!$Q$6:Q1164)</f>
        <v>30.2</v>
      </c>
      <c r="BS23" s="224">
        <f t="shared" si="56"/>
        <v>0</v>
      </c>
      <c r="BT23" s="126">
        <f t="shared" si="57"/>
        <v>0</v>
      </c>
      <c r="BU23" s="82">
        <f t="shared" si="58"/>
        <v>513.4</v>
      </c>
    </row>
    <row r="24" spans="1:73">
      <c r="A24" s="1" t="s">
        <v>451</v>
      </c>
      <c r="U24" s="126">
        <v>112</v>
      </c>
      <c r="X24" s="126">
        <v>1</v>
      </c>
      <c r="Y24" s="126">
        <v>92</v>
      </c>
      <c r="Z24" s="126">
        <v>0</v>
      </c>
      <c r="AC24" s="126">
        <v>31.7</v>
      </c>
      <c r="AD24" s="126">
        <v>55</v>
      </c>
      <c r="AE24" s="126">
        <v>236.7</v>
      </c>
      <c r="AF24" s="126">
        <v>101</v>
      </c>
      <c r="AG24" s="126">
        <v>38</v>
      </c>
      <c r="AI24" s="126">
        <v>0</v>
      </c>
      <c r="AJ24" s="126">
        <v>41</v>
      </c>
      <c r="AK24" s="132">
        <v>15</v>
      </c>
      <c r="AL24" s="126">
        <v>14</v>
      </c>
      <c r="AO24" s="132">
        <v>7</v>
      </c>
      <c r="AP24" s="126">
        <v>0</v>
      </c>
      <c r="AQ24" s="134">
        <v>3</v>
      </c>
      <c r="AR24" s="132">
        <v>6</v>
      </c>
      <c r="AS24" s="134">
        <v>3</v>
      </c>
      <c r="AT24" s="132">
        <v>5</v>
      </c>
      <c r="AU24" s="132">
        <v>0</v>
      </c>
      <c r="AV24" s="83">
        <v>88679</v>
      </c>
      <c r="AW24" s="237">
        <v>43494</v>
      </c>
      <c r="AX24" s="233">
        <f t="shared" si="16"/>
        <v>4</v>
      </c>
      <c r="AY24" s="232" t="s">
        <v>3487</v>
      </c>
      <c r="AZ24" s="233" t="b">
        <f t="shared" si="0"/>
        <v>0</v>
      </c>
      <c r="BA24" s="129"/>
      <c r="BB24" s="129"/>
      <c r="BC24" s="129"/>
      <c r="BD24" s="129"/>
      <c r="BE24" s="82">
        <f t="shared" si="45"/>
        <v>99</v>
      </c>
      <c r="BF24" s="82">
        <f t="shared" si="46"/>
        <v>1</v>
      </c>
      <c r="BG24" s="82"/>
      <c r="BH24" s="82">
        <f t="shared" si="47"/>
        <v>31.7</v>
      </c>
      <c r="BI24" s="82">
        <f t="shared" si="48"/>
        <v>55</v>
      </c>
      <c r="BJ24" s="82">
        <f t="shared" si="49"/>
        <v>236.7</v>
      </c>
      <c r="BK24" s="82">
        <f t="shared" si="50"/>
        <v>101</v>
      </c>
      <c r="BL24" s="82">
        <f t="shared" si="51"/>
        <v>38</v>
      </c>
      <c r="BM24" s="82">
        <f t="shared" si="52"/>
        <v>0</v>
      </c>
      <c r="BN24" s="82">
        <f t="shared" si="53"/>
        <v>41</v>
      </c>
      <c r="BO24" s="82">
        <f t="shared" si="54"/>
        <v>15</v>
      </c>
      <c r="BP24" s="82">
        <f t="shared" si="55"/>
        <v>14</v>
      </c>
      <c r="BQ24" s="82"/>
      <c r="BR24" s="129">
        <f>SUMIF('Audit HD AR - School Level'!$B$6:B1165, "=" &amp; A24,'Audit HD AR - School Level'!$Q$6:Q1165)</f>
        <v>1</v>
      </c>
      <c r="BS24" s="224">
        <f t="shared" si="56"/>
        <v>0</v>
      </c>
      <c r="BT24" s="126">
        <f t="shared" si="57"/>
        <v>0</v>
      </c>
      <c r="BU24" s="82">
        <f t="shared" si="58"/>
        <v>99</v>
      </c>
    </row>
    <row r="25" spans="1:73">
      <c r="A25" s="1" t="s">
        <v>452</v>
      </c>
      <c r="U25" s="126">
        <v>217</v>
      </c>
      <c r="X25" s="126">
        <v>3.5</v>
      </c>
      <c r="Y25" s="126">
        <v>237.5</v>
      </c>
      <c r="Z25" s="126">
        <v>0</v>
      </c>
      <c r="AC25" s="126">
        <v>0</v>
      </c>
      <c r="AD25" s="126">
        <v>19</v>
      </c>
      <c r="AE25" s="126">
        <v>93.7</v>
      </c>
      <c r="AF25" s="126">
        <v>224</v>
      </c>
      <c r="AG25" s="126">
        <v>55</v>
      </c>
      <c r="AI25" s="126">
        <v>0</v>
      </c>
      <c r="AJ25" s="126">
        <v>48</v>
      </c>
      <c r="AK25" s="132">
        <v>11</v>
      </c>
      <c r="AL25" s="126">
        <v>104</v>
      </c>
      <c r="AO25" s="132">
        <v>0</v>
      </c>
      <c r="AP25" s="126">
        <v>0</v>
      </c>
      <c r="AQ25" s="134">
        <v>0</v>
      </c>
      <c r="AR25" s="132">
        <v>0</v>
      </c>
      <c r="AS25" s="134">
        <v>0</v>
      </c>
      <c r="AT25" s="132">
        <v>0</v>
      </c>
      <c r="AU25" s="132">
        <v>0</v>
      </c>
      <c r="AV25" s="83">
        <v>223804</v>
      </c>
      <c r="AW25" s="237">
        <v>43494</v>
      </c>
      <c r="AX25" s="233">
        <f t="shared" si="16"/>
        <v>4</v>
      </c>
      <c r="AY25" s="232" t="s">
        <v>3487</v>
      </c>
      <c r="AZ25" s="233" t="b">
        <f t="shared" si="0"/>
        <v>0</v>
      </c>
      <c r="BA25" s="129"/>
      <c r="BB25" s="129"/>
      <c r="BC25" s="129"/>
      <c r="BD25" s="129"/>
      <c r="BE25" s="82">
        <f t="shared" si="45"/>
        <v>217</v>
      </c>
      <c r="BF25" s="82">
        <f t="shared" si="46"/>
        <v>3.5</v>
      </c>
      <c r="BG25" s="82"/>
      <c r="BH25" s="82">
        <f t="shared" si="47"/>
        <v>0</v>
      </c>
      <c r="BI25" s="82">
        <f t="shared" si="48"/>
        <v>19</v>
      </c>
      <c r="BJ25" s="82">
        <f t="shared" si="49"/>
        <v>93.7</v>
      </c>
      <c r="BK25" s="82">
        <f t="shared" si="50"/>
        <v>224</v>
      </c>
      <c r="BL25" s="82">
        <f t="shared" si="51"/>
        <v>55</v>
      </c>
      <c r="BM25" s="82">
        <f t="shared" si="52"/>
        <v>0</v>
      </c>
      <c r="BN25" s="82">
        <f t="shared" si="53"/>
        <v>48</v>
      </c>
      <c r="BO25" s="82">
        <f t="shared" si="54"/>
        <v>11</v>
      </c>
      <c r="BP25" s="82">
        <f t="shared" si="55"/>
        <v>104</v>
      </c>
      <c r="BQ25" s="82"/>
      <c r="BR25" s="129">
        <f>SUMIF('Audit HD AR - School Level'!$B$6:B1166, "=" &amp; A25,'Audit HD AR - School Level'!$Q$6:Q1166)</f>
        <v>0</v>
      </c>
      <c r="BS25" s="224">
        <f t="shared" si="56"/>
        <v>0</v>
      </c>
      <c r="BT25" s="126">
        <f t="shared" si="57"/>
        <v>0</v>
      </c>
      <c r="BU25" s="82">
        <f t="shared" si="58"/>
        <v>217</v>
      </c>
    </row>
    <row r="26" spans="1:73">
      <c r="A26" s="1" t="s">
        <v>457</v>
      </c>
      <c r="U26" s="126">
        <v>607</v>
      </c>
      <c r="X26" s="126">
        <v>14.5</v>
      </c>
      <c r="Y26" s="126">
        <v>689</v>
      </c>
      <c r="Z26" s="126">
        <v>0</v>
      </c>
      <c r="AC26" s="126">
        <v>45.1</v>
      </c>
      <c r="AD26" s="126">
        <v>361</v>
      </c>
      <c r="AE26" s="126">
        <v>2047.7</v>
      </c>
      <c r="AF26" s="126">
        <v>643</v>
      </c>
      <c r="AG26" s="126">
        <v>389</v>
      </c>
      <c r="AI26" s="126">
        <v>0</v>
      </c>
      <c r="AJ26" s="126">
        <v>542</v>
      </c>
      <c r="AK26" s="132">
        <v>0</v>
      </c>
      <c r="AL26" s="126">
        <v>4</v>
      </c>
      <c r="AO26" s="132">
        <v>0</v>
      </c>
      <c r="AP26" s="126">
        <v>0</v>
      </c>
      <c r="AQ26" s="134">
        <v>0</v>
      </c>
      <c r="AR26" s="132">
        <v>0</v>
      </c>
      <c r="AS26" s="134">
        <v>0</v>
      </c>
      <c r="AT26" s="132">
        <v>0</v>
      </c>
      <c r="AU26" s="132">
        <v>0</v>
      </c>
      <c r="AV26" s="83">
        <v>520707</v>
      </c>
      <c r="AW26" s="237">
        <v>43494</v>
      </c>
      <c r="AX26" s="233">
        <f t="shared" si="16"/>
        <v>4</v>
      </c>
      <c r="AY26" s="232" t="s">
        <v>3487</v>
      </c>
      <c r="AZ26" s="233" t="b">
        <f t="shared" si="0"/>
        <v>0</v>
      </c>
      <c r="BA26" s="129"/>
      <c r="BB26" s="129"/>
      <c r="BC26" s="129"/>
      <c r="BD26" s="129"/>
      <c r="BE26" s="82">
        <f t="shared" si="45"/>
        <v>607</v>
      </c>
      <c r="BF26" s="82">
        <f t="shared" si="46"/>
        <v>14.5</v>
      </c>
      <c r="BG26" s="82"/>
      <c r="BH26" s="82">
        <f t="shared" si="47"/>
        <v>45.1</v>
      </c>
      <c r="BI26" s="82">
        <f t="shared" si="48"/>
        <v>361</v>
      </c>
      <c r="BJ26" s="82">
        <f t="shared" si="49"/>
        <v>2047.7</v>
      </c>
      <c r="BK26" s="82">
        <f t="shared" si="50"/>
        <v>643</v>
      </c>
      <c r="BL26" s="82">
        <f t="shared" si="51"/>
        <v>389</v>
      </c>
      <c r="BM26" s="82">
        <f t="shared" si="52"/>
        <v>0</v>
      </c>
      <c r="BN26" s="82">
        <f t="shared" si="53"/>
        <v>542</v>
      </c>
      <c r="BO26" s="82">
        <f t="shared" si="54"/>
        <v>0</v>
      </c>
      <c r="BP26" s="82">
        <f t="shared" si="55"/>
        <v>4</v>
      </c>
      <c r="BQ26" s="82"/>
      <c r="BR26" s="129">
        <f>SUMIF('Audit HD AR - School Level'!$B$6:B1167, "=" &amp; A26,'Audit HD AR - School Level'!$Q$6:Q1167)</f>
        <v>40.9</v>
      </c>
      <c r="BS26" s="224">
        <f t="shared" si="56"/>
        <v>0</v>
      </c>
      <c r="BT26" s="126">
        <f t="shared" si="57"/>
        <v>0</v>
      </c>
      <c r="BU26" s="82">
        <f t="shared" si="58"/>
        <v>607</v>
      </c>
    </row>
    <row r="27" spans="1:73">
      <c r="A27" s="1" t="s">
        <v>466</v>
      </c>
      <c r="U27" s="126">
        <v>838.6</v>
      </c>
      <c r="X27" s="126">
        <v>8.5</v>
      </c>
      <c r="Y27" s="126">
        <v>910.6</v>
      </c>
      <c r="Z27" s="126">
        <v>0</v>
      </c>
      <c r="AC27" s="126">
        <v>333.5</v>
      </c>
      <c r="AD27" s="126">
        <v>20</v>
      </c>
      <c r="AE27" s="126">
        <v>23.2</v>
      </c>
      <c r="AF27" s="126">
        <v>868</v>
      </c>
      <c r="AG27" s="126">
        <v>360</v>
      </c>
      <c r="AI27" s="126">
        <v>430.2</v>
      </c>
      <c r="AJ27" s="126">
        <v>162</v>
      </c>
      <c r="AK27" s="132">
        <v>6</v>
      </c>
      <c r="AL27" s="126">
        <v>0</v>
      </c>
      <c r="AO27" s="132">
        <v>0</v>
      </c>
      <c r="AP27" s="126">
        <v>0</v>
      </c>
      <c r="AQ27" s="134">
        <v>0</v>
      </c>
      <c r="AR27" s="132">
        <v>0</v>
      </c>
      <c r="AS27" s="134">
        <v>0</v>
      </c>
      <c r="AT27" s="132">
        <v>0</v>
      </c>
      <c r="AU27" s="132">
        <v>0</v>
      </c>
      <c r="AV27" s="83">
        <v>289894</v>
      </c>
      <c r="AW27" s="237">
        <v>43494</v>
      </c>
      <c r="AX27" s="233">
        <f t="shared" si="16"/>
        <v>4</v>
      </c>
      <c r="AY27" s="232" t="s">
        <v>3487</v>
      </c>
      <c r="AZ27" s="233" t="b">
        <f t="shared" si="0"/>
        <v>0</v>
      </c>
      <c r="BA27" s="129"/>
      <c r="BB27" s="129"/>
      <c r="BC27" s="129"/>
      <c r="BD27" s="129"/>
      <c r="BE27" s="82">
        <f t="shared" si="45"/>
        <v>838.6</v>
      </c>
      <c r="BF27" s="82">
        <f t="shared" si="46"/>
        <v>8.5</v>
      </c>
      <c r="BG27" s="82"/>
      <c r="BH27" s="82">
        <f t="shared" si="47"/>
        <v>333.5</v>
      </c>
      <c r="BI27" s="82">
        <f t="shared" si="48"/>
        <v>20</v>
      </c>
      <c r="BJ27" s="82">
        <f t="shared" si="49"/>
        <v>23.2</v>
      </c>
      <c r="BK27" s="82">
        <f t="shared" si="50"/>
        <v>868</v>
      </c>
      <c r="BL27" s="82">
        <f t="shared" si="51"/>
        <v>360</v>
      </c>
      <c r="BM27" s="82">
        <f t="shared" si="52"/>
        <v>430.2</v>
      </c>
      <c r="BN27" s="82">
        <f t="shared" si="53"/>
        <v>162</v>
      </c>
      <c r="BO27" s="82">
        <f t="shared" si="54"/>
        <v>6</v>
      </c>
      <c r="BP27" s="82">
        <f t="shared" si="55"/>
        <v>0</v>
      </c>
      <c r="BQ27" s="82"/>
      <c r="BR27" s="129">
        <f>SUMIF('Audit HD AR - School Level'!$B$6:B1168, "=" &amp; A27,'Audit HD AR - School Level'!$Q$6:Q1168)</f>
        <v>17</v>
      </c>
      <c r="BS27" s="224">
        <f t="shared" si="56"/>
        <v>0</v>
      </c>
      <c r="BT27" s="126">
        <f t="shared" si="57"/>
        <v>0</v>
      </c>
      <c r="BU27" s="82">
        <f t="shared" si="58"/>
        <v>838.6</v>
      </c>
    </row>
    <row r="28" spans="1:73">
      <c r="A28" s="1" t="s">
        <v>480</v>
      </c>
      <c r="U28" s="126">
        <v>170.5</v>
      </c>
      <c r="X28" s="126">
        <v>1.5</v>
      </c>
      <c r="Y28" s="126">
        <v>201.5</v>
      </c>
      <c r="Z28" s="126">
        <v>0</v>
      </c>
      <c r="AC28" s="126">
        <v>74.8</v>
      </c>
      <c r="AD28" s="126">
        <v>0</v>
      </c>
      <c r="AE28" s="126">
        <v>0</v>
      </c>
      <c r="AF28" s="126">
        <v>175</v>
      </c>
      <c r="AG28" s="126">
        <v>57</v>
      </c>
      <c r="AI28" s="126">
        <v>0</v>
      </c>
      <c r="AJ28" s="126">
        <v>55</v>
      </c>
      <c r="AK28" s="132">
        <v>0</v>
      </c>
      <c r="AL28" s="126">
        <v>28</v>
      </c>
      <c r="AO28" s="132">
        <v>0</v>
      </c>
      <c r="AP28" s="126">
        <v>0</v>
      </c>
      <c r="AQ28" s="134">
        <v>0</v>
      </c>
      <c r="AR28" s="132">
        <v>0</v>
      </c>
      <c r="AS28" s="134">
        <v>0</v>
      </c>
      <c r="AT28" s="132">
        <v>0</v>
      </c>
      <c r="AU28" s="132">
        <v>0</v>
      </c>
      <c r="AV28" s="83">
        <v>72342</v>
      </c>
      <c r="AW28" s="237">
        <v>43494</v>
      </c>
      <c r="AX28" s="233">
        <f t="shared" si="16"/>
        <v>4</v>
      </c>
      <c r="AY28" s="232" t="s">
        <v>3487</v>
      </c>
      <c r="AZ28" s="233" t="b">
        <f t="shared" si="0"/>
        <v>0</v>
      </c>
      <c r="BA28" s="129"/>
      <c r="BB28" s="129"/>
      <c r="BC28" s="129"/>
      <c r="BD28" s="129"/>
      <c r="BE28" s="82">
        <f t="shared" si="45"/>
        <v>170.5</v>
      </c>
      <c r="BF28" s="82">
        <f t="shared" si="46"/>
        <v>1.5</v>
      </c>
      <c r="BG28" s="82"/>
      <c r="BH28" s="82">
        <f t="shared" si="47"/>
        <v>74.8</v>
      </c>
      <c r="BI28" s="82">
        <f t="shared" si="48"/>
        <v>0</v>
      </c>
      <c r="BJ28" s="82">
        <f t="shared" si="49"/>
        <v>0</v>
      </c>
      <c r="BK28" s="82">
        <f t="shared" si="50"/>
        <v>175</v>
      </c>
      <c r="BL28" s="82">
        <f t="shared" si="51"/>
        <v>57</v>
      </c>
      <c r="BM28" s="82">
        <f t="shared" si="52"/>
        <v>0</v>
      </c>
      <c r="BN28" s="82">
        <f t="shared" si="53"/>
        <v>55</v>
      </c>
      <c r="BO28" s="82">
        <f t="shared" si="54"/>
        <v>0</v>
      </c>
      <c r="BP28" s="82">
        <f t="shared" si="55"/>
        <v>28</v>
      </c>
      <c r="BQ28" s="82"/>
      <c r="BR28" s="129">
        <f>SUMIF('Audit HD AR - School Level'!$B$6:B1169, "=" &amp; A28,'Audit HD AR - School Level'!$Q$6:Q1169)</f>
        <v>0.9</v>
      </c>
      <c r="BS28" s="224">
        <f t="shared" si="56"/>
        <v>0</v>
      </c>
      <c r="BT28" s="126">
        <f t="shared" si="57"/>
        <v>0</v>
      </c>
      <c r="BU28" s="82">
        <f t="shared" si="58"/>
        <v>170.5</v>
      </c>
    </row>
    <row r="29" spans="1:73">
      <c r="A29" s="1" t="s">
        <v>231</v>
      </c>
      <c r="U29" s="126">
        <v>311.5</v>
      </c>
      <c r="X29" s="126">
        <v>4</v>
      </c>
      <c r="Y29" s="126">
        <v>317.5</v>
      </c>
      <c r="Z29" s="126">
        <v>0</v>
      </c>
      <c r="AC29" s="126">
        <v>162.5</v>
      </c>
      <c r="AD29" s="126">
        <v>0</v>
      </c>
      <c r="AE29" s="126">
        <v>0</v>
      </c>
      <c r="AF29" s="126">
        <v>322</v>
      </c>
      <c r="AG29" s="126">
        <v>90</v>
      </c>
      <c r="AI29" s="126">
        <v>0</v>
      </c>
      <c r="AJ29" s="126">
        <v>164</v>
      </c>
      <c r="AK29" s="132">
        <v>0</v>
      </c>
      <c r="AL29" s="126">
        <v>5</v>
      </c>
      <c r="AO29" s="132">
        <v>0</v>
      </c>
      <c r="AP29" s="126">
        <v>0</v>
      </c>
      <c r="AQ29" s="134">
        <v>0</v>
      </c>
      <c r="AR29" s="132">
        <v>0</v>
      </c>
      <c r="AS29" s="134">
        <v>0</v>
      </c>
      <c r="AT29" s="132">
        <v>0</v>
      </c>
      <c r="AU29" s="132">
        <v>0</v>
      </c>
      <c r="AV29" s="83">
        <v>241038</v>
      </c>
      <c r="AW29" s="237">
        <v>43500</v>
      </c>
      <c r="AX29" s="233">
        <f t="shared" si="16"/>
        <v>5</v>
      </c>
      <c r="AY29" s="232" t="s">
        <v>3487</v>
      </c>
      <c r="AZ29" s="233" t="b">
        <f t="shared" si="0"/>
        <v>0</v>
      </c>
      <c r="BA29" s="129"/>
      <c r="BB29" s="129"/>
      <c r="BC29" s="129"/>
      <c r="BD29" s="129"/>
      <c r="BE29" s="82">
        <f t="shared" ref="BE29:BE34" si="59">SUM(U29+C29-AO29-AP29-AR29)</f>
        <v>311.5</v>
      </c>
      <c r="BF29" s="82">
        <f t="shared" ref="BF29:BF34" si="60">SUM(X29+F29)</f>
        <v>4</v>
      </c>
      <c r="BG29" s="82"/>
      <c r="BH29" s="82">
        <f t="shared" ref="BH29:BH34" si="61">SUM(AC29+H29)</f>
        <v>162.5</v>
      </c>
      <c r="BI29" s="82">
        <f t="shared" ref="BI29:BI34" si="62">SUM(AD29+I29)</f>
        <v>0</v>
      </c>
      <c r="BJ29" s="82">
        <f t="shared" ref="BJ29:BJ34" si="63">SUM(AE29+J29)</f>
        <v>0</v>
      </c>
      <c r="BK29" s="82">
        <f t="shared" ref="BK29:BK34" si="64">SUM(AF29+K29)</f>
        <v>322</v>
      </c>
      <c r="BL29" s="82">
        <f t="shared" ref="BL29:BL34" si="65">SUM(AG29+L29)</f>
        <v>90</v>
      </c>
      <c r="BM29" s="82">
        <f t="shared" ref="BM29:BM34" si="66">SUM(AI29+M29)</f>
        <v>0</v>
      </c>
      <c r="BN29" s="82">
        <f t="shared" ref="BN29:BN34" si="67">SUM(AJ29+Q29)</f>
        <v>164</v>
      </c>
      <c r="BO29" s="82">
        <f t="shared" ref="BO29:BO34" si="68">SUM(AK29+R29)</f>
        <v>0</v>
      </c>
      <c r="BP29" s="82">
        <f t="shared" ref="BP29:BP34" si="69">SUM(AL29+S29)</f>
        <v>5</v>
      </c>
      <c r="BQ29" s="82"/>
      <c r="BR29" s="129">
        <f>SUMIF('Audit HD AR - School Level'!$B$6:B1170, "=" &amp; A29,'Audit HD AR - School Level'!$Q$6:Q1170)</f>
        <v>0</v>
      </c>
      <c r="BS29" s="224">
        <f t="shared" ref="BS29:BS34" si="70">SUM(AS29-AQ29)*$BS$2</f>
        <v>0</v>
      </c>
      <c r="BT29" s="126">
        <f t="shared" ref="BT29:BT34" si="71">IF(BS29&lt;0,BS29,0)</f>
        <v>0</v>
      </c>
      <c r="BU29" s="82">
        <f t="shared" ref="BU29:BU34" si="72">SUM(U29-AO29-AP29-AR29)</f>
        <v>311.5</v>
      </c>
    </row>
    <row r="30" spans="1:73">
      <c r="A30" s="1" t="s">
        <v>295</v>
      </c>
      <c r="U30" s="126">
        <v>330.3</v>
      </c>
      <c r="X30" s="126">
        <v>5.5</v>
      </c>
      <c r="Y30" s="126">
        <v>343.5</v>
      </c>
      <c r="Z30" s="126">
        <v>0</v>
      </c>
      <c r="AC30" s="126">
        <v>75.099999999999994</v>
      </c>
      <c r="AD30" s="126">
        <v>2</v>
      </c>
      <c r="AE30" s="126">
        <v>1.3</v>
      </c>
      <c r="AF30" s="126">
        <v>343</v>
      </c>
      <c r="AG30" s="126">
        <v>126</v>
      </c>
      <c r="AI30" s="126">
        <v>0</v>
      </c>
      <c r="AJ30" s="126">
        <v>122</v>
      </c>
      <c r="AK30" s="132">
        <v>3</v>
      </c>
      <c r="AL30" s="126">
        <v>0</v>
      </c>
      <c r="AO30" s="132">
        <v>0</v>
      </c>
      <c r="AP30" s="126">
        <v>0</v>
      </c>
      <c r="AQ30" s="134">
        <v>0</v>
      </c>
      <c r="AR30" s="132">
        <v>0</v>
      </c>
      <c r="AS30" s="134">
        <v>0</v>
      </c>
      <c r="AT30" s="132">
        <v>0</v>
      </c>
      <c r="AU30" s="132">
        <v>0</v>
      </c>
      <c r="AV30" s="83">
        <v>338835</v>
      </c>
      <c r="AW30" s="237">
        <v>43500</v>
      </c>
      <c r="AX30" s="233">
        <f t="shared" si="16"/>
        <v>5</v>
      </c>
      <c r="AY30" s="232" t="s">
        <v>3487</v>
      </c>
      <c r="AZ30" s="233" t="b">
        <f t="shared" si="0"/>
        <v>0</v>
      </c>
      <c r="BA30" s="129"/>
      <c r="BB30" s="129"/>
      <c r="BC30" s="129"/>
      <c r="BD30" s="129"/>
      <c r="BE30" s="82">
        <f t="shared" si="59"/>
        <v>330.3</v>
      </c>
      <c r="BF30" s="82">
        <f t="shared" si="60"/>
        <v>5.5</v>
      </c>
      <c r="BG30" s="82"/>
      <c r="BH30" s="82">
        <f t="shared" si="61"/>
        <v>75.099999999999994</v>
      </c>
      <c r="BI30" s="82">
        <f t="shared" si="62"/>
        <v>2</v>
      </c>
      <c r="BJ30" s="82">
        <f t="shared" si="63"/>
        <v>1.3</v>
      </c>
      <c r="BK30" s="82">
        <f t="shared" si="64"/>
        <v>343</v>
      </c>
      <c r="BL30" s="82">
        <f t="shared" si="65"/>
        <v>126</v>
      </c>
      <c r="BM30" s="82">
        <f t="shared" si="66"/>
        <v>0</v>
      </c>
      <c r="BN30" s="82">
        <f t="shared" si="67"/>
        <v>122</v>
      </c>
      <c r="BO30" s="82">
        <f t="shared" si="68"/>
        <v>3</v>
      </c>
      <c r="BP30" s="82">
        <f t="shared" si="69"/>
        <v>0</v>
      </c>
      <c r="BQ30" s="82"/>
      <c r="BR30" s="129">
        <f>SUMIF('Audit HD AR - School Level'!$B$6:B1171, "=" &amp; A30,'Audit HD AR - School Level'!$Q$6:Q1171)</f>
        <v>1.7</v>
      </c>
      <c r="BS30" s="224">
        <f t="shared" si="70"/>
        <v>0</v>
      </c>
      <c r="BT30" s="126">
        <f t="shared" si="71"/>
        <v>0</v>
      </c>
      <c r="BU30" s="82">
        <f t="shared" si="72"/>
        <v>330.3</v>
      </c>
    </row>
    <row r="31" spans="1:73">
      <c r="A31" s="1" t="s">
        <v>303</v>
      </c>
      <c r="U31" s="126">
        <v>1115.4000000000001</v>
      </c>
      <c r="X31" s="126">
        <v>10</v>
      </c>
      <c r="Y31" s="126">
        <v>1108.3</v>
      </c>
      <c r="Z31" s="126">
        <v>0</v>
      </c>
      <c r="AC31" s="126">
        <v>150.9</v>
      </c>
      <c r="AD31" s="126">
        <v>15</v>
      </c>
      <c r="AE31" s="126">
        <v>26.9</v>
      </c>
      <c r="AF31" s="126">
        <v>1106</v>
      </c>
      <c r="AG31" s="126">
        <v>529</v>
      </c>
      <c r="AI31" s="126">
        <v>0</v>
      </c>
      <c r="AJ31" s="126">
        <v>445</v>
      </c>
      <c r="AK31" s="132">
        <v>122.5</v>
      </c>
      <c r="AL31" s="126">
        <v>117.5</v>
      </c>
      <c r="AO31" s="132">
        <v>34</v>
      </c>
      <c r="AP31" s="126">
        <v>0</v>
      </c>
      <c r="AQ31" s="134">
        <v>3</v>
      </c>
      <c r="AR31" s="132">
        <v>5</v>
      </c>
      <c r="AS31" s="134">
        <v>3</v>
      </c>
      <c r="AT31" s="132">
        <v>5</v>
      </c>
      <c r="AU31" s="132">
        <v>0</v>
      </c>
      <c r="AV31" s="83">
        <v>583015</v>
      </c>
      <c r="AW31" s="237">
        <v>43500</v>
      </c>
      <c r="AX31" s="233">
        <f t="shared" si="16"/>
        <v>5</v>
      </c>
      <c r="AY31" s="232" t="s">
        <v>3487</v>
      </c>
      <c r="AZ31" s="233" t="b">
        <f t="shared" si="0"/>
        <v>0</v>
      </c>
      <c r="BA31" s="129"/>
      <c r="BB31" s="129"/>
      <c r="BC31" s="129"/>
      <c r="BD31" s="129"/>
      <c r="BE31" s="82">
        <f t="shared" si="59"/>
        <v>1076.4000000000001</v>
      </c>
      <c r="BF31" s="82">
        <f t="shared" si="60"/>
        <v>10</v>
      </c>
      <c r="BG31" s="82"/>
      <c r="BH31" s="82">
        <f t="shared" si="61"/>
        <v>150.9</v>
      </c>
      <c r="BI31" s="82">
        <f t="shared" si="62"/>
        <v>15</v>
      </c>
      <c r="BJ31" s="82">
        <f t="shared" si="63"/>
        <v>26.9</v>
      </c>
      <c r="BK31" s="82">
        <f t="shared" si="64"/>
        <v>1106</v>
      </c>
      <c r="BL31" s="82">
        <f t="shared" si="65"/>
        <v>529</v>
      </c>
      <c r="BM31" s="82">
        <f t="shared" si="66"/>
        <v>0</v>
      </c>
      <c r="BN31" s="82">
        <f t="shared" si="67"/>
        <v>445</v>
      </c>
      <c r="BO31" s="82">
        <f t="shared" si="68"/>
        <v>122.5</v>
      </c>
      <c r="BP31" s="82">
        <f t="shared" si="69"/>
        <v>117.5</v>
      </c>
      <c r="BQ31" s="82"/>
      <c r="BR31" s="129">
        <f>SUMIF('Audit HD AR - School Level'!$B$6:B1172, "=" &amp; A31,'Audit HD AR - School Level'!$Q$6:Q1172)</f>
        <v>41.7</v>
      </c>
      <c r="BS31" s="224">
        <f t="shared" si="70"/>
        <v>0</v>
      </c>
      <c r="BT31" s="126">
        <f t="shared" si="71"/>
        <v>0</v>
      </c>
      <c r="BU31" s="82">
        <f t="shared" si="72"/>
        <v>1076.4000000000001</v>
      </c>
    </row>
    <row r="32" spans="1:73">
      <c r="A32" s="1" t="s">
        <v>331</v>
      </c>
      <c r="U32" s="126">
        <v>465.6</v>
      </c>
      <c r="X32" s="126">
        <v>10.5</v>
      </c>
      <c r="Y32" s="126">
        <v>476.7</v>
      </c>
      <c r="Z32" s="126">
        <v>0</v>
      </c>
      <c r="AC32" s="126">
        <v>152.9</v>
      </c>
      <c r="AD32" s="126">
        <v>0</v>
      </c>
      <c r="AE32" s="126">
        <v>0</v>
      </c>
      <c r="AF32" s="126">
        <v>494</v>
      </c>
      <c r="AG32" s="126">
        <v>144</v>
      </c>
      <c r="AI32" s="126">
        <v>0</v>
      </c>
      <c r="AJ32" s="126">
        <v>235.5</v>
      </c>
      <c r="AK32" s="132">
        <v>19</v>
      </c>
      <c r="AL32" s="126">
        <v>11</v>
      </c>
      <c r="AO32" s="132">
        <v>0</v>
      </c>
      <c r="AP32" s="126">
        <v>0</v>
      </c>
      <c r="AQ32" s="134">
        <v>0</v>
      </c>
      <c r="AR32" s="132">
        <v>0</v>
      </c>
      <c r="AS32" s="134">
        <v>0</v>
      </c>
      <c r="AT32" s="132">
        <v>0</v>
      </c>
      <c r="AU32" s="132">
        <v>0</v>
      </c>
      <c r="AV32" s="83">
        <v>204599</v>
      </c>
      <c r="AW32" s="237">
        <v>43500</v>
      </c>
      <c r="AX32" s="233">
        <f t="shared" si="16"/>
        <v>5</v>
      </c>
      <c r="AY32" s="232" t="s">
        <v>3487</v>
      </c>
      <c r="AZ32" s="233" t="b">
        <f t="shared" si="0"/>
        <v>0</v>
      </c>
      <c r="BA32" s="129"/>
      <c r="BB32" s="129"/>
      <c r="BC32" s="129"/>
      <c r="BD32" s="129"/>
      <c r="BE32" s="82">
        <f t="shared" si="59"/>
        <v>465.6</v>
      </c>
      <c r="BF32" s="82">
        <f t="shared" si="60"/>
        <v>10.5</v>
      </c>
      <c r="BG32" s="82"/>
      <c r="BH32" s="82">
        <f t="shared" si="61"/>
        <v>152.9</v>
      </c>
      <c r="BI32" s="82">
        <f t="shared" si="62"/>
        <v>0</v>
      </c>
      <c r="BJ32" s="82">
        <f t="shared" si="63"/>
        <v>0</v>
      </c>
      <c r="BK32" s="82">
        <f t="shared" si="64"/>
        <v>494</v>
      </c>
      <c r="BL32" s="82">
        <f t="shared" si="65"/>
        <v>144</v>
      </c>
      <c r="BM32" s="82">
        <f t="shared" si="66"/>
        <v>0</v>
      </c>
      <c r="BN32" s="82">
        <f t="shared" si="67"/>
        <v>235.5</v>
      </c>
      <c r="BO32" s="82">
        <f t="shared" si="68"/>
        <v>19</v>
      </c>
      <c r="BP32" s="82">
        <f t="shared" si="69"/>
        <v>11</v>
      </c>
      <c r="BQ32" s="82"/>
      <c r="BR32" s="129">
        <f>SUMIF('Audit HD AR - School Level'!$B$6:B1173, "=" &amp; A32,'Audit HD AR - School Level'!$Q$6:Q1173)</f>
        <v>0</v>
      </c>
      <c r="BS32" s="224">
        <f t="shared" si="70"/>
        <v>0</v>
      </c>
      <c r="BT32" s="126">
        <f t="shared" si="71"/>
        <v>0</v>
      </c>
      <c r="BU32" s="82">
        <f t="shared" si="72"/>
        <v>465.6</v>
      </c>
    </row>
    <row r="33" spans="1:73">
      <c r="A33" s="1" t="s">
        <v>369</v>
      </c>
      <c r="U33" s="126">
        <v>1209</v>
      </c>
      <c r="X33" s="126">
        <v>10.5</v>
      </c>
      <c r="Y33" s="126">
        <v>1128.5</v>
      </c>
      <c r="Z33" s="126">
        <v>0</v>
      </c>
      <c r="AC33" s="126">
        <v>222.2</v>
      </c>
      <c r="AD33" s="126">
        <v>86</v>
      </c>
      <c r="AE33" s="126">
        <v>367.2</v>
      </c>
      <c r="AF33" s="126">
        <v>1161</v>
      </c>
      <c r="AG33" s="126">
        <v>417</v>
      </c>
      <c r="AI33" s="126">
        <v>0</v>
      </c>
      <c r="AJ33" s="126">
        <v>152</v>
      </c>
      <c r="AK33" s="132">
        <v>358.5</v>
      </c>
      <c r="AL33" s="126">
        <v>0</v>
      </c>
      <c r="AO33" s="132">
        <v>5</v>
      </c>
      <c r="AP33" s="126">
        <v>0</v>
      </c>
      <c r="AQ33" s="134">
        <v>42</v>
      </c>
      <c r="AR33" s="132">
        <v>78</v>
      </c>
      <c r="AS33" s="134">
        <v>47.5</v>
      </c>
      <c r="AT33" s="132">
        <v>0</v>
      </c>
      <c r="AU33" s="132">
        <v>1</v>
      </c>
      <c r="AV33" s="83">
        <v>228209</v>
      </c>
      <c r="AW33" s="237">
        <v>43500</v>
      </c>
      <c r="AX33" s="233">
        <f t="shared" si="16"/>
        <v>5</v>
      </c>
      <c r="AY33" s="232" t="s">
        <v>3487</v>
      </c>
      <c r="AZ33" s="233" t="b">
        <f t="shared" si="0"/>
        <v>0</v>
      </c>
      <c r="BA33" s="129"/>
      <c r="BB33" s="129"/>
      <c r="BC33" s="129"/>
      <c r="BD33" s="129"/>
      <c r="BE33" s="82">
        <f t="shared" si="59"/>
        <v>1126</v>
      </c>
      <c r="BF33" s="82">
        <f t="shared" si="60"/>
        <v>10.5</v>
      </c>
      <c r="BG33" s="82"/>
      <c r="BH33" s="82">
        <f t="shared" si="61"/>
        <v>222.2</v>
      </c>
      <c r="BI33" s="82">
        <f t="shared" si="62"/>
        <v>86</v>
      </c>
      <c r="BJ33" s="82">
        <f t="shared" si="63"/>
        <v>367.2</v>
      </c>
      <c r="BK33" s="82">
        <f t="shared" si="64"/>
        <v>1161</v>
      </c>
      <c r="BL33" s="82">
        <f t="shared" si="65"/>
        <v>417</v>
      </c>
      <c r="BM33" s="82">
        <f t="shared" si="66"/>
        <v>0</v>
      </c>
      <c r="BN33" s="82">
        <f t="shared" si="67"/>
        <v>152</v>
      </c>
      <c r="BO33" s="82">
        <f t="shared" si="68"/>
        <v>358.5</v>
      </c>
      <c r="BP33" s="82">
        <f t="shared" si="69"/>
        <v>0</v>
      </c>
      <c r="BQ33" s="82"/>
      <c r="BR33" s="129">
        <f>SUMIF('Audit HD AR - School Level'!$B$6:B1174, "=" &amp; A33,'Audit HD AR - School Level'!$Q$6:Q1174)</f>
        <v>5.9</v>
      </c>
      <c r="BS33" s="224">
        <f t="shared" si="70"/>
        <v>3900</v>
      </c>
      <c r="BT33" s="126">
        <f t="shared" si="71"/>
        <v>0</v>
      </c>
      <c r="BU33" s="82">
        <f t="shared" si="72"/>
        <v>1126</v>
      </c>
    </row>
    <row r="34" spans="1:73">
      <c r="A34" s="1" t="s">
        <v>399</v>
      </c>
      <c r="U34" s="126">
        <v>954.7</v>
      </c>
      <c r="X34" s="126">
        <v>7.5</v>
      </c>
      <c r="Y34" s="126">
        <v>922.1</v>
      </c>
      <c r="Z34" s="126">
        <v>0</v>
      </c>
      <c r="AC34" s="126">
        <v>240.8</v>
      </c>
      <c r="AD34" s="126">
        <v>1</v>
      </c>
      <c r="AE34" s="126">
        <v>0.5</v>
      </c>
      <c r="AF34" s="126">
        <v>977</v>
      </c>
      <c r="AG34" s="126">
        <v>394</v>
      </c>
      <c r="AI34" s="126">
        <v>0</v>
      </c>
      <c r="AJ34" s="126">
        <v>266</v>
      </c>
      <c r="AK34" s="132">
        <v>30</v>
      </c>
      <c r="AL34" s="126">
        <v>30</v>
      </c>
      <c r="AO34" s="132">
        <v>1</v>
      </c>
      <c r="AP34" s="126">
        <v>0</v>
      </c>
      <c r="AQ34" s="134">
        <v>0</v>
      </c>
      <c r="AR34" s="132">
        <v>3</v>
      </c>
      <c r="AS34" s="134">
        <v>0</v>
      </c>
      <c r="AT34" s="132">
        <v>1.5</v>
      </c>
      <c r="AU34" s="132">
        <v>1</v>
      </c>
      <c r="AV34" s="83">
        <v>321911</v>
      </c>
      <c r="AW34" s="237">
        <v>43500</v>
      </c>
      <c r="AX34" s="233">
        <f t="shared" si="16"/>
        <v>5</v>
      </c>
      <c r="AY34" s="232" t="s">
        <v>3487</v>
      </c>
      <c r="AZ34" s="233" t="b">
        <f t="shared" si="0"/>
        <v>0</v>
      </c>
      <c r="BA34" s="129"/>
      <c r="BB34" s="129"/>
      <c r="BC34" s="129"/>
      <c r="BD34" s="129"/>
      <c r="BE34" s="82">
        <f t="shared" si="59"/>
        <v>950.7</v>
      </c>
      <c r="BF34" s="82">
        <f t="shared" si="60"/>
        <v>7.5</v>
      </c>
      <c r="BG34" s="82"/>
      <c r="BH34" s="82">
        <f t="shared" si="61"/>
        <v>240.8</v>
      </c>
      <c r="BI34" s="82">
        <f t="shared" si="62"/>
        <v>1</v>
      </c>
      <c r="BJ34" s="82">
        <f t="shared" si="63"/>
        <v>0.5</v>
      </c>
      <c r="BK34" s="82">
        <f t="shared" si="64"/>
        <v>977</v>
      </c>
      <c r="BL34" s="82">
        <f t="shared" si="65"/>
        <v>394</v>
      </c>
      <c r="BM34" s="82">
        <f t="shared" si="66"/>
        <v>0</v>
      </c>
      <c r="BN34" s="82">
        <f t="shared" si="67"/>
        <v>266</v>
      </c>
      <c r="BO34" s="82">
        <f t="shared" si="68"/>
        <v>30</v>
      </c>
      <c r="BP34" s="82">
        <f t="shared" si="69"/>
        <v>30</v>
      </c>
      <c r="BQ34" s="82"/>
      <c r="BR34" s="129">
        <f>SUMIF('Audit HD AR - School Level'!$B$6:B1175, "=" &amp; A34,'Audit HD AR - School Level'!$Q$6:Q1175)</f>
        <v>19.7</v>
      </c>
      <c r="BS34" s="224">
        <f t="shared" si="70"/>
        <v>0</v>
      </c>
      <c r="BT34" s="126">
        <f t="shared" si="71"/>
        <v>0</v>
      </c>
      <c r="BU34" s="82">
        <f t="shared" si="72"/>
        <v>950.7</v>
      </c>
    </row>
    <row r="35" spans="1:73">
      <c r="A35" s="1" t="s">
        <v>225</v>
      </c>
      <c r="U35" s="126">
        <v>182</v>
      </c>
      <c r="X35" s="126">
        <v>4.5</v>
      </c>
      <c r="Y35" s="126">
        <v>201</v>
      </c>
      <c r="Z35" s="126">
        <v>0</v>
      </c>
      <c r="AC35" s="126">
        <v>60.4</v>
      </c>
      <c r="AD35" s="126">
        <v>74</v>
      </c>
      <c r="AE35" s="126">
        <v>425</v>
      </c>
      <c r="AF35" s="126">
        <v>193</v>
      </c>
      <c r="AG35" s="126">
        <v>114</v>
      </c>
      <c r="AI35" s="126">
        <v>0</v>
      </c>
      <c r="AJ35" s="126">
        <v>12</v>
      </c>
      <c r="AK35" s="132">
        <v>54</v>
      </c>
      <c r="AL35" s="126">
        <v>0</v>
      </c>
      <c r="AO35" s="132">
        <v>0</v>
      </c>
      <c r="AP35" s="126">
        <v>0</v>
      </c>
      <c r="AQ35" s="134">
        <v>0</v>
      </c>
      <c r="AR35" s="132">
        <v>0</v>
      </c>
      <c r="AS35" s="134">
        <v>0</v>
      </c>
      <c r="AT35" s="132">
        <v>0</v>
      </c>
      <c r="AU35" s="132">
        <v>0</v>
      </c>
      <c r="AV35" s="83">
        <v>91331</v>
      </c>
      <c r="AW35" s="237">
        <v>43509</v>
      </c>
      <c r="AX35" s="233">
        <f t="shared" si="16"/>
        <v>6</v>
      </c>
      <c r="AY35" s="232" t="s">
        <v>3487</v>
      </c>
      <c r="AZ35" s="233" t="b">
        <f t="shared" si="0"/>
        <v>0</v>
      </c>
      <c r="BA35" s="129"/>
      <c r="BB35" s="129"/>
      <c r="BC35" s="129"/>
      <c r="BD35" s="129"/>
      <c r="BE35" s="82">
        <f t="shared" ref="BE35:BE43" si="73">SUM(U35+C35-AO35-AP35-AR35)</f>
        <v>182</v>
      </c>
      <c r="BF35" s="82">
        <f t="shared" ref="BF35:BF43" si="74">SUM(X35+F35)</f>
        <v>4.5</v>
      </c>
      <c r="BG35" s="82"/>
      <c r="BH35" s="82">
        <f t="shared" ref="BH35:BH43" si="75">SUM(AC35+H35)</f>
        <v>60.4</v>
      </c>
      <c r="BI35" s="82">
        <f t="shared" ref="BI35:BI43" si="76">SUM(AD35+I35)</f>
        <v>74</v>
      </c>
      <c r="BJ35" s="82">
        <f t="shared" ref="BJ35:BJ43" si="77">SUM(AE35+J35)</f>
        <v>425</v>
      </c>
      <c r="BK35" s="82">
        <f t="shared" ref="BK35:BK43" si="78">SUM(AF35+K35)</f>
        <v>193</v>
      </c>
      <c r="BL35" s="82">
        <f t="shared" ref="BL35:BL43" si="79">SUM(AG35+L35)</f>
        <v>114</v>
      </c>
      <c r="BM35" s="82">
        <f t="shared" ref="BM35:BM43" si="80">SUM(AI35+M35)</f>
        <v>0</v>
      </c>
      <c r="BN35" s="82">
        <f t="shared" ref="BN35:BN43" si="81">SUM(AJ35+Q35)</f>
        <v>12</v>
      </c>
      <c r="BO35" s="82">
        <f t="shared" ref="BO35:BO43" si="82">SUM(AK35+R35)</f>
        <v>54</v>
      </c>
      <c r="BP35" s="82">
        <f t="shared" ref="BP35:BP43" si="83">SUM(AL35+S35)</f>
        <v>0</v>
      </c>
      <c r="BQ35" s="82"/>
      <c r="BR35" s="129">
        <f>SUMIF('Audit HD AR - School Level'!$B$6:B1177, "=" &amp; A35,'Audit HD AR - School Level'!$Q$6:Q1177)</f>
        <v>11.9</v>
      </c>
      <c r="BS35" s="224">
        <f t="shared" ref="BS35:BS43" si="84">SUM(AS35-AQ35)*$BS$2</f>
        <v>0</v>
      </c>
      <c r="BT35" s="126">
        <f t="shared" ref="BT35:BT43" si="85">IF(BS35&lt;0,BS35,0)</f>
        <v>0</v>
      </c>
      <c r="BU35" s="82">
        <f t="shared" ref="BU35:BU43" si="86">SUM(U35-AO35-AP35-AR35)</f>
        <v>182</v>
      </c>
    </row>
    <row r="36" spans="1:73">
      <c r="A36" s="1" t="s">
        <v>233</v>
      </c>
      <c r="U36" s="126">
        <v>379</v>
      </c>
      <c r="X36" s="126">
        <v>4.5</v>
      </c>
      <c r="Y36" s="126">
        <v>416.6</v>
      </c>
      <c r="Z36" s="126">
        <v>0</v>
      </c>
      <c r="AC36" s="126">
        <v>37.200000000000003</v>
      </c>
      <c r="AD36" s="126">
        <v>13</v>
      </c>
      <c r="AE36" s="126">
        <v>47.6</v>
      </c>
      <c r="AF36" s="126">
        <v>402</v>
      </c>
      <c r="AG36" s="126">
        <v>165</v>
      </c>
      <c r="AI36" s="126">
        <v>0</v>
      </c>
      <c r="AJ36" s="126">
        <v>46</v>
      </c>
      <c r="AK36" s="132">
        <v>4</v>
      </c>
      <c r="AL36" s="126">
        <v>4</v>
      </c>
      <c r="AO36" s="132">
        <v>0</v>
      </c>
      <c r="AP36" s="126">
        <v>0</v>
      </c>
      <c r="AQ36" s="134">
        <v>0</v>
      </c>
      <c r="AR36" s="132">
        <v>0</v>
      </c>
      <c r="AS36" s="134">
        <v>0</v>
      </c>
      <c r="AT36" s="132">
        <v>0</v>
      </c>
      <c r="AU36" s="132">
        <v>0</v>
      </c>
      <c r="AV36" s="83">
        <v>72412</v>
      </c>
      <c r="AW36" s="237">
        <v>43509</v>
      </c>
      <c r="AX36" s="233">
        <f t="shared" si="16"/>
        <v>6</v>
      </c>
      <c r="AY36" s="232" t="s">
        <v>3487</v>
      </c>
      <c r="AZ36" s="233" t="b">
        <f t="shared" si="0"/>
        <v>0</v>
      </c>
      <c r="BA36" s="129"/>
      <c r="BB36" s="129"/>
      <c r="BC36" s="129"/>
      <c r="BD36" s="129"/>
      <c r="BE36" s="82">
        <f t="shared" si="73"/>
        <v>379</v>
      </c>
      <c r="BF36" s="82">
        <f t="shared" si="74"/>
        <v>4.5</v>
      </c>
      <c r="BG36" s="82"/>
      <c r="BH36" s="82">
        <f t="shared" si="75"/>
        <v>37.200000000000003</v>
      </c>
      <c r="BI36" s="82">
        <f t="shared" si="76"/>
        <v>13</v>
      </c>
      <c r="BJ36" s="82">
        <f t="shared" si="77"/>
        <v>47.6</v>
      </c>
      <c r="BK36" s="82">
        <f t="shared" si="78"/>
        <v>402</v>
      </c>
      <c r="BL36" s="82">
        <f t="shared" si="79"/>
        <v>165</v>
      </c>
      <c r="BM36" s="82">
        <f t="shared" si="80"/>
        <v>0</v>
      </c>
      <c r="BN36" s="82">
        <f t="shared" si="81"/>
        <v>46</v>
      </c>
      <c r="BO36" s="82">
        <f t="shared" si="82"/>
        <v>4</v>
      </c>
      <c r="BP36" s="82">
        <f t="shared" si="83"/>
        <v>4</v>
      </c>
      <c r="BQ36" s="82"/>
      <c r="BR36" s="129">
        <f>SUMIF('Audit HD AR - School Level'!$B$6:B1177, "=" &amp; A36,'Audit HD AR - School Level'!$Q$6:Q1177)</f>
        <v>12.7</v>
      </c>
      <c r="BS36" s="224">
        <f t="shared" si="84"/>
        <v>0</v>
      </c>
      <c r="BT36" s="126">
        <f t="shared" si="85"/>
        <v>0</v>
      </c>
      <c r="BU36" s="82">
        <f t="shared" si="86"/>
        <v>379</v>
      </c>
    </row>
    <row r="37" spans="1:73">
      <c r="A37" s="1" t="s">
        <v>253</v>
      </c>
      <c r="U37" s="126">
        <v>915</v>
      </c>
      <c r="X37" s="126">
        <v>2.5</v>
      </c>
      <c r="Y37" s="126">
        <v>956.5</v>
      </c>
      <c r="Z37" s="126">
        <v>0</v>
      </c>
      <c r="AC37" s="126">
        <v>221.3</v>
      </c>
      <c r="AD37" s="126">
        <v>15</v>
      </c>
      <c r="AE37" s="126">
        <v>16.399999999999999</v>
      </c>
      <c r="AF37" s="126">
        <v>920</v>
      </c>
      <c r="AG37" s="126">
        <v>280</v>
      </c>
      <c r="AI37" s="126">
        <v>0</v>
      </c>
      <c r="AJ37" s="126">
        <v>92</v>
      </c>
      <c r="AK37" s="132">
        <v>82</v>
      </c>
      <c r="AL37" s="126">
        <v>35</v>
      </c>
      <c r="AO37" s="132">
        <v>3</v>
      </c>
      <c r="AP37" s="126">
        <v>0</v>
      </c>
      <c r="AQ37" s="134">
        <v>2</v>
      </c>
      <c r="AR37" s="132">
        <v>0</v>
      </c>
      <c r="AS37" s="134">
        <v>1.5</v>
      </c>
      <c r="AT37" s="132">
        <v>5</v>
      </c>
      <c r="AU37" s="132">
        <v>0</v>
      </c>
      <c r="AV37" s="83">
        <v>65690</v>
      </c>
      <c r="AW37" s="237">
        <v>43509</v>
      </c>
      <c r="AX37" s="233">
        <f t="shared" si="16"/>
        <v>6</v>
      </c>
      <c r="AY37" s="232" t="s">
        <v>3487</v>
      </c>
      <c r="AZ37" s="233" t="b">
        <f t="shared" si="0"/>
        <v>0</v>
      </c>
      <c r="BA37" s="129"/>
      <c r="BB37" s="129"/>
      <c r="BC37" s="129"/>
      <c r="BD37" s="129"/>
      <c r="BE37" s="82">
        <f t="shared" si="73"/>
        <v>912</v>
      </c>
      <c r="BF37" s="82">
        <f t="shared" si="74"/>
        <v>2.5</v>
      </c>
      <c r="BG37" s="82"/>
      <c r="BH37" s="82">
        <f t="shared" si="75"/>
        <v>221.3</v>
      </c>
      <c r="BI37" s="82">
        <f t="shared" si="76"/>
        <v>15</v>
      </c>
      <c r="BJ37" s="82">
        <f t="shared" si="77"/>
        <v>16.399999999999999</v>
      </c>
      <c r="BK37" s="82">
        <f t="shared" si="78"/>
        <v>920</v>
      </c>
      <c r="BL37" s="82">
        <f t="shared" si="79"/>
        <v>280</v>
      </c>
      <c r="BM37" s="82">
        <f t="shared" si="80"/>
        <v>0</v>
      </c>
      <c r="BN37" s="82">
        <f t="shared" si="81"/>
        <v>92</v>
      </c>
      <c r="BO37" s="82">
        <f t="shared" si="82"/>
        <v>82</v>
      </c>
      <c r="BP37" s="82">
        <f t="shared" si="83"/>
        <v>35</v>
      </c>
      <c r="BQ37" s="82"/>
      <c r="BR37" s="129">
        <f>SUMIF('Audit HD AR - School Level'!$B$6:B1178, "=" &amp; A37,'Audit HD AR - School Level'!$Q$6:Q1178)</f>
        <v>0</v>
      </c>
      <c r="BS37" s="224">
        <f t="shared" si="84"/>
        <v>-355</v>
      </c>
      <c r="BT37" s="126">
        <f t="shared" si="85"/>
        <v>-355</v>
      </c>
      <c r="BU37" s="82">
        <f t="shared" si="86"/>
        <v>912</v>
      </c>
    </row>
    <row r="38" spans="1:73">
      <c r="A38" s="1" t="s">
        <v>260</v>
      </c>
      <c r="U38" s="126">
        <v>249</v>
      </c>
      <c r="X38" s="126">
        <v>4.5</v>
      </c>
      <c r="Y38" s="126">
        <v>283.3</v>
      </c>
      <c r="Z38" s="126">
        <v>0</v>
      </c>
      <c r="AC38" s="126">
        <v>75.2</v>
      </c>
      <c r="AD38" s="126">
        <v>0</v>
      </c>
      <c r="AE38" s="126">
        <v>0</v>
      </c>
      <c r="AF38" s="126">
        <v>259</v>
      </c>
      <c r="AG38" s="126">
        <v>115</v>
      </c>
      <c r="AI38" s="126">
        <v>0</v>
      </c>
      <c r="AJ38" s="126">
        <v>94</v>
      </c>
      <c r="AK38" s="132">
        <v>24</v>
      </c>
      <c r="AL38" s="126">
        <v>63</v>
      </c>
      <c r="AO38" s="132">
        <v>0</v>
      </c>
      <c r="AP38" s="126">
        <v>0</v>
      </c>
      <c r="AQ38" s="134">
        <v>0</v>
      </c>
      <c r="AR38" s="132">
        <v>0</v>
      </c>
      <c r="AS38" s="134">
        <v>0</v>
      </c>
      <c r="AT38" s="132">
        <v>0</v>
      </c>
      <c r="AU38" s="132">
        <v>0</v>
      </c>
      <c r="AV38" s="83">
        <v>196063</v>
      </c>
      <c r="AW38" s="237">
        <v>43509</v>
      </c>
      <c r="AX38" s="233">
        <f t="shared" si="16"/>
        <v>6</v>
      </c>
      <c r="AY38" s="232" t="s">
        <v>3487</v>
      </c>
      <c r="AZ38" s="233" t="b">
        <f t="shared" si="0"/>
        <v>0</v>
      </c>
      <c r="BA38" s="129"/>
      <c r="BB38" s="129"/>
      <c r="BC38" s="129"/>
      <c r="BD38" s="129"/>
      <c r="BE38" s="82">
        <f t="shared" si="73"/>
        <v>249</v>
      </c>
      <c r="BF38" s="82">
        <f t="shared" si="74"/>
        <v>4.5</v>
      </c>
      <c r="BG38" s="82"/>
      <c r="BH38" s="82">
        <f t="shared" si="75"/>
        <v>75.2</v>
      </c>
      <c r="BI38" s="82">
        <f t="shared" si="76"/>
        <v>0</v>
      </c>
      <c r="BJ38" s="82">
        <f t="shared" si="77"/>
        <v>0</v>
      </c>
      <c r="BK38" s="82">
        <f t="shared" si="78"/>
        <v>259</v>
      </c>
      <c r="BL38" s="82">
        <f t="shared" si="79"/>
        <v>115</v>
      </c>
      <c r="BM38" s="82">
        <f t="shared" si="80"/>
        <v>0</v>
      </c>
      <c r="BN38" s="82">
        <f t="shared" si="81"/>
        <v>94</v>
      </c>
      <c r="BO38" s="82">
        <f t="shared" si="82"/>
        <v>24</v>
      </c>
      <c r="BP38" s="82">
        <f t="shared" si="83"/>
        <v>63</v>
      </c>
      <c r="BQ38" s="82"/>
      <c r="BR38" s="129">
        <f>SUMIF('Audit HD AR - School Level'!$B$6:B1179, "=" &amp; A38,'Audit HD AR - School Level'!$Q$6:Q1179)</f>
        <v>7.6</v>
      </c>
      <c r="BS38" s="224">
        <f t="shared" si="84"/>
        <v>0</v>
      </c>
      <c r="BT38" s="126">
        <f t="shared" si="85"/>
        <v>0</v>
      </c>
      <c r="BU38" s="82">
        <f t="shared" si="86"/>
        <v>249</v>
      </c>
    </row>
    <row r="39" spans="1:73">
      <c r="A39" s="1" t="s">
        <v>305</v>
      </c>
      <c r="U39" s="126">
        <v>272</v>
      </c>
      <c r="X39" s="126">
        <v>2</v>
      </c>
      <c r="Y39" s="126">
        <v>261.10000000000002</v>
      </c>
      <c r="Z39" s="126">
        <v>0</v>
      </c>
      <c r="AC39" s="126">
        <v>154.80000000000001</v>
      </c>
      <c r="AD39" s="126">
        <v>0</v>
      </c>
      <c r="AE39" s="126">
        <v>0</v>
      </c>
      <c r="AF39" s="126">
        <v>276</v>
      </c>
      <c r="AG39" s="126">
        <v>76</v>
      </c>
      <c r="AI39" s="126">
        <v>0</v>
      </c>
      <c r="AJ39" s="126">
        <v>116</v>
      </c>
      <c r="AK39" s="132">
        <v>8</v>
      </c>
      <c r="AL39" s="126">
        <v>31</v>
      </c>
      <c r="AO39" s="132">
        <v>0</v>
      </c>
      <c r="AP39" s="126">
        <v>0</v>
      </c>
      <c r="AQ39" s="134">
        <v>0</v>
      </c>
      <c r="AR39" s="132">
        <v>0</v>
      </c>
      <c r="AS39" s="134">
        <v>0</v>
      </c>
      <c r="AT39" s="132">
        <v>0</v>
      </c>
      <c r="AU39" s="132">
        <v>0</v>
      </c>
      <c r="AV39" s="83">
        <v>117230</v>
      </c>
      <c r="AW39" s="237">
        <v>43509</v>
      </c>
      <c r="AX39" s="233">
        <f t="shared" si="16"/>
        <v>6</v>
      </c>
      <c r="AY39" s="232" t="s">
        <v>3487</v>
      </c>
      <c r="AZ39" s="233" t="b">
        <f t="shared" si="0"/>
        <v>0</v>
      </c>
      <c r="BA39" s="129"/>
      <c r="BB39" s="129"/>
      <c r="BC39" s="129"/>
      <c r="BD39" s="129"/>
      <c r="BE39" s="82">
        <f t="shared" si="73"/>
        <v>272</v>
      </c>
      <c r="BF39" s="82">
        <f t="shared" si="74"/>
        <v>2</v>
      </c>
      <c r="BG39" s="82"/>
      <c r="BH39" s="82">
        <f t="shared" si="75"/>
        <v>154.80000000000001</v>
      </c>
      <c r="BI39" s="82">
        <f t="shared" si="76"/>
        <v>0</v>
      </c>
      <c r="BJ39" s="82">
        <f t="shared" si="77"/>
        <v>0</v>
      </c>
      <c r="BK39" s="82">
        <f t="shared" si="78"/>
        <v>276</v>
      </c>
      <c r="BL39" s="82">
        <f t="shared" si="79"/>
        <v>76</v>
      </c>
      <c r="BM39" s="82">
        <f t="shared" si="80"/>
        <v>0</v>
      </c>
      <c r="BN39" s="82">
        <f t="shared" si="81"/>
        <v>116</v>
      </c>
      <c r="BO39" s="82">
        <f t="shared" si="82"/>
        <v>8</v>
      </c>
      <c r="BP39" s="82">
        <f t="shared" si="83"/>
        <v>31</v>
      </c>
      <c r="BQ39" s="82"/>
      <c r="BR39" s="129">
        <f>SUMIF('Audit HD AR - School Level'!$B$6:B1180, "=" &amp; A39,'Audit HD AR - School Level'!$Q$6:Q1180)</f>
        <v>0</v>
      </c>
      <c r="BS39" s="224">
        <f t="shared" si="84"/>
        <v>0</v>
      </c>
      <c r="BT39" s="126">
        <f t="shared" si="85"/>
        <v>0</v>
      </c>
      <c r="BU39" s="82">
        <f t="shared" si="86"/>
        <v>272</v>
      </c>
    </row>
    <row r="40" spans="1:73">
      <c r="A40" s="1" t="s">
        <v>341</v>
      </c>
      <c r="U40" s="126">
        <v>928.5</v>
      </c>
      <c r="X40" s="126">
        <v>12</v>
      </c>
      <c r="Y40" s="126">
        <v>917.9</v>
      </c>
      <c r="Z40" s="126">
        <v>0</v>
      </c>
      <c r="AC40" s="126">
        <v>227.7</v>
      </c>
      <c r="AD40" s="126">
        <v>72</v>
      </c>
      <c r="AE40" s="126">
        <v>273.5</v>
      </c>
      <c r="AF40" s="126">
        <v>935</v>
      </c>
      <c r="AG40" s="126">
        <v>383</v>
      </c>
      <c r="AI40" s="126">
        <v>0</v>
      </c>
      <c r="AJ40" s="126">
        <v>156</v>
      </c>
      <c r="AK40" s="132">
        <v>31</v>
      </c>
      <c r="AL40" s="126">
        <v>3</v>
      </c>
      <c r="AO40" s="132">
        <v>9</v>
      </c>
      <c r="AP40" s="126">
        <v>0</v>
      </c>
      <c r="AQ40" s="134">
        <v>8.5</v>
      </c>
      <c r="AR40" s="132">
        <v>18</v>
      </c>
      <c r="AS40" s="134">
        <v>4</v>
      </c>
      <c r="AT40" s="132">
        <v>0</v>
      </c>
      <c r="AU40" s="132">
        <v>0</v>
      </c>
      <c r="AV40" s="83">
        <v>166543</v>
      </c>
      <c r="AW40" s="237">
        <v>43509</v>
      </c>
      <c r="AX40" s="233">
        <f t="shared" si="16"/>
        <v>6</v>
      </c>
      <c r="AY40" s="232" t="s">
        <v>3487</v>
      </c>
      <c r="AZ40" s="233" t="b">
        <f t="shared" si="0"/>
        <v>0</v>
      </c>
      <c r="BA40" s="129"/>
      <c r="BB40" s="129"/>
      <c r="BC40" s="129"/>
      <c r="BD40" s="129"/>
      <c r="BE40" s="82">
        <f t="shared" si="73"/>
        <v>901.5</v>
      </c>
      <c r="BF40" s="82">
        <f t="shared" si="74"/>
        <v>12</v>
      </c>
      <c r="BG40" s="82"/>
      <c r="BH40" s="82">
        <f t="shared" si="75"/>
        <v>227.7</v>
      </c>
      <c r="BI40" s="82">
        <f t="shared" si="76"/>
        <v>72</v>
      </c>
      <c r="BJ40" s="82">
        <f t="shared" si="77"/>
        <v>273.5</v>
      </c>
      <c r="BK40" s="82">
        <f t="shared" si="78"/>
        <v>935</v>
      </c>
      <c r="BL40" s="82">
        <f t="shared" si="79"/>
        <v>383</v>
      </c>
      <c r="BM40" s="82">
        <f t="shared" si="80"/>
        <v>0</v>
      </c>
      <c r="BN40" s="82">
        <f t="shared" si="81"/>
        <v>156</v>
      </c>
      <c r="BO40" s="82">
        <f t="shared" si="82"/>
        <v>31</v>
      </c>
      <c r="BP40" s="82">
        <f t="shared" si="83"/>
        <v>3</v>
      </c>
      <c r="BQ40" s="82"/>
      <c r="BR40" s="129">
        <f>SUMIF('Audit HD AR - School Level'!$B$6:B1181, "=" &amp; A40,'Audit HD AR - School Level'!$Q$6:Q1181)</f>
        <v>11.3</v>
      </c>
      <c r="BS40" s="224">
        <f t="shared" si="84"/>
        <v>-3191</v>
      </c>
      <c r="BT40" s="126">
        <f t="shared" si="85"/>
        <v>-3191</v>
      </c>
      <c r="BU40" s="82">
        <f t="shared" si="86"/>
        <v>901.5</v>
      </c>
    </row>
    <row r="41" spans="1:73">
      <c r="A41" s="1" t="s">
        <v>362</v>
      </c>
      <c r="U41" s="126">
        <v>1956.2</v>
      </c>
      <c r="X41" s="126">
        <v>9.5</v>
      </c>
      <c r="Y41" s="126">
        <v>1924.2</v>
      </c>
      <c r="Z41" s="126">
        <v>0</v>
      </c>
      <c r="AC41" s="126">
        <v>640.5</v>
      </c>
      <c r="AD41" s="126">
        <v>19</v>
      </c>
      <c r="AE41" s="126">
        <v>6.8</v>
      </c>
      <c r="AF41" s="126">
        <v>1972</v>
      </c>
      <c r="AG41" s="126">
        <v>437</v>
      </c>
      <c r="AI41" s="126">
        <v>0</v>
      </c>
      <c r="AJ41" s="126">
        <v>675.4</v>
      </c>
      <c r="AK41" s="132">
        <v>213</v>
      </c>
      <c r="AL41" s="126">
        <v>0</v>
      </c>
      <c r="AO41" s="132">
        <v>6</v>
      </c>
      <c r="AP41" s="126">
        <v>0.4</v>
      </c>
      <c r="AQ41" s="134">
        <v>36</v>
      </c>
      <c r="AR41" s="132">
        <v>13</v>
      </c>
      <c r="AS41" s="134">
        <v>34</v>
      </c>
      <c r="AT41" s="132">
        <v>34</v>
      </c>
      <c r="AU41" s="132">
        <v>0</v>
      </c>
      <c r="AV41" s="83">
        <v>378680</v>
      </c>
      <c r="AW41" s="237">
        <v>43509</v>
      </c>
      <c r="AX41" s="233">
        <f t="shared" si="16"/>
        <v>6</v>
      </c>
      <c r="AY41" s="232" t="s">
        <v>3487</v>
      </c>
      <c r="AZ41" s="233" t="b">
        <f t="shared" si="0"/>
        <v>0</v>
      </c>
      <c r="BA41" s="129"/>
      <c r="BB41" s="129"/>
      <c r="BC41" s="129"/>
      <c r="BD41" s="129"/>
      <c r="BE41" s="82">
        <f t="shared" si="73"/>
        <v>1936.8</v>
      </c>
      <c r="BF41" s="82">
        <f t="shared" si="74"/>
        <v>9.5</v>
      </c>
      <c r="BG41" s="82"/>
      <c r="BH41" s="82">
        <f t="shared" si="75"/>
        <v>640.5</v>
      </c>
      <c r="BI41" s="82">
        <f t="shared" si="76"/>
        <v>19</v>
      </c>
      <c r="BJ41" s="82">
        <f t="shared" si="77"/>
        <v>6.8</v>
      </c>
      <c r="BK41" s="82">
        <f t="shared" si="78"/>
        <v>1972</v>
      </c>
      <c r="BL41" s="82">
        <f t="shared" si="79"/>
        <v>437</v>
      </c>
      <c r="BM41" s="82">
        <f t="shared" si="80"/>
        <v>0</v>
      </c>
      <c r="BN41" s="82">
        <f t="shared" si="81"/>
        <v>675.4</v>
      </c>
      <c r="BO41" s="82">
        <f t="shared" si="82"/>
        <v>213</v>
      </c>
      <c r="BP41" s="82">
        <f t="shared" si="83"/>
        <v>0</v>
      </c>
      <c r="BQ41" s="82"/>
      <c r="BR41" s="129">
        <f>SUMIF('Audit HD AR - School Level'!$B$6:B1182, "=" &amp; A41,'Audit HD AR - School Level'!$Q$6:Q1182)</f>
        <v>0.4</v>
      </c>
      <c r="BS41" s="224">
        <f t="shared" si="84"/>
        <v>-1418</v>
      </c>
      <c r="BT41" s="126">
        <f t="shared" si="85"/>
        <v>-1418</v>
      </c>
      <c r="BU41" s="82">
        <f t="shared" si="86"/>
        <v>1936.8</v>
      </c>
    </row>
    <row r="42" spans="1:73">
      <c r="A42" s="1" t="s">
        <v>403</v>
      </c>
      <c r="U42" s="126">
        <v>321.89999999999998</v>
      </c>
      <c r="X42" s="126">
        <v>3.5</v>
      </c>
      <c r="Y42" s="126">
        <v>341.7</v>
      </c>
      <c r="Z42" s="126">
        <v>0</v>
      </c>
      <c r="AC42" s="126">
        <v>60.5</v>
      </c>
      <c r="AD42" s="126">
        <v>1</v>
      </c>
      <c r="AE42" s="126">
        <v>0</v>
      </c>
      <c r="AF42" s="126">
        <v>329</v>
      </c>
      <c r="AG42" s="126">
        <v>101</v>
      </c>
      <c r="AI42" s="126">
        <v>0</v>
      </c>
      <c r="AJ42" s="126">
        <v>184</v>
      </c>
      <c r="AK42" s="132">
        <v>8</v>
      </c>
      <c r="AL42" s="126">
        <v>1</v>
      </c>
      <c r="AO42" s="132">
        <v>1</v>
      </c>
      <c r="AP42" s="126">
        <v>0</v>
      </c>
      <c r="AQ42" s="134">
        <v>0</v>
      </c>
      <c r="AR42" s="132">
        <v>1</v>
      </c>
      <c r="AS42" s="134">
        <v>0</v>
      </c>
      <c r="AT42" s="132">
        <v>0</v>
      </c>
      <c r="AU42" s="132">
        <v>0</v>
      </c>
      <c r="AV42" s="83">
        <v>125696</v>
      </c>
      <c r="AW42" s="237">
        <v>43509</v>
      </c>
      <c r="AX42" s="233">
        <f t="shared" si="16"/>
        <v>6</v>
      </c>
      <c r="AY42" s="232" t="s">
        <v>3487</v>
      </c>
      <c r="AZ42" s="233" t="b">
        <f t="shared" si="0"/>
        <v>0</v>
      </c>
      <c r="BA42" s="129"/>
      <c r="BB42" s="129"/>
      <c r="BC42" s="129"/>
      <c r="BD42" s="129"/>
      <c r="BE42" s="82">
        <f t="shared" si="73"/>
        <v>319.89999999999998</v>
      </c>
      <c r="BF42" s="82">
        <f t="shared" si="74"/>
        <v>3.5</v>
      </c>
      <c r="BG42" s="82"/>
      <c r="BH42" s="82">
        <f t="shared" si="75"/>
        <v>60.5</v>
      </c>
      <c r="BI42" s="82">
        <f t="shared" si="76"/>
        <v>1</v>
      </c>
      <c r="BJ42" s="82">
        <f t="shared" si="77"/>
        <v>0</v>
      </c>
      <c r="BK42" s="82">
        <f t="shared" si="78"/>
        <v>329</v>
      </c>
      <c r="BL42" s="82">
        <f t="shared" si="79"/>
        <v>101</v>
      </c>
      <c r="BM42" s="82">
        <f t="shared" si="80"/>
        <v>0</v>
      </c>
      <c r="BN42" s="82">
        <f t="shared" si="81"/>
        <v>184</v>
      </c>
      <c r="BO42" s="82">
        <f t="shared" si="82"/>
        <v>8</v>
      </c>
      <c r="BP42" s="82">
        <f t="shared" si="83"/>
        <v>1</v>
      </c>
      <c r="BQ42" s="82"/>
      <c r="BR42" s="129">
        <f>SUMIF('Audit HD AR - School Level'!$B$6:B1183, "=" &amp; A42,'Audit HD AR - School Level'!$Q$6:Q1183)</f>
        <v>0.8</v>
      </c>
      <c r="BS42" s="224">
        <f t="shared" si="84"/>
        <v>0</v>
      </c>
      <c r="BT42" s="126">
        <f t="shared" si="85"/>
        <v>0</v>
      </c>
      <c r="BU42" s="82">
        <f t="shared" si="86"/>
        <v>319.89999999999998</v>
      </c>
    </row>
    <row r="43" spans="1:73">
      <c r="A43" s="1" t="s">
        <v>467</v>
      </c>
      <c r="U43" s="126">
        <v>147</v>
      </c>
      <c r="X43" s="126">
        <v>0</v>
      </c>
      <c r="Y43" s="126">
        <v>143.5</v>
      </c>
      <c r="Z43" s="126">
        <v>0</v>
      </c>
      <c r="AC43" s="126">
        <v>0</v>
      </c>
      <c r="AD43" s="126">
        <v>5</v>
      </c>
      <c r="AE43" s="126">
        <v>2.4</v>
      </c>
      <c r="AF43" s="126">
        <v>133</v>
      </c>
      <c r="AG43" s="126">
        <v>43</v>
      </c>
      <c r="AI43" s="126">
        <v>0</v>
      </c>
      <c r="AJ43" s="126">
        <v>64</v>
      </c>
      <c r="AK43" s="132">
        <v>1</v>
      </c>
      <c r="AL43" s="126">
        <v>19</v>
      </c>
      <c r="AO43" s="132">
        <v>1</v>
      </c>
      <c r="AP43" s="126">
        <v>0</v>
      </c>
      <c r="AQ43" s="134">
        <v>20</v>
      </c>
      <c r="AR43" s="132">
        <v>13</v>
      </c>
      <c r="AS43" s="134">
        <v>22.5</v>
      </c>
      <c r="AT43" s="132">
        <v>25</v>
      </c>
      <c r="AU43" s="132">
        <v>0</v>
      </c>
      <c r="AV43" s="83">
        <v>108111</v>
      </c>
      <c r="AW43" s="237">
        <v>43509</v>
      </c>
      <c r="AX43" s="233">
        <f t="shared" si="16"/>
        <v>6</v>
      </c>
      <c r="AY43" s="232" t="s">
        <v>3487</v>
      </c>
      <c r="AZ43" s="233" t="b">
        <f t="shared" si="0"/>
        <v>0</v>
      </c>
      <c r="BA43" s="129"/>
      <c r="BB43" s="129"/>
      <c r="BC43" s="129"/>
      <c r="BD43" s="129"/>
      <c r="BE43" s="82">
        <f t="shared" si="73"/>
        <v>133</v>
      </c>
      <c r="BF43" s="82">
        <f t="shared" si="74"/>
        <v>0</v>
      </c>
      <c r="BG43" s="82"/>
      <c r="BH43" s="82">
        <f t="shared" si="75"/>
        <v>0</v>
      </c>
      <c r="BI43" s="82">
        <f t="shared" si="76"/>
        <v>5</v>
      </c>
      <c r="BJ43" s="82">
        <f t="shared" si="77"/>
        <v>2.4</v>
      </c>
      <c r="BK43" s="82">
        <f t="shared" si="78"/>
        <v>133</v>
      </c>
      <c r="BL43" s="82">
        <f t="shared" si="79"/>
        <v>43</v>
      </c>
      <c r="BM43" s="82">
        <f t="shared" si="80"/>
        <v>0</v>
      </c>
      <c r="BN43" s="82">
        <f t="shared" si="81"/>
        <v>64</v>
      </c>
      <c r="BO43" s="82">
        <f t="shared" si="82"/>
        <v>1</v>
      </c>
      <c r="BP43" s="82">
        <f t="shared" si="83"/>
        <v>19</v>
      </c>
      <c r="BQ43" s="82"/>
      <c r="BR43" s="129">
        <f>SUMIF('Audit HD AR - School Level'!$B$6:B1184, "=" &amp; A43,'Audit HD AR - School Level'!$Q$6:Q1184)</f>
        <v>0</v>
      </c>
      <c r="BS43" s="224">
        <f t="shared" si="84"/>
        <v>1773</v>
      </c>
      <c r="BT43" s="126">
        <f t="shared" si="85"/>
        <v>0</v>
      </c>
      <c r="BU43" s="82">
        <f t="shared" si="86"/>
        <v>133</v>
      </c>
    </row>
    <row r="44" spans="1:73">
      <c r="A44" s="1" t="s">
        <v>464</v>
      </c>
      <c r="U44" s="126">
        <v>916.5</v>
      </c>
      <c r="X44" s="126">
        <v>11</v>
      </c>
      <c r="Y44" s="126">
        <v>962.5</v>
      </c>
      <c r="Z44" s="126">
        <v>0</v>
      </c>
      <c r="AC44" s="126">
        <v>333.8</v>
      </c>
      <c r="AD44" s="126">
        <v>1</v>
      </c>
      <c r="AE44" s="126">
        <v>0.5</v>
      </c>
      <c r="AF44" s="126">
        <v>946</v>
      </c>
      <c r="AG44" s="126">
        <v>435</v>
      </c>
      <c r="AI44" s="126">
        <v>0</v>
      </c>
      <c r="AJ44" s="126">
        <v>342</v>
      </c>
      <c r="AK44" s="132">
        <v>523</v>
      </c>
      <c r="AL44" s="126">
        <v>44.5</v>
      </c>
      <c r="AO44" s="132">
        <v>0</v>
      </c>
      <c r="AP44" s="126">
        <v>0</v>
      </c>
      <c r="AQ44" s="134">
        <v>0</v>
      </c>
      <c r="AR44" s="132">
        <v>0</v>
      </c>
      <c r="AS44" s="134">
        <v>0</v>
      </c>
      <c r="AT44" s="132">
        <v>0</v>
      </c>
      <c r="AU44" s="132">
        <v>0</v>
      </c>
      <c r="AV44" s="83">
        <v>451406</v>
      </c>
      <c r="AW44" s="237">
        <v>43514</v>
      </c>
      <c r="AX44" s="233">
        <f t="shared" si="16"/>
        <v>7</v>
      </c>
      <c r="AY44" s="232" t="s">
        <v>3487</v>
      </c>
      <c r="AZ44" s="233" t="b">
        <f t="shared" si="0"/>
        <v>0</v>
      </c>
      <c r="BA44" s="129"/>
      <c r="BB44" s="129"/>
      <c r="BC44" s="129"/>
      <c r="BD44" s="129"/>
      <c r="BE44" s="82">
        <f t="shared" ref="BE44:BE45" si="87">SUM(U44+C44-AO44-AP44-AR44)</f>
        <v>916.5</v>
      </c>
      <c r="BF44" s="82">
        <f t="shared" ref="BF44:BF45" si="88">SUM(X44+F44)</f>
        <v>11</v>
      </c>
      <c r="BG44" s="82"/>
      <c r="BH44" s="82">
        <f t="shared" ref="BH44:BH45" si="89">SUM(AC44+H44)</f>
        <v>333.8</v>
      </c>
      <c r="BI44" s="82">
        <f t="shared" ref="BI44:BI45" si="90">SUM(AD44+I44)</f>
        <v>1</v>
      </c>
      <c r="BJ44" s="82">
        <f t="shared" ref="BJ44:BJ45" si="91">SUM(AE44+J44)</f>
        <v>0.5</v>
      </c>
      <c r="BK44" s="82">
        <f t="shared" ref="BK44:BK45" si="92">SUM(AF44+K44)</f>
        <v>946</v>
      </c>
      <c r="BL44" s="82">
        <f t="shared" ref="BL44:BL45" si="93">SUM(AG44+L44)</f>
        <v>435</v>
      </c>
      <c r="BM44" s="82">
        <f t="shared" ref="BM44:BM45" si="94">SUM(AI44+M44)</f>
        <v>0</v>
      </c>
      <c r="BN44" s="82">
        <f t="shared" ref="BN44:BN45" si="95">SUM(AJ44+Q44)</f>
        <v>342</v>
      </c>
      <c r="BO44" s="82">
        <f t="shared" ref="BO44:BO45" si="96">SUM(AK44+R44)</f>
        <v>523</v>
      </c>
      <c r="BP44" s="82">
        <f t="shared" ref="BP44:BP45" si="97">SUM(AL44+S44)</f>
        <v>44.5</v>
      </c>
      <c r="BQ44" s="82"/>
      <c r="BR44" s="129">
        <f>SUMIF('Audit HD AR - School Level'!$B$6:B1184, "=" &amp; A44,'Audit HD AR - School Level'!$Q$6:Q1184)</f>
        <v>32.6</v>
      </c>
      <c r="BS44" s="224">
        <f t="shared" ref="BS44:BS45" si="98">SUM(AS44-AQ44)*$BS$2</f>
        <v>0</v>
      </c>
      <c r="BT44" s="126">
        <f t="shared" ref="BT44:BT45" si="99">IF(BS44&lt;0,BS44,0)</f>
        <v>0</v>
      </c>
      <c r="BU44" s="82">
        <f t="shared" ref="BU44:BU45" si="100">SUM(U44-AO44-AP44-AR44)</f>
        <v>916.5</v>
      </c>
    </row>
    <row r="45" spans="1:73">
      <c r="A45" s="1" t="s">
        <v>474</v>
      </c>
      <c r="U45" s="126">
        <v>1229.5999999999999</v>
      </c>
      <c r="X45" s="126">
        <v>20.5</v>
      </c>
      <c r="Y45" s="126">
        <v>1279.4000000000001</v>
      </c>
      <c r="Z45" s="126">
        <v>0</v>
      </c>
      <c r="AC45" s="126">
        <v>284.7</v>
      </c>
      <c r="AD45" s="126">
        <v>21</v>
      </c>
      <c r="AE45" s="126">
        <v>13.9</v>
      </c>
      <c r="AF45" s="126">
        <v>1304</v>
      </c>
      <c r="AG45" s="126">
        <v>775</v>
      </c>
      <c r="AI45" s="126">
        <v>0</v>
      </c>
      <c r="AJ45" s="126">
        <v>27</v>
      </c>
      <c r="AK45" s="132">
        <v>281</v>
      </c>
      <c r="AL45" s="126">
        <v>34</v>
      </c>
      <c r="AO45" s="132">
        <v>1</v>
      </c>
      <c r="AP45" s="126">
        <v>0</v>
      </c>
      <c r="AQ45" s="134">
        <v>0</v>
      </c>
      <c r="AR45" s="132">
        <v>0</v>
      </c>
      <c r="AS45" s="134">
        <v>0</v>
      </c>
      <c r="AT45" s="132">
        <v>0</v>
      </c>
      <c r="AU45" s="132">
        <v>0</v>
      </c>
      <c r="AV45" s="83">
        <v>131882</v>
      </c>
      <c r="AW45" s="237">
        <v>43514</v>
      </c>
      <c r="AX45" s="233">
        <f t="shared" si="16"/>
        <v>7</v>
      </c>
      <c r="AY45" s="232" t="s">
        <v>3487</v>
      </c>
      <c r="AZ45" s="233" t="b">
        <f t="shared" si="0"/>
        <v>0</v>
      </c>
      <c r="BA45" s="129"/>
      <c r="BB45" s="129"/>
      <c r="BC45" s="129"/>
      <c r="BD45" s="129"/>
      <c r="BE45" s="82">
        <f t="shared" si="87"/>
        <v>1228.5999999999999</v>
      </c>
      <c r="BF45" s="82">
        <f t="shared" si="88"/>
        <v>20.5</v>
      </c>
      <c r="BG45" s="82"/>
      <c r="BH45" s="82">
        <f t="shared" si="89"/>
        <v>284.7</v>
      </c>
      <c r="BI45" s="82">
        <f t="shared" si="90"/>
        <v>21</v>
      </c>
      <c r="BJ45" s="82">
        <f t="shared" si="91"/>
        <v>13.9</v>
      </c>
      <c r="BK45" s="82">
        <f t="shared" si="92"/>
        <v>1304</v>
      </c>
      <c r="BL45" s="82">
        <f t="shared" si="93"/>
        <v>775</v>
      </c>
      <c r="BM45" s="82">
        <f t="shared" si="94"/>
        <v>0</v>
      </c>
      <c r="BN45" s="82">
        <f t="shared" si="95"/>
        <v>27</v>
      </c>
      <c r="BO45" s="82">
        <f t="shared" si="96"/>
        <v>281</v>
      </c>
      <c r="BP45" s="82">
        <f t="shared" si="97"/>
        <v>34</v>
      </c>
      <c r="BQ45" s="82"/>
      <c r="BR45" s="129">
        <f>SUMIF('Audit HD AR - School Level'!$B$6:B1184, "=" &amp; A45,'Audit HD AR - School Level'!$Q$6:Q1184)</f>
        <v>81.400000000000006</v>
      </c>
      <c r="BS45" s="224">
        <f t="shared" si="98"/>
        <v>0</v>
      </c>
      <c r="BT45" s="126">
        <f t="shared" si="99"/>
        <v>0</v>
      </c>
      <c r="BU45" s="82">
        <f t="shared" si="100"/>
        <v>1228.5999999999999</v>
      </c>
    </row>
    <row r="46" spans="1:73">
      <c r="A46" s="1" t="s">
        <v>282</v>
      </c>
      <c r="U46" s="126">
        <v>89</v>
      </c>
      <c r="X46" s="126">
        <v>1.5</v>
      </c>
      <c r="Y46" s="126">
        <v>111</v>
      </c>
      <c r="Z46" s="126">
        <v>0</v>
      </c>
      <c r="AC46" s="126">
        <v>47.3</v>
      </c>
      <c r="AD46" s="126">
        <v>0</v>
      </c>
      <c r="AE46" s="126">
        <v>0</v>
      </c>
      <c r="AF46" s="126">
        <v>95</v>
      </c>
      <c r="AG46" s="126">
        <v>69</v>
      </c>
      <c r="AI46" s="126">
        <v>0</v>
      </c>
      <c r="AJ46" s="126">
        <v>21</v>
      </c>
      <c r="AK46" s="132">
        <v>2</v>
      </c>
      <c r="AL46" s="126">
        <v>27.5</v>
      </c>
      <c r="AO46" s="132">
        <v>0</v>
      </c>
      <c r="AP46" s="126">
        <v>0</v>
      </c>
      <c r="AQ46" s="134">
        <v>0</v>
      </c>
      <c r="AR46" s="132">
        <v>0</v>
      </c>
      <c r="AS46" s="134">
        <v>0</v>
      </c>
      <c r="AT46" s="132">
        <v>0</v>
      </c>
      <c r="AU46" s="132">
        <v>0</v>
      </c>
      <c r="AV46" s="83">
        <v>150167</v>
      </c>
      <c r="AW46" s="237">
        <v>43523</v>
      </c>
      <c r="AX46" s="233">
        <f t="shared" si="16"/>
        <v>8</v>
      </c>
      <c r="AY46" s="232" t="s">
        <v>3487</v>
      </c>
      <c r="AZ46" s="233" t="b">
        <f t="shared" si="0"/>
        <v>0</v>
      </c>
      <c r="BA46" s="129"/>
      <c r="BB46" s="129"/>
      <c r="BC46" s="129"/>
      <c r="BD46" s="129"/>
      <c r="BE46" s="82">
        <f t="shared" ref="BE46:BE48" si="101">SUM(U46+C46-AO46-AP46-AR46)</f>
        <v>89</v>
      </c>
      <c r="BF46" s="82">
        <f t="shared" ref="BF46:BF48" si="102">SUM(X46+F46)</f>
        <v>1.5</v>
      </c>
      <c r="BG46" s="82"/>
      <c r="BH46" s="82">
        <f t="shared" ref="BH46:BH48" si="103">SUM(AC46+H46)</f>
        <v>47.3</v>
      </c>
      <c r="BI46" s="82">
        <f t="shared" ref="BI46:BI48" si="104">SUM(AD46+I46)</f>
        <v>0</v>
      </c>
      <c r="BJ46" s="82">
        <f t="shared" ref="BJ46:BJ48" si="105">SUM(AE46+J46)</f>
        <v>0</v>
      </c>
      <c r="BK46" s="82">
        <f t="shared" ref="BK46:BK48" si="106">SUM(AF46+K46)</f>
        <v>95</v>
      </c>
      <c r="BL46" s="82">
        <f t="shared" ref="BL46:BL48" si="107">SUM(AG46+L46)</f>
        <v>69</v>
      </c>
      <c r="BM46" s="82">
        <f t="shared" ref="BM46:BM48" si="108">SUM(AI46+M46)</f>
        <v>0</v>
      </c>
      <c r="BN46" s="82">
        <f t="shared" ref="BN46:BN48" si="109">SUM(AJ46+Q46)</f>
        <v>21</v>
      </c>
      <c r="BO46" s="82">
        <f t="shared" ref="BO46:BO48" si="110">SUM(AK46+R46)</f>
        <v>2</v>
      </c>
      <c r="BP46" s="82">
        <f t="shared" ref="BP46:BP48" si="111">SUM(AL46+S46)</f>
        <v>27.5</v>
      </c>
      <c r="BQ46" s="82"/>
      <c r="BR46" s="129">
        <f>SUMIF('Audit HD AR - School Level'!$B$6:B1184, "=" &amp; A46,'Audit HD AR - School Level'!$Q$6:Q1184)</f>
        <v>7.2</v>
      </c>
      <c r="BS46" s="224">
        <f t="shared" ref="BS46:BS48" si="112">SUM(AS46-AQ46)*$BS$2</f>
        <v>0</v>
      </c>
      <c r="BT46" s="126">
        <f t="shared" ref="BT46:BT48" si="113">IF(BS46&lt;0,BS46,0)</f>
        <v>0</v>
      </c>
      <c r="BU46" s="82">
        <f t="shared" ref="BU46:BU48" si="114">SUM(U46-AO46-AP46-AR46)</f>
        <v>89</v>
      </c>
    </row>
    <row r="47" spans="1:73">
      <c r="A47" s="1" t="s">
        <v>390</v>
      </c>
      <c r="U47" s="126">
        <v>716</v>
      </c>
      <c r="X47" s="126">
        <v>6</v>
      </c>
      <c r="Y47" s="126">
        <v>734</v>
      </c>
      <c r="Z47" s="126">
        <v>0</v>
      </c>
      <c r="AC47" s="126">
        <v>197.3</v>
      </c>
      <c r="AD47" s="126">
        <v>2</v>
      </c>
      <c r="AE47" s="126">
        <v>0</v>
      </c>
      <c r="AF47" s="126">
        <v>729</v>
      </c>
      <c r="AG47" s="126">
        <v>310</v>
      </c>
      <c r="AI47" s="126">
        <v>110.4</v>
      </c>
      <c r="AJ47" s="126">
        <v>262.5</v>
      </c>
      <c r="AK47" s="132">
        <v>217.5</v>
      </c>
      <c r="AL47" s="126">
        <v>21.5</v>
      </c>
      <c r="AO47" s="132">
        <v>0</v>
      </c>
      <c r="AP47" s="126">
        <v>0</v>
      </c>
      <c r="AQ47" s="134">
        <v>0</v>
      </c>
      <c r="AR47" s="132">
        <v>0</v>
      </c>
      <c r="AS47" s="134">
        <v>0</v>
      </c>
      <c r="AT47" s="132">
        <v>6</v>
      </c>
      <c r="AU47" s="132">
        <v>0</v>
      </c>
      <c r="AV47" s="83">
        <v>219608</v>
      </c>
      <c r="AW47" s="237">
        <v>43523</v>
      </c>
      <c r="AX47" s="233">
        <f t="shared" si="16"/>
        <v>8</v>
      </c>
      <c r="AY47" s="232" t="s">
        <v>3487</v>
      </c>
      <c r="AZ47" s="233" t="b">
        <f t="shared" si="0"/>
        <v>0</v>
      </c>
      <c r="BA47" s="129"/>
      <c r="BB47" s="129"/>
      <c r="BC47" s="129"/>
      <c r="BD47" s="129"/>
      <c r="BE47" s="82">
        <f t="shared" si="101"/>
        <v>716</v>
      </c>
      <c r="BF47" s="82">
        <f t="shared" si="102"/>
        <v>6</v>
      </c>
      <c r="BG47" s="82"/>
      <c r="BH47" s="82">
        <f t="shared" si="103"/>
        <v>197.3</v>
      </c>
      <c r="BI47" s="82">
        <f t="shared" si="104"/>
        <v>2</v>
      </c>
      <c r="BJ47" s="82">
        <f t="shared" si="105"/>
        <v>0</v>
      </c>
      <c r="BK47" s="82">
        <f t="shared" si="106"/>
        <v>729</v>
      </c>
      <c r="BL47" s="82">
        <f t="shared" si="107"/>
        <v>310</v>
      </c>
      <c r="BM47" s="82">
        <f t="shared" si="108"/>
        <v>110.4</v>
      </c>
      <c r="BN47" s="82">
        <f t="shared" si="109"/>
        <v>262.5</v>
      </c>
      <c r="BO47" s="82">
        <f t="shared" si="110"/>
        <v>217.5</v>
      </c>
      <c r="BP47" s="82">
        <f t="shared" si="111"/>
        <v>21.5</v>
      </c>
      <c r="BQ47" s="82"/>
      <c r="BR47" s="129">
        <f>SUMIF('Audit HD AR - School Level'!$B$6:B1184, "=" &amp; A47,'Audit HD AR - School Level'!$Q$6:Q1184)</f>
        <v>17.899999999999999</v>
      </c>
      <c r="BS47" s="224">
        <f t="shared" si="112"/>
        <v>0</v>
      </c>
      <c r="BT47" s="126">
        <f t="shared" si="113"/>
        <v>0</v>
      </c>
      <c r="BU47" s="82">
        <f t="shared" si="114"/>
        <v>716</v>
      </c>
    </row>
    <row r="48" spans="1:73">
      <c r="A48" s="1" t="s">
        <v>461</v>
      </c>
      <c r="U48" s="126">
        <v>1887</v>
      </c>
      <c r="X48" s="126">
        <v>16.5</v>
      </c>
      <c r="Y48" s="126">
        <v>1905.8</v>
      </c>
      <c r="Z48" s="126">
        <v>0</v>
      </c>
      <c r="AC48" s="126">
        <v>335</v>
      </c>
      <c r="AD48" s="126">
        <v>29</v>
      </c>
      <c r="AE48" s="126">
        <v>6.6</v>
      </c>
      <c r="AF48" s="126">
        <v>1934</v>
      </c>
      <c r="AG48" s="126">
        <v>856</v>
      </c>
      <c r="AI48" s="126">
        <v>0</v>
      </c>
      <c r="AJ48" s="126">
        <v>684</v>
      </c>
      <c r="AK48" s="132">
        <v>989</v>
      </c>
      <c r="AL48" s="126">
        <v>12</v>
      </c>
      <c r="AO48" s="132">
        <v>7</v>
      </c>
      <c r="AP48" s="126">
        <v>2.9</v>
      </c>
      <c r="AQ48" s="134">
        <v>10</v>
      </c>
      <c r="AR48" s="132">
        <v>5</v>
      </c>
      <c r="AS48" s="134">
        <v>16</v>
      </c>
      <c r="AT48" s="132">
        <v>12</v>
      </c>
      <c r="AU48" s="132">
        <v>0</v>
      </c>
      <c r="AV48" s="83">
        <v>324682</v>
      </c>
      <c r="AW48" s="237">
        <v>43523</v>
      </c>
      <c r="AX48" s="233">
        <f t="shared" si="16"/>
        <v>8</v>
      </c>
      <c r="AY48" s="232" t="s">
        <v>3487</v>
      </c>
      <c r="AZ48" s="233" t="b">
        <f t="shared" si="0"/>
        <v>0</v>
      </c>
      <c r="BA48" s="129"/>
      <c r="BB48" s="129"/>
      <c r="BC48" s="129"/>
      <c r="BD48" s="129"/>
      <c r="BE48" s="82">
        <f t="shared" si="101"/>
        <v>1872.1</v>
      </c>
      <c r="BF48" s="82">
        <f t="shared" si="102"/>
        <v>16.5</v>
      </c>
      <c r="BG48" s="82"/>
      <c r="BH48" s="82">
        <f t="shared" si="103"/>
        <v>335</v>
      </c>
      <c r="BI48" s="82">
        <f t="shared" si="104"/>
        <v>29</v>
      </c>
      <c r="BJ48" s="82">
        <f t="shared" si="105"/>
        <v>6.6</v>
      </c>
      <c r="BK48" s="82">
        <f t="shared" si="106"/>
        <v>1934</v>
      </c>
      <c r="BL48" s="82">
        <f t="shared" si="107"/>
        <v>856</v>
      </c>
      <c r="BM48" s="82">
        <f t="shared" si="108"/>
        <v>0</v>
      </c>
      <c r="BN48" s="82">
        <f t="shared" si="109"/>
        <v>684</v>
      </c>
      <c r="BO48" s="82">
        <f t="shared" si="110"/>
        <v>989</v>
      </c>
      <c r="BP48" s="82">
        <f t="shared" si="111"/>
        <v>12</v>
      </c>
      <c r="BQ48" s="82"/>
      <c r="BR48" s="129">
        <f>SUMIF('Audit HD AR - School Level'!$B$6:B1184, "=" &amp; A48,'Audit HD AR - School Level'!$Q$6:Q1184)</f>
        <v>56.8</v>
      </c>
      <c r="BS48" s="224">
        <f t="shared" si="112"/>
        <v>4254</v>
      </c>
      <c r="BT48" s="126">
        <f t="shared" si="113"/>
        <v>0</v>
      </c>
      <c r="BU48" s="82">
        <f t="shared" si="114"/>
        <v>1872.1</v>
      </c>
    </row>
    <row r="49" spans="1:73">
      <c r="A49" s="1" t="s">
        <v>257</v>
      </c>
      <c r="U49" s="126">
        <v>4414.7</v>
      </c>
      <c r="X49" s="126">
        <v>58</v>
      </c>
      <c r="Y49" s="126">
        <v>4486.8</v>
      </c>
      <c r="Z49" s="126">
        <v>0</v>
      </c>
      <c r="AC49" s="126">
        <v>1038.9000000000001</v>
      </c>
      <c r="AD49" s="126">
        <v>1518</v>
      </c>
      <c r="AE49" s="126">
        <v>4901.3999999999996</v>
      </c>
      <c r="AF49" s="126">
        <v>4584</v>
      </c>
      <c r="AG49" s="126">
        <v>2047</v>
      </c>
      <c r="AI49" s="126">
        <v>0</v>
      </c>
      <c r="AJ49" s="126">
        <v>1591</v>
      </c>
      <c r="AK49" s="132">
        <v>990</v>
      </c>
      <c r="AL49" s="126">
        <v>85</v>
      </c>
      <c r="AO49" s="132">
        <v>0</v>
      </c>
      <c r="AP49" s="126">
        <v>0</v>
      </c>
      <c r="AQ49" s="134">
        <v>0</v>
      </c>
      <c r="AR49" s="132">
        <v>0</v>
      </c>
      <c r="AS49" s="134">
        <v>0</v>
      </c>
      <c r="AT49" s="132">
        <v>0</v>
      </c>
      <c r="AU49" s="132">
        <v>0</v>
      </c>
      <c r="AV49" s="83">
        <v>1123605</v>
      </c>
      <c r="AW49" s="237">
        <v>43523</v>
      </c>
      <c r="AX49" s="233">
        <f t="shared" si="16"/>
        <v>8</v>
      </c>
      <c r="AY49" s="232" t="s">
        <v>3487</v>
      </c>
      <c r="AZ49" s="233" t="b">
        <f t="shared" si="0"/>
        <v>0</v>
      </c>
      <c r="BA49" s="129"/>
      <c r="BB49" s="129"/>
      <c r="BC49" s="129"/>
      <c r="BD49" s="129"/>
      <c r="BE49" s="82">
        <f t="shared" ref="BE49:BE51" si="115">SUM(U49+C49-AO49-AP49-AR49)</f>
        <v>4414.7</v>
      </c>
      <c r="BF49" s="82">
        <f t="shared" ref="BF49:BF51" si="116">SUM(X49+F49)</f>
        <v>58</v>
      </c>
      <c r="BG49" s="82"/>
      <c r="BH49" s="82">
        <f t="shared" ref="BH49:BH51" si="117">SUM(AC49+H49)</f>
        <v>1038.9000000000001</v>
      </c>
      <c r="BI49" s="82">
        <f t="shared" ref="BI49:BI51" si="118">SUM(AD49+I49)</f>
        <v>1518</v>
      </c>
      <c r="BJ49" s="82">
        <f t="shared" ref="BJ49:BJ51" si="119">SUM(AE49+J49)</f>
        <v>4901.3999999999996</v>
      </c>
      <c r="BK49" s="82">
        <f t="shared" ref="BK49:BK51" si="120">SUM(AF49+K49)</f>
        <v>4584</v>
      </c>
      <c r="BL49" s="82">
        <f t="shared" ref="BL49:BL51" si="121">SUM(AG49+L49)</f>
        <v>2047</v>
      </c>
      <c r="BM49" s="82">
        <f t="shared" ref="BM49:BM51" si="122">SUM(AI49+M49)</f>
        <v>0</v>
      </c>
      <c r="BN49" s="82">
        <f t="shared" ref="BN49:BN51" si="123">SUM(AJ49+Q49)</f>
        <v>1591</v>
      </c>
      <c r="BO49" s="82">
        <f t="shared" ref="BO49:BO51" si="124">SUM(AK49+R49)</f>
        <v>990</v>
      </c>
      <c r="BP49" s="82">
        <f t="shared" ref="BP49:BP51" si="125">SUM(AL49+S49)</f>
        <v>85</v>
      </c>
      <c r="BQ49" s="82"/>
      <c r="BR49" s="129">
        <f>SUMIF('Audit HD AR - School Level'!$B$6:B1184, "=" &amp; A49,'Audit HD AR - School Level'!$Q$6:Q1184)</f>
        <v>125.4</v>
      </c>
      <c r="BS49" s="224">
        <f t="shared" ref="BS49:BS51" si="126">SUM(AS49-AQ49)*$BS$2</f>
        <v>0</v>
      </c>
      <c r="BT49" s="126">
        <f t="shared" ref="BT49:BT51" si="127">IF(BS49&lt;0,BS49,0)</f>
        <v>0</v>
      </c>
      <c r="BU49" s="82">
        <f t="shared" ref="BU49:BU51" si="128">SUM(U49-AO49-AP49-AR49)</f>
        <v>4414.7</v>
      </c>
    </row>
    <row r="50" spans="1:73">
      <c r="A50" s="1" t="s">
        <v>275</v>
      </c>
      <c r="U50" s="126">
        <v>335</v>
      </c>
      <c r="X50" s="126">
        <v>3</v>
      </c>
      <c r="Y50" s="126">
        <v>335</v>
      </c>
      <c r="Z50" s="126">
        <v>0</v>
      </c>
      <c r="AC50" s="126">
        <v>126.7</v>
      </c>
      <c r="AD50" s="126">
        <v>1</v>
      </c>
      <c r="AE50" s="126">
        <v>0</v>
      </c>
      <c r="AF50" s="126">
        <v>343</v>
      </c>
      <c r="AG50" s="126">
        <v>127</v>
      </c>
      <c r="AI50" s="126">
        <v>0</v>
      </c>
      <c r="AJ50" s="126">
        <v>52</v>
      </c>
      <c r="AK50" s="132">
        <v>17</v>
      </c>
      <c r="AL50" s="126">
        <v>3</v>
      </c>
      <c r="AO50" s="132">
        <v>0</v>
      </c>
      <c r="AP50" s="126">
        <v>0</v>
      </c>
      <c r="AQ50" s="134">
        <v>0</v>
      </c>
      <c r="AR50" s="132">
        <v>0</v>
      </c>
      <c r="AS50" s="134">
        <v>0</v>
      </c>
      <c r="AT50" s="132">
        <v>0</v>
      </c>
      <c r="AU50" s="132">
        <v>0</v>
      </c>
      <c r="AV50" s="83">
        <v>87965</v>
      </c>
      <c r="AW50" s="237">
        <v>43523</v>
      </c>
      <c r="AX50" s="233">
        <f t="shared" si="16"/>
        <v>8</v>
      </c>
      <c r="AY50" s="232" t="s">
        <v>3487</v>
      </c>
      <c r="AZ50" s="233" t="b">
        <f t="shared" si="0"/>
        <v>0</v>
      </c>
      <c r="BA50" s="129"/>
      <c r="BB50" s="129"/>
      <c r="BC50" s="129"/>
      <c r="BD50" s="129"/>
      <c r="BE50" s="82">
        <f t="shared" si="115"/>
        <v>335</v>
      </c>
      <c r="BF50" s="82">
        <f t="shared" si="116"/>
        <v>3</v>
      </c>
      <c r="BG50" s="82"/>
      <c r="BH50" s="82">
        <f t="shared" si="117"/>
        <v>126.7</v>
      </c>
      <c r="BI50" s="82">
        <f t="shared" si="118"/>
        <v>1</v>
      </c>
      <c r="BJ50" s="82">
        <f t="shared" si="119"/>
        <v>0</v>
      </c>
      <c r="BK50" s="82">
        <f t="shared" si="120"/>
        <v>343</v>
      </c>
      <c r="BL50" s="82">
        <f t="shared" si="121"/>
        <v>127</v>
      </c>
      <c r="BM50" s="82">
        <f t="shared" si="122"/>
        <v>0</v>
      </c>
      <c r="BN50" s="82">
        <f t="shared" si="123"/>
        <v>52</v>
      </c>
      <c r="BO50" s="82">
        <f t="shared" si="124"/>
        <v>17</v>
      </c>
      <c r="BP50" s="82">
        <f t="shared" si="125"/>
        <v>3</v>
      </c>
      <c r="BQ50" s="82"/>
      <c r="BR50" s="129">
        <f>SUMIF('Audit HD AR - School Level'!$B$6:B1184, "=" &amp; A50,'Audit HD AR - School Level'!$Q$6:Q1184)</f>
        <v>2.2000000000000002</v>
      </c>
      <c r="BS50" s="224">
        <f t="shared" si="126"/>
        <v>0</v>
      </c>
      <c r="BT50" s="126">
        <f t="shared" si="127"/>
        <v>0</v>
      </c>
      <c r="BU50" s="82">
        <f t="shared" si="128"/>
        <v>335</v>
      </c>
    </row>
    <row r="51" spans="1:73">
      <c r="A51" s="1" t="s">
        <v>322</v>
      </c>
      <c r="U51" s="126">
        <v>1119.5999999999999</v>
      </c>
      <c r="X51" s="126">
        <v>9.5</v>
      </c>
      <c r="Y51" s="126">
        <v>1085.2</v>
      </c>
      <c r="Z51" s="126">
        <v>0</v>
      </c>
      <c r="AC51" s="126">
        <v>281.7</v>
      </c>
      <c r="AD51" s="126">
        <v>23</v>
      </c>
      <c r="AE51" s="126">
        <v>4.5</v>
      </c>
      <c r="AF51" s="126">
        <v>1146</v>
      </c>
      <c r="AG51" s="126">
        <v>416</v>
      </c>
      <c r="AI51" s="126">
        <v>0</v>
      </c>
      <c r="AJ51" s="126">
        <v>169</v>
      </c>
      <c r="AK51" s="132">
        <v>118</v>
      </c>
      <c r="AL51" s="126">
        <v>12</v>
      </c>
      <c r="AO51" s="132">
        <v>0</v>
      </c>
      <c r="AP51" s="126">
        <v>0</v>
      </c>
      <c r="AQ51" s="134">
        <v>0</v>
      </c>
      <c r="AR51" s="132">
        <v>0</v>
      </c>
      <c r="AS51" s="134">
        <v>0</v>
      </c>
      <c r="AT51" s="132">
        <v>0</v>
      </c>
      <c r="AU51" s="132">
        <v>0</v>
      </c>
      <c r="AV51" s="83">
        <v>311905</v>
      </c>
      <c r="AW51" s="237">
        <v>43523</v>
      </c>
      <c r="AX51" s="233">
        <f t="shared" si="16"/>
        <v>8</v>
      </c>
      <c r="AY51" s="232" t="s">
        <v>3487</v>
      </c>
      <c r="AZ51" s="233" t="b">
        <f t="shared" si="0"/>
        <v>0</v>
      </c>
      <c r="BA51" s="129"/>
      <c r="BB51" s="129"/>
      <c r="BC51" s="129"/>
      <c r="BD51" s="129"/>
      <c r="BE51" s="82">
        <f t="shared" si="115"/>
        <v>1119.5999999999999</v>
      </c>
      <c r="BF51" s="82">
        <f t="shared" si="116"/>
        <v>9.5</v>
      </c>
      <c r="BG51" s="82"/>
      <c r="BH51" s="82">
        <f t="shared" si="117"/>
        <v>281.7</v>
      </c>
      <c r="BI51" s="82">
        <f t="shared" si="118"/>
        <v>23</v>
      </c>
      <c r="BJ51" s="82">
        <f t="shared" si="119"/>
        <v>4.5</v>
      </c>
      <c r="BK51" s="82">
        <f t="shared" si="120"/>
        <v>1146</v>
      </c>
      <c r="BL51" s="82">
        <f t="shared" si="121"/>
        <v>416</v>
      </c>
      <c r="BM51" s="82">
        <f t="shared" si="122"/>
        <v>0</v>
      </c>
      <c r="BN51" s="82">
        <f t="shared" si="123"/>
        <v>169</v>
      </c>
      <c r="BO51" s="82">
        <f t="shared" si="124"/>
        <v>118</v>
      </c>
      <c r="BP51" s="82">
        <f t="shared" si="125"/>
        <v>12</v>
      </c>
      <c r="BQ51" s="82"/>
      <c r="BR51" s="129">
        <f>SUMIF('Audit HD AR - School Level'!$B$6:B1184, "=" &amp; A51,'Audit HD AR - School Level'!$Q$6:Q1184)</f>
        <v>14.3</v>
      </c>
      <c r="BS51" s="224">
        <f t="shared" si="126"/>
        <v>0</v>
      </c>
      <c r="BT51" s="126">
        <f t="shared" si="127"/>
        <v>0</v>
      </c>
      <c r="BU51" s="82">
        <f t="shared" si="128"/>
        <v>1119.5999999999999</v>
      </c>
    </row>
    <row r="52" spans="1:73">
      <c r="A52" s="1" t="s">
        <v>319</v>
      </c>
      <c r="U52" s="126">
        <v>433.7</v>
      </c>
      <c r="X52" s="126">
        <v>0</v>
      </c>
      <c r="Y52" s="126">
        <v>491.5</v>
      </c>
      <c r="Z52" s="126">
        <v>0</v>
      </c>
      <c r="AC52" s="126">
        <v>271.89999999999998</v>
      </c>
      <c r="AD52" s="126">
        <v>0</v>
      </c>
      <c r="AE52" s="126">
        <v>0</v>
      </c>
      <c r="AF52" s="126">
        <v>439</v>
      </c>
      <c r="AG52" s="126">
        <v>110</v>
      </c>
      <c r="AI52" s="126">
        <v>0</v>
      </c>
      <c r="AJ52" s="126">
        <v>335.6</v>
      </c>
      <c r="AK52" s="132">
        <v>11</v>
      </c>
      <c r="AL52" s="126">
        <v>74</v>
      </c>
      <c r="AO52" s="132">
        <v>0</v>
      </c>
      <c r="AP52" s="126">
        <v>0</v>
      </c>
      <c r="AQ52" s="134">
        <v>0</v>
      </c>
      <c r="AR52" s="132">
        <v>0</v>
      </c>
      <c r="AS52" s="134">
        <v>0</v>
      </c>
      <c r="AT52" s="132">
        <v>0</v>
      </c>
      <c r="AU52" s="132">
        <v>0</v>
      </c>
      <c r="AV52" s="83">
        <v>340956</v>
      </c>
      <c r="AW52" s="237">
        <v>43529</v>
      </c>
      <c r="AX52" s="233">
        <f t="shared" si="16"/>
        <v>9</v>
      </c>
      <c r="AY52" s="232" t="s">
        <v>3487</v>
      </c>
      <c r="AZ52" s="233" t="b">
        <f t="shared" si="0"/>
        <v>0</v>
      </c>
      <c r="BA52" s="129"/>
      <c r="BB52" s="129"/>
      <c r="BC52" s="129"/>
      <c r="BD52" s="129"/>
      <c r="BE52" s="82">
        <f t="shared" ref="BE52:BE53" si="129">SUM(U52+C52-AO52-AP52-AR52)</f>
        <v>433.7</v>
      </c>
      <c r="BF52" s="82">
        <f t="shared" ref="BF52:BF53" si="130">SUM(X52+F52)</f>
        <v>0</v>
      </c>
      <c r="BG52" s="82"/>
      <c r="BH52" s="82">
        <f t="shared" ref="BH52:BH53" si="131">SUM(AC52+H52)</f>
        <v>271.89999999999998</v>
      </c>
      <c r="BI52" s="82">
        <f t="shared" ref="BI52:BI53" si="132">SUM(AD52+I52)</f>
        <v>0</v>
      </c>
      <c r="BJ52" s="82">
        <f t="shared" ref="BJ52:BJ53" si="133">SUM(AE52+J52)</f>
        <v>0</v>
      </c>
      <c r="BK52" s="82">
        <f t="shared" ref="BK52:BK53" si="134">SUM(AF52+K52)</f>
        <v>439</v>
      </c>
      <c r="BL52" s="82">
        <f t="shared" ref="BL52:BL53" si="135">SUM(AG52+L52)</f>
        <v>110</v>
      </c>
      <c r="BM52" s="82">
        <f t="shared" ref="BM52:BM53" si="136">SUM(AI52+M52)</f>
        <v>0</v>
      </c>
      <c r="BN52" s="82">
        <f t="shared" ref="BN52:BN53" si="137">SUM(AJ52+Q52)</f>
        <v>335.6</v>
      </c>
      <c r="BO52" s="82">
        <f t="shared" ref="BO52:BO53" si="138">SUM(AK52+R52)</f>
        <v>11</v>
      </c>
      <c r="BP52" s="82">
        <f t="shared" ref="BP52:BP53" si="139">SUM(AL52+S52)</f>
        <v>74</v>
      </c>
      <c r="BQ52" s="82"/>
      <c r="BR52" s="129">
        <f>SUMIF('Audit HD AR - School Level'!$B$6:B1184, "=" &amp; A52,'Audit HD AR - School Level'!$Q$6:Q1184)</f>
        <v>0</v>
      </c>
      <c r="BS52" s="224">
        <f t="shared" ref="BS52:BS53" si="140">SUM(AS52-AQ52)*$BS$2</f>
        <v>0</v>
      </c>
      <c r="BT52" s="126">
        <f t="shared" ref="BT52:BT53" si="141">IF(BS52&lt;0,BS52,0)</f>
        <v>0</v>
      </c>
      <c r="BU52" s="82">
        <f t="shared" ref="BU52:BU53" si="142">SUM(U52-AO52-AP52-AR52)</f>
        <v>433.7</v>
      </c>
    </row>
    <row r="53" spans="1:73">
      <c r="A53" s="1" t="s">
        <v>365</v>
      </c>
      <c r="U53" s="126">
        <v>664.5</v>
      </c>
      <c r="X53" s="126">
        <v>0</v>
      </c>
      <c r="Y53" s="126">
        <v>677.9</v>
      </c>
      <c r="Z53" s="126">
        <v>0</v>
      </c>
      <c r="AC53" s="126">
        <v>194.6</v>
      </c>
      <c r="AD53" s="126">
        <v>5</v>
      </c>
      <c r="AE53" s="126">
        <v>0</v>
      </c>
      <c r="AF53" s="126">
        <v>669</v>
      </c>
      <c r="AG53" s="126">
        <v>142</v>
      </c>
      <c r="AI53" s="126">
        <v>0</v>
      </c>
      <c r="AJ53" s="126">
        <v>392</v>
      </c>
      <c r="AK53" s="132">
        <v>56.7</v>
      </c>
      <c r="AL53" s="126">
        <v>72</v>
      </c>
      <c r="AO53" s="132">
        <v>0</v>
      </c>
      <c r="AP53" s="126">
        <v>0</v>
      </c>
      <c r="AQ53" s="134">
        <v>0</v>
      </c>
      <c r="AR53" s="132">
        <v>0</v>
      </c>
      <c r="AS53" s="134">
        <v>0</v>
      </c>
      <c r="AT53" s="132">
        <v>0</v>
      </c>
      <c r="AU53" s="132">
        <v>0</v>
      </c>
      <c r="AV53" s="83">
        <v>409780</v>
      </c>
      <c r="AW53" s="237">
        <v>43529</v>
      </c>
      <c r="AX53" s="233">
        <f t="shared" si="16"/>
        <v>9</v>
      </c>
      <c r="AY53" s="232" t="s">
        <v>3487</v>
      </c>
      <c r="AZ53" s="233" t="b">
        <f t="shared" si="0"/>
        <v>0</v>
      </c>
      <c r="BA53" s="129"/>
      <c r="BB53" s="129"/>
      <c r="BC53" s="129"/>
      <c r="BD53" s="129"/>
      <c r="BE53" s="82">
        <f t="shared" si="129"/>
        <v>664.5</v>
      </c>
      <c r="BF53" s="82">
        <f t="shared" si="130"/>
        <v>0</v>
      </c>
      <c r="BG53" s="82"/>
      <c r="BH53" s="82">
        <f t="shared" si="131"/>
        <v>194.6</v>
      </c>
      <c r="BI53" s="82">
        <f t="shared" si="132"/>
        <v>5</v>
      </c>
      <c r="BJ53" s="82">
        <f t="shared" si="133"/>
        <v>0</v>
      </c>
      <c r="BK53" s="82">
        <f t="shared" si="134"/>
        <v>669</v>
      </c>
      <c r="BL53" s="82">
        <f t="shared" si="135"/>
        <v>142</v>
      </c>
      <c r="BM53" s="82">
        <f t="shared" si="136"/>
        <v>0</v>
      </c>
      <c r="BN53" s="82">
        <f t="shared" si="137"/>
        <v>392</v>
      </c>
      <c r="BO53" s="82">
        <f t="shared" si="138"/>
        <v>56.7</v>
      </c>
      <c r="BP53" s="82">
        <f t="shared" si="139"/>
        <v>72</v>
      </c>
      <c r="BQ53" s="82"/>
      <c r="BR53" s="129">
        <f>SUMIF('Audit HD AR - School Level'!$B$6:B1184, "=" &amp; A53,'Audit HD AR - School Level'!$Q$6:Q1184)</f>
        <v>0</v>
      </c>
      <c r="BS53" s="224">
        <f t="shared" si="140"/>
        <v>0</v>
      </c>
      <c r="BT53" s="126">
        <f t="shared" si="141"/>
        <v>0</v>
      </c>
      <c r="BU53" s="82">
        <f t="shared" si="142"/>
        <v>664.5</v>
      </c>
    </row>
    <row r="54" spans="1:73">
      <c r="A54" s="1" t="s">
        <v>281</v>
      </c>
      <c r="U54" s="126">
        <v>356</v>
      </c>
      <c r="X54" s="126">
        <v>3</v>
      </c>
      <c r="Y54" s="126">
        <v>353.5</v>
      </c>
      <c r="Z54" s="126">
        <v>0</v>
      </c>
      <c r="AC54" s="126">
        <v>128.5</v>
      </c>
      <c r="AD54" s="126">
        <v>3</v>
      </c>
      <c r="AE54" s="126">
        <v>2</v>
      </c>
      <c r="AF54" s="126">
        <v>364</v>
      </c>
      <c r="AG54" s="126">
        <v>156</v>
      </c>
      <c r="AI54" s="126">
        <v>0</v>
      </c>
      <c r="AJ54" s="126">
        <v>122</v>
      </c>
      <c r="AK54" s="132">
        <v>161</v>
      </c>
      <c r="AL54" s="126">
        <v>68</v>
      </c>
      <c r="AO54" s="132">
        <v>0</v>
      </c>
      <c r="AP54" s="126">
        <v>0</v>
      </c>
      <c r="AQ54" s="134">
        <v>0</v>
      </c>
      <c r="AR54" s="132">
        <v>0</v>
      </c>
      <c r="AS54" s="134">
        <v>0</v>
      </c>
      <c r="AT54" s="132">
        <v>0</v>
      </c>
      <c r="AU54" s="132">
        <v>0</v>
      </c>
      <c r="AV54" s="83">
        <v>285399</v>
      </c>
      <c r="AW54" s="237">
        <v>43529</v>
      </c>
      <c r="AX54" s="233">
        <f t="shared" si="16"/>
        <v>9</v>
      </c>
      <c r="AY54" s="232" t="s">
        <v>3487</v>
      </c>
      <c r="AZ54" s="233" t="b">
        <f t="shared" si="0"/>
        <v>0</v>
      </c>
      <c r="BA54" s="129"/>
      <c r="BB54" s="129"/>
      <c r="BC54" s="129"/>
      <c r="BD54" s="129"/>
      <c r="BE54" s="82">
        <f t="shared" ref="BE54" si="143">SUM(U54+C54-AO54-AP54-AR54)</f>
        <v>356</v>
      </c>
      <c r="BF54" s="82">
        <f t="shared" ref="BF54" si="144">SUM(X54+F54)</f>
        <v>3</v>
      </c>
      <c r="BG54" s="82"/>
      <c r="BH54" s="82">
        <f t="shared" ref="BH54" si="145">SUM(AC54+H54)</f>
        <v>128.5</v>
      </c>
      <c r="BI54" s="82">
        <f t="shared" ref="BI54" si="146">SUM(AD54+I54)</f>
        <v>3</v>
      </c>
      <c r="BJ54" s="82">
        <f t="shared" ref="BJ54" si="147">SUM(AE54+J54)</f>
        <v>2</v>
      </c>
      <c r="BK54" s="82">
        <f t="shared" ref="BK54" si="148">SUM(AF54+K54)</f>
        <v>364</v>
      </c>
      <c r="BL54" s="82">
        <f t="shared" ref="BL54" si="149">SUM(AG54+L54)</f>
        <v>156</v>
      </c>
      <c r="BM54" s="82">
        <f t="shared" ref="BM54" si="150">SUM(AI54+M54)</f>
        <v>0</v>
      </c>
      <c r="BN54" s="82">
        <f t="shared" ref="BN54" si="151">SUM(AJ54+Q54)</f>
        <v>122</v>
      </c>
      <c r="BO54" s="82">
        <f t="shared" ref="BO54" si="152">SUM(AK54+R54)</f>
        <v>161</v>
      </c>
      <c r="BP54" s="82">
        <f t="shared" ref="BP54" si="153">SUM(AL54+S54)</f>
        <v>68</v>
      </c>
      <c r="BQ54" s="82"/>
      <c r="BR54" s="129">
        <f>SUMIF('Audit HD AR - School Level'!$B$6:B1184, "=" &amp; A54,'Audit HD AR - School Level'!$Q$6:Q1184)</f>
        <v>8.6</v>
      </c>
      <c r="BS54" s="224">
        <f t="shared" ref="BS54" si="154">SUM(AS54-AQ54)*$BS$2</f>
        <v>0</v>
      </c>
      <c r="BT54" s="126">
        <f t="shared" ref="BT54" si="155">IF(BS54&lt;0,BS54,0)</f>
        <v>0</v>
      </c>
      <c r="BU54" s="82">
        <f t="shared" ref="BU54" si="156">SUM(U54-AO54-AP54-AR54)</f>
        <v>356</v>
      </c>
    </row>
    <row r="55" spans="1:73">
      <c r="A55" s="1" t="s">
        <v>469</v>
      </c>
      <c r="U55" s="126">
        <v>411.4</v>
      </c>
      <c r="X55" s="126">
        <v>3</v>
      </c>
      <c r="Y55" s="126">
        <v>399.5</v>
      </c>
      <c r="Z55" s="126">
        <v>0</v>
      </c>
      <c r="AC55" s="126">
        <v>134.9</v>
      </c>
      <c r="AD55" s="126">
        <v>0</v>
      </c>
      <c r="AE55" s="126">
        <v>0</v>
      </c>
      <c r="AF55" s="126">
        <v>424</v>
      </c>
      <c r="AG55" s="126">
        <v>138</v>
      </c>
      <c r="AI55" s="126">
        <v>0</v>
      </c>
      <c r="AJ55" s="126">
        <v>253.7</v>
      </c>
      <c r="AK55" s="132">
        <v>26.7</v>
      </c>
      <c r="AL55" s="126">
        <v>14</v>
      </c>
      <c r="AO55" s="132">
        <v>0</v>
      </c>
      <c r="AP55" s="126">
        <v>0</v>
      </c>
      <c r="AQ55" s="134">
        <v>0</v>
      </c>
      <c r="AR55" s="132">
        <v>0</v>
      </c>
      <c r="AS55" s="134">
        <v>0</v>
      </c>
      <c r="AT55" s="132">
        <v>0</v>
      </c>
      <c r="AU55" s="132">
        <v>0</v>
      </c>
      <c r="AV55" s="83">
        <v>177105</v>
      </c>
      <c r="AW55" s="237">
        <v>43529</v>
      </c>
      <c r="AX55" s="233">
        <f t="shared" si="16"/>
        <v>9</v>
      </c>
      <c r="AY55" s="232" t="s">
        <v>3487</v>
      </c>
      <c r="AZ55" s="233" t="b">
        <f t="shared" si="0"/>
        <v>0</v>
      </c>
      <c r="BA55" s="129"/>
      <c r="BB55" s="129"/>
      <c r="BC55" s="129"/>
      <c r="BD55" s="129"/>
      <c r="BE55" s="82">
        <f t="shared" ref="BE55" si="157">SUM(U55+C55-AO55-AP55-AR55)</f>
        <v>411.4</v>
      </c>
      <c r="BF55" s="82">
        <f t="shared" ref="BF55" si="158">SUM(X55+F55)</f>
        <v>3</v>
      </c>
      <c r="BG55" s="82"/>
      <c r="BH55" s="82">
        <f t="shared" ref="BH55" si="159">SUM(AC55+H55)</f>
        <v>134.9</v>
      </c>
      <c r="BI55" s="82">
        <f t="shared" ref="BI55" si="160">SUM(AD55+I55)</f>
        <v>0</v>
      </c>
      <c r="BJ55" s="82">
        <f t="shared" ref="BJ55" si="161">SUM(AE55+J55)</f>
        <v>0</v>
      </c>
      <c r="BK55" s="82">
        <f t="shared" ref="BK55" si="162">SUM(AF55+K55)</f>
        <v>424</v>
      </c>
      <c r="BL55" s="82">
        <f t="shared" ref="BL55" si="163">SUM(AG55+L55)</f>
        <v>138</v>
      </c>
      <c r="BM55" s="82">
        <f t="shared" ref="BM55" si="164">SUM(AI55+M55)</f>
        <v>0</v>
      </c>
      <c r="BN55" s="82">
        <f t="shared" ref="BN55" si="165">SUM(AJ55+Q55)</f>
        <v>253.7</v>
      </c>
      <c r="BO55" s="82">
        <f t="shared" ref="BO55" si="166">SUM(AK55+R55)</f>
        <v>26.7</v>
      </c>
      <c r="BP55" s="82">
        <f t="shared" ref="BP55" si="167">SUM(AL55+S55)</f>
        <v>14</v>
      </c>
      <c r="BQ55" s="82"/>
      <c r="BR55" s="129">
        <f>SUMIF('Audit HD AR - School Level'!$B$6:B1184, "=" &amp; A55,'Audit HD AR - School Level'!$Q$6:Q1184)</f>
        <v>0</v>
      </c>
      <c r="BS55" s="224">
        <f t="shared" ref="BS55" si="168">SUM(AS55-AQ55)*$BS$2</f>
        <v>0</v>
      </c>
      <c r="BT55" s="126">
        <f t="shared" ref="BT55" si="169">IF(BS55&lt;0,BS55,0)</f>
        <v>0</v>
      </c>
      <c r="BU55" s="82">
        <f t="shared" ref="BU55" si="170">SUM(U55-AO55-AP55-AR55)</f>
        <v>411.4</v>
      </c>
    </row>
    <row r="56" spans="1:73">
      <c r="A56" s="1" t="s">
        <v>208</v>
      </c>
      <c r="U56" s="126">
        <v>1072.3</v>
      </c>
      <c r="X56" s="126">
        <v>13.5</v>
      </c>
      <c r="Y56" s="126">
        <v>1100.3</v>
      </c>
      <c r="Z56" s="126">
        <v>0</v>
      </c>
      <c r="AC56" s="126">
        <v>295.60000000000002</v>
      </c>
      <c r="AD56" s="126">
        <v>1</v>
      </c>
      <c r="AE56" s="126">
        <v>0.7</v>
      </c>
      <c r="AF56" s="126">
        <v>1119</v>
      </c>
      <c r="AG56" s="126">
        <v>270</v>
      </c>
      <c r="AI56" s="126">
        <v>0</v>
      </c>
      <c r="AJ56" s="126">
        <v>379</v>
      </c>
      <c r="AK56" s="132">
        <v>62.5</v>
      </c>
      <c r="AL56" s="126">
        <v>108.5</v>
      </c>
      <c r="AO56" s="132">
        <v>0</v>
      </c>
      <c r="AP56" s="126">
        <v>0</v>
      </c>
      <c r="AQ56" s="134">
        <v>0</v>
      </c>
      <c r="AR56" s="132">
        <v>0</v>
      </c>
      <c r="AS56" s="134">
        <v>0</v>
      </c>
      <c r="AT56" s="132">
        <v>0</v>
      </c>
      <c r="AU56" s="132">
        <v>1</v>
      </c>
      <c r="AV56" s="83">
        <v>408316</v>
      </c>
      <c r="AW56" s="237">
        <v>43532</v>
      </c>
      <c r="AX56" s="233">
        <f t="shared" si="16"/>
        <v>10</v>
      </c>
      <c r="AY56" s="232" t="s">
        <v>3487</v>
      </c>
      <c r="AZ56" s="233" t="b">
        <f t="shared" si="0"/>
        <v>0</v>
      </c>
      <c r="BA56" s="129"/>
      <c r="BB56" s="129"/>
      <c r="BC56" s="129"/>
      <c r="BD56" s="129"/>
      <c r="BE56" s="82">
        <f t="shared" ref="BE56:BE59" si="171">SUM(U56+C56-AO56-AP56-AR56)</f>
        <v>1072.3</v>
      </c>
      <c r="BF56" s="82">
        <f t="shared" ref="BF56:BF59" si="172">SUM(X56+F56)</f>
        <v>13.5</v>
      </c>
      <c r="BG56" s="82"/>
      <c r="BH56" s="82">
        <f t="shared" ref="BH56:BH59" si="173">SUM(AC56+H56)</f>
        <v>295.60000000000002</v>
      </c>
      <c r="BI56" s="82">
        <f t="shared" ref="BI56:BI59" si="174">SUM(AD56+I56)</f>
        <v>1</v>
      </c>
      <c r="BJ56" s="82">
        <f t="shared" ref="BJ56:BJ59" si="175">SUM(AE56+J56)</f>
        <v>0.7</v>
      </c>
      <c r="BK56" s="82">
        <f t="shared" ref="BK56:BK59" si="176">SUM(AF56+K56)</f>
        <v>1119</v>
      </c>
      <c r="BL56" s="82">
        <f t="shared" ref="BL56:BL59" si="177">SUM(AG56+L56)</f>
        <v>270</v>
      </c>
      <c r="BM56" s="82">
        <f t="shared" ref="BM56:BM59" si="178">SUM(AI56+M56)</f>
        <v>0</v>
      </c>
      <c r="BN56" s="82">
        <f t="shared" ref="BN56:BN59" si="179">SUM(AJ56+Q56)</f>
        <v>379</v>
      </c>
      <c r="BO56" s="82">
        <f t="shared" ref="BO56:BO59" si="180">SUM(AK56+R56)</f>
        <v>62.5</v>
      </c>
      <c r="BP56" s="82">
        <f t="shared" ref="BP56:BP59" si="181">SUM(AL56+S56)</f>
        <v>108.5</v>
      </c>
      <c r="BQ56" s="82"/>
      <c r="BR56" s="129">
        <f>SUMIF('Audit HD AR - School Level'!$B$6:B1184, "=" &amp; A56,'Audit HD AR - School Level'!$Q$6:Q1184)</f>
        <v>1.3</v>
      </c>
      <c r="BS56" s="224">
        <f t="shared" ref="BS56:BS59" si="182">SUM(AS56-AQ56)*$BS$2</f>
        <v>0</v>
      </c>
      <c r="BT56" s="126">
        <f t="shared" ref="BT56:BT59" si="183">IF(BS56&lt;0,BS56,0)</f>
        <v>0</v>
      </c>
      <c r="BU56" s="82">
        <f t="shared" ref="BU56:BU59" si="184">SUM(U56-AO56-AP56-AR56)</f>
        <v>1072.3</v>
      </c>
    </row>
    <row r="57" spans="1:73">
      <c r="A57" s="1" t="s">
        <v>214</v>
      </c>
      <c r="U57" s="126">
        <v>2677.3</v>
      </c>
      <c r="X57" s="126">
        <v>16.5</v>
      </c>
      <c r="Y57" s="126">
        <v>2647</v>
      </c>
      <c r="Z57" s="126">
        <v>0</v>
      </c>
      <c r="AC57" s="126">
        <v>626.20000000000005</v>
      </c>
      <c r="AD57" s="126">
        <v>154</v>
      </c>
      <c r="AE57" s="126">
        <v>526.79999999999995</v>
      </c>
      <c r="AF57" s="126">
        <v>2636</v>
      </c>
      <c r="AG57" s="126">
        <v>939</v>
      </c>
      <c r="AI57" s="126">
        <v>0</v>
      </c>
      <c r="AJ57" s="126">
        <v>638</v>
      </c>
      <c r="AK57" s="132">
        <v>486.5</v>
      </c>
      <c r="AL57" s="126">
        <v>7</v>
      </c>
      <c r="AO57" s="132">
        <v>43</v>
      </c>
      <c r="AP57" s="126">
        <v>7</v>
      </c>
      <c r="AQ57" s="134">
        <v>44.5</v>
      </c>
      <c r="AR57" s="132">
        <v>36</v>
      </c>
      <c r="AS57" s="134">
        <v>46.5</v>
      </c>
      <c r="AT57" s="132">
        <v>45</v>
      </c>
      <c r="AU57" s="132">
        <v>0</v>
      </c>
      <c r="AV57" s="83">
        <v>395916</v>
      </c>
      <c r="AW57" s="237">
        <v>43532</v>
      </c>
      <c r="AX57" s="233">
        <f t="shared" si="16"/>
        <v>10</v>
      </c>
      <c r="AY57" s="232" t="s">
        <v>3487</v>
      </c>
      <c r="AZ57" s="233" t="b">
        <f t="shared" si="0"/>
        <v>0</v>
      </c>
      <c r="BA57" s="129"/>
      <c r="BB57" s="129"/>
      <c r="BC57" s="129"/>
      <c r="BD57" s="129"/>
      <c r="BE57" s="82">
        <f t="shared" si="171"/>
        <v>2591.3000000000002</v>
      </c>
      <c r="BF57" s="82">
        <f t="shared" si="172"/>
        <v>16.5</v>
      </c>
      <c r="BG57" s="82"/>
      <c r="BH57" s="82">
        <f t="shared" si="173"/>
        <v>626.20000000000005</v>
      </c>
      <c r="BI57" s="82">
        <f t="shared" si="174"/>
        <v>154</v>
      </c>
      <c r="BJ57" s="82">
        <f t="shared" si="175"/>
        <v>526.79999999999995</v>
      </c>
      <c r="BK57" s="82">
        <f t="shared" si="176"/>
        <v>2636</v>
      </c>
      <c r="BL57" s="82">
        <f t="shared" si="177"/>
        <v>939</v>
      </c>
      <c r="BM57" s="82">
        <f t="shared" si="178"/>
        <v>0</v>
      </c>
      <c r="BN57" s="82">
        <f t="shared" si="179"/>
        <v>638</v>
      </c>
      <c r="BO57" s="82">
        <f t="shared" si="180"/>
        <v>486.5</v>
      </c>
      <c r="BP57" s="82">
        <f t="shared" si="181"/>
        <v>7</v>
      </c>
      <c r="BQ57" s="82"/>
      <c r="BR57" s="129">
        <f>SUMIF('Audit HD AR - School Level'!$B$6:B1184, "=" &amp; A57,'Audit HD AR - School Level'!$Q$6:Q1184)</f>
        <v>20</v>
      </c>
      <c r="BS57" s="224">
        <f t="shared" si="182"/>
        <v>1418</v>
      </c>
      <c r="BT57" s="126">
        <f t="shared" si="183"/>
        <v>0</v>
      </c>
      <c r="BU57" s="82">
        <f t="shared" si="184"/>
        <v>2591.3000000000002</v>
      </c>
    </row>
    <row r="58" spans="1:73">
      <c r="A58" s="1" t="s">
        <v>241</v>
      </c>
      <c r="U58" s="126">
        <v>428.5</v>
      </c>
      <c r="X58" s="126">
        <v>6.5</v>
      </c>
      <c r="Y58" s="126">
        <v>436</v>
      </c>
      <c r="Z58" s="126">
        <v>0</v>
      </c>
      <c r="AC58" s="126">
        <v>74.099999999999994</v>
      </c>
      <c r="AD58" s="126">
        <v>0</v>
      </c>
      <c r="AE58" s="126">
        <v>0</v>
      </c>
      <c r="AF58" s="126">
        <v>445</v>
      </c>
      <c r="AG58" s="126">
        <v>165</v>
      </c>
      <c r="AI58" s="126">
        <v>0</v>
      </c>
      <c r="AJ58" s="126">
        <v>274</v>
      </c>
      <c r="AK58" s="132">
        <v>97</v>
      </c>
      <c r="AL58" s="126">
        <v>73</v>
      </c>
      <c r="AO58" s="132">
        <v>0</v>
      </c>
      <c r="AP58" s="126">
        <v>0</v>
      </c>
      <c r="AQ58" s="134">
        <v>0</v>
      </c>
      <c r="AR58" s="132">
        <v>0</v>
      </c>
      <c r="AS58" s="134">
        <v>0</v>
      </c>
      <c r="AT58" s="132">
        <v>0</v>
      </c>
      <c r="AU58" s="132">
        <v>0</v>
      </c>
      <c r="AV58" s="83">
        <v>230413</v>
      </c>
      <c r="AW58" s="237">
        <v>43532</v>
      </c>
      <c r="AX58" s="233">
        <f t="shared" si="16"/>
        <v>10</v>
      </c>
      <c r="AY58" s="232" t="s">
        <v>3487</v>
      </c>
      <c r="AZ58" s="233" t="b">
        <f t="shared" si="0"/>
        <v>0</v>
      </c>
      <c r="BA58" s="129"/>
      <c r="BB58" s="129"/>
      <c r="BC58" s="129"/>
      <c r="BD58" s="129"/>
      <c r="BE58" s="82">
        <f t="shared" si="171"/>
        <v>428.5</v>
      </c>
      <c r="BF58" s="82">
        <f t="shared" si="172"/>
        <v>6.5</v>
      </c>
      <c r="BG58" s="82"/>
      <c r="BH58" s="82">
        <f t="shared" si="173"/>
        <v>74.099999999999994</v>
      </c>
      <c r="BI58" s="82">
        <f t="shared" si="174"/>
        <v>0</v>
      </c>
      <c r="BJ58" s="82">
        <f t="shared" si="175"/>
        <v>0</v>
      </c>
      <c r="BK58" s="82">
        <f t="shared" si="176"/>
        <v>445</v>
      </c>
      <c r="BL58" s="82">
        <f t="shared" si="177"/>
        <v>165</v>
      </c>
      <c r="BM58" s="82">
        <f t="shared" si="178"/>
        <v>0</v>
      </c>
      <c r="BN58" s="82">
        <f t="shared" si="179"/>
        <v>274</v>
      </c>
      <c r="BO58" s="82">
        <f t="shared" si="180"/>
        <v>97</v>
      </c>
      <c r="BP58" s="82">
        <f t="shared" si="181"/>
        <v>73</v>
      </c>
      <c r="BQ58" s="82"/>
      <c r="BR58" s="129">
        <f>SUMIF('Audit HD AR - School Level'!$B$6:B1184, "=" &amp; A58,'Audit HD AR - School Level'!$Q$6:Q1184)</f>
        <v>5.6</v>
      </c>
      <c r="BS58" s="224">
        <f t="shared" si="182"/>
        <v>0</v>
      </c>
      <c r="BT58" s="126">
        <f t="shared" si="183"/>
        <v>0</v>
      </c>
      <c r="BU58" s="82">
        <f t="shared" si="184"/>
        <v>428.5</v>
      </c>
    </row>
    <row r="59" spans="1:73">
      <c r="A59" s="1" t="s">
        <v>366</v>
      </c>
      <c r="U59" s="126">
        <v>1300.4000000000001</v>
      </c>
      <c r="X59" s="126">
        <v>2</v>
      </c>
      <c r="Y59" s="126">
        <v>1331.2</v>
      </c>
      <c r="Z59" s="126">
        <v>0</v>
      </c>
      <c r="AC59" s="126">
        <v>387.9</v>
      </c>
      <c r="AD59" s="126">
        <v>4</v>
      </c>
      <c r="AE59" s="126">
        <v>7.1</v>
      </c>
      <c r="AF59" s="126">
        <v>1313</v>
      </c>
      <c r="AG59" s="126">
        <v>395</v>
      </c>
      <c r="AI59" s="126">
        <v>0</v>
      </c>
      <c r="AJ59" s="126">
        <v>382</v>
      </c>
      <c r="AK59" s="132">
        <v>40</v>
      </c>
      <c r="AL59" s="126">
        <v>0</v>
      </c>
      <c r="AO59" s="132">
        <v>6</v>
      </c>
      <c r="AP59" s="126">
        <v>0.8</v>
      </c>
      <c r="AQ59" s="134">
        <v>12</v>
      </c>
      <c r="AR59" s="132">
        <v>1</v>
      </c>
      <c r="AS59" s="134">
        <v>11.5</v>
      </c>
      <c r="AT59" s="132">
        <v>4</v>
      </c>
      <c r="AU59" s="132">
        <v>0</v>
      </c>
      <c r="AV59" s="83">
        <v>468117</v>
      </c>
      <c r="AW59" s="237">
        <v>43532</v>
      </c>
      <c r="AX59" s="233">
        <f t="shared" si="16"/>
        <v>10</v>
      </c>
      <c r="AY59" s="232" t="s">
        <v>3487</v>
      </c>
      <c r="AZ59" s="233" t="b">
        <f t="shared" si="0"/>
        <v>0</v>
      </c>
      <c r="BA59" s="129"/>
      <c r="BB59" s="129"/>
      <c r="BC59" s="129"/>
      <c r="BD59" s="129"/>
      <c r="BE59" s="82">
        <f t="shared" si="171"/>
        <v>1292.5999999999999</v>
      </c>
      <c r="BF59" s="82">
        <f t="shared" si="172"/>
        <v>2</v>
      </c>
      <c r="BG59" s="82"/>
      <c r="BH59" s="82">
        <f t="shared" si="173"/>
        <v>387.9</v>
      </c>
      <c r="BI59" s="82">
        <f t="shared" si="174"/>
        <v>4</v>
      </c>
      <c r="BJ59" s="82">
        <f t="shared" si="175"/>
        <v>7.1</v>
      </c>
      <c r="BK59" s="82">
        <f t="shared" si="176"/>
        <v>1313</v>
      </c>
      <c r="BL59" s="82">
        <f t="shared" si="177"/>
        <v>395</v>
      </c>
      <c r="BM59" s="82">
        <f t="shared" si="178"/>
        <v>0</v>
      </c>
      <c r="BN59" s="82">
        <f t="shared" si="179"/>
        <v>382</v>
      </c>
      <c r="BO59" s="82">
        <f t="shared" si="180"/>
        <v>40</v>
      </c>
      <c r="BP59" s="82">
        <f t="shared" si="181"/>
        <v>0</v>
      </c>
      <c r="BQ59" s="82"/>
      <c r="BR59" s="129">
        <f>SUMIF('Audit HD AR - School Level'!$B$6:B1184, "=" &amp; A59,'Audit HD AR - School Level'!$Q$6:Q1184)</f>
        <v>0</v>
      </c>
      <c r="BS59" s="224">
        <f t="shared" si="182"/>
        <v>-355</v>
      </c>
      <c r="BT59" s="126">
        <f t="shared" si="183"/>
        <v>-355</v>
      </c>
      <c r="BU59" s="82">
        <f t="shared" si="184"/>
        <v>1292.5999999999999</v>
      </c>
    </row>
    <row r="60" spans="1:73">
      <c r="A60" s="1" t="s">
        <v>437</v>
      </c>
      <c r="U60" s="126">
        <v>689</v>
      </c>
      <c r="X60" s="126">
        <v>10.5</v>
      </c>
      <c r="Y60" s="126">
        <v>691.5</v>
      </c>
      <c r="Z60" s="126">
        <v>0</v>
      </c>
      <c r="AC60" s="126">
        <v>171.3</v>
      </c>
      <c r="AD60" s="126">
        <v>1</v>
      </c>
      <c r="AE60" s="126">
        <v>0</v>
      </c>
      <c r="AF60" s="126">
        <v>716</v>
      </c>
      <c r="AG60" s="126">
        <v>334</v>
      </c>
      <c r="AI60" s="126">
        <v>0</v>
      </c>
      <c r="AJ60" s="126">
        <v>71</v>
      </c>
      <c r="AK60" s="132">
        <v>24</v>
      </c>
      <c r="AL60" s="126">
        <v>39.5</v>
      </c>
      <c r="AO60" s="132">
        <v>0</v>
      </c>
      <c r="AP60" s="126">
        <v>0</v>
      </c>
      <c r="AQ60" s="134">
        <v>0</v>
      </c>
      <c r="AR60" s="132">
        <v>0</v>
      </c>
      <c r="AS60" s="134">
        <v>0</v>
      </c>
      <c r="AT60" s="132">
        <v>0</v>
      </c>
      <c r="AU60" s="132">
        <v>0</v>
      </c>
      <c r="AV60" s="83">
        <v>125855</v>
      </c>
      <c r="AW60" s="237">
        <v>43532</v>
      </c>
      <c r="AX60" s="233">
        <f t="shared" si="16"/>
        <v>10</v>
      </c>
      <c r="AY60" s="232" t="s">
        <v>3487</v>
      </c>
      <c r="AZ60" s="233" t="b">
        <f t="shared" si="0"/>
        <v>0</v>
      </c>
      <c r="BA60" s="129"/>
      <c r="BB60" s="129"/>
      <c r="BC60" s="129"/>
      <c r="BD60" s="129"/>
      <c r="BE60" s="82">
        <f t="shared" ref="BE60" si="185">SUM(U60+C60-AO60-AP60-AR60)</f>
        <v>689</v>
      </c>
      <c r="BF60" s="82">
        <f t="shared" ref="BF60" si="186">SUM(X60+F60)</f>
        <v>10.5</v>
      </c>
      <c r="BG60" s="82"/>
      <c r="BH60" s="82">
        <f t="shared" ref="BH60" si="187">SUM(AC60+H60)</f>
        <v>171.3</v>
      </c>
      <c r="BI60" s="82">
        <f t="shared" ref="BI60" si="188">SUM(AD60+I60)</f>
        <v>1</v>
      </c>
      <c r="BJ60" s="82">
        <f t="shared" ref="BJ60" si="189">SUM(AE60+J60)</f>
        <v>0</v>
      </c>
      <c r="BK60" s="82">
        <f t="shared" ref="BK60" si="190">SUM(AF60+K60)</f>
        <v>716</v>
      </c>
      <c r="BL60" s="82">
        <f t="shared" ref="BL60" si="191">SUM(AG60+L60)</f>
        <v>334</v>
      </c>
      <c r="BM60" s="82">
        <f t="shared" ref="BM60" si="192">SUM(AI60+M60)</f>
        <v>0</v>
      </c>
      <c r="BN60" s="82">
        <f t="shared" ref="BN60" si="193">SUM(AJ60+Q60)</f>
        <v>71</v>
      </c>
      <c r="BO60" s="82">
        <f t="shared" ref="BO60" si="194">SUM(AK60+R60)</f>
        <v>24</v>
      </c>
      <c r="BP60" s="82">
        <f t="shared" ref="BP60" si="195">SUM(AL60+S60)</f>
        <v>39.5</v>
      </c>
      <c r="BQ60" s="82"/>
      <c r="BR60" s="129">
        <f>SUMIF('Audit HD AR - School Level'!$B$6:B1185, "=" &amp; A60,'Audit HD AR - School Level'!$Q$6:Q1185)</f>
        <v>25.1</v>
      </c>
      <c r="BS60" s="224">
        <f t="shared" ref="BS60" si="196">SUM(AS60-AQ60)*$BS$2</f>
        <v>0</v>
      </c>
      <c r="BT60" s="126">
        <f t="shared" ref="BT60" si="197">IF(BS60&lt;0,BS60,0)</f>
        <v>0</v>
      </c>
      <c r="BU60" s="82">
        <f t="shared" ref="BU60" si="198">SUM(U60-AO60-AP60-AR60)</f>
        <v>689</v>
      </c>
    </row>
    <row r="61" spans="1:73">
      <c r="A61" s="1" t="s">
        <v>228</v>
      </c>
      <c r="U61" s="126">
        <v>237.5</v>
      </c>
      <c r="X61" s="126">
        <v>0</v>
      </c>
      <c r="Y61" s="126">
        <v>243.5</v>
      </c>
      <c r="Z61" s="126">
        <v>0</v>
      </c>
      <c r="AC61" s="126">
        <v>0</v>
      </c>
      <c r="AD61" s="126">
        <v>7</v>
      </c>
      <c r="AE61" s="126">
        <v>0</v>
      </c>
      <c r="AF61" s="126">
        <v>240</v>
      </c>
      <c r="AG61" s="126">
        <v>81</v>
      </c>
      <c r="AI61" s="126">
        <v>0</v>
      </c>
      <c r="AJ61" s="126">
        <v>32</v>
      </c>
      <c r="AK61" s="132">
        <v>16</v>
      </c>
      <c r="AL61" s="126">
        <v>57</v>
      </c>
      <c r="AO61" s="132">
        <v>0</v>
      </c>
      <c r="AP61" s="126">
        <v>0</v>
      </c>
      <c r="AQ61" s="134">
        <v>0</v>
      </c>
      <c r="AR61" s="132">
        <v>0</v>
      </c>
      <c r="AS61" s="134">
        <v>0</v>
      </c>
      <c r="AT61" s="132">
        <v>0</v>
      </c>
      <c r="AU61" s="132">
        <v>0</v>
      </c>
      <c r="AV61" s="83">
        <v>72852</v>
      </c>
      <c r="AW61" s="237">
        <v>43537</v>
      </c>
      <c r="AX61" s="233">
        <f t="shared" si="16"/>
        <v>11</v>
      </c>
      <c r="AY61" s="232" t="s">
        <v>3487</v>
      </c>
      <c r="AZ61" s="233" t="b">
        <f t="shared" si="0"/>
        <v>0</v>
      </c>
      <c r="BA61" s="129"/>
      <c r="BB61" s="129"/>
      <c r="BC61" s="129"/>
      <c r="BD61" s="129"/>
      <c r="BE61" s="82">
        <f t="shared" ref="BE61:BE79" si="199">SUM(U61+C61-AO61-AP61-AR61)</f>
        <v>237.5</v>
      </c>
      <c r="BF61" s="82">
        <f t="shared" ref="BF61:BF79" si="200">SUM(X61+F61)</f>
        <v>0</v>
      </c>
      <c r="BG61" s="82"/>
      <c r="BH61" s="82">
        <f t="shared" ref="BH61:BH79" si="201">SUM(AC61+H61)</f>
        <v>0</v>
      </c>
      <c r="BI61" s="82">
        <f t="shared" ref="BI61:BI79" si="202">SUM(AD61+I61)</f>
        <v>7</v>
      </c>
      <c r="BJ61" s="82">
        <f t="shared" ref="BJ61:BJ79" si="203">SUM(AE61+J61)</f>
        <v>0</v>
      </c>
      <c r="BK61" s="82">
        <f t="shared" ref="BK61:BK79" si="204">SUM(AF61+K61)</f>
        <v>240</v>
      </c>
      <c r="BL61" s="82">
        <f t="shared" ref="BL61:BL79" si="205">SUM(AG61+L61)</f>
        <v>81</v>
      </c>
      <c r="BM61" s="82">
        <f t="shared" ref="BM61:BM79" si="206">SUM(AI61+M61)</f>
        <v>0</v>
      </c>
      <c r="BN61" s="82">
        <f t="shared" ref="BN61:BN79" si="207">SUM(AJ61+Q61)</f>
        <v>32</v>
      </c>
      <c r="BO61" s="82">
        <f t="shared" ref="BO61:BO79" si="208">SUM(AK61+R61)</f>
        <v>16</v>
      </c>
      <c r="BP61" s="82">
        <f t="shared" ref="BP61:BP79" si="209">SUM(AL61+S61)</f>
        <v>57</v>
      </c>
      <c r="BQ61" s="82"/>
      <c r="BR61" s="129">
        <f>SUMIF('Audit HD AR - School Level'!$B$6:B1186, "=" &amp; A61,'Audit HD AR - School Level'!$Q$6:Q1186)</f>
        <v>0.3</v>
      </c>
      <c r="BS61" s="224">
        <f t="shared" ref="BS61:BS79" si="210">SUM(AS61-AQ61)*$BS$2</f>
        <v>0</v>
      </c>
      <c r="BT61" s="126">
        <f t="shared" ref="BT61:BT79" si="211">IF(BS61&lt;0,BS61,0)</f>
        <v>0</v>
      </c>
      <c r="BU61" s="82">
        <f t="shared" ref="BU61:BU79" si="212">SUM(U61-AO61-AP61-AR61)</f>
        <v>237.5</v>
      </c>
    </row>
    <row r="62" spans="1:73">
      <c r="A62" s="1" t="s">
        <v>232</v>
      </c>
      <c r="U62" s="126">
        <v>132.5</v>
      </c>
      <c r="X62" s="126">
        <v>2</v>
      </c>
      <c r="Y62" s="126">
        <v>143.5</v>
      </c>
      <c r="Z62" s="126">
        <v>0</v>
      </c>
      <c r="AC62" s="126">
        <v>21.4</v>
      </c>
      <c r="AD62" s="126">
        <v>15</v>
      </c>
      <c r="AE62" s="126">
        <v>19.100000000000001</v>
      </c>
      <c r="AF62" s="126">
        <v>137</v>
      </c>
      <c r="AG62" s="126">
        <v>73</v>
      </c>
      <c r="AI62" s="126">
        <v>0</v>
      </c>
      <c r="AJ62" s="126">
        <v>20</v>
      </c>
      <c r="AK62" s="132">
        <v>2</v>
      </c>
      <c r="AL62" s="126">
        <v>3</v>
      </c>
      <c r="AO62" s="132">
        <v>0</v>
      </c>
      <c r="AP62" s="126">
        <v>0</v>
      </c>
      <c r="AQ62" s="134">
        <v>0</v>
      </c>
      <c r="AR62" s="132">
        <v>0</v>
      </c>
      <c r="AS62" s="134">
        <v>0</v>
      </c>
      <c r="AT62" s="132">
        <v>0</v>
      </c>
      <c r="AU62" s="132">
        <v>0</v>
      </c>
      <c r="AV62" s="83">
        <v>17721</v>
      </c>
      <c r="AW62" s="237">
        <v>43537</v>
      </c>
      <c r="AX62" s="233">
        <f t="shared" si="16"/>
        <v>11</v>
      </c>
      <c r="AY62" s="232" t="s">
        <v>3487</v>
      </c>
      <c r="AZ62" s="233" t="b">
        <f t="shared" si="0"/>
        <v>0</v>
      </c>
      <c r="BA62" s="129"/>
      <c r="BB62" s="129"/>
      <c r="BC62" s="129"/>
      <c r="BD62" s="129"/>
      <c r="BE62" s="82">
        <f t="shared" si="199"/>
        <v>132.5</v>
      </c>
      <c r="BF62" s="82">
        <f t="shared" si="200"/>
        <v>2</v>
      </c>
      <c r="BG62" s="82"/>
      <c r="BH62" s="82">
        <f t="shared" si="201"/>
        <v>21.4</v>
      </c>
      <c r="BI62" s="82">
        <f t="shared" si="202"/>
        <v>15</v>
      </c>
      <c r="BJ62" s="82">
        <f t="shared" si="203"/>
        <v>19.100000000000001</v>
      </c>
      <c r="BK62" s="82">
        <f t="shared" si="204"/>
        <v>137</v>
      </c>
      <c r="BL62" s="82">
        <f t="shared" si="205"/>
        <v>73</v>
      </c>
      <c r="BM62" s="82">
        <f t="shared" si="206"/>
        <v>0</v>
      </c>
      <c r="BN62" s="82">
        <f t="shared" si="207"/>
        <v>20</v>
      </c>
      <c r="BO62" s="82">
        <f t="shared" si="208"/>
        <v>2</v>
      </c>
      <c r="BP62" s="82">
        <f t="shared" si="209"/>
        <v>3</v>
      </c>
      <c r="BQ62" s="82"/>
      <c r="BR62" s="129">
        <f>SUMIF('Audit HD AR - School Level'!$B$6:B1187, "=" &amp; A62,'Audit HD AR - School Level'!$Q$6:Q1187)</f>
        <v>7.3</v>
      </c>
      <c r="BS62" s="224">
        <f t="shared" si="210"/>
        <v>0</v>
      </c>
      <c r="BT62" s="126">
        <f t="shared" si="211"/>
        <v>0</v>
      </c>
      <c r="BU62" s="82">
        <f t="shared" si="212"/>
        <v>132.5</v>
      </c>
    </row>
    <row r="63" spans="1:73">
      <c r="A63" s="1" t="s">
        <v>238</v>
      </c>
      <c r="U63" s="126">
        <v>7274.7</v>
      </c>
      <c r="X63" s="126">
        <v>12</v>
      </c>
      <c r="Y63" s="126">
        <v>7214.5</v>
      </c>
      <c r="Z63" s="126">
        <v>0</v>
      </c>
      <c r="AC63" s="126">
        <v>1764.9</v>
      </c>
      <c r="AD63" s="126">
        <v>214</v>
      </c>
      <c r="AE63" s="126">
        <v>915.4</v>
      </c>
      <c r="AF63" s="126">
        <v>7341</v>
      </c>
      <c r="AG63" s="126">
        <v>566</v>
      </c>
      <c r="AI63" s="126">
        <v>0</v>
      </c>
      <c r="AJ63" s="126">
        <v>1874</v>
      </c>
      <c r="AK63" s="132">
        <v>517</v>
      </c>
      <c r="AL63" s="126">
        <v>0</v>
      </c>
      <c r="AO63" s="132">
        <v>9</v>
      </c>
      <c r="AP63" s="126">
        <v>2</v>
      </c>
      <c r="AQ63" s="134">
        <v>0</v>
      </c>
      <c r="AR63" s="132">
        <v>1</v>
      </c>
      <c r="AS63" s="134">
        <v>0</v>
      </c>
      <c r="AT63" s="132">
        <v>0</v>
      </c>
      <c r="AU63" s="132">
        <v>0</v>
      </c>
      <c r="AV63" s="83">
        <v>1944536</v>
      </c>
      <c r="AW63" s="237">
        <v>43537</v>
      </c>
      <c r="AX63" s="233">
        <f t="shared" si="16"/>
        <v>11</v>
      </c>
      <c r="AY63" s="232" t="s">
        <v>3487</v>
      </c>
      <c r="AZ63" s="233" t="b">
        <f t="shared" si="0"/>
        <v>0</v>
      </c>
      <c r="BA63" s="129"/>
      <c r="BB63" s="129"/>
      <c r="BC63" s="129"/>
      <c r="BD63" s="129"/>
      <c r="BE63" s="82">
        <f t="shared" si="199"/>
        <v>7262.7</v>
      </c>
      <c r="BF63" s="82">
        <f t="shared" si="200"/>
        <v>12</v>
      </c>
      <c r="BG63" s="82"/>
      <c r="BH63" s="82">
        <f t="shared" si="201"/>
        <v>1764.9</v>
      </c>
      <c r="BI63" s="82">
        <f t="shared" si="202"/>
        <v>214</v>
      </c>
      <c r="BJ63" s="82">
        <f t="shared" si="203"/>
        <v>915.4</v>
      </c>
      <c r="BK63" s="82">
        <f t="shared" si="204"/>
        <v>7341</v>
      </c>
      <c r="BL63" s="82">
        <f t="shared" si="205"/>
        <v>566</v>
      </c>
      <c r="BM63" s="82">
        <f t="shared" si="206"/>
        <v>0</v>
      </c>
      <c r="BN63" s="82">
        <f t="shared" si="207"/>
        <v>1874</v>
      </c>
      <c r="BO63" s="82">
        <f t="shared" si="208"/>
        <v>517</v>
      </c>
      <c r="BP63" s="82">
        <f t="shared" si="209"/>
        <v>0</v>
      </c>
      <c r="BQ63" s="82"/>
      <c r="BR63" s="129">
        <f>SUMIF('Audit HD AR - School Level'!$B$6:B1187, "=" &amp; A63,'Audit HD AR - School Level'!$Q$6:Q1187)</f>
        <v>0</v>
      </c>
      <c r="BS63" s="224">
        <f t="shared" si="210"/>
        <v>0</v>
      </c>
      <c r="BT63" s="126">
        <f t="shared" si="211"/>
        <v>0</v>
      </c>
      <c r="BU63" s="82">
        <f t="shared" si="212"/>
        <v>7262.7</v>
      </c>
    </row>
    <row r="64" spans="1:73">
      <c r="A64" s="1" t="s">
        <v>250</v>
      </c>
      <c r="U64" s="126">
        <v>440.5</v>
      </c>
      <c r="X64" s="126">
        <v>7</v>
      </c>
      <c r="Y64" s="126">
        <v>470</v>
      </c>
      <c r="Z64" s="126">
        <v>0</v>
      </c>
      <c r="AC64" s="126">
        <v>61.3</v>
      </c>
      <c r="AD64" s="126">
        <v>0</v>
      </c>
      <c r="AE64" s="126">
        <v>0</v>
      </c>
      <c r="AF64" s="126">
        <v>455</v>
      </c>
      <c r="AG64" s="126">
        <v>252</v>
      </c>
      <c r="AI64" s="126">
        <v>0</v>
      </c>
      <c r="AJ64" s="126">
        <v>179</v>
      </c>
      <c r="AK64" s="132">
        <v>40.5</v>
      </c>
      <c r="AL64" s="126">
        <v>3.5</v>
      </c>
      <c r="AO64" s="132">
        <v>2</v>
      </c>
      <c r="AP64" s="126">
        <v>0</v>
      </c>
      <c r="AQ64" s="134">
        <v>2</v>
      </c>
      <c r="AR64" s="132">
        <v>0</v>
      </c>
      <c r="AS64" s="134">
        <v>2</v>
      </c>
      <c r="AT64" s="132">
        <v>7</v>
      </c>
      <c r="AU64" s="132">
        <v>0</v>
      </c>
      <c r="AV64" s="83">
        <v>162888</v>
      </c>
      <c r="AW64" s="237">
        <v>43537</v>
      </c>
      <c r="AX64" s="233">
        <f t="shared" si="16"/>
        <v>11</v>
      </c>
      <c r="AY64" s="232" t="s">
        <v>3487</v>
      </c>
      <c r="AZ64" s="233" t="b">
        <f t="shared" si="0"/>
        <v>0</v>
      </c>
      <c r="BA64" s="129"/>
      <c r="BB64" s="129"/>
      <c r="BC64" s="129"/>
      <c r="BD64" s="129"/>
      <c r="BE64" s="82">
        <f t="shared" si="199"/>
        <v>438.5</v>
      </c>
      <c r="BF64" s="82">
        <f t="shared" si="200"/>
        <v>7</v>
      </c>
      <c r="BG64" s="82"/>
      <c r="BH64" s="82">
        <f t="shared" si="201"/>
        <v>61.3</v>
      </c>
      <c r="BI64" s="82">
        <f t="shared" si="202"/>
        <v>0</v>
      </c>
      <c r="BJ64" s="82">
        <f t="shared" si="203"/>
        <v>0</v>
      </c>
      <c r="BK64" s="82">
        <f t="shared" si="204"/>
        <v>455</v>
      </c>
      <c r="BL64" s="82">
        <f t="shared" si="205"/>
        <v>252</v>
      </c>
      <c r="BM64" s="82">
        <f t="shared" si="206"/>
        <v>0</v>
      </c>
      <c r="BN64" s="82">
        <f t="shared" si="207"/>
        <v>179</v>
      </c>
      <c r="BO64" s="82">
        <f t="shared" si="208"/>
        <v>40.5</v>
      </c>
      <c r="BP64" s="82">
        <f t="shared" si="209"/>
        <v>3.5</v>
      </c>
      <c r="BQ64" s="82"/>
      <c r="BR64" s="129">
        <f>SUMIF('Audit HD AR - School Level'!$B$6:B1188, "=" &amp; A64,'Audit HD AR - School Level'!$Q$6:Q1188)</f>
        <v>24.5</v>
      </c>
      <c r="BS64" s="224">
        <f t="shared" si="210"/>
        <v>0</v>
      </c>
      <c r="BT64" s="126">
        <f t="shared" si="211"/>
        <v>0</v>
      </c>
      <c r="BU64" s="82">
        <f t="shared" si="212"/>
        <v>438.5</v>
      </c>
    </row>
    <row r="65" spans="1:73">
      <c r="A65" s="1" t="s">
        <v>251</v>
      </c>
      <c r="U65" s="126">
        <v>472.1</v>
      </c>
      <c r="X65" s="126">
        <v>5</v>
      </c>
      <c r="Y65" s="126">
        <v>489</v>
      </c>
      <c r="Z65" s="126">
        <v>0</v>
      </c>
      <c r="AC65" s="126">
        <v>209.8</v>
      </c>
      <c r="AD65" s="126">
        <v>0</v>
      </c>
      <c r="AE65" s="126">
        <v>0</v>
      </c>
      <c r="AF65" s="126">
        <v>483</v>
      </c>
      <c r="AG65" s="126">
        <v>256</v>
      </c>
      <c r="AI65" s="126">
        <v>0</v>
      </c>
      <c r="AJ65" s="126">
        <v>257</v>
      </c>
      <c r="AK65" s="132">
        <v>49</v>
      </c>
      <c r="AL65" s="126">
        <v>75</v>
      </c>
      <c r="AO65" s="132">
        <v>3</v>
      </c>
      <c r="AP65" s="126">
        <v>0</v>
      </c>
      <c r="AQ65" s="134">
        <v>0</v>
      </c>
      <c r="AR65" s="132">
        <v>0</v>
      </c>
      <c r="AS65" s="134">
        <v>0</v>
      </c>
      <c r="AT65" s="132">
        <v>0</v>
      </c>
      <c r="AU65" s="132">
        <v>0</v>
      </c>
      <c r="AV65" s="83">
        <v>341777</v>
      </c>
      <c r="AW65" s="237">
        <v>43537</v>
      </c>
      <c r="AX65" s="233">
        <f t="shared" si="16"/>
        <v>11</v>
      </c>
      <c r="AY65" s="232" t="s">
        <v>3487</v>
      </c>
      <c r="AZ65" s="233" t="b">
        <f t="shared" si="0"/>
        <v>0</v>
      </c>
      <c r="BA65" s="129"/>
      <c r="BB65" s="129"/>
      <c r="BC65" s="129"/>
      <c r="BD65" s="129"/>
      <c r="BE65" s="82">
        <f t="shared" si="199"/>
        <v>469.1</v>
      </c>
      <c r="BF65" s="82">
        <f t="shared" si="200"/>
        <v>5</v>
      </c>
      <c r="BG65" s="82"/>
      <c r="BH65" s="82">
        <f t="shared" si="201"/>
        <v>209.8</v>
      </c>
      <c r="BI65" s="82">
        <f t="shared" si="202"/>
        <v>0</v>
      </c>
      <c r="BJ65" s="82">
        <f t="shared" si="203"/>
        <v>0</v>
      </c>
      <c r="BK65" s="82">
        <f t="shared" si="204"/>
        <v>483</v>
      </c>
      <c r="BL65" s="82">
        <f t="shared" si="205"/>
        <v>256</v>
      </c>
      <c r="BM65" s="82">
        <f t="shared" si="206"/>
        <v>0</v>
      </c>
      <c r="BN65" s="82">
        <f t="shared" si="207"/>
        <v>257</v>
      </c>
      <c r="BO65" s="82">
        <f t="shared" si="208"/>
        <v>49</v>
      </c>
      <c r="BP65" s="82">
        <f t="shared" si="209"/>
        <v>75</v>
      </c>
      <c r="BQ65" s="82"/>
      <c r="BR65" s="129">
        <f>SUMIF('Audit HD AR - School Level'!$B$6:B1189, "=" &amp; A65,'Audit HD AR - School Level'!$Q$6:Q1189)</f>
        <v>14.9</v>
      </c>
      <c r="BS65" s="224">
        <f t="shared" si="210"/>
        <v>0</v>
      </c>
      <c r="BT65" s="126">
        <f t="shared" si="211"/>
        <v>0</v>
      </c>
      <c r="BU65" s="82">
        <f t="shared" si="212"/>
        <v>469.1</v>
      </c>
    </row>
    <row r="66" spans="1:73">
      <c r="A66" s="1" t="s">
        <v>252</v>
      </c>
      <c r="U66" s="126">
        <v>1006.5</v>
      </c>
      <c r="X66" s="126">
        <v>10.5</v>
      </c>
      <c r="Y66" s="126">
        <v>1013.5</v>
      </c>
      <c r="Z66" s="126">
        <v>0</v>
      </c>
      <c r="AC66" s="126">
        <v>141.30000000000001</v>
      </c>
      <c r="AD66" s="126">
        <v>21</v>
      </c>
      <c r="AE66" s="126">
        <v>35.299999999999997</v>
      </c>
      <c r="AF66" s="126">
        <v>1036</v>
      </c>
      <c r="AG66" s="126">
        <v>367</v>
      </c>
      <c r="AI66" s="126">
        <v>0</v>
      </c>
      <c r="AJ66" s="126">
        <v>307</v>
      </c>
      <c r="AK66" s="132">
        <v>104</v>
      </c>
      <c r="AL66" s="126">
        <v>72</v>
      </c>
      <c r="AO66" s="132">
        <v>0</v>
      </c>
      <c r="AP66" s="126">
        <v>1.5</v>
      </c>
      <c r="AQ66" s="134">
        <v>0</v>
      </c>
      <c r="AR66" s="132">
        <v>0</v>
      </c>
      <c r="AS66" s="134">
        <v>0</v>
      </c>
      <c r="AT66" s="132">
        <v>0</v>
      </c>
      <c r="AU66" s="132">
        <v>0</v>
      </c>
      <c r="AV66" s="83">
        <v>479437</v>
      </c>
      <c r="AW66" s="237">
        <v>43537</v>
      </c>
      <c r="AX66" s="233">
        <f t="shared" si="16"/>
        <v>11</v>
      </c>
      <c r="AY66" s="232" t="s">
        <v>3487</v>
      </c>
      <c r="AZ66" s="233" t="b">
        <f t="shared" ref="AZ66:AZ129" si="213">COUNTIF(A:A,A66)&gt;1</f>
        <v>0</v>
      </c>
      <c r="BA66" s="129"/>
      <c r="BB66" s="129"/>
      <c r="BC66" s="129"/>
      <c r="BD66" s="129"/>
      <c r="BE66" s="82">
        <f t="shared" si="199"/>
        <v>1005</v>
      </c>
      <c r="BF66" s="82">
        <f t="shared" si="200"/>
        <v>10.5</v>
      </c>
      <c r="BG66" s="82"/>
      <c r="BH66" s="82">
        <f t="shared" si="201"/>
        <v>141.30000000000001</v>
      </c>
      <c r="BI66" s="82">
        <f t="shared" si="202"/>
        <v>21</v>
      </c>
      <c r="BJ66" s="82">
        <f t="shared" si="203"/>
        <v>35.299999999999997</v>
      </c>
      <c r="BK66" s="82">
        <f t="shared" si="204"/>
        <v>1036</v>
      </c>
      <c r="BL66" s="82">
        <f t="shared" si="205"/>
        <v>367</v>
      </c>
      <c r="BM66" s="82">
        <f t="shared" si="206"/>
        <v>0</v>
      </c>
      <c r="BN66" s="82">
        <f t="shared" si="207"/>
        <v>307</v>
      </c>
      <c r="BO66" s="82">
        <f t="shared" si="208"/>
        <v>104</v>
      </c>
      <c r="BP66" s="82">
        <f t="shared" si="209"/>
        <v>72</v>
      </c>
      <c r="BQ66" s="82"/>
      <c r="BR66" s="129">
        <f>SUMIF('Audit HD AR - School Level'!$B$6:B1190, "=" &amp; A66,'Audit HD AR - School Level'!$Q$6:Q1190)</f>
        <v>5.3</v>
      </c>
      <c r="BS66" s="224">
        <f t="shared" si="210"/>
        <v>0</v>
      </c>
      <c r="BT66" s="126">
        <f t="shared" si="211"/>
        <v>0</v>
      </c>
      <c r="BU66" s="82">
        <f t="shared" si="212"/>
        <v>1005</v>
      </c>
    </row>
    <row r="67" spans="1:73">
      <c r="A67" s="1" t="s">
        <v>256</v>
      </c>
      <c r="U67" s="126">
        <v>461.1</v>
      </c>
      <c r="X67" s="126">
        <v>6.5</v>
      </c>
      <c r="Y67" s="126">
        <v>487</v>
      </c>
      <c r="Z67" s="126">
        <v>0</v>
      </c>
      <c r="AC67" s="126">
        <v>186.5</v>
      </c>
      <c r="AD67" s="126">
        <v>0</v>
      </c>
      <c r="AE67" s="126">
        <v>0</v>
      </c>
      <c r="AF67" s="126">
        <v>475</v>
      </c>
      <c r="AG67" s="126">
        <v>161</v>
      </c>
      <c r="AI67" s="126">
        <v>0</v>
      </c>
      <c r="AJ67" s="126">
        <v>186</v>
      </c>
      <c r="AK67" s="132">
        <v>90</v>
      </c>
      <c r="AL67" s="126">
        <v>75</v>
      </c>
      <c r="AO67" s="132">
        <v>0</v>
      </c>
      <c r="AP67" s="126">
        <v>0</v>
      </c>
      <c r="AQ67" s="134">
        <v>0</v>
      </c>
      <c r="AR67" s="132">
        <v>0</v>
      </c>
      <c r="AS67" s="134">
        <v>0</v>
      </c>
      <c r="AT67" s="132">
        <v>0</v>
      </c>
      <c r="AU67" s="132">
        <v>1</v>
      </c>
      <c r="AV67" s="83">
        <v>267509</v>
      </c>
      <c r="AW67" s="237">
        <v>43537</v>
      </c>
      <c r="AX67" s="233">
        <f t="shared" si="16"/>
        <v>11</v>
      </c>
      <c r="AY67" s="232" t="s">
        <v>3487</v>
      </c>
      <c r="AZ67" s="233" t="b">
        <f t="shared" si="213"/>
        <v>0</v>
      </c>
      <c r="BA67" s="129"/>
      <c r="BB67" s="129"/>
      <c r="BC67" s="129"/>
      <c r="BD67" s="129"/>
      <c r="BE67" s="82">
        <f t="shared" si="199"/>
        <v>461.1</v>
      </c>
      <c r="BF67" s="82">
        <f t="shared" si="200"/>
        <v>6.5</v>
      </c>
      <c r="BG67" s="82"/>
      <c r="BH67" s="82">
        <f t="shared" si="201"/>
        <v>186.5</v>
      </c>
      <c r="BI67" s="82">
        <f t="shared" si="202"/>
        <v>0</v>
      </c>
      <c r="BJ67" s="82">
        <f t="shared" si="203"/>
        <v>0</v>
      </c>
      <c r="BK67" s="82">
        <f t="shared" si="204"/>
        <v>475</v>
      </c>
      <c r="BL67" s="82">
        <f t="shared" si="205"/>
        <v>161</v>
      </c>
      <c r="BM67" s="82">
        <f t="shared" si="206"/>
        <v>0</v>
      </c>
      <c r="BN67" s="82">
        <f t="shared" si="207"/>
        <v>186</v>
      </c>
      <c r="BO67" s="82">
        <f t="shared" si="208"/>
        <v>90</v>
      </c>
      <c r="BP67" s="82">
        <f t="shared" si="209"/>
        <v>75</v>
      </c>
      <c r="BQ67" s="82"/>
      <c r="BR67" s="129">
        <f>SUMIF('Audit HD AR - School Level'!$B$6:B1191, "=" &amp; A67,'Audit HD AR - School Level'!$Q$6:Q1191)</f>
        <v>10.199999999999999</v>
      </c>
      <c r="BS67" s="224">
        <f t="shared" si="210"/>
        <v>0</v>
      </c>
      <c r="BT67" s="126">
        <f t="shared" si="211"/>
        <v>0</v>
      </c>
      <c r="BU67" s="82">
        <f t="shared" si="212"/>
        <v>461.1</v>
      </c>
    </row>
    <row r="68" spans="1:73">
      <c r="A68" s="1" t="s">
        <v>258</v>
      </c>
      <c r="U68" s="126">
        <v>476.5</v>
      </c>
      <c r="X68" s="126">
        <v>3.5</v>
      </c>
      <c r="Y68" s="126">
        <v>470</v>
      </c>
      <c r="Z68" s="126">
        <v>0</v>
      </c>
      <c r="AC68" s="126">
        <v>116.1</v>
      </c>
      <c r="AD68" s="126">
        <v>4</v>
      </c>
      <c r="AE68" s="126">
        <v>6.8</v>
      </c>
      <c r="AF68" s="126">
        <v>492</v>
      </c>
      <c r="AG68" s="126">
        <v>173</v>
      </c>
      <c r="AI68" s="126">
        <v>0</v>
      </c>
      <c r="AJ68" s="126">
        <v>131</v>
      </c>
      <c r="AK68" s="132">
        <v>17</v>
      </c>
      <c r="AL68" s="126">
        <v>6</v>
      </c>
      <c r="AO68" s="132">
        <v>0</v>
      </c>
      <c r="AP68" s="126">
        <v>0</v>
      </c>
      <c r="AQ68" s="134">
        <v>0</v>
      </c>
      <c r="AR68" s="132">
        <v>0</v>
      </c>
      <c r="AS68" s="134">
        <v>0</v>
      </c>
      <c r="AT68" s="132">
        <v>0</v>
      </c>
      <c r="AU68" s="132">
        <v>0</v>
      </c>
      <c r="AV68" s="83">
        <v>238617</v>
      </c>
      <c r="AW68" s="237">
        <v>43537</v>
      </c>
      <c r="AX68" s="233">
        <f t="shared" si="16"/>
        <v>11</v>
      </c>
      <c r="AY68" s="232" t="s">
        <v>3487</v>
      </c>
      <c r="AZ68" s="233" t="b">
        <f t="shared" si="213"/>
        <v>0</v>
      </c>
      <c r="BA68" s="129"/>
      <c r="BB68" s="129"/>
      <c r="BC68" s="129"/>
      <c r="BD68" s="129"/>
      <c r="BE68" s="82">
        <f t="shared" si="199"/>
        <v>476.5</v>
      </c>
      <c r="BF68" s="82">
        <f t="shared" si="200"/>
        <v>3.5</v>
      </c>
      <c r="BG68" s="82"/>
      <c r="BH68" s="82">
        <f t="shared" si="201"/>
        <v>116.1</v>
      </c>
      <c r="BI68" s="82">
        <f t="shared" si="202"/>
        <v>4</v>
      </c>
      <c r="BJ68" s="82">
        <f t="shared" si="203"/>
        <v>6.8</v>
      </c>
      <c r="BK68" s="82">
        <f t="shared" si="204"/>
        <v>492</v>
      </c>
      <c r="BL68" s="82">
        <f t="shared" si="205"/>
        <v>173</v>
      </c>
      <c r="BM68" s="82">
        <f t="shared" si="206"/>
        <v>0</v>
      </c>
      <c r="BN68" s="82">
        <f t="shared" si="207"/>
        <v>131</v>
      </c>
      <c r="BO68" s="82">
        <f t="shared" si="208"/>
        <v>17</v>
      </c>
      <c r="BP68" s="82">
        <f t="shared" si="209"/>
        <v>6</v>
      </c>
      <c r="BQ68" s="82"/>
      <c r="BR68" s="129">
        <f>SUMIF('Audit HD AR - School Level'!$B$6:B1192, "=" &amp; A68,'Audit HD AR - School Level'!$Q$6:Q1192)</f>
        <v>5.4</v>
      </c>
      <c r="BS68" s="224">
        <f t="shared" si="210"/>
        <v>0</v>
      </c>
      <c r="BT68" s="126">
        <f t="shared" si="211"/>
        <v>0</v>
      </c>
      <c r="BU68" s="82">
        <f t="shared" si="212"/>
        <v>476.5</v>
      </c>
    </row>
    <row r="69" spans="1:73">
      <c r="A69" s="1" t="s">
        <v>272</v>
      </c>
      <c r="U69" s="126">
        <v>749.7</v>
      </c>
      <c r="X69" s="126">
        <v>16</v>
      </c>
      <c r="Y69" s="126">
        <v>791.2</v>
      </c>
      <c r="Z69" s="126">
        <v>0</v>
      </c>
      <c r="AC69" s="126">
        <v>294.5</v>
      </c>
      <c r="AD69" s="126">
        <v>0</v>
      </c>
      <c r="AE69" s="126">
        <v>0</v>
      </c>
      <c r="AF69" s="126">
        <v>784</v>
      </c>
      <c r="AG69" s="126">
        <v>125</v>
      </c>
      <c r="AI69" s="126">
        <v>0</v>
      </c>
      <c r="AJ69" s="126">
        <v>183</v>
      </c>
      <c r="AK69" s="132">
        <v>118</v>
      </c>
      <c r="AL69" s="126">
        <v>67</v>
      </c>
      <c r="AO69" s="132">
        <v>0</v>
      </c>
      <c r="AP69" s="126">
        <v>0</v>
      </c>
      <c r="AQ69" s="134">
        <v>0</v>
      </c>
      <c r="AR69" s="132">
        <v>0</v>
      </c>
      <c r="AS69" s="134">
        <v>0</v>
      </c>
      <c r="AT69" s="132">
        <v>0</v>
      </c>
      <c r="AU69" s="132">
        <v>0</v>
      </c>
      <c r="AV69" s="83">
        <v>194326</v>
      </c>
      <c r="AW69" s="237">
        <v>43537</v>
      </c>
      <c r="AX69" s="233">
        <f t="shared" ref="AX69:AX132" si="214">IF(AW69=AW68,AX68,AX68+1)</f>
        <v>11</v>
      </c>
      <c r="AY69" s="232" t="s">
        <v>3487</v>
      </c>
      <c r="AZ69" s="233" t="b">
        <f t="shared" si="213"/>
        <v>0</v>
      </c>
      <c r="BA69" s="129"/>
      <c r="BB69" s="129"/>
      <c r="BC69" s="129"/>
      <c r="BD69" s="129"/>
      <c r="BE69" s="82">
        <f t="shared" si="199"/>
        <v>749.7</v>
      </c>
      <c r="BF69" s="82">
        <f t="shared" si="200"/>
        <v>16</v>
      </c>
      <c r="BG69" s="82"/>
      <c r="BH69" s="82">
        <f t="shared" si="201"/>
        <v>294.5</v>
      </c>
      <c r="BI69" s="82">
        <f t="shared" si="202"/>
        <v>0</v>
      </c>
      <c r="BJ69" s="82">
        <f t="shared" si="203"/>
        <v>0</v>
      </c>
      <c r="BK69" s="82">
        <f t="shared" si="204"/>
        <v>784</v>
      </c>
      <c r="BL69" s="82">
        <f t="shared" si="205"/>
        <v>125</v>
      </c>
      <c r="BM69" s="82">
        <f t="shared" si="206"/>
        <v>0</v>
      </c>
      <c r="BN69" s="82">
        <f t="shared" si="207"/>
        <v>183</v>
      </c>
      <c r="BO69" s="82">
        <f t="shared" si="208"/>
        <v>118</v>
      </c>
      <c r="BP69" s="82">
        <f t="shared" si="209"/>
        <v>67</v>
      </c>
      <c r="BQ69" s="82"/>
      <c r="BR69" s="129">
        <f>SUMIF('Audit HD AR - School Level'!$B$6:B1193, "=" &amp; A69,'Audit HD AR - School Level'!$Q$6:Q1193)</f>
        <v>0</v>
      </c>
      <c r="BS69" s="224">
        <f t="shared" si="210"/>
        <v>0</v>
      </c>
      <c r="BT69" s="126">
        <f t="shared" si="211"/>
        <v>0</v>
      </c>
      <c r="BU69" s="82">
        <f t="shared" si="212"/>
        <v>749.7</v>
      </c>
    </row>
    <row r="70" spans="1:73">
      <c r="A70" s="1" t="s">
        <v>321</v>
      </c>
      <c r="U70" s="126">
        <v>169.5</v>
      </c>
      <c r="X70" s="126">
        <v>1.5</v>
      </c>
      <c r="Y70" s="126">
        <v>160</v>
      </c>
      <c r="Z70" s="126">
        <v>0</v>
      </c>
      <c r="AC70" s="126">
        <v>20.6</v>
      </c>
      <c r="AD70" s="126">
        <v>0</v>
      </c>
      <c r="AE70" s="126">
        <v>0</v>
      </c>
      <c r="AF70" s="126">
        <v>177</v>
      </c>
      <c r="AG70" s="126">
        <v>48</v>
      </c>
      <c r="AI70" s="126">
        <v>0</v>
      </c>
      <c r="AJ70" s="126">
        <v>57</v>
      </c>
      <c r="AK70" s="132">
        <v>1</v>
      </c>
      <c r="AL70" s="126">
        <v>6</v>
      </c>
      <c r="AO70" s="132">
        <v>0</v>
      </c>
      <c r="AP70" s="126">
        <v>0</v>
      </c>
      <c r="AQ70" s="134">
        <v>0</v>
      </c>
      <c r="AR70" s="132">
        <v>0</v>
      </c>
      <c r="AS70" s="134">
        <v>0</v>
      </c>
      <c r="AT70" s="132">
        <v>0</v>
      </c>
      <c r="AU70" s="132">
        <v>0</v>
      </c>
      <c r="AV70" s="83">
        <v>96703</v>
      </c>
      <c r="AW70" s="237">
        <v>43537</v>
      </c>
      <c r="AX70" s="233">
        <f t="shared" si="214"/>
        <v>11</v>
      </c>
      <c r="AY70" s="232" t="s">
        <v>3487</v>
      </c>
      <c r="AZ70" s="233" t="b">
        <f t="shared" si="213"/>
        <v>0</v>
      </c>
      <c r="BA70" s="129"/>
      <c r="BB70" s="129"/>
      <c r="BC70" s="129"/>
      <c r="BD70" s="129"/>
      <c r="BE70" s="82">
        <f t="shared" si="199"/>
        <v>169.5</v>
      </c>
      <c r="BF70" s="82">
        <f t="shared" si="200"/>
        <v>1.5</v>
      </c>
      <c r="BG70" s="82"/>
      <c r="BH70" s="82">
        <f t="shared" si="201"/>
        <v>20.6</v>
      </c>
      <c r="BI70" s="82">
        <f t="shared" si="202"/>
        <v>0</v>
      </c>
      <c r="BJ70" s="82">
        <f t="shared" si="203"/>
        <v>0</v>
      </c>
      <c r="BK70" s="82">
        <f t="shared" si="204"/>
        <v>177</v>
      </c>
      <c r="BL70" s="82">
        <f t="shared" si="205"/>
        <v>48</v>
      </c>
      <c r="BM70" s="82">
        <f t="shared" si="206"/>
        <v>0</v>
      </c>
      <c r="BN70" s="82">
        <f t="shared" si="207"/>
        <v>57</v>
      </c>
      <c r="BO70" s="82">
        <f t="shared" si="208"/>
        <v>1</v>
      </c>
      <c r="BP70" s="82">
        <f t="shared" si="209"/>
        <v>6</v>
      </c>
      <c r="BQ70" s="82"/>
      <c r="BR70" s="129">
        <f>SUMIF('Audit HD AR - School Level'!$B$6:B1195, "=" &amp; A70,'Audit HD AR - School Level'!$Q$6:Q1195)</f>
        <v>1</v>
      </c>
      <c r="BS70" s="224">
        <f t="shared" si="210"/>
        <v>0</v>
      </c>
      <c r="BT70" s="126">
        <f t="shared" si="211"/>
        <v>0</v>
      </c>
      <c r="BU70" s="82">
        <f t="shared" si="212"/>
        <v>169.5</v>
      </c>
    </row>
    <row r="71" spans="1:73">
      <c r="A71" s="1" t="s">
        <v>325</v>
      </c>
      <c r="U71" s="126">
        <v>1142</v>
      </c>
      <c r="X71" s="126">
        <v>3.5</v>
      </c>
      <c r="Y71" s="126">
        <v>1092.5</v>
      </c>
      <c r="Z71" s="126">
        <v>0</v>
      </c>
      <c r="AC71" s="126">
        <v>350</v>
      </c>
      <c r="AD71" s="126">
        <v>37</v>
      </c>
      <c r="AE71" s="126">
        <v>57</v>
      </c>
      <c r="AF71" s="126">
        <v>1091</v>
      </c>
      <c r="AG71" s="126">
        <v>347</v>
      </c>
      <c r="AI71" s="126">
        <v>0</v>
      </c>
      <c r="AJ71" s="126">
        <v>355</v>
      </c>
      <c r="AK71" s="132">
        <v>1</v>
      </c>
      <c r="AL71" s="126">
        <v>14</v>
      </c>
      <c r="AO71" s="132">
        <v>7</v>
      </c>
      <c r="AP71" s="126">
        <v>0</v>
      </c>
      <c r="AQ71" s="134">
        <v>198.5</v>
      </c>
      <c r="AR71" s="132">
        <v>59</v>
      </c>
      <c r="AS71" s="134">
        <v>198</v>
      </c>
      <c r="AT71" s="132">
        <v>180</v>
      </c>
      <c r="AU71" s="132">
        <v>0</v>
      </c>
      <c r="AV71" s="83">
        <v>364940</v>
      </c>
      <c r="AW71" s="237">
        <v>43537</v>
      </c>
      <c r="AX71" s="233">
        <f t="shared" si="214"/>
        <v>11</v>
      </c>
      <c r="AY71" s="232" t="s">
        <v>3487</v>
      </c>
      <c r="AZ71" s="233" t="b">
        <f t="shared" si="213"/>
        <v>0</v>
      </c>
      <c r="BA71" s="129"/>
      <c r="BB71" s="129"/>
      <c r="BC71" s="129"/>
      <c r="BD71" s="129"/>
      <c r="BE71" s="82">
        <f t="shared" si="199"/>
        <v>1076</v>
      </c>
      <c r="BF71" s="82">
        <f t="shared" si="200"/>
        <v>3.5</v>
      </c>
      <c r="BG71" s="82"/>
      <c r="BH71" s="82">
        <f t="shared" si="201"/>
        <v>350</v>
      </c>
      <c r="BI71" s="82">
        <f t="shared" si="202"/>
        <v>37</v>
      </c>
      <c r="BJ71" s="82">
        <f t="shared" si="203"/>
        <v>57</v>
      </c>
      <c r="BK71" s="82">
        <f t="shared" si="204"/>
        <v>1091</v>
      </c>
      <c r="BL71" s="82">
        <f t="shared" si="205"/>
        <v>347</v>
      </c>
      <c r="BM71" s="82">
        <f t="shared" si="206"/>
        <v>0</v>
      </c>
      <c r="BN71" s="82">
        <f t="shared" si="207"/>
        <v>355</v>
      </c>
      <c r="BO71" s="82">
        <f t="shared" si="208"/>
        <v>1</v>
      </c>
      <c r="BP71" s="82">
        <f t="shared" si="209"/>
        <v>14</v>
      </c>
      <c r="BQ71" s="82"/>
      <c r="BR71" s="129">
        <f>SUMIF('Audit HD AR - School Level'!$B$6:B1196, "=" &amp; A71,'Audit HD AR - School Level'!$Q$6:Q1196)</f>
        <v>0.1</v>
      </c>
      <c r="BS71" s="224">
        <f t="shared" si="210"/>
        <v>-355</v>
      </c>
      <c r="BT71" s="126">
        <f t="shared" si="211"/>
        <v>-355</v>
      </c>
      <c r="BU71" s="82">
        <f t="shared" si="212"/>
        <v>1076</v>
      </c>
    </row>
    <row r="72" spans="1:73">
      <c r="A72" s="1" t="s">
        <v>330</v>
      </c>
      <c r="U72" s="126">
        <v>579</v>
      </c>
      <c r="X72" s="126">
        <v>9.5</v>
      </c>
      <c r="Y72" s="126">
        <v>590</v>
      </c>
      <c r="Z72" s="126">
        <v>0</v>
      </c>
      <c r="AC72" s="126">
        <v>108.1</v>
      </c>
      <c r="AD72" s="126">
        <v>0</v>
      </c>
      <c r="AE72" s="126">
        <v>0</v>
      </c>
      <c r="AF72" s="126">
        <v>603</v>
      </c>
      <c r="AG72" s="126">
        <v>251</v>
      </c>
      <c r="AI72" s="126">
        <v>0</v>
      </c>
      <c r="AJ72" s="126">
        <v>286</v>
      </c>
      <c r="AK72" s="132">
        <v>59</v>
      </c>
      <c r="AL72" s="126">
        <v>20</v>
      </c>
      <c r="AO72" s="132">
        <v>0</v>
      </c>
      <c r="AP72" s="126">
        <v>0</v>
      </c>
      <c r="AQ72" s="134">
        <v>0</v>
      </c>
      <c r="AR72" s="132">
        <v>0</v>
      </c>
      <c r="AS72" s="134">
        <v>0</v>
      </c>
      <c r="AT72" s="132">
        <v>0</v>
      </c>
      <c r="AU72" s="132">
        <v>0</v>
      </c>
      <c r="AV72" s="83">
        <v>412138</v>
      </c>
      <c r="AW72" s="237">
        <v>43537</v>
      </c>
      <c r="AX72" s="233">
        <f t="shared" si="214"/>
        <v>11</v>
      </c>
      <c r="AY72" s="232" t="s">
        <v>3487</v>
      </c>
      <c r="AZ72" s="233" t="b">
        <f t="shared" si="213"/>
        <v>0</v>
      </c>
      <c r="BA72" s="129"/>
      <c r="BB72" s="129"/>
      <c r="BC72" s="129"/>
      <c r="BD72" s="129"/>
      <c r="BE72" s="82">
        <f t="shared" si="199"/>
        <v>579</v>
      </c>
      <c r="BF72" s="82">
        <f t="shared" si="200"/>
        <v>9.5</v>
      </c>
      <c r="BG72" s="82"/>
      <c r="BH72" s="82">
        <f t="shared" si="201"/>
        <v>108.1</v>
      </c>
      <c r="BI72" s="82">
        <f t="shared" si="202"/>
        <v>0</v>
      </c>
      <c r="BJ72" s="82">
        <f t="shared" si="203"/>
        <v>0</v>
      </c>
      <c r="BK72" s="82">
        <f t="shared" si="204"/>
        <v>603</v>
      </c>
      <c r="BL72" s="82">
        <f t="shared" si="205"/>
        <v>251</v>
      </c>
      <c r="BM72" s="82">
        <f t="shared" si="206"/>
        <v>0</v>
      </c>
      <c r="BN72" s="82">
        <f t="shared" si="207"/>
        <v>286</v>
      </c>
      <c r="BO72" s="82">
        <f t="shared" si="208"/>
        <v>59</v>
      </c>
      <c r="BP72" s="82">
        <f t="shared" si="209"/>
        <v>20</v>
      </c>
      <c r="BQ72" s="82"/>
      <c r="BR72" s="129">
        <f>SUMIF('Audit HD AR - School Level'!$B$6:B1197, "=" &amp; A72,'Audit HD AR - School Level'!$Q$6:Q1197)</f>
        <v>12.1</v>
      </c>
      <c r="BS72" s="224">
        <f t="shared" si="210"/>
        <v>0</v>
      </c>
      <c r="BT72" s="126">
        <f t="shared" si="211"/>
        <v>0</v>
      </c>
      <c r="BU72" s="82">
        <f t="shared" si="212"/>
        <v>579</v>
      </c>
    </row>
    <row r="73" spans="1:73">
      <c r="A73" s="1" t="s">
        <v>334</v>
      </c>
      <c r="U73" s="126">
        <v>3824.3</v>
      </c>
      <c r="X73" s="126">
        <v>30</v>
      </c>
      <c r="Y73" s="126">
        <v>3864.3</v>
      </c>
      <c r="Z73" s="126">
        <v>0</v>
      </c>
      <c r="AC73" s="126">
        <v>1140</v>
      </c>
      <c r="AD73" s="126">
        <v>29</v>
      </c>
      <c r="AE73" s="126">
        <v>22.8</v>
      </c>
      <c r="AF73" s="126">
        <v>3901</v>
      </c>
      <c r="AG73" s="126">
        <v>1015</v>
      </c>
      <c r="AI73" s="126">
        <v>0</v>
      </c>
      <c r="AJ73" s="126">
        <v>1880.2</v>
      </c>
      <c r="AK73" s="132">
        <v>1557</v>
      </c>
      <c r="AL73" s="126">
        <v>27</v>
      </c>
      <c r="AO73" s="132">
        <v>2</v>
      </c>
      <c r="AP73" s="126">
        <v>0</v>
      </c>
      <c r="AQ73" s="134">
        <v>20</v>
      </c>
      <c r="AR73" s="132">
        <v>19</v>
      </c>
      <c r="AS73" s="134">
        <v>29</v>
      </c>
      <c r="AT73" s="132">
        <v>29.5</v>
      </c>
      <c r="AU73" s="132">
        <v>0</v>
      </c>
      <c r="AV73" s="83">
        <v>1469837</v>
      </c>
      <c r="AW73" s="237">
        <v>43537</v>
      </c>
      <c r="AX73" s="233">
        <f t="shared" si="214"/>
        <v>11</v>
      </c>
      <c r="AY73" s="232" t="s">
        <v>3487</v>
      </c>
      <c r="AZ73" s="233" t="b">
        <f t="shared" si="213"/>
        <v>0</v>
      </c>
      <c r="BA73" s="129"/>
      <c r="BB73" s="129"/>
      <c r="BC73" s="129"/>
      <c r="BD73" s="129"/>
      <c r="BE73" s="82">
        <f t="shared" si="199"/>
        <v>3803.3</v>
      </c>
      <c r="BF73" s="82">
        <f t="shared" si="200"/>
        <v>30</v>
      </c>
      <c r="BG73" s="82"/>
      <c r="BH73" s="82">
        <f t="shared" si="201"/>
        <v>1140</v>
      </c>
      <c r="BI73" s="82">
        <f t="shared" si="202"/>
        <v>29</v>
      </c>
      <c r="BJ73" s="82">
        <f t="shared" si="203"/>
        <v>22.8</v>
      </c>
      <c r="BK73" s="82">
        <f t="shared" si="204"/>
        <v>3901</v>
      </c>
      <c r="BL73" s="82">
        <f t="shared" si="205"/>
        <v>1015</v>
      </c>
      <c r="BM73" s="82">
        <f t="shared" si="206"/>
        <v>0</v>
      </c>
      <c r="BN73" s="82">
        <f t="shared" si="207"/>
        <v>1880.2</v>
      </c>
      <c r="BO73" s="82">
        <f t="shared" si="208"/>
        <v>1557</v>
      </c>
      <c r="BP73" s="82">
        <f t="shared" si="209"/>
        <v>27</v>
      </c>
      <c r="BQ73" s="82"/>
      <c r="BR73" s="129">
        <f>SUMIF('Audit HD AR - School Level'!$B$6:B1198, "=" &amp; A73,'Audit HD AR - School Level'!$Q$6:Q1198)</f>
        <v>33.5</v>
      </c>
      <c r="BS73" s="224">
        <f t="shared" si="210"/>
        <v>6381</v>
      </c>
      <c r="BT73" s="126">
        <f t="shared" si="211"/>
        <v>0</v>
      </c>
      <c r="BU73" s="82">
        <f t="shared" si="212"/>
        <v>3803.3</v>
      </c>
    </row>
    <row r="74" spans="1:73">
      <c r="A74" s="1" t="s">
        <v>350</v>
      </c>
      <c r="U74" s="126">
        <v>858.6</v>
      </c>
      <c r="X74" s="126">
        <v>0</v>
      </c>
      <c r="Y74" s="126">
        <v>907.4</v>
      </c>
      <c r="Z74" s="126">
        <v>0</v>
      </c>
      <c r="AC74" s="126">
        <v>208.9</v>
      </c>
      <c r="AD74" s="126">
        <v>9</v>
      </c>
      <c r="AE74" s="126">
        <v>2</v>
      </c>
      <c r="AF74" s="126">
        <v>870</v>
      </c>
      <c r="AG74" s="126">
        <v>313</v>
      </c>
      <c r="AI74" s="126">
        <v>0</v>
      </c>
      <c r="AJ74" s="126">
        <v>626</v>
      </c>
      <c r="AK74" s="132">
        <v>12</v>
      </c>
      <c r="AL74" s="126">
        <v>4</v>
      </c>
      <c r="AO74" s="132">
        <v>0</v>
      </c>
      <c r="AP74" s="126">
        <v>0.2</v>
      </c>
      <c r="AQ74" s="134">
        <v>0</v>
      </c>
      <c r="AR74" s="132">
        <v>0</v>
      </c>
      <c r="AS74" s="134">
        <v>0</v>
      </c>
      <c r="AT74" s="132">
        <v>0</v>
      </c>
      <c r="AU74" s="132">
        <v>0</v>
      </c>
      <c r="AV74" s="83">
        <v>417841</v>
      </c>
      <c r="AW74" s="237">
        <v>43537</v>
      </c>
      <c r="AX74" s="233">
        <f t="shared" si="214"/>
        <v>11</v>
      </c>
      <c r="AY74" s="232" t="s">
        <v>3487</v>
      </c>
      <c r="AZ74" s="233" t="b">
        <f t="shared" si="213"/>
        <v>0</v>
      </c>
      <c r="BA74" s="129"/>
      <c r="BB74" s="129"/>
      <c r="BC74" s="129"/>
      <c r="BD74" s="129"/>
      <c r="BE74" s="82">
        <f t="shared" si="199"/>
        <v>858.4</v>
      </c>
      <c r="BF74" s="82">
        <f t="shared" si="200"/>
        <v>0</v>
      </c>
      <c r="BG74" s="82"/>
      <c r="BH74" s="82">
        <f t="shared" si="201"/>
        <v>208.9</v>
      </c>
      <c r="BI74" s="82">
        <f t="shared" si="202"/>
        <v>9</v>
      </c>
      <c r="BJ74" s="82">
        <f t="shared" si="203"/>
        <v>2</v>
      </c>
      <c r="BK74" s="82">
        <f t="shared" si="204"/>
        <v>870</v>
      </c>
      <c r="BL74" s="82">
        <f t="shared" si="205"/>
        <v>313</v>
      </c>
      <c r="BM74" s="82">
        <f t="shared" si="206"/>
        <v>0</v>
      </c>
      <c r="BN74" s="82">
        <f t="shared" si="207"/>
        <v>626</v>
      </c>
      <c r="BO74" s="82">
        <f t="shared" si="208"/>
        <v>12</v>
      </c>
      <c r="BP74" s="82">
        <f t="shared" si="209"/>
        <v>4</v>
      </c>
      <c r="BQ74" s="82"/>
      <c r="BR74" s="129">
        <f>SUMIF('Audit HD AR - School Level'!$B$6:B1200, "=" &amp; A74,'Audit HD AR - School Level'!$Q$6:Q1200)</f>
        <v>8.3000000000000007</v>
      </c>
      <c r="BS74" s="224">
        <f t="shared" si="210"/>
        <v>0</v>
      </c>
      <c r="BT74" s="126">
        <f t="shared" si="211"/>
        <v>0</v>
      </c>
      <c r="BU74" s="82">
        <f t="shared" si="212"/>
        <v>858.4</v>
      </c>
    </row>
    <row r="75" spans="1:73">
      <c r="A75" s="1" t="s">
        <v>353</v>
      </c>
      <c r="U75" s="126">
        <v>979</v>
      </c>
      <c r="X75" s="126">
        <v>6</v>
      </c>
      <c r="Y75" s="126">
        <v>1003.5</v>
      </c>
      <c r="Z75" s="126">
        <v>0</v>
      </c>
      <c r="AC75" s="126">
        <v>218.9</v>
      </c>
      <c r="AD75" s="126">
        <v>0</v>
      </c>
      <c r="AE75" s="126">
        <v>0</v>
      </c>
      <c r="AF75" s="126">
        <v>998</v>
      </c>
      <c r="AG75" s="126">
        <v>363</v>
      </c>
      <c r="AI75" s="126">
        <v>0</v>
      </c>
      <c r="AJ75" s="126">
        <v>342</v>
      </c>
      <c r="AK75" s="132">
        <v>79</v>
      </c>
      <c r="AL75" s="126">
        <v>42</v>
      </c>
      <c r="AO75" s="132">
        <v>1</v>
      </c>
      <c r="AP75" s="126">
        <v>1.2</v>
      </c>
      <c r="AQ75" s="134">
        <v>0</v>
      </c>
      <c r="AR75" s="132">
        <v>0</v>
      </c>
      <c r="AS75" s="134">
        <v>0</v>
      </c>
      <c r="AT75" s="132">
        <v>0</v>
      </c>
      <c r="AU75" s="132">
        <v>0</v>
      </c>
      <c r="AV75" s="83">
        <v>612108</v>
      </c>
      <c r="AW75" s="237">
        <v>43537</v>
      </c>
      <c r="AX75" s="233">
        <f t="shared" si="214"/>
        <v>11</v>
      </c>
      <c r="AY75" s="232" t="s">
        <v>3487</v>
      </c>
      <c r="AZ75" s="233" t="b">
        <f t="shared" si="213"/>
        <v>0</v>
      </c>
      <c r="BA75" s="129"/>
      <c r="BB75" s="129"/>
      <c r="BC75" s="129"/>
      <c r="BD75" s="129"/>
      <c r="BE75" s="82">
        <f t="shared" si="199"/>
        <v>976.8</v>
      </c>
      <c r="BF75" s="82">
        <f t="shared" si="200"/>
        <v>6</v>
      </c>
      <c r="BG75" s="82"/>
      <c r="BH75" s="82">
        <f t="shared" si="201"/>
        <v>218.9</v>
      </c>
      <c r="BI75" s="82">
        <f t="shared" si="202"/>
        <v>0</v>
      </c>
      <c r="BJ75" s="82">
        <f t="shared" si="203"/>
        <v>0</v>
      </c>
      <c r="BK75" s="82">
        <f t="shared" si="204"/>
        <v>998</v>
      </c>
      <c r="BL75" s="82">
        <f t="shared" si="205"/>
        <v>363</v>
      </c>
      <c r="BM75" s="82">
        <f t="shared" si="206"/>
        <v>0</v>
      </c>
      <c r="BN75" s="82">
        <f t="shared" si="207"/>
        <v>342</v>
      </c>
      <c r="BO75" s="82">
        <f t="shared" si="208"/>
        <v>79</v>
      </c>
      <c r="BP75" s="82">
        <f t="shared" si="209"/>
        <v>42</v>
      </c>
      <c r="BQ75" s="82"/>
      <c r="BR75" s="129">
        <f>SUMIF('Audit HD AR - School Level'!$B$6:B1201, "=" &amp; A75,'Audit HD AR - School Level'!$Q$6:Q1201)</f>
        <v>11.3</v>
      </c>
      <c r="BS75" s="224">
        <f t="shared" si="210"/>
        <v>0</v>
      </c>
      <c r="BT75" s="126">
        <f t="shared" si="211"/>
        <v>0</v>
      </c>
      <c r="BU75" s="82">
        <f t="shared" si="212"/>
        <v>976.8</v>
      </c>
    </row>
    <row r="76" spans="1:73">
      <c r="A76" s="1" t="s">
        <v>374</v>
      </c>
      <c r="U76" s="126">
        <v>170.5</v>
      </c>
      <c r="X76" s="126">
        <v>1.5</v>
      </c>
      <c r="Y76" s="126">
        <v>171</v>
      </c>
      <c r="Z76" s="126">
        <v>0</v>
      </c>
      <c r="AC76" s="126">
        <v>24.9</v>
      </c>
      <c r="AD76" s="126">
        <v>0</v>
      </c>
      <c r="AE76" s="126">
        <v>0</v>
      </c>
      <c r="AF76" s="126">
        <v>176</v>
      </c>
      <c r="AG76" s="126">
        <v>88</v>
      </c>
      <c r="AI76" s="126">
        <v>0</v>
      </c>
      <c r="AJ76" s="126">
        <v>113</v>
      </c>
      <c r="AK76" s="132">
        <v>40</v>
      </c>
      <c r="AL76" s="126">
        <v>23</v>
      </c>
      <c r="AO76" s="132">
        <v>0</v>
      </c>
      <c r="AP76" s="126">
        <v>0</v>
      </c>
      <c r="AQ76" s="134">
        <v>0</v>
      </c>
      <c r="AR76" s="132">
        <v>0</v>
      </c>
      <c r="AS76" s="134">
        <v>0</v>
      </c>
      <c r="AT76" s="132">
        <v>0</v>
      </c>
      <c r="AU76" s="132">
        <v>0</v>
      </c>
      <c r="AV76" s="83">
        <v>123034</v>
      </c>
      <c r="AW76" s="237">
        <v>43537</v>
      </c>
      <c r="AX76" s="233">
        <f t="shared" si="214"/>
        <v>11</v>
      </c>
      <c r="AY76" s="232" t="s">
        <v>3487</v>
      </c>
      <c r="AZ76" s="233" t="b">
        <f t="shared" si="213"/>
        <v>0</v>
      </c>
      <c r="BA76" s="129"/>
      <c r="BB76" s="129"/>
      <c r="BC76" s="129"/>
      <c r="BD76" s="129"/>
      <c r="BE76" s="82">
        <f t="shared" si="199"/>
        <v>170.5</v>
      </c>
      <c r="BF76" s="82">
        <f t="shared" si="200"/>
        <v>1.5</v>
      </c>
      <c r="BG76" s="82"/>
      <c r="BH76" s="82">
        <f t="shared" si="201"/>
        <v>24.9</v>
      </c>
      <c r="BI76" s="82">
        <f t="shared" si="202"/>
        <v>0</v>
      </c>
      <c r="BJ76" s="82">
        <f t="shared" si="203"/>
        <v>0</v>
      </c>
      <c r="BK76" s="82">
        <f t="shared" si="204"/>
        <v>176</v>
      </c>
      <c r="BL76" s="82">
        <f t="shared" si="205"/>
        <v>88</v>
      </c>
      <c r="BM76" s="82">
        <f t="shared" si="206"/>
        <v>0</v>
      </c>
      <c r="BN76" s="82">
        <f t="shared" si="207"/>
        <v>113</v>
      </c>
      <c r="BO76" s="82">
        <f t="shared" si="208"/>
        <v>40</v>
      </c>
      <c r="BP76" s="82">
        <f t="shared" si="209"/>
        <v>23</v>
      </c>
      <c r="BQ76" s="82"/>
      <c r="BR76" s="129">
        <f>SUMIF('Audit HD AR - School Level'!$B$6:B1202, "=" &amp; A76,'Audit HD AR - School Level'!$Q$6:Q1202)</f>
        <v>7.7</v>
      </c>
      <c r="BS76" s="224">
        <f t="shared" si="210"/>
        <v>0</v>
      </c>
      <c r="BT76" s="126">
        <f t="shared" si="211"/>
        <v>0</v>
      </c>
      <c r="BU76" s="82">
        <f t="shared" si="212"/>
        <v>170.5</v>
      </c>
    </row>
    <row r="77" spans="1:73">
      <c r="A77" s="1" t="s">
        <v>400</v>
      </c>
      <c r="U77" s="126">
        <v>1698.5</v>
      </c>
      <c r="X77" s="126">
        <v>0</v>
      </c>
      <c r="Y77" s="126">
        <v>1688.5</v>
      </c>
      <c r="Z77" s="126">
        <v>0</v>
      </c>
      <c r="AC77" s="126">
        <v>401.6</v>
      </c>
      <c r="AD77" s="126">
        <v>29</v>
      </c>
      <c r="AE77" s="126">
        <v>62.4</v>
      </c>
      <c r="AF77" s="126">
        <v>1699</v>
      </c>
      <c r="AG77" s="126">
        <v>265</v>
      </c>
      <c r="AI77" s="126">
        <v>0</v>
      </c>
      <c r="AJ77" s="126">
        <v>667</v>
      </c>
      <c r="AK77" s="132">
        <v>947</v>
      </c>
      <c r="AL77" s="126">
        <v>6</v>
      </c>
      <c r="AO77" s="132">
        <v>14</v>
      </c>
      <c r="AP77" s="126">
        <v>2.7</v>
      </c>
      <c r="AQ77" s="134">
        <v>7</v>
      </c>
      <c r="AR77" s="132">
        <v>0</v>
      </c>
      <c r="AS77" s="134">
        <v>5</v>
      </c>
      <c r="AT77" s="132">
        <v>0</v>
      </c>
      <c r="AU77" s="132">
        <v>0</v>
      </c>
      <c r="AV77" s="83">
        <v>322350</v>
      </c>
      <c r="AW77" s="237">
        <v>43537</v>
      </c>
      <c r="AX77" s="233">
        <f t="shared" si="214"/>
        <v>11</v>
      </c>
      <c r="AY77" s="232" t="s">
        <v>3487</v>
      </c>
      <c r="AZ77" s="233" t="b">
        <f t="shared" si="213"/>
        <v>0</v>
      </c>
      <c r="BA77" s="129"/>
      <c r="BB77" s="129"/>
      <c r="BC77" s="129"/>
      <c r="BD77" s="129"/>
      <c r="BE77" s="82">
        <f t="shared" si="199"/>
        <v>1681.8</v>
      </c>
      <c r="BF77" s="82">
        <f t="shared" si="200"/>
        <v>0</v>
      </c>
      <c r="BG77" s="82"/>
      <c r="BH77" s="82">
        <f t="shared" si="201"/>
        <v>401.6</v>
      </c>
      <c r="BI77" s="82">
        <f t="shared" si="202"/>
        <v>29</v>
      </c>
      <c r="BJ77" s="82">
        <f t="shared" si="203"/>
        <v>62.4</v>
      </c>
      <c r="BK77" s="82">
        <f t="shared" si="204"/>
        <v>1699</v>
      </c>
      <c r="BL77" s="82">
        <f t="shared" si="205"/>
        <v>265</v>
      </c>
      <c r="BM77" s="82">
        <f t="shared" si="206"/>
        <v>0</v>
      </c>
      <c r="BN77" s="82">
        <f t="shared" si="207"/>
        <v>667</v>
      </c>
      <c r="BO77" s="82">
        <f t="shared" si="208"/>
        <v>947</v>
      </c>
      <c r="BP77" s="82">
        <f t="shared" si="209"/>
        <v>6</v>
      </c>
      <c r="BQ77" s="82"/>
      <c r="BR77" s="129">
        <f>SUMIF('Audit HD AR - School Level'!$B$6:B1203, "=" &amp; A77,'Audit HD AR - School Level'!$Q$6:Q1203)</f>
        <v>0</v>
      </c>
      <c r="BS77" s="224">
        <f t="shared" si="210"/>
        <v>-1418</v>
      </c>
      <c r="BT77" s="126">
        <f t="shared" si="211"/>
        <v>-1418</v>
      </c>
      <c r="BU77" s="82">
        <f t="shared" si="212"/>
        <v>1681.8</v>
      </c>
    </row>
    <row r="78" spans="1:73">
      <c r="A78" s="1" t="s">
        <v>425</v>
      </c>
      <c r="U78" s="126">
        <v>777.5</v>
      </c>
      <c r="X78" s="126">
        <v>9</v>
      </c>
      <c r="Y78" s="126">
        <v>814.9</v>
      </c>
      <c r="Z78" s="126">
        <v>0</v>
      </c>
      <c r="AC78" s="126">
        <v>155.4</v>
      </c>
      <c r="AD78" s="126">
        <v>0</v>
      </c>
      <c r="AE78" s="126">
        <v>0</v>
      </c>
      <c r="AF78" s="126">
        <v>798</v>
      </c>
      <c r="AG78" s="126">
        <v>437</v>
      </c>
      <c r="AI78" s="126">
        <v>0</v>
      </c>
      <c r="AJ78" s="126">
        <v>73</v>
      </c>
      <c r="AK78" s="132">
        <v>58</v>
      </c>
      <c r="AL78" s="126">
        <v>33</v>
      </c>
      <c r="AO78" s="132">
        <v>0</v>
      </c>
      <c r="AP78" s="126">
        <v>0</v>
      </c>
      <c r="AQ78" s="134">
        <v>0</v>
      </c>
      <c r="AR78" s="132">
        <v>0</v>
      </c>
      <c r="AS78" s="134">
        <v>0</v>
      </c>
      <c r="AT78" s="132">
        <v>0</v>
      </c>
      <c r="AU78" s="132">
        <v>0</v>
      </c>
      <c r="AV78" s="83">
        <v>190174</v>
      </c>
      <c r="AW78" s="237">
        <v>43537</v>
      </c>
      <c r="AX78" s="233">
        <f t="shared" si="214"/>
        <v>11</v>
      </c>
      <c r="AY78" s="232" t="s">
        <v>3487</v>
      </c>
      <c r="AZ78" s="233" t="b">
        <f t="shared" si="213"/>
        <v>0</v>
      </c>
      <c r="BA78" s="129"/>
      <c r="BB78" s="129"/>
      <c r="BC78" s="129"/>
      <c r="BD78" s="129"/>
      <c r="BE78" s="82">
        <f t="shared" si="199"/>
        <v>777.5</v>
      </c>
      <c r="BF78" s="82">
        <f t="shared" si="200"/>
        <v>9</v>
      </c>
      <c r="BG78" s="82"/>
      <c r="BH78" s="82">
        <f t="shared" si="201"/>
        <v>155.4</v>
      </c>
      <c r="BI78" s="82">
        <f t="shared" si="202"/>
        <v>0</v>
      </c>
      <c r="BJ78" s="82">
        <f t="shared" si="203"/>
        <v>0</v>
      </c>
      <c r="BK78" s="82">
        <f t="shared" si="204"/>
        <v>798</v>
      </c>
      <c r="BL78" s="82">
        <f t="shared" si="205"/>
        <v>437</v>
      </c>
      <c r="BM78" s="82">
        <f t="shared" si="206"/>
        <v>0</v>
      </c>
      <c r="BN78" s="82">
        <f t="shared" si="207"/>
        <v>73</v>
      </c>
      <c r="BO78" s="82">
        <f t="shared" si="208"/>
        <v>58</v>
      </c>
      <c r="BP78" s="82">
        <f t="shared" si="209"/>
        <v>33</v>
      </c>
      <c r="BQ78" s="82"/>
      <c r="BR78" s="129">
        <f>SUMIF('Audit HD AR - School Level'!$B$6:B1205, "=" &amp; A78,'Audit HD AR - School Level'!$Q$6:Q1205)</f>
        <v>42.8</v>
      </c>
      <c r="BS78" s="224">
        <f t="shared" si="210"/>
        <v>0</v>
      </c>
      <c r="BT78" s="126">
        <f t="shared" si="211"/>
        <v>0</v>
      </c>
      <c r="BU78" s="82">
        <f t="shared" si="212"/>
        <v>777.5</v>
      </c>
    </row>
    <row r="79" spans="1:73">
      <c r="A79" s="1" t="s">
        <v>435</v>
      </c>
      <c r="U79" s="126">
        <v>232</v>
      </c>
      <c r="X79" s="126">
        <v>1.5</v>
      </c>
      <c r="Y79" s="126">
        <v>231.4</v>
      </c>
      <c r="Z79" s="126">
        <v>0</v>
      </c>
      <c r="AC79" s="126">
        <v>36</v>
      </c>
      <c r="AD79" s="126">
        <v>17</v>
      </c>
      <c r="AE79" s="126">
        <v>42</v>
      </c>
      <c r="AF79" s="126">
        <v>236</v>
      </c>
      <c r="AG79" s="126">
        <v>108</v>
      </c>
      <c r="AI79" s="126">
        <v>0</v>
      </c>
      <c r="AJ79" s="126">
        <v>77</v>
      </c>
      <c r="AK79" s="132">
        <v>0</v>
      </c>
      <c r="AL79" s="126">
        <v>7</v>
      </c>
      <c r="AO79" s="132">
        <v>0</v>
      </c>
      <c r="AP79" s="126">
        <v>0</v>
      </c>
      <c r="AQ79" s="134">
        <v>0</v>
      </c>
      <c r="AR79" s="132">
        <v>0</v>
      </c>
      <c r="AS79" s="134">
        <v>0</v>
      </c>
      <c r="AT79" s="132">
        <v>0</v>
      </c>
      <c r="AU79" s="132">
        <v>0</v>
      </c>
      <c r="AV79" s="83">
        <v>71332</v>
      </c>
      <c r="AW79" s="237">
        <v>43537</v>
      </c>
      <c r="AX79" s="233">
        <f t="shared" si="214"/>
        <v>11</v>
      </c>
      <c r="AY79" s="232" t="s">
        <v>3487</v>
      </c>
      <c r="AZ79" s="233" t="b">
        <f t="shared" si="213"/>
        <v>0</v>
      </c>
      <c r="BA79" s="129"/>
      <c r="BB79" s="129"/>
      <c r="BC79" s="129"/>
      <c r="BD79" s="129"/>
      <c r="BE79" s="82">
        <f t="shared" si="199"/>
        <v>232</v>
      </c>
      <c r="BF79" s="82">
        <f t="shared" si="200"/>
        <v>1.5</v>
      </c>
      <c r="BG79" s="82"/>
      <c r="BH79" s="82">
        <f t="shared" si="201"/>
        <v>36</v>
      </c>
      <c r="BI79" s="82">
        <f t="shared" si="202"/>
        <v>17</v>
      </c>
      <c r="BJ79" s="82">
        <f t="shared" si="203"/>
        <v>42</v>
      </c>
      <c r="BK79" s="82">
        <f t="shared" si="204"/>
        <v>236</v>
      </c>
      <c r="BL79" s="82">
        <f t="shared" si="205"/>
        <v>108</v>
      </c>
      <c r="BM79" s="82">
        <f t="shared" si="206"/>
        <v>0</v>
      </c>
      <c r="BN79" s="82">
        <f t="shared" si="207"/>
        <v>77</v>
      </c>
      <c r="BO79" s="82">
        <f t="shared" si="208"/>
        <v>0</v>
      </c>
      <c r="BP79" s="82">
        <f t="shared" si="209"/>
        <v>7</v>
      </c>
      <c r="BQ79" s="82"/>
      <c r="BR79" s="129">
        <f>SUMIF('Audit HD AR - School Level'!$B$6:B1207, "=" &amp; A79,'Audit HD AR - School Level'!$Q$6:Q1207)</f>
        <v>8.3000000000000007</v>
      </c>
      <c r="BS79" s="224">
        <f t="shared" si="210"/>
        <v>0</v>
      </c>
      <c r="BT79" s="126">
        <f t="shared" si="211"/>
        <v>0</v>
      </c>
      <c r="BU79" s="82">
        <f t="shared" si="212"/>
        <v>232</v>
      </c>
    </row>
    <row r="80" spans="1:73">
      <c r="A80" s="1" t="s">
        <v>198</v>
      </c>
      <c r="U80" s="126">
        <v>659.1</v>
      </c>
      <c r="X80" s="126">
        <v>8.5</v>
      </c>
      <c r="Y80" s="126">
        <v>649</v>
      </c>
      <c r="Z80" s="126">
        <v>0</v>
      </c>
      <c r="AC80" s="126">
        <v>180.6</v>
      </c>
      <c r="AD80" s="126">
        <v>145</v>
      </c>
      <c r="AE80" s="126">
        <v>737.8</v>
      </c>
      <c r="AF80" s="126">
        <v>679</v>
      </c>
      <c r="AG80" s="126">
        <v>212</v>
      </c>
      <c r="AI80" s="126">
        <v>0</v>
      </c>
      <c r="AJ80" s="126">
        <v>99</v>
      </c>
      <c r="AK80" s="132">
        <v>0</v>
      </c>
      <c r="AL80" s="126">
        <v>44.5</v>
      </c>
      <c r="AO80" s="132">
        <v>0</v>
      </c>
      <c r="AP80" s="126">
        <v>0</v>
      </c>
      <c r="AQ80" s="134">
        <v>0</v>
      </c>
      <c r="AR80" s="132">
        <v>0</v>
      </c>
      <c r="AS80" s="134">
        <v>0</v>
      </c>
      <c r="AT80" s="132">
        <v>0</v>
      </c>
      <c r="AU80" s="132">
        <v>0</v>
      </c>
      <c r="AV80" s="83">
        <v>179307</v>
      </c>
      <c r="AW80" s="237">
        <v>43549</v>
      </c>
      <c r="AX80" s="233">
        <f t="shared" si="214"/>
        <v>12</v>
      </c>
      <c r="AY80" s="232" t="s">
        <v>3487</v>
      </c>
      <c r="AZ80" s="233" t="b">
        <f t="shared" si="213"/>
        <v>0</v>
      </c>
      <c r="BA80" s="129"/>
      <c r="BB80" s="129"/>
      <c r="BC80" s="129"/>
      <c r="BD80" s="129"/>
      <c r="BE80" s="82">
        <f t="shared" ref="BE80:BE84" si="215">SUM(U80+C80-AO80-AP80-AR80)</f>
        <v>659.1</v>
      </c>
      <c r="BF80" s="82">
        <f t="shared" ref="BF80:BF84" si="216">SUM(X80+F80)</f>
        <v>8.5</v>
      </c>
      <c r="BG80" s="82"/>
      <c r="BH80" s="82">
        <f t="shared" ref="BH80:BH84" si="217">SUM(AC80+H80)</f>
        <v>180.6</v>
      </c>
      <c r="BI80" s="82">
        <f t="shared" ref="BI80:BI84" si="218">SUM(AD80+I80)</f>
        <v>145</v>
      </c>
      <c r="BJ80" s="82">
        <f t="shared" ref="BJ80:BJ84" si="219">SUM(AE80+J80)</f>
        <v>737.8</v>
      </c>
      <c r="BK80" s="82">
        <f t="shared" ref="BK80:BK84" si="220">SUM(AF80+K80)</f>
        <v>679</v>
      </c>
      <c r="BL80" s="82">
        <f t="shared" ref="BL80:BL84" si="221">SUM(AG80+L80)</f>
        <v>212</v>
      </c>
      <c r="BM80" s="82">
        <f t="shared" ref="BM80:BM84" si="222">SUM(AI80+M80)</f>
        <v>0</v>
      </c>
      <c r="BN80" s="82">
        <f t="shared" ref="BN80:BN84" si="223">SUM(AJ80+Q80)</f>
        <v>99</v>
      </c>
      <c r="BO80" s="82">
        <f t="shared" ref="BO80:BO84" si="224">SUM(AK80+R80)</f>
        <v>0</v>
      </c>
      <c r="BP80" s="82">
        <f t="shared" ref="BP80:BP84" si="225">SUM(AL80+S80)</f>
        <v>44.5</v>
      </c>
      <c r="BQ80" s="82"/>
      <c r="BR80" s="129">
        <f>SUMIF('Audit HD AR - School Level'!$B$6:B1208, "=" &amp; A80,'Audit HD AR - School Level'!$Q$6:Q1208)</f>
        <v>1</v>
      </c>
      <c r="BS80" s="224">
        <f t="shared" ref="BS80:BS84" si="226">SUM(AS80-AQ80)*$BS$2</f>
        <v>0</v>
      </c>
      <c r="BT80" s="126">
        <f t="shared" ref="BT80:BT84" si="227">IF(BS80&lt;0,BS80,0)</f>
        <v>0</v>
      </c>
      <c r="BU80" s="82">
        <f t="shared" ref="BU80:BU84" si="228">SUM(U80-AO80-AP80-AR80)</f>
        <v>659.1</v>
      </c>
    </row>
    <row r="81" spans="1:73">
      <c r="A81" s="1" t="s">
        <v>239</v>
      </c>
      <c r="U81" s="126">
        <v>29177.1</v>
      </c>
      <c r="X81" s="126">
        <v>72</v>
      </c>
      <c r="Y81" s="126">
        <v>29146.1</v>
      </c>
      <c r="Z81" s="126">
        <v>0</v>
      </c>
      <c r="AC81" s="126">
        <v>6425.4</v>
      </c>
      <c r="AD81" s="126">
        <v>3016</v>
      </c>
      <c r="AE81" s="126">
        <v>6269.5</v>
      </c>
      <c r="AF81" s="126">
        <v>29565</v>
      </c>
      <c r="AG81" s="126">
        <v>5763</v>
      </c>
      <c r="AI81" s="126">
        <v>1657.5</v>
      </c>
      <c r="AJ81" s="126">
        <v>4851</v>
      </c>
      <c r="AK81" s="132">
        <v>21541</v>
      </c>
      <c r="AL81" s="126">
        <v>3</v>
      </c>
      <c r="AO81" s="132">
        <v>0</v>
      </c>
      <c r="AP81" s="126">
        <v>0</v>
      </c>
      <c r="AQ81" s="134">
        <v>0</v>
      </c>
      <c r="AR81" s="132">
        <v>0</v>
      </c>
      <c r="AS81" s="134">
        <v>0</v>
      </c>
      <c r="AT81" s="132">
        <v>0</v>
      </c>
      <c r="AU81" s="132">
        <v>2</v>
      </c>
      <c r="AV81" s="83">
        <v>4301561</v>
      </c>
      <c r="AW81" s="237">
        <v>43549</v>
      </c>
      <c r="AX81" s="233">
        <f t="shared" si="214"/>
        <v>12</v>
      </c>
      <c r="AY81" s="232" t="s">
        <v>3487</v>
      </c>
      <c r="AZ81" s="233" t="b">
        <f t="shared" si="213"/>
        <v>0</v>
      </c>
      <c r="BA81" s="129"/>
      <c r="BB81" s="129"/>
      <c r="BC81" s="129"/>
      <c r="BD81" s="129"/>
      <c r="BE81" s="82">
        <f t="shared" si="215"/>
        <v>29177.1</v>
      </c>
      <c r="BF81" s="82">
        <f t="shared" si="216"/>
        <v>72</v>
      </c>
      <c r="BG81" s="82"/>
      <c r="BH81" s="82">
        <f t="shared" si="217"/>
        <v>6425.4</v>
      </c>
      <c r="BI81" s="82">
        <f t="shared" si="218"/>
        <v>3016</v>
      </c>
      <c r="BJ81" s="82">
        <f t="shared" si="219"/>
        <v>6269.5</v>
      </c>
      <c r="BK81" s="82">
        <f t="shared" si="220"/>
        <v>29565</v>
      </c>
      <c r="BL81" s="82">
        <f t="shared" si="221"/>
        <v>5763</v>
      </c>
      <c r="BM81" s="82">
        <f t="shared" si="222"/>
        <v>1657.5</v>
      </c>
      <c r="BN81" s="82">
        <f t="shared" si="223"/>
        <v>4851</v>
      </c>
      <c r="BO81" s="82">
        <f t="shared" si="224"/>
        <v>21541</v>
      </c>
      <c r="BP81" s="82">
        <f t="shared" si="225"/>
        <v>3</v>
      </c>
      <c r="BQ81" s="82"/>
      <c r="BR81" s="129">
        <f>SUMIF('Audit HD AR - School Level'!$B$6:B1209, "=" &amp; A81,'Audit HD AR - School Level'!$Q$6:Q1209)</f>
        <v>157</v>
      </c>
      <c r="BS81" s="224">
        <f t="shared" si="226"/>
        <v>0</v>
      </c>
      <c r="BT81" s="126">
        <f t="shared" si="227"/>
        <v>0</v>
      </c>
      <c r="BU81" s="82">
        <f t="shared" si="228"/>
        <v>29177.1</v>
      </c>
    </row>
    <row r="82" spans="1:73">
      <c r="A82" s="1" t="s">
        <v>283</v>
      </c>
      <c r="U82" s="126">
        <v>347.4</v>
      </c>
      <c r="X82" s="126">
        <v>0</v>
      </c>
      <c r="Y82" s="126">
        <v>346</v>
      </c>
      <c r="Z82" s="126">
        <v>0</v>
      </c>
      <c r="AC82" s="126">
        <v>92.7</v>
      </c>
      <c r="AD82" s="126">
        <v>0</v>
      </c>
      <c r="AE82" s="126">
        <v>0</v>
      </c>
      <c r="AF82" s="126">
        <v>348</v>
      </c>
      <c r="AG82" s="126">
        <v>92</v>
      </c>
      <c r="AI82" s="126">
        <v>0</v>
      </c>
      <c r="AJ82" s="126">
        <v>180</v>
      </c>
      <c r="AK82" s="132">
        <v>64</v>
      </c>
      <c r="AL82" s="126">
        <v>16</v>
      </c>
      <c r="AO82" s="132">
        <v>0</v>
      </c>
      <c r="AP82" s="126">
        <v>0.7</v>
      </c>
      <c r="AQ82" s="134">
        <v>0</v>
      </c>
      <c r="AR82" s="132">
        <v>0</v>
      </c>
      <c r="AS82" s="134">
        <v>0</v>
      </c>
      <c r="AT82" s="132">
        <v>0</v>
      </c>
      <c r="AU82" s="132">
        <v>0</v>
      </c>
      <c r="AV82" s="83">
        <v>270559</v>
      </c>
      <c r="AW82" s="237">
        <v>43549</v>
      </c>
      <c r="AX82" s="233">
        <f t="shared" si="214"/>
        <v>12</v>
      </c>
      <c r="AY82" s="232" t="s">
        <v>3487</v>
      </c>
      <c r="AZ82" s="233" t="b">
        <f t="shared" si="213"/>
        <v>0</v>
      </c>
      <c r="BA82" s="129"/>
      <c r="BB82" s="129"/>
      <c r="BC82" s="129"/>
      <c r="BD82" s="129"/>
      <c r="BE82" s="82">
        <f t="shared" si="215"/>
        <v>346.7</v>
      </c>
      <c r="BF82" s="82">
        <f t="shared" si="216"/>
        <v>0</v>
      </c>
      <c r="BG82" s="82"/>
      <c r="BH82" s="82">
        <f t="shared" si="217"/>
        <v>92.7</v>
      </c>
      <c r="BI82" s="82">
        <f t="shared" si="218"/>
        <v>0</v>
      </c>
      <c r="BJ82" s="82">
        <f t="shared" si="219"/>
        <v>0</v>
      </c>
      <c r="BK82" s="82">
        <f t="shared" si="220"/>
        <v>348</v>
      </c>
      <c r="BL82" s="82">
        <f t="shared" si="221"/>
        <v>92</v>
      </c>
      <c r="BM82" s="82">
        <f t="shared" si="222"/>
        <v>0</v>
      </c>
      <c r="BN82" s="82">
        <f t="shared" si="223"/>
        <v>180</v>
      </c>
      <c r="BO82" s="82">
        <f t="shared" si="224"/>
        <v>64</v>
      </c>
      <c r="BP82" s="82">
        <f t="shared" si="225"/>
        <v>16</v>
      </c>
      <c r="BQ82" s="82"/>
      <c r="BR82" s="129">
        <f>SUMIF('Audit HD AR - School Level'!$B$6:B1210, "=" &amp; A82,'Audit HD AR - School Level'!$Q$6:Q1210)</f>
        <v>0</v>
      </c>
      <c r="BS82" s="224">
        <f t="shared" si="226"/>
        <v>0</v>
      </c>
      <c r="BT82" s="126">
        <f t="shared" si="227"/>
        <v>0</v>
      </c>
      <c r="BU82" s="82">
        <f t="shared" si="228"/>
        <v>346.7</v>
      </c>
    </row>
    <row r="83" spans="1:73">
      <c r="A83" s="1" t="s">
        <v>285</v>
      </c>
      <c r="U83" s="126">
        <v>355.7</v>
      </c>
      <c r="X83" s="126">
        <v>3.5</v>
      </c>
      <c r="Y83" s="126">
        <v>362.2</v>
      </c>
      <c r="Z83" s="126">
        <v>0</v>
      </c>
      <c r="AC83" s="126">
        <v>52.3</v>
      </c>
      <c r="AD83" s="126">
        <v>0</v>
      </c>
      <c r="AE83" s="126">
        <v>0</v>
      </c>
      <c r="AF83" s="126">
        <v>369</v>
      </c>
      <c r="AG83" s="126">
        <v>174</v>
      </c>
      <c r="AI83" s="126">
        <v>0</v>
      </c>
      <c r="AJ83" s="126">
        <v>94</v>
      </c>
      <c r="AK83" s="132">
        <v>10</v>
      </c>
      <c r="AL83" s="126">
        <v>26</v>
      </c>
      <c r="AO83" s="132">
        <v>0</v>
      </c>
      <c r="AP83" s="126">
        <v>0</v>
      </c>
      <c r="AQ83" s="134">
        <v>0</v>
      </c>
      <c r="AR83" s="132">
        <v>0</v>
      </c>
      <c r="AS83" s="134">
        <v>0</v>
      </c>
      <c r="AT83" s="132">
        <v>0</v>
      </c>
      <c r="AU83" s="132">
        <v>0</v>
      </c>
      <c r="AV83" s="83">
        <v>174403</v>
      </c>
      <c r="AW83" s="237">
        <v>43549</v>
      </c>
      <c r="AX83" s="233">
        <f t="shared" si="214"/>
        <v>12</v>
      </c>
      <c r="AY83" s="232" t="s">
        <v>3487</v>
      </c>
      <c r="AZ83" s="233" t="b">
        <f t="shared" si="213"/>
        <v>0</v>
      </c>
      <c r="BA83" s="129"/>
      <c r="BB83" s="129"/>
      <c r="BC83" s="129"/>
      <c r="BD83" s="129"/>
      <c r="BE83" s="82">
        <f t="shared" si="215"/>
        <v>355.7</v>
      </c>
      <c r="BF83" s="82">
        <f t="shared" si="216"/>
        <v>3.5</v>
      </c>
      <c r="BG83" s="82"/>
      <c r="BH83" s="82">
        <f t="shared" si="217"/>
        <v>52.3</v>
      </c>
      <c r="BI83" s="82">
        <f t="shared" si="218"/>
        <v>0</v>
      </c>
      <c r="BJ83" s="82">
        <f t="shared" si="219"/>
        <v>0</v>
      </c>
      <c r="BK83" s="82">
        <f t="shared" si="220"/>
        <v>369</v>
      </c>
      <c r="BL83" s="82">
        <f t="shared" si="221"/>
        <v>174</v>
      </c>
      <c r="BM83" s="82">
        <f t="shared" si="222"/>
        <v>0</v>
      </c>
      <c r="BN83" s="82">
        <f t="shared" si="223"/>
        <v>94</v>
      </c>
      <c r="BO83" s="82">
        <f t="shared" si="224"/>
        <v>10</v>
      </c>
      <c r="BP83" s="82">
        <f t="shared" si="225"/>
        <v>26</v>
      </c>
      <c r="BQ83" s="82"/>
      <c r="BR83" s="129">
        <f>SUMIF('Audit HD AR - School Level'!$B$6:B1211, "=" &amp; A83,'Audit HD AR - School Level'!$Q$6:Q1211)</f>
        <v>14.1</v>
      </c>
      <c r="BS83" s="224">
        <f t="shared" si="226"/>
        <v>0</v>
      </c>
      <c r="BT83" s="126">
        <f t="shared" si="227"/>
        <v>0</v>
      </c>
      <c r="BU83" s="82">
        <f t="shared" si="228"/>
        <v>355.7</v>
      </c>
    </row>
    <row r="84" spans="1:73">
      <c r="A84" s="1" t="s">
        <v>432</v>
      </c>
      <c r="U84" s="126">
        <v>205</v>
      </c>
      <c r="X84" s="126">
        <v>2</v>
      </c>
      <c r="Y84" s="126">
        <v>216.5</v>
      </c>
      <c r="Z84" s="126">
        <v>0</v>
      </c>
      <c r="AC84" s="126">
        <v>58</v>
      </c>
      <c r="AD84" s="126">
        <v>0</v>
      </c>
      <c r="AE84" s="126">
        <v>0</v>
      </c>
      <c r="AF84" s="126">
        <v>213</v>
      </c>
      <c r="AG84" s="126">
        <v>95</v>
      </c>
      <c r="AI84" s="126">
        <v>0</v>
      </c>
      <c r="AJ84" s="126">
        <v>84</v>
      </c>
      <c r="AK84" s="132">
        <v>13</v>
      </c>
      <c r="AL84" s="126">
        <v>1</v>
      </c>
      <c r="AO84" s="132">
        <v>0</v>
      </c>
      <c r="AP84" s="126">
        <v>0</v>
      </c>
      <c r="AQ84" s="134">
        <v>0</v>
      </c>
      <c r="AR84" s="132">
        <v>0</v>
      </c>
      <c r="AS84" s="134">
        <v>0</v>
      </c>
      <c r="AT84" s="132">
        <v>0</v>
      </c>
      <c r="AU84" s="132">
        <v>0</v>
      </c>
      <c r="AV84" s="83">
        <v>91524</v>
      </c>
      <c r="AW84" s="237">
        <v>43549</v>
      </c>
      <c r="AX84" s="233">
        <f t="shared" si="214"/>
        <v>12</v>
      </c>
      <c r="AY84" s="232" t="s">
        <v>3487</v>
      </c>
      <c r="AZ84" s="233" t="b">
        <f t="shared" si="213"/>
        <v>0</v>
      </c>
      <c r="BA84" s="129"/>
      <c r="BB84" s="129"/>
      <c r="BC84" s="129"/>
      <c r="BD84" s="129"/>
      <c r="BE84" s="82">
        <f t="shared" si="215"/>
        <v>205</v>
      </c>
      <c r="BF84" s="82">
        <f t="shared" si="216"/>
        <v>2</v>
      </c>
      <c r="BG84" s="82"/>
      <c r="BH84" s="82">
        <f t="shared" si="217"/>
        <v>58</v>
      </c>
      <c r="BI84" s="82">
        <f t="shared" si="218"/>
        <v>0</v>
      </c>
      <c r="BJ84" s="82">
        <f t="shared" si="219"/>
        <v>0</v>
      </c>
      <c r="BK84" s="82">
        <f t="shared" si="220"/>
        <v>213</v>
      </c>
      <c r="BL84" s="82">
        <f t="shared" si="221"/>
        <v>95</v>
      </c>
      <c r="BM84" s="82">
        <f t="shared" si="222"/>
        <v>0</v>
      </c>
      <c r="BN84" s="82">
        <f t="shared" si="223"/>
        <v>84</v>
      </c>
      <c r="BO84" s="82">
        <f t="shared" si="224"/>
        <v>13</v>
      </c>
      <c r="BP84" s="82">
        <f t="shared" si="225"/>
        <v>1</v>
      </c>
      <c r="BQ84" s="82"/>
      <c r="BR84" s="129">
        <f>SUMIF('Audit HD AR - School Level'!$B$6:B1212, "=" &amp; A84,'Audit HD AR - School Level'!$Q$6:Q1212)</f>
        <v>6.7</v>
      </c>
      <c r="BS84" s="224">
        <f t="shared" si="226"/>
        <v>0</v>
      </c>
      <c r="BT84" s="126">
        <f t="shared" si="227"/>
        <v>0</v>
      </c>
      <c r="BU84" s="82">
        <f t="shared" si="228"/>
        <v>205</v>
      </c>
    </row>
    <row r="85" spans="1:73">
      <c r="A85" s="1" t="s">
        <v>284</v>
      </c>
      <c r="U85" s="126">
        <v>134</v>
      </c>
      <c r="X85" s="126">
        <v>0</v>
      </c>
      <c r="Y85" s="126">
        <v>182.5</v>
      </c>
      <c r="Z85" s="126">
        <v>0</v>
      </c>
      <c r="AC85" s="126">
        <v>0</v>
      </c>
      <c r="AD85" s="126">
        <v>0</v>
      </c>
      <c r="AE85" s="126">
        <v>0</v>
      </c>
      <c r="AF85" s="126">
        <v>137</v>
      </c>
      <c r="AG85" s="126">
        <v>71</v>
      </c>
      <c r="AI85" s="126">
        <v>0</v>
      </c>
      <c r="AJ85" s="126">
        <v>16</v>
      </c>
      <c r="AK85" s="132">
        <v>14</v>
      </c>
      <c r="AL85" s="126">
        <v>2</v>
      </c>
      <c r="AO85" s="132">
        <v>0</v>
      </c>
      <c r="AP85" s="126">
        <v>0</v>
      </c>
      <c r="AQ85" s="134">
        <v>0</v>
      </c>
      <c r="AR85" s="132">
        <v>0</v>
      </c>
      <c r="AS85" s="134">
        <v>0</v>
      </c>
      <c r="AT85" s="132">
        <v>0</v>
      </c>
      <c r="AU85" s="132">
        <v>0</v>
      </c>
      <c r="AV85" s="83">
        <v>35604</v>
      </c>
      <c r="AW85" s="237">
        <v>43552</v>
      </c>
      <c r="AX85" s="233">
        <f t="shared" si="214"/>
        <v>13</v>
      </c>
      <c r="AY85" s="232" t="s">
        <v>3487</v>
      </c>
      <c r="AZ85" s="233" t="b">
        <f t="shared" si="213"/>
        <v>0</v>
      </c>
      <c r="BA85" s="129"/>
      <c r="BB85" s="129"/>
      <c r="BC85" s="129"/>
      <c r="BD85" s="129"/>
      <c r="BE85" s="82">
        <f t="shared" ref="BE85" si="229">SUM(U85+C85-AO85-AP85-AR85)</f>
        <v>134</v>
      </c>
      <c r="BF85" s="82">
        <f t="shared" ref="BF85" si="230">SUM(X85+F85)</f>
        <v>0</v>
      </c>
      <c r="BG85" s="82"/>
      <c r="BH85" s="82">
        <f t="shared" ref="BH85" si="231">SUM(AC85+H85)</f>
        <v>0</v>
      </c>
      <c r="BI85" s="82">
        <f t="shared" ref="BI85" si="232">SUM(AD85+I85)</f>
        <v>0</v>
      </c>
      <c r="BJ85" s="82">
        <f t="shared" ref="BJ85" si="233">SUM(AE85+J85)</f>
        <v>0</v>
      </c>
      <c r="BK85" s="82">
        <f t="shared" ref="BK85" si="234">SUM(AF85+K85)</f>
        <v>137</v>
      </c>
      <c r="BL85" s="82">
        <f t="shared" ref="BL85" si="235">SUM(AG85+L85)</f>
        <v>71</v>
      </c>
      <c r="BM85" s="82">
        <f t="shared" ref="BM85" si="236">SUM(AI85+M85)</f>
        <v>0</v>
      </c>
      <c r="BN85" s="82">
        <f t="shared" ref="BN85" si="237">SUM(AJ85+Q85)</f>
        <v>16</v>
      </c>
      <c r="BO85" s="82">
        <f t="shared" ref="BO85" si="238">SUM(AK85+R85)</f>
        <v>14</v>
      </c>
      <c r="BP85" s="82">
        <f t="shared" ref="BP85" si="239">SUM(AL85+S85)</f>
        <v>2</v>
      </c>
      <c r="BQ85" s="82"/>
      <c r="BR85" s="129">
        <f>SUMIF('Audit HD AR - School Level'!$B$6:B1214, "=" &amp; A85,'Audit HD AR - School Level'!$Q$6:Q1214)</f>
        <v>7.5</v>
      </c>
      <c r="BS85" s="224">
        <f t="shared" ref="BS85" si="240">SUM(AS85-AQ85)*$BS$2</f>
        <v>0</v>
      </c>
      <c r="BT85" s="126">
        <f t="shared" ref="BT85" si="241">IF(BS85&lt;0,BS85,0)</f>
        <v>0</v>
      </c>
      <c r="BU85" s="82">
        <f t="shared" ref="BU85" si="242">SUM(U85-AO85-AP85-AR85)</f>
        <v>134</v>
      </c>
    </row>
    <row r="86" spans="1:73">
      <c r="A86" s="1" t="s">
        <v>207</v>
      </c>
      <c r="U86" s="126">
        <v>510.4</v>
      </c>
      <c r="X86" s="126">
        <v>2.5</v>
      </c>
      <c r="Y86" s="126">
        <v>484.4</v>
      </c>
      <c r="Z86" s="126">
        <v>0</v>
      </c>
      <c r="AC86" s="126">
        <v>98.1</v>
      </c>
      <c r="AD86" s="126">
        <v>0</v>
      </c>
      <c r="AE86" s="126">
        <v>0</v>
      </c>
      <c r="AF86" s="126">
        <v>468</v>
      </c>
      <c r="AG86" s="126">
        <v>156</v>
      </c>
      <c r="AI86" s="126">
        <v>0</v>
      </c>
      <c r="AJ86" s="126">
        <v>229</v>
      </c>
      <c r="AK86" s="132">
        <v>10</v>
      </c>
      <c r="AL86" s="126">
        <v>37</v>
      </c>
      <c r="AO86" s="132">
        <v>23</v>
      </c>
      <c r="AP86" s="126">
        <v>1.4</v>
      </c>
      <c r="AQ86" s="134">
        <v>28</v>
      </c>
      <c r="AR86" s="132">
        <v>30</v>
      </c>
      <c r="AS86" s="134">
        <v>43.5</v>
      </c>
      <c r="AT86" s="132">
        <v>0</v>
      </c>
      <c r="AU86" s="132">
        <v>0</v>
      </c>
      <c r="AV86" s="83">
        <v>241949</v>
      </c>
      <c r="AW86" s="237">
        <v>43557</v>
      </c>
      <c r="AX86" s="233">
        <f t="shared" si="214"/>
        <v>14</v>
      </c>
      <c r="AY86" s="232" t="s">
        <v>3487</v>
      </c>
      <c r="AZ86" s="233" t="b">
        <f t="shared" si="213"/>
        <v>0</v>
      </c>
      <c r="BA86" s="129"/>
      <c r="BB86" s="129"/>
      <c r="BC86" s="129"/>
      <c r="BD86" s="129"/>
      <c r="BE86" s="82">
        <f t="shared" ref="BE86:BE95" si="243">SUM(U86+C86-AO86-AP86-AR86)</f>
        <v>456</v>
      </c>
      <c r="BF86" s="82">
        <f t="shared" ref="BF86:BF95" si="244">SUM(X86+F86)</f>
        <v>2.5</v>
      </c>
      <c r="BG86" s="82"/>
      <c r="BH86" s="82">
        <f t="shared" ref="BH86:BH95" si="245">SUM(AC86+H86)</f>
        <v>98.1</v>
      </c>
      <c r="BI86" s="82">
        <f t="shared" ref="BI86:BI95" si="246">SUM(AD86+I86)</f>
        <v>0</v>
      </c>
      <c r="BJ86" s="82">
        <f t="shared" ref="BJ86:BJ95" si="247">SUM(AE86+J86)</f>
        <v>0</v>
      </c>
      <c r="BK86" s="82">
        <f t="shared" ref="BK86:BK95" si="248">SUM(AF86+K86)</f>
        <v>468</v>
      </c>
      <c r="BL86" s="82">
        <f t="shared" ref="BL86:BL95" si="249">SUM(AG86+L86)</f>
        <v>156</v>
      </c>
      <c r="BM86" s="82">
        <f t="shared" ref="BM86:BM95" si="250">SUM(AI86+M86)</f>
        <v>0</v>
      </c>
      <c r="BN86" s="82">
        <f t="shared" ref="BN86:BN95" si="251">SUM(AJ86+Q86)</f>
        <v>229</v>
      </c>
      <c r="BO86" s="82">
        <f t="shared" ref="BO86:BO95" si="252">SUM(AK86+R86)</f>
        <v>10</v>
      </c>
      <c r="BP86" s="82">
        <f t="shared" ref="BP86:BP95" si="253">SUM(AL86+S86)</f>
        <v>37</v>
      </c>
      <c r="BQ86" s="82"/>
      <c r="BR86" s="129">
        <f>SUMIF('Audit HD AR - School Level'!$B$6:B1215, "=" &amp; A86,'Audit HD AR - School Level'!$Q$6:Q1215)</f>
        <v>3.2</v>
      </c>
      <c r="BS86" s="224">
        <f t="shared" ref="BS86:BS95" si="254">SUM(AS86-AQ86)*$BS$2</f>
        <v>10990</v>
      </c>
      <c r="BT86" s="126">
        <f t="shared" ref="BT86:BT95" si="255">IF(BS86&lt;0,BS86,0)</f>
        <v>0</v>
      </c>
      <c r="BU86" s="82">
        <f t="shared" ref="BU86:BU95" si="256">SUM(U86-AO86-AP86-AR86)</f>
        <v>456</v>
      </c>
    </row>
    <row r="87" spans="1:73">
      <c r="A87" s="1" t="s">
        <v>262</v>
      </c>
      <c r="U87" s="126">
        <v>938.1</v>
      </c>
      <c r="X87" s="126">
        <v>5</v>
      </c>
      <c r="Y87" s="126">
        <v>592.5</v>
      </c>
      <c r="Z87" s="126">
        <v>0</v>
      </c>
      <c r="AC87" s="126">
        <v>186.1</v>
      </c>
      <c r="AD87" s="126">
        <v>3</v>
      </c>
      <c r="AE87" s="126">
        <v>2.2000000000000002</v>
      </c>
      <c r="AF87" s="126">
        <v>598</v>
      </c>
      <c r="AG87" s="126">
        <v>209</v>
      </c>
      <c r="AI87" s="126">
        <v>0</v>
      </c>
      <c r="AJ87" s="126">
        <v>91</v>
      </c>
      <c r="AK87" s="132">
        <v>30</v>
      </c>
      <c r="AL87" s="126">
        <v>20</v>
      </c>
      <c r="AO87" s="132">
        <v>124</v>
      </c>
      <c r="AP87" s="126">
        <v>0.6</v>
      </c>
      <c r="AQ87" s="134">
        <v>275</v>
      </c>
      <c r="AR87" s="132">
        <v>229</v>
      </c>
      <c r="AS87" s="134">
        <v>270.5</v>
      </c>
      <c r="AT87" s="132">
        <v>350</v>
      </c>
      <c r="AU87" s="132">
        <v>0</v>
      </c>
      <c r="AV87" s="83">
        <v>107572</v>
      </c>
      <c r="AW87" s="237">
        <v>43557</v>
      </c>
      <c r="AX87" s="233">
        <f t="shared" si="214"/>
        <v>14</v>
      </c>
      <c r="AY87" s="232" t="s">
        <v>3487</v>
      </c>
      <c r="AZ87" s="233" t="b">
        <f t="shared" si="213"/>
        <v>0</v>
      </c>
      <c r="BA87" s="129"/>
      <c r="BB87" s="129"/>
      <c r="BC87" s="129"/>
      <c r="BD87" s="129"/>
      <c r="BE87" s="82">
        <f t="shared" si="243"/>
        <v>584.5</v>
      </c>
      <c r="BF87" s="82">
        <f t="shared" si="244"/>
        <v>5</v>
      </c>
      <c r="BG87" s="82"/>
      <c r="BH87" s="82">
        <f t="shared" si="245"/>
        <v>186.1</v>
      </c>
      <c r="BI87" s="82">
        <f t="shared" si="246"/>
        <v>3</v>
      </c>
      <c r="BJ87" s="82">
        <f t="shared" si="247"/>
        <v>2.2000000000000002</v>
      </c>
      <c r="BK87" s="82">
        <f t="shared" si="248"/>
        <v>598</v>
      </c>
      <c r="BL87" s="82">
        <f t="shared" si="249"/>
        <v>209</v>
      </c>
      <c r="BM87" s="82">
        <f t="shared" si="250"/>
        <v>0</v>
      </c>
      <c r="BN87" s="82">
        <f t="shared" si="251"/>
        <v>91</v>
      </c>
      <c r="BO87" s="82">
        <f t="shared" si="252"/>
        <v>30</v>
      </c>
      <c r="BP87" s="82">
        <f t="shared" si="253"/>
        <v>20</v>
      </c>
      <c r="BQ87" s="82"/>
      <c r="BR87" s="129">
        <f>SUMIF('Audit HD AR - School Level'!$B$6:B1216, "=" &amp; A87,'Audit HD AR - School Level'!$Q$6:Q1216)</f>
        <v>0.8</v>
      </c>
      <c r="BS87" s="224">
        <f t="shared" si="254"/>
        <v>-3191</v>
      </c>
      <c r="BT87" s="126">
        <f t="shared" si="255"/>
        <v>-3191</v>
      </c>
      <c r="BU87" s="82">
        <f t="shared" si="256"/>
        <v>584.5</v>
      </c>
    </row>
    <row r="88" spans="1:73">
      <c r="A88" s="1" t="s">
        <v>276</v>
      </c>
      <c r="U88" s="126">
        <v>279</v>
      </c>
      <c r="X88" s="126">
        <v>6.5</v>
      </c>
      <c r="Y88" s="126">
        <v>312.5</v>
      </c>
      <c r="Z88" s="126">
        <v>0</v>
      </c>
      <c r="AC88" s="126">
        <v>80.400000000000006</v>
      </c>
      <c r="AD88" s="126">
        <v>0</v>
      </c>
      <c r="AE88" s="126">
        <v>0</v>
      </c>
      <c r="AF88" s="126">
        <v>300</v>
      </c>
      <c r="AG88" s="126">
        <v>90</v>
      </c>
      <c r="AI88" s="126">
        <v>0</v>
      </c>
      <c r="AJ88" s="126">
        <v>145</v>
      </c>
      <c r="AK88" s="132">
        <v>5</v>
      </c>
      <c r="AL88" s="126">
        <v>18</v>
      </c>
      <c r="AO88" s="132">
        <v>0</v>
      </c>
      <c r="AP88" s="126">
        <v>0</v>
      </c>
      <c r="AQ88" s="134">
        <v>0</v>
      </c>
      <c r="AR88" s="132">
        <v>0</v>
      </c>
      <c r="AS88" s="134">
        <v>0</v>
      </c>
      <c r="AT88" s="132">
        <v>0</v>
      </c>
      <c r="AU88" s="132">
        <v>1</v>
      </c>
      <c r="AV88" s="83">
        <v>121324</v>
      </c>
      <c r="AW88" s="237">
        <v>43557</v>
      </c>
      <c r="AX88" s="233">
        <f t="shared" si="214"/>
        <v>14</v>
      </c>
      <c r="AY88" s="232" t="s">
        <v>3487</v>
      </c>
      <c r="AZ88" s="233" t="b">
        <f t="shared" si="213"/>
        <v>0</v>
      </c>
      <c r="BA88" s="129"/>
      <c r="BB88" s="129"/>
      <c r="BC88" s="129"/>
      <c r="BD88" s="129"/>
      <c r="BE88" s="82">
        <f t="shared" si="243"/>
        <v>279</v>
      </c>
      <c r="BF88" s="82">
        <f t="shared" si="244"/>
        <v>6.5</v>
      </c>
      <c r="BG88" s="82"/>
      <c r="BH88" s="82">
        <f t="shared" si="245"/>
        <v>80.400000000000006</v>
      </c>
      <c r="BI88" s="82">
        <f t="shared" si="246"/>
        <v>0</v>
      </c>
      <c r="BJ88" s="82">
        <f t="shared" si="247"/>
        <v>0</v>
      </c>
      <c r="BK88" s="82">
        <f t="shared" si="248"/>
        <v>300</v>
      </c>
      <c r="BL88" s="82">
        <f t="shared" si="249"/>
        <v>90</v>
      </c>
      <c r="BM88" s="82">
        <f t="shared" si="250"/>
        <v>0</v>
      </c>
      <c r="BN88" s="82">
        <f t="shared" si="251"/>
        <v>145</v>
      </c>
      <c r="BO88" s="82">
        <f t="shared" si="252"/>
        <v>5</v>
      </c>
      <c r="BP88" s="82">
        <f t="shared" si="253"/>
        <v>18</v>
      </c>
      <c r="BQ88" s="82"/>
      <c r="BR88" s="129">
        <f>SUMIF('Audit HD AR - School Level'!$B$6:B1217, "=" &amp; A88,'Audit HD AR - School Level'!$Q$6:Q1217)</f>
        <v>0.4</v>
      </c>
      <c r="BS88" s="224">
        <f t="shared" si="254"/>
        <v>0</v>
      </c>
      <c r="BT88" s="126">
        <f t="shared" si="255"/>
        <v>0</v>
      </c>
      <c r="BU88" s="82">
        <f t="shared" si="256"/>
        <v>279</v>
      </c>
    </row>
    <row r="89" spans="1:73">
      <c r="A89" s="1" t="s">
        <v>311</v>
      </c>
      <c r="U89" s="126">
        <v>1531.1</v>
      </c>
      <c r="X89" s="126">
        <v>0</v>
      </c>
      <c r="Y89" s="126">
        <v>1500.5</v>
      </c>
      <c r="Z89" s="126">
        <v>0</v>
      </c>
      <c r="AC89" s="126">
        <v>315</v>
      </c>
      <c r="AD89" s="126">
        <v>15</v>
      </c>
      <c r="AE89" s="126">
        <v>20.8</v>
      </c>
      <c r="AF89" s="126">
        <v>1533</v>
      </c>
      <c r="AG89" s="126">
        <v>313</v>
      </c>
      <c r="AI89" s="126">
        <v>0</v>
      </c>
      <c r="AJ89" s="126">
        <v>428</v>
      </c>
      <c r="AK89" s="132">
        <v>194</v>
      </c>
      <c r="AL89" s="126">
        <v>110</v>
      </c>
      <c r="AO89" s="132">
        <v>7</v>
      </c>
      <c r="AP89" s="126">
        <v>0</v>
      </c>
      <c r="AQ89" s="134">
        <v>13.5</v>
      </c>
      <c r="AR89" s="132">
        <v>11</v>
      </c>
      <c r="AS89" s="134">
        <v>13</v>
      </c>
      <c r="AT89" s="132">
        <v>50</v>
      </c>
      <c r="AU89" s="132">
        <v>0</v>
      </c>
      <c r="AV89" s="83">
        <v>465777</v>
      </c>
      <c r="AW89" s="237">
        <v>43557</v>
      </c>
      <c r="AX89" s="233">
        <f t="shared" si="214"/>
        <v>14</v>
      </c>
      <c r="AY89" s="232" t="s">
        <v>3487</v>
      </c>
      <c r="AZ89" s="233" t="b">
        <f t="shared" si="213"/>
        <v>0</v>
      </c>
      <c r="BA89" s="129"/>
      <c r="BB89" s="129"/>
      <c r="BC89" s="129"/>
      <c r="BD89" s="129"/>
      <c r="BE89" s="82">
        <f t="shared" si="243"/>
        <v>1513.1</v>
      </c>
      <c r="BF89" s="82">
        <f t="shared" si="244"/>
        <v>0</v>
      </c>
      <c r="BG89" s="82"/>
      <c r="BH89" s="82">
        <f t="shared" si="245"/>
        <v>315</v>
      </c>
      <c r="BI89" s="82">
        <f t="shared" si="246"/>
        <v>15</v>
      </c>
      <c r="BJ89" s="82">
        <f t="shared" si="247"/>
        <v>20.8</v>
      </c>
      <c r="BK89" s="82">
        <f t="shared" si="248"/>
        <v>1533</v>
      </c>
      <c r="BL89" s="82">
        <f t="shared" si="249"/>
        <v>313</v>
      </c>
      <c r="BM89" s="82">
        <f t="shared" si="250"/>
        <v>0</v>
      </c>
      <c r="BN89" s="82">
        <f t="shared" si="251"/>
        <v>428</v>
      </c>
      <c r="BO89" s="82">
        <f t="shared" si="252"/>
        <v>194</v>
      </c>
      <c r="BP89" s="82">
        <f t="shared" si="253"/>
        <v>110</v>
      </c>
      <c r="BQ89" s="82"/>
      <c r="BR89" s="129">
        <f>SUMIF('Audit HD AR - School Level'!$B$6:B1218, "=" &amp; A89,'Audit HD AR - School Level'!$Q$6:Q1218)</f>
        <v>0</v>
      </c>
      <c r="BS89" s="224">
        <f t="shared" si="254"/>
        <v>-355</v>
      </c>
      <c r="BT89" s="126">
        <f t="shared" si="255"/>
        <v>-355</v>
      </c>
      <c r="BU89" s="82">
        <f t="shared" si="256"/>
        <v>1513.1</v>
      </c>
    </row>
    <row r="90" spans="1:73">
      <c r="A90" s="1" t="s">
        <v>312</v>
      </c>
      <c r="U90" s="126">
        <v>1078</v>
      </c>
      <c r="X90" s="126">
        <v>9</v>
      </c>
      <c r="Y90" s="126">
        <v>1156.5</v>
      </c>
      <c r="Z90" s="126">
        <v>0</v>
      </c>
      <c r="AC90" s="126">
        <v>236.6</v>
      </c>
      <c r="AD90" s="126">
        <v>3</v>
      </c>
      <c r="AE90" s="126">
        <v>0</v>
      </c>
      <c r="AF90" s="126">
        <v>1113</v>
      </c>
      <c r="AG90" s="126">
        <v>310</v>
      </c>
      <c r="AI90" s="126">
        <v>0</v>
      </c>
      <c r="AJ90" s="126">
        <v>374</v>
      </c>
      <c r="AK90" s="132">
        <v>79</v>
      </c>
      <c r="AL90" s="126">
        <v>1</v>
      </c>
      <c r="AO90" s="132">
        <v>0</v>
      </c>
      <c r="AP90" s="126">
        <v>0</v>
      </c>
      <c r="AQ90" s="134">
        <v>0</v>
      </c>
      <c r="AR90" s="132">
        <v>0</v>
      </c>
      <c r="AS90" s="134">
        <v>0</v>
      </c>
      <c r="AT90" s="132">
        <v>0</v>
      </c>
      <c r="AU90" s="132">
        <v>0</v>
      </c>
      <c r="AV90" s="83">
        <v>156430</v>
      </c>
      <c r="AW90" s="237">
        <v>43557</v>
      </c>
      <c r="AX90" s="233">
        <f t="shared" si="214"/>
        <v>14</v>
      </c>
      <c r="AY90" s="232" t="s">
        <v>3487</v>
      </c>
      <c r="AZ90" s="233" t="b">
        <f t="shared" si="213"/>
        <v>0</v>
      </c>
      <c r="BA90" s="129"/>
      <c r="BB90" s="129"/>
      <c r="BC90" s="129"/>
      <c r="BD90" s="129"/>
      <c r="BE90" s="82">
        <f t="shared" si="243"/>
        <v>1078</v>
      </c>
      <c r="BF90" s="82">
        <f t="shared" si="244"/>
        <v>9</v>
      </c>
      <c r="BG90" s="82"/>
      <c r="BH90" s="82">
        <f t="shared" si="245"/>
        <v>236.6</v>
      </c>
      <c r="BI90" s="82">
        <f t="shared" si="246"/>
        <v>3</v>
      </c>
      <c r="BJ90" s="82">
        <f t="shared" si="247"/>
        <v>0</v>
      </c>
      <c r="BK90" s="82">
        <f t="shared" si="248"/>
        <v>1113</v>
      </c>
      <c r="BL90" s="82">
        <f t="shared" si="249"/>
        <v>310</v>
      </c>
      <c r="BM90" s="82">
        <f t="shared" si="250"/>
        <v>0</v>
      </c>
      <c r="BN90" s="82">
        <f t="shared" si="251"/>
        <v>374</v>
      </c>
      <c r="BO90" s="82">
        <f t="shared" si="252"/>
        <v>79</v>
      </c>
      <c r="BP90" s="82">
        <f t="shared" si="253"/>
        <v>1</v>
      </c>
      <c r="BQ90" s="82"/>
      <c r="BR90" s="129">
        <f>SUMIF('Audit HD AR - School Level'!$B$6:B1219, "=" &amp; A90,'Audit HD AR - School Level'!$Q$6:Q1219)</f>
        <v>0</v>
      </c>
      <c r="BS90" s="224">
        <f t="shared" si="254"/>
        <v>0</v>
      </c>
      <c r="BT90" s="126">
        <f t="shared" si="255"/>
        <v>0</v>
      </c>
      <c r="BU90" s="82">
        <f t="shared" si="256"/>
        <v>1078</v>
      </c>
    </row>
    <row r="91" spans="1:73">
      <c r="A91" s="1" t="s">
        <v>355</v>
      </c>
      <c r="U91" s="126">
        <v>1093.5</v>
      </c>
      <c r="X91" s="126">
        <v>8</v>
      </c>
      <c r="Y91" s="126">
        <v>1127.5</v>
      </c>
      <c r="Z91" s="126">
        <v>0</v>
      </c>
      <c r="AC91" s="126">
        <v>304.8</v>
      </c>
      <c r="AD91" s="126">
        <v>0</v>
      </c>
      <c r="AE91" s="126">
        <v>0</v>
      </c>
      <c r="AF91" s="126">
        <v>1132</v>
      </c>
      <c r="AG91" s="126">
        <v>595</v>
      </c>
      <c r="AI91" s="126">
        <v>0</v>
      </c>
      <c r="AJ91" s="126">
        <v>167</v>
      </c>
      <c r="AK91" s="132">
        <v>6</v>
      </c>
      <c r="AL91" s="126">
        <v>6</v>
      </c>
      <c r="AO91" s="132">
        <v>0</v>
      </c>
      <c r="AP91" s="126">
        <v>0</v>
      </c>
      <c r="AQ91" s="134">
        <v>0</v>
      </c>
      <c r="AR91" s="132">
        <v>0</v>
      </c>
      <c r="AS91" s="134">
        <v>0</v>
      </c>
      <c r="AT91" s="132">
        <v>0</v>
      </c>
      <c r="AU91" s="132">
        <v>0</v>
      </c>
      <c r="AV91" s="83">
        <v>251862</v>
      </c>
      <c r="AW91" s="237">
        <v>43557</v>
      </c>
      <c r="AX91" s="233">
        <f t="shared" si="214"/>
        <v>14</v>
      </c>
      <c r="AY91" s="232" t="s">
        <v>3487</v>
      </c>
      <c r="AZ91" s="233" t="b">
        <f t="shared" si="213"/>
        <v>0</v>
      </c>
      <c r="BA91" s="129"/>
      <c r="BB91" s="129"/>
      <c r="BC91" s="129"/>
      <c r="BD91" s="129"/>
      <c r="BE91" s="82">
        <f t="shared" si="243"/>
        <v>1093.5</v>
      </c>
      <c r="BF91" s="82">
        <f t="shared" si="244"/>
        <v>8</v>
      </c>
      <c r="BG91" s="82"/>
      <c r="BH91" s="82">
        <f t="shared" si="245"/>
        <v>304.8</v>
      </c>
      <c r="BI91" s="82">
        <f t="shared" si="246"/>
        <v>0</v>
      </c>
      <c r="BJ91" s="82">
        <f t="shared" si="247"/>
        <v>0</v>
      </c>
      <c r="BK91" s="82">
        <f t="shared" si="248"/>
        <v>1132</v>
      </c>
      <c r="BL91" s="82">
        <f t="shared" si="249"/>
        <v>595</v>
      </c>
      <c r="BM91" s="82">
        <f t="shared" si="250"/>
        <v>0</v>
      </c>
      <c r="BN91" s="82">
        <f t="shared" si="251"/>
        <v>167</v>
      </c>
      <c r="BO91" s="82">
        <f t="shared" si="252"/>
        <v>6</v>
      </c>
      <c r="BP91" s="82">
        <f t="shared" si="253"/>
        <v>6</v>
      </c>
      <c r="BQ91" s="82"/>
      <c r="BR91" s="129">
        <f>SUMIF('Audit HD AR - School Level'!$B$6:B1220, "=" &amp; A91,'Audit HD AR - School Level'!$Q$6:Q1220)</f>
        <v>59.2</v>
      </c>
      <c r="BS91" s="224">
        <f t="shared" si="254"/>
        <v>0</v>
      </c>
      <c r="BT91" s="126">
        <f t="shared" si="255"/>
        <v>0</v>
      </c>
      <c r="BU91" s="82">
        <f t="shared" si="256"/>
        <v>1093.5</v>
      </c>
    </row>
    <row r="92" spans="1:73">
      <c r="A92" s="1" t="s">
        <v>375</v>
      </c>
      <c r="U92" s="126">
        <v>412.6</v>
      </c>
      <c r="X92" s="126">
        <v>0</v>
      </c>
      <c r="Y92" s="126">
        <v>431.1</v>
      </c>
      <c r="Z92" s="126">
        <v>0</v>
      </c>
      <c r="AC92" s="126">
        <v>209.3</v>
      </c>
      <c r="AD92" s="126">
        <v>0</v>
      </c>
      <c r="AE92" s="126">
        <v>0</v>
      </c>
      <c r="AF92" s="126">
        <v>459</v>
      </c>
      <c r="AG92" s="126">
        <v>89</v>
      </c>
      <c r="AI92" s="126">
        <v>0</v>
      </c>
      <c r="AJ92" s="126">
        <v>35.4</v>
      </c>
      <c r="AK92" s="132">
        <v>55</v>
      </c>
      <c r="AL92" s="126">
        <v>25.2</v>
      </c>
      <c r="AO92" s="132">
        <v>0</v>
      </c>
      <c r="AP92" s="126">
        <v>0</v>
      </c>
      <c r="AQ92" s="134">
        <v>0</v>
      </c>
      <c r="AR92" s="132">
        <v>0</v>
      </c>
      <c r="AS92" s="134">
        <v>0</v>
      </c>
      <c r="AT92" s="132">
        <v>0</v>
      </c>
      <c r="AU92" s="132">
        <v>0</v>
      </c>
      <c r="AV92" s="83">
        <v>107383</v>
      </c>
      <c r="AW92" s="237">
        <v>43557</v>
      </c>
      <c r="AX92" s="233">
        <f t="shared" si="214"/>
        <v>14</v>
      </c>
      <c r="AY92" s="232" t="s">
        <v>3487</v>
      </c>
      <c r="AZ92" s="233" t="b">
        <f t="shared" si="213"/>
        <v>0</v>
      </c>
      <c r="BA92" s="129"/>
      <c r="BB92" s="129"/>
      <c r="BC92" s="129"/>
      <c r="BD92" s="129"/>
      <c r="BE92" s="82">
        <f t="shared" si="243"/>
        <v>412.6</v>
      </c>
      <c r="BF92" s="82">
        <f t="shared" si="244"/>
        <v>0</v>
      </c>
      <c r="BG92" s="82"/>
      <c r="BH92" s="82">
        <f t="shared" si="245"/>
        <v>209.3</v>
      </c>
      <c r="BI92" s="82">
        <f t="shared" si="246"/>
        <v>0</v>
      </c>
      <c r="BJ92" s="82">
        <f t="shared" si="247"/>
        <v>0</v>
      </c>
      <c r="BK92" s="82">
        <f t="shared" si="248"/>
        <v>459</v>
      </c>
      <c r="BL92" s="82">
        <f t="shared" si="249"/>
        <v>89</v>
      </c>
      <c r="BM92" s="82">
        <f t="shared" si="250"/>
        <v>0</v>
      </c>
      <c r="BN92" s="82">
        <f t="shared" si="251"/>
        <v>35.4</v>
      </c>
      <c r="BO92" s="82">
        <f t="shared" si="252"/>
        <v>55</v>
      </c>
      <c r="BP92" s="82">
        <f t="shared" si="253"/>
        <v>25.2</v>
      </c>
      <c r="BQ92" s="82"/>
      <c r="BR92" s="129">
        <f>SUMIF('Audit HD AR - School Level'!$B$6:B1221, "=" &amp; A92,'Audit HD AR - School Level'!$Q$6:Q1221)</f>
        <v>0</v>
      </c>
      <c r="BS92" s="224">
        <f t="shared" si="254"/>
        <v>0</v>
      </c>
      <c r="BT92" s="126">
        <f t="shared" si="255"/>
        <v>0</v>
      </c>
      <c r="BU92" s="82">
        <f t="shared" si="256"/>
        <v>412.6</v>
      </c>
    </row>
    <row r="93" spans="1:73">
      <c r="A93" s="1" t="s">
        <v>376</v>
      </c>
      <c r="U93" s="126">
        <v>619</v>
      </c>
      <c r="X93" s="126">
        <v>16.5</v>
      </c>
      <c r="Y93" s="126">
        <v>654.5</v>
      </c>
      <c r="Z93" s="126">
        <v>0</v>
      </c>
      <c r="AC93" s="126">
        <v>162.4</v>
      </c>
      <c r="AD93" s="126">
        <v>7</v>
      </c>
      <c r="AE93" s="126">
        <v>0</v>
      </c>
      <c r="AF93" s="126">
        <v>661</v>
      </c>
      <c r="AG93" s="126">
        <v>356</v>
      </c>
      <c r="AI93" s="126">
        <v>0</v>
      </c>
      <c r="AJ93" s="126">
        <v>186</v>
      </c>
      <c r="AK93" s="132">
        <v>423</v>
      </c>
      <c r="AL93" s="126">
        <v>47</v>
      </c>
      <c r="AO93" s="132">
        <v>0</v>
      </c>
      <c r="AP93" s="126">
        <v>0</v>
      </c>
      <c r="AQ93" s="134">
        <v>0</v>
      </c>
      <c r="AR93" s="132">
        <v>0</v>
      </c>
      <c r="AS93" s="134">
        <v>0</v>
      </c>
      <c r="AT93" s="132">
        <v>0</v>
      </c>
      <c r="AU93" s="132">
        <v>0</v>
      </c>
      <c r="AV93" s="83">
        <v>242457</v>
      </c>
      <c r="AW93" s="237">
        <v>43557</v>
      </c>
      <c r="AX93" s="233">
        <f t="shared" si="214"/>
        <v>14</v>
      </c>
      <c r="AY93" s="232" t="s">
        <v>3487</v>
      </c>
      <c r="AZ93" s="233" t="b">
        <f t="shared" si="213"/>
        <v>0</v>
      </c>
      <c r="BA93" s="129"/>
      <c r="BB93" s="129"/>
      <c r="BC93" s="129"/>
      <c r="BD93" s="129"/>
      <c r="BE93" s="82">
        <f t="shared" si="243"/>
        <v>619</v>
      </c>
      <c r="BF93" s="82">
        <f t="shared" si="244"/>
        <v>16.5</v>
      </c>
      <c r="BG93" s="82"/>
      <c r="BH93" s="82">
        <f t="shared" si="245"/>
        <v>162.4</v>
      </c>
      <c r="BI93" s="82">
        <f t="shared" si="246"/>
        <v>7</v>
      </c>
      <c r="BJ93" s="82">
        <f t="shared" si="247"/>
        <v>0</v>
      </c>
      <c r="BK93" s="82">
        <f t="shared" si="248"/>
        <v>661</v>
      </c>
      <c r="BL93" s="82">
        <f t="shared" si="249"/>
        <v>356</v>
      </c>
      <c r="BM93" s="82">
        <f t="shared" si="250"/>
        <v>0</v>
      </c>
      <c r="BN93" s="82">
        <f t="shared" si="251"/>
        <v>186</v>
      </c>
      <c r="BO93" s="82">
        <f t="shared" si="252"/>
        <v>423</v>
      </c>
      <c r="BP93" s="82">
        <f t="shared" si="253"/>
        <v>47</v>
      </c>
      <c r="BQ93" s="82"/>
      <c r="BR93" s="129">
        <f>SUMIF('Audit HD AR - School Level'!$B$6:B1222, "=" &amp; A93,'Audit HD AR - School Level'!$Q$6:Q1222)</f>
        <v>35.200000000000003</v>
      </c>
      <c r="BS93" s="224">
        <f t="shared" si="254"/>
        <v>0</v>
      </c>
      <c r="BT93" s="126">
        <f t="shared" si="255"/>
        <v>0</v>
      </c>
      <c r="BU93" s="82">
        <f t="shared" si="256"/>
        <v>619</v>
      </c>
    </row>
    <row r="94" spans="1:73">
      <c r="A94" s="1" t="s">
        <v>409</v>
      </c>
      <c r="U94" s="126">
        <v>2802.5</v>
      </c>
      <c r="X94" s="126">
        <v>13.5</v>
      </c>
      <c r="Y94" s="126">
        <v>2859</v>
      </c>
      <c r="Z94" s="126">
        <v>0</v>
      </c>
      <c r="AC94" s="126">
        <v>558.20000000000005</v>
      </c>
      <c r="AD94" s="126">
        <v>562</v>
      </c>
      <c r="AE94" s="126">
        <v>1657.3</v>
      </c>
      <c r="AF94" s="126">
        <v>2851</v>
      </c>
      <c r="AG94" s="126">
        <v>1574</v>
      </c>
      <c r="AI94" s="126">
        <v>0</v>
      </c>
      <c r="AJ94" s="126">
        <v>185</v>
      </c>
      <c r="AK94" s="132">
        <v>5</v>
      </c>
      <c r="AL94" s="126">
        <v>0</v>
      </c>
      <c r="AO94" s="132">
        <v>0</v>
      </c>
      <c r="AP94" s="126">
        <v>0</v>
      </c>
      <c r="AQ94" s="134">
        <v>0</v>
      </c>
      <c r="AR94" s="132">
        <v>0</v>
      </c>
      <c r="AS94" s="134">
        <v>0</v>
      </c>
      <c r="AT94" s="132">
        <v>0</v>
      </c>
      <c r="AU94" s="132">
        <v>0</v>
      </c>
      <c r="AV94" s="83">
        <v>77290</v>
      </c>
      <c r="AW94" s="237">
        <v>43557</v>
      </c>
      <c r="AX94" s="233">
        <f t="shared" si="214"/>
        <v>14</v>
      </c>
      <c r="AY94" s="232" t="s">
        <v>3487</v>
      </c>
      <c r="AZ94" s="233" t="b">
        <f t="shared" si="213"/>
        <v>0</v>
      </c>
      <c r="BA94" s="129"/>
      <c r="BB94" s="129"/>
      <c r="BC94" s="129"/>
      <c r="BD94" s="129"/>
      <c r="BE94" s="82">
        <f t="shared" si="243"/>
        <v>2802.5</v>
      </c>
      <c r="BF94" s="82">
        <f t="shared" si="244"/>
        <v>13.5</v>
      </c>
      <c r="BG94" s="82"/>
      <c r="BH94" s="82">
        <f t="shared" si="245"/>
        <v>558.20000000000005</v>
      </c>
      <c r="BI94" s="82">
        <f t="shared" si="246"/>
        <v>562</v>
      </c>
      <c r="BJ94" s="82">
        <f t="shared" si="247"/>
        <v>1657.3</v>
      </c>
      <c r="BK94" s="82">
        <f t="shared" si="248"/>
        <v>2851</v>
      </c>
      <c r="BL94" s="82">
        <f t="shared" si="249"/>
        <v>1574</v>
      </c>
      <c r="BM94" s="82">
        <f t="shared" si="250"/>
        <v>0</v>
      </c>
      <c r="BN94" s="82">
        <f t="shared" si="251"/>
        <v>185</v>
      </c>
      <c r="BO94" s="82">
        <f t="shared" si="252"/>
        <v>5</v>
      </c>
      <c r="BP94" s="82">
        <f t="shared" si="253"/>
        <v>0</v>
      </c>
      <c r="BQ94" s="82"/>
      <c r="BR94" s="129">
        <f>SUMIF('Audit HD AR - School Level'!$B$6:B1223, "=" &amp; A94,'Audit HD AR - School Level'!$Q$6:Q1223)</f>
        <v>150.1</v>
      </c>
      <c r="BS94" s="224">
        <f t="shared" si="254"/>
        <v>0</v>
      </c>
      <c r="BT94" s="126">
        <f t="shared" si="255"/>
        <v>0</v>
      </c>
      <c r="BU94" s="82">
        <f t="shared" si="256"/>
        <v>2802.5</v>
      </c>
    </row>
    <row r="95" spans="1:73">
      <c r="A95" s="1" t="s">
        <v>482</v>
      </c>
      <c r="U95" s="126">
        <v>26894.9</v>
      </c>
      <c r="X95" s="126">
        <v>102</v>
      </c>
      <c r="Y95" s="126">
        <v>27116.799999999999</v>
      </c>
      <c r="Z95" s="126">
        <v>0</v>
      </c>
      <c r="AC95" s="126">
        <v>5701.9</v>
      </c>
      <c r="AD95" s="126">
        <v>2719</v>
      </c>
      <c r="AE95" s="126">
        <v>6146.3</v>
      </c>
      <c r="AF95" s="126">
        <v>27271</v>
      </c>
      <c r="AG95" s="126">
        <v>7266</v>
      </c>
      <c r="AI95" s="126">
        <v>2085.5</v>
      </c>
      <c r="AJ95" s="126">
        <v>5002</v>
      </c>
      <c r="AK95" s="132">
        <v>857</v>
      </c>
      <c r="AL95" s="126">
        <v>25</v>
      </c>
      <c r="AO95" s="132">
        <v>0</v>
      </c>
      <c r="AP95" s="126">
        <v>0</v>
      </c>
      <c r="AQ95" s="134">
        <v>0</v>
      </c>
      <c r="AR95" s="132">
        <v>0</v>
      </c>
      <c r="AS95" s="134">
        <v>0</v>
      </c>
      <c r="AT95" s="132">
        <v>0</v>
      </c>
      <c r="AU95" s="132">
        <v>1</v>
      </c>
      <c r="AV95" s="83">
        <v>6799879</v>
      </c>
      <c r="AW95" s="237">
        <v>43557</v>
      </c>
      <c r="AX95" s="233">
        <f t="shared" si="214"/>
        <v>14</v>
      </c>
      <c r="AY95" s="232" t="s">
        <v>3487</v>
      </c>
      <c r="AZ95" s="233" t="b">
        <f t="shared" si="213"/>
        <v>0</v>
      </c>
      <c r="BA95" s="129"/>
      <c r="BB95" s="129"/>
      <c r="BC95" s="129"/>
      <c r="BD95" s="129"/>
      <c r="BE95" s="82">
        <f t="shared" si="243"/>
        <v>26894.9</v>
      </c>
      <c r="BF95" s="82">
        <f t="shared" si="244"/>
        <v>102</v>
      </c>
      <c r="BG95" s="82"/>
      <c r="BH95" s="82">
        <f t="shared" si="245"/>
        <v>5701.9</v>
      </c>
      <c r="BI95" s="82">
        <f t="shared" si="246"/>
        <v>2719</v>
      </c>
      <c r="BJ95" s="82">
        <f t="shared" si="247"/>
        <v>6146.3</v>
      </c>
      <c r="BK95" s="82">
        <f t="shared" si="248"/>
        <v>27271</v>
      </c>
      <c r="BL95" s="82">
        <f t="shared" si="249"/>
        <v>7266</v>
      </c>
      <c r="BM95" s="82">
        <f t="shared" si="250"/>
        <v>2085.5</v>
      </c>
      <c r="BN95" s="82">
        <f t="shared" si="251"/>
        <v>5002</v>
      </c>
      <c r="BO95" s="82">
        <f t="shared" si="252"/>
        <v>857</v>
      </c>
      <c r="BP95" s="82">
        <f t="shared" si="253"/>
        <v>25</v>
      </c>
      <c r="BQ95" s="82"/>
      <c r="BR95" s="129">
        <f>SUMIF('Audit HD AR - School Level'!$B$6:B1225, "=" &amp; A95,'Audit HD AR - School Level'!$Q$6:Q1225)</f>
        <v>206.4</v>
      </c>
      <c r="BS95" s="224">
        <f t="shared" si="254"/>
        <v>0</v>
      </c>
      <c r="BT95" s="126">
        <f t="shared" si="255"/>
        <v>0</v>
      </c>
      <c r="BU95" s="82">
        <f t="shared" si="256"/>
        <v>26894.9</v>
      </c>
    </row>
    <row r="96" spans="1:73">
      <c r="A96" s="1" t="s">
        <v>441</v>
      </c>
      <c r="U96" s="126">
        <v>2149.9</v>
      </c>
      <c r="X96" s="126">
        <v>32</v>
      </c>
      <c r="Y96" s="126">
        <v>2180.6</v>
      </c>
      <c r="Z96" s="126">
        <v>0</v>
      </c>
      <c r="AC96" s="126">
        <v>574.9</v>
      </c>
      <c r="AD96" s="126">
        <v>90</v>
      </c>
      <c r="AE96" s="126">
        <v>138.6</v>
      </c>
      <c r="AF96" s="126">
        <v>2268</v>
      </c>
      <c r="AG96" s="126">
        <v>972</v>
      </c>
      <c r="AI96" s="126">
        <v>0</v>
      </c>
      <c r="AJ96" s="126">
        <v>533</v>
      </c>
      <c r="AK96" s="132">
        <v>145.5</v>
      </c>
      <c r="AL96" s="126">
        <v>9</v>
      </c>
      <c r="AO96" s="132">
        <v>0</v>
      </c>
      <c r="AP96" s="126">
        <v>0</v>
      </c>
      <c r="AQ96" s="134">
        <v>0</v>
      </c>
      <c r="AR96" s="132">
        <v>0</v>
      </c>
      <c r="AS96" s="134">
        <v>0</v>
      </c>
      <c r="AT96" s="132">
        <v>0</v>
      </c>
      <c r="AU96" s="132">
        <v>0</v>
      </c>
      <c r="AV96" s="83">
        <v>369080</v>
      </c>
      <c r="AW96" s="237">
        <v>43557</v>
      </c>
      <c r="AX96" s="233">
        <f t="shared" si="214"/>
        <v>14</v>
      </c>
      <c r="AY96" s="232" t="s">
        <v>3487</v>
      </c>
      <c r="AZ96" s="233" t="b">
        <f t="shared" si="213"/>
        <v>0</v>
      </c>
      <c r="BA96" s="129"/>
      <c r="BB96" s="129"/>
      <c r="BC96" s="129"/>
      <c r="BD96" s="129"/>
      <c r="BE96" s="82">
        <f t="shared" ref="BE96" si="257">SUM(U96+C96-AO96-AP96-AR96)</f>
        <v>2149.9</v>
      </c>
      <c r="BF96" s="82">
        <f t="shared" ref="BF96" si="258">SUM(X96+F96)</f>
        <v>32</v>
      </c>
      <c r="BG96" s="82"/>
      <c r="BH96" s="82">
        <f t="shared" ref="BH96" si="259">SUM(AC96+H96)</f>
        <v>574.9</v>
      </c>
      <c r="BI96" s="82">
        <f t="shared" ref="BI96" si="260">SUM(AD96+I96)</f>
        <v>90</v>
      </c>
      <c r="BJ96" s="82">
        <f t="shared" ref="BJ96" si="261">SUM(AE96+J96)</f>
        <v>138.6</v>
      </c>
      <c r="BK96" s="82">
        <f t="shared" ref="BK96" si="262">SUM(AF96+K96)</f>
        <v>2268</v>
      </c>
      <c r="BL96" s="82">
        <f t="shared" ref="BL96" si="263">SUM(AG96+L96)</f>
        <v>972</v>
      </c>
      <c r="BM96" s="82">
        <f t="shared" ref="BM96" si="264">SUM(AI96+M96)</f>
        <v>0</v>
      </c>
      <c r="BN96" s="82">
        <f t="shared" ref="BN96" si="265">SUM(AJ96+Q96)</f>
        <v>533</v>
      </c>
      <c r="BO96" s="82">
        <f t="shared" ref="BO96" si="266">SUM(AK96+R96)</f>
        <v>145.5</v>
      </c>
      <c r="BP96" s="82">
        <f t="shared" ref="BP96" si="267">SUM(AL96+S96)</f>
        <v>9</v>
      </c>
      <c r="BQ96" s="82"/>
      <c r="BR96" s="129">
        <f>SUMIF('Audit HD AR - School Level'!$B$6:B1226, "=" &amp; A96,'Audit HD AR - School Level'!$Q$6:Q1226)</f>
        <v>45.3</v>
      </c>
      <c r="BS96" s="224">
        <f t="shared" ref="BS96" si="268">SUM(AS96-AQ96)*$BS$2</f>
        <v>0</v>
      </c>
      <c r="BT96" s="126">
        <f t="shared" ref="BT96" si="269">IF(BS96&lt;0,BS96,0)</f>
        <v>0</v>
      </c>
      <c r="BU96" s="82">
        <f t="shared" ref="BU96" si="270">SUM(U96-AO96-AP96-AR96)</f>
        <v>2149.9</v>
      </c>
    </row>
    <row r="97" spans="1:73">
      <c r="A97" s="1" t="s">
        <v>211</v>
      </c>
      <c r="U97" s="126">
        <v>250</v>
      </c>
      <c r="X97" s="126">
        <v>3</v>
      </c>
      <c r="Y97" s="126">
        <v>256.10000000000002</v>
      </c>
      <c r="Z97" s="126">
        <v>0</v>
      </c>
      <c r="AC97" s="126">
        <v>32.799999999999997</v>
      </c>
      <c r="AD97" s="126">
        <v>62</v>
      </c>
      <c r="AE97" s="126">
        <v>130.9</v>
      </c>
      <c r="AF97" s="126">
        <v>257</v>
      </c>
      <c r="AG97" s="126">
        <v>101</v>
      </c>
      <c r="AI97" s="126">
        <v>0</v>
      </c>
      <c r="AJ97" s="126">
        <v>71</v>
      </c>
      <c r="AK97" s="132">
        <v>23</v>
      </c>
      <c r="AL97" s="126">
        <v>1</v>
      </c>
      <c r="AO97" s="132">
        <v>0</v>
      </c>
      <c r="AP97" s="126">
        <v>0</v>
      </c>
      <c r="AQ97" s="134">
        <v>0</v>
      </c>
      <c r="AR97" s="132">
        <v>0</v>
      </c>
      <c r="AS97" s="134">
        <v>0</v>
      </c>
      <c r="AT97" s="132">
        <v>0</v>
      </c>
      <c r="AU97" s="132">
        <v>0</v>
      </c>
      <c r="AV97" s="83">
        <v>203746</v>
      </c>
      <c r="AW97" s="237">
        <v>43567</v>
      </c>
      <c r="AX97" s="233">
        <f t="shared" si="214"/>
        <v>15</v>
      </c>
      <c r="AY97" s="232" t="s">
        <v>3487</v>
      </c>
      <c r="AZ97" s="233" t="b">
        <f t="shared" si="213"/>
        <v>0</v>
      </c>
      <c r="BA97" s="129"/>
      <c r="BB97" s="129"/>
      <c r="BC97" s="129"/>
      <c r="BD97" s="129"/>
      <c r="BE97" s="82">
        <f t="shared" ref="BE97:BE121" si="271">SUM(U97+C97-AO97-AP97-AR97)</f>
        <v>250</v>
      </c>
      <c r="BF97" s="82">
        <f t="shared" ref="BF97:BF121" si="272">SUM(X97+F97)</f>
        <v>3</v>
      </c>
      <c r="BG97" s="82"/>
      <c r="BH97" s="82">
        <f t="shared" ref="BH97:BH121" si="273">SUM(AC97+H97)</f>
        <v>32.799999999999997</v>
      </c>
      <c r="BI97" s="82">
        <f t="shared" ref="BI97:BI121" si="274">SUM(AD97+I97)</f>
        <v>62</v>
      </c>
      <c r="BJ97" s="82">
        <f t="shared" ref="BJ97:BJ121" si="275">SUM(AE97+J97)</f>
        <v>130.9</v>
      </c>
      <c r="BK97" s="82">
        <f t="shared" ref="BK97:BK121" si="276">SUM(AF97+K97)</f>
        <v>257</v>
      </c>
      <c r="BL97" s="82">
        <f t="shared" ref="BL97:BL121" si="277">SUM(AG97+L97)</f>
        <v>101</v>
      </c>
      <c r="BM97" s="82">
        <f t="shared" ref="BM97:BM121" si="278">SUM(AI97+M97)</f>
        <v>0</v>
      </c>
      <c r="BN97" s="82">
        <f t="shared" ref="BN97:BN121" si="279">SUM(AJ97+Q97)</f>
        <v>71</v>
      </c>
      <c r="BO97" s="82">
        <f t="shared" ref="BO97:BO121" si="280">SUM(AK97+R97)</f>
        <v>23</v>
      </c>
      <c r="BP97" s="82">
        <f t="shared" ref="BP97:BP121" si="281">SUM(AL97+S97)</f>
        <v>1</v>
      </c>
      <c r="BQ97" s="82"/>
      <c r="BR97" s="129">
        <f>SUMIF('Audit HD AR - School Level'!$B$6:B1227, "=" &amp; A97,'Audit HD AR - School Level'!$Q$6:Q1227)</f>
        <v>3</v>
      </c>
      <c r="BS97" s="224">
        <f t="shared" ref="BS97:BS121" si="282">SUM(AS97-AQ97)*$BS$2</f>
        <v>0</v>
      </c>
      <c r="BT97" s="126">
        <f t="shared" ref="BT97:BT121" si="283">IF(BS97&lt;0,BS97,0)</f>
        <v>0</v>
      </c>
      <c r="BU97" s="82">
        <f t="shared" ref="BU97:BU121" si="284">SUM(U97-AO97-AP97-AR97)</f>
        <v>250</v>
      </c>
    </row>
    <row r="98" spans="1:73">
      <c r="A98" s="1" t="s">
        <v>212</v>
      </c>
      <c r="U98" s="126">
        <v>3924.5</v>
      </c>
      <c r="X98" s="126">
        <v>71.5</v>
      </c>
      <c r="Y98" s="126">
        <v>4027.5</v>
      </c>
      <c r="Z98" s="126">
        <v>0</v>
      </c>
      <c r="AC98" s="126">
        <v>938.3</v>
      </c>
      <c r="AD98" s="126">
        <v>823</v>
      </c>
      <c r="AE98" s="126">
        <v>1621.3</v>
      </c>
      <c r="AF98" s="126">
        <v>4059</v>
      </c>
      <c r="AG98" s="126">
        <v>2509</v>
      </c>
      <c r="AI98" s="126">
        <v>0</v>
      </c>
      <c r="AJ98" s="126">
        <v>1200</v>
      </c>
      <c r="AK98" s="132">
        <v>2631</v>
      </c>
      <c r="AL98" s="126">
        <v>3</v>
      </c>
      <c r="AO98" s="132">
        <v>8</v>
      </c>
      <c r="AP98" s="126">
        <v>0</v>
      </c>
      <c r="AQ98" s="134">
        <v>161</v>
      </c>
      <c r="AR98" s="132">
        <v>17</v>
      </c>
      <c r="AS98" s="134">
        <v>156</v>
      </c>
      <c r="AT98" s="132">
        <v>160</v>
      </c>
      <c r="AU98" s="132">
        <v>2</v>
      </c>
      <c r="AV98" s="83">
        <v>1349677</v>
      </c>
      <c r="AW98" s="237">
        <v>43567</v>
      </c>
      <c r="AX98" s="233">
        <f t="shared" si="214"/>
        <v>15</v>
      </c>
      <c r="AY98" s="232" t="s">
        <v>3487</v>
      </c>
      <c r="AZ98" s="233" t="b">
        <f t="shared" si="213"/>
        <v>0</v>
      </c>
      <c r="BA98" s="129"/>
      <c r="BB98" s="129"/>
      <c r="BC98" s="129"/>
      <c r="BD98" s="129"/>
      <c r="BE98" s="82">
        <f t="shared" si="271"/>
        <v>3899.5</v>
      </c>
      <c r="BF98" s="82">
        <f t="shared" si="272"/>
        <v>71.5</v>
      </c>
      <c r="BG98" s="82"/>
      <c r="BH98" s="82">
        <f t="shared" si="273"/>
        <v>938.3</v>
      </c>
      <c r="BI98" s="82">
        <f t="shared" si="274"/>
        <v>823</v>
      </c>
      <c r="BJ98" s="82">
        <f t="shared" si="275"/>
        <v>1621.3</v>
      </c>
      <c r="BK98" s="82">
        <f t="shared" si="276"/>
        <v>4059</v>
      </c>
      <c r="BL98" s="82">
        <f t="shared" si="277"/>
        <v>2509</v>
      </c>
      <c r="BM98" s="82">
        <f t="shared" si="278"/>
        <v>0</v>
      </c>
      <c r="BN98" s="82">
        <f t="shared" si="279"/>
        <v>1200</v>
      </c>
      <c r="BO98" s="82">
        <f t="shared" si="280"/>
        <v>2631</v>
      </c>
      <c r="BP98" s="82">
        <f t="shared" si="281"/>
        <v>3</v>
      </c>
      <c r="BQ98" s="82"/>
      <c r="BR98" s="129">
        <f>SUMIF('Audit HD AR - School Level'!$B$6:B1228, "=" &amp; A98,'Audit HD AR - School Level'!$Q$6:Q1228)</f>
        <v>263.3</v>
      </c>
      <c r="BS98" s="224">
        <f t="shared" si="282"/>
        <v>-3545</v>
      </c>
      <c r="BT98" s="126">
        <f t="shared" si="283"/>
        <v>-3545</v>
      </c>
      <c r="BU98" s="82">
        <f t="shared" si="284"/>
        <v>3899.5</v>
      </c>
    </row>
    <row r="99" spans="1:73">
      <c r="A99" s="1" t="s">
        <v>215</v>
      </c>
      <c r="U99" s="126">
        <v>496</v>
      </c>
      <c r="X99" s="126">
        <v>0</v>
      </c>
      <c r="Y99" s="126">
        <v>485</v>
      </c>
      <c r="Z99" s="126">
        <v>0</v>
      </c>
      <c r="AC99" s="126">
        <v>72.900000000000006</v>
      </c>
      <c r="AD99" s="126">
        <v>3</v>
      </c>
      <c r="AE99" s="126">
        <v>0</v>
      </c>
      <c r="AF99" s="126">
        <v>501</v>
      </c>
      <c r="AG99" s="126">
        <v>184</v>
      </c>
      <c r="AI99" s="126">
        <v>0</v>
      </c>
      <c r="AJ99" s="126">
        <v>244</v>
      </c>
      <c r="AK99" s="132">
        <v>26</v>
      </c>
      <c r="AL99" s="126">
        <v>51</v>
      </c>
      <c r="AO99" s="132">
        <v>0</v>
      </c>
      <c r="AP99" s="126">
        <v>0</v>
      </c>
      <c r="AQ99" s="134">
        <v>0</v>
      </c>
      <c r="AR99" s="132">
        <v>0</v>
      </c>
      <c r="AS99" s="134">
        <v>0</v>
      </c>
      <c r="AT99" s="132">
        <v>0</v>
      </c>
      <c r="AU99" s="132">
        <v>0</v>
      </c>
      <c r="AV99" s="83">
        <v>198266</v>
      </c>
      <c r="AW99" s="237">
        <v>43567</v>
      </c>
      <c r="AX99" s="233">
        <f t="shared" si="214"/>
        <v>15</v>
      </c>
      <c r="AY99" s="232" t="s">
        <v>3487</v>
      </c>
      <c r="AZ99" s="233" t="b">
        <f t="shared" si="213"/>
        <v>0</v>
      </c>
      <c r="BA99" s="129"/>
      <c r="BB99" s="129"/>
      <c r="BC99" s="129"/>
      <c r="BD99" s="129"/>
      <c r="BE99" s="82">
        <f t="shared" si="271"/>
        <v>496</v>
      </c>
      <c r="BF99" s="82">
        <f t="shared" si="272"/>
        <v>0</v>
      </c>
      <c r="BG99" s="82"/>
      <c r="BH99" s="82">
        <f t="shared" si="273"/>
        <v>72.900000000000006</v>
      </c>
      <c r="BI99" s="82">
        <f t="shared" si="274"/>
        <v>3</v>
      </c>
      <c r="BJ99" s="82">
        <f t="shared" si="275"/>
        <v>0</v>
      </c>
      <c r="BK99" s="82">
        <f t="shared" si="276"/>
        <v>501</v>
      </c>
      <c r="BL99" s="82">
        <f t="shared" si="277"/>
        <v>184</v>
      </c>
      <c r="BM99" s="82">
        <f t="shared" si="278"/>
        <v>0</v>
      </c>
      <c r="BN99" s="82">
        <f t="shared" si="279"/>
        <v>244</v>
      </c>
      <c r="BO99" s="82">
        <f t="shared" si="280"/>
        <v>26</v>
      </c>
      <c r="BP99" s="82">
        <f t="shared" si="281"/>
        <v>51</v>
      </c>
      <c r="BQ99" s="82"/>
      <c r="BR99" s="129">
        <f>SUMIF('Audit HD AR - School Level'!$B$6:B1229, "=" &amp; A99,'Audit HD AR - School Level'!$Q$6:Q1229)</f>
        <v>2.2999999999999998</v>
      </c>
      <c r="BS99" s="224">
        <f t="shared" si="282"/>
        <v>0</v>
      </c>
      <c r="BT99" s="126">
        <f t="shared" si="283"/>
        <v>0</v>
      </c>
      <c r="BU99" s="82">
        <f t="shared" si="284"/>
        <v>496</v>
      </c>
    </row>
    <row r="100" spans="1:73">
      <c r="A100" s="1" t="s">
        <v>219</v>
      </c>
      <c r="U100" s="126">
        <v>159.19999999999999</v>
      </c>
      <c r="X100" s="126">
        <v>3.5</v>
      </c>
      <c r="Y100" s="126">
        <v>179.5</v>
      </c>
      <c r="Z100" s="126">
        <v>0</v>
      </c>
      <c r="AC100" s="126">
        <v>0</v>
      </c>
      <c r="AD100" s="126">
        <v>53</v>
      </c>
      <c r="AE100" s="126">
        <v>256.2</v>
      </c>
      <c r="AF100" s="126">
        <v>167</v>
      </c>
      <c r="AG100" s="126">
        <v>84</v>
      </c>
      <c r="AI100" s="126">
        <v>0</v>
      </c>
      <c r="AJ100" s="126">
        <v>39</v>
      </c>
      <c r="AK100" s="132">
        <v>0</v>
      </c>
      <c r="AL100" s="126">
        <v>34.4</v>
      </c>
      <c r="AO100" s="132">
        <v>0</v>
      </c>
      <c r="AP100" s="126">
        <v>0</v>
      </c>
      <c r="AQ100" s="134">
        <v>0</v>
      </c>
      <c r="AR100" s="132">
        <v>0</v>
      </c>
      <c r="AS100" s="134">
        <v>0</v>
      </c>
      <c r="AT100" s="132">
        <v>0</v>
      </c>
      <c r="AU100" s="132">
        <v>0</v>
      </c>
      <c r="AV100" s="83">
        <v>65479</v>
      </c>
      <c r="AW100" s="237">
        <v>43567</v>
      </c>
      <c r="AX100" s="233">
        <f t="shared" si="214"/>
        <v>15</v>
      </c>
      <c r="AY100" s="232" t="s">
        <v>3487</v>
      </c>
      <c r="AZ100" s="233" t="b">
        <f t="shared" si="213"/>
        <v>0</v>
      </c>
      <c r="BA100" s="129"/>
      <c r="BB100" s="129"/>
      <c r="BC100" s="129"/>
      <c r="BD100" s="129"/>
      <c r="BE100" s="82">
        <f t="shared" si="271"/>
        <v>159.19999999999999</v>
      </c>
      <c r="BF100" s="82">
        <f t="shared" si="272"/>
        <v>3.5</v>
      </c>
      <c r="BG100" s="82"/>
      <c r="BH100" s="82">
        <f t="shared" si="273"/>
        <v>0</v>
      </c>
      <c r="BI100" s="82">
        <f t="shared" si="274"/>
        <v>53</v>
      </c>
      <c r="BJ100" s="82">
        <f t="shared" si="275"/>
        <v>256.2</v>
      </c>
      <c r="BK100" s="82">
        <f t="shared" si="276"/>
        <v>167</v>
      </c>
      <c r="BL100" s="82">
        <f t="shared" si="277"/>
        <v>84</v>
      </c>
      <c r="BM100" s="82">
        <f t="shared" si="278"/>
        <v>0</v>
      </c>
      <c r="BN100" s="82">
        <f t="shared" si="279"/>
        <v>39</v>
      </c>
      <c r="BO100" s="82">
        <f t="shared" si="280"/>
        <v>0</v>
      </c>
      <c r="BP100" s="82">
        <f t="shared" si="281"/>
        <v>34.4</v>
      </c>
      <c r="BQ100" s="82"/>
      <c r="BR100" s="129">
        <f>SUMIF('Audit HD AR - School Level'!$B$6:B1230, "=" &amp; A100,'Audit HD AR - School Level'!$Q$6:Q1230)</f>
        <v>8.8000000000000007</v>
      </c>
      <c r="BS100" s="224">
        <f t="shared" si="282"/>
        <v>0</v>
      </c>
      <c r="BT100" s="126">
        <f t="shared" si="283"/>
        <v>0</v>
      </c>
      <c r="BU100" s="82">
        <f t="shared" si="284"/>
        <v>159.19999999999999</v>
      </c>
    </row>
    <row r="101" spans="1:73">
      <c r="A101" s="1" t="s">
        <v>224</v>
      </c>
      <c r="U101" s="126">
        <v>641</v>
      </c>
      <c r="X101" s="126">
        <v>7.5</v>
      </c>
      <c r="Y101" s="126">
        <v>646.5</v>
      </c>
      <c r="Z101" s="126">
        <v>0</v>
      </c>
      <c r="AC101" s="126">
        <v>93.9</v>
      </c>
      <c r="AD101" s="126">
        <v>152</v>
      </c>
      <c r="AE101" s="126">
        <v>381.2</v>
      </c>
      <c r="AF101" s="126">
        <v>659</v>
      </c>
      <c r="AG101" s="126">
        <v>283</v>
      </c>
      <c r="AI101" s="126">
        <v>0</v>
      </c>
      <c r="AJ101" s="126">
        <v>85</v>
      </c>
      <c r="AK101" s="132">
        <v>54</v>
      </c>
      <c r="AL101" s="126">
        <v>10</v>
      </c>
      <c r="AO101" s="132">
        <v>0</v>
      </c>
      <c r="AP101" s="126">
        <v>0</v>
      </c>
      <c r="AQ101" s="134">
        <v>116</v>
      </c>
      <c r="AR101" s="132">
        <v>0</v>
      </c>
      <c r="AS101" s="134">
        <v>111.5</v>
      </c>
      <c r="AT101" s="132">
        <v>0</v>
      </c>
      <c r="AU101" s="132">
        <v>0</v>
      </c>
      <c r="AV101" s="83">
        <v>223163</v>
      </c>
      <c r="AW101" s="237">
        <v>43567</v>
      </c>
      <c r="AX101" s="233">
        <f t="shared" si="214"/>
        <v>15</v>
      </c>
      <c r="AY101" s="232" t="s">
        <v>3487</v>
      </c>
      <c r="AZ101" s="233" t="b">
        <f t="shared" si="213"/>
        <v>0</v>
      </c>
      <c r="BA101" s="129"/>
      <c r="BB101" s="129"/>
      <c r="BC101" s="129"/>
      <c r="BD101" s="129"/>
      <c r="BE101" s="82">
        <f t="shared" si="271"/>
        <v>641</v>
      </c>
      <c r="BF101" s="82">
        <f t="shared" si="272"/>
        <v>7.5</v>
      </c>
      <c r="BG101" s="82"/>
      <c r="BH101" s="82">
        <f t="shared" si="273"/>
        <v>93.9</v>
      </c>
      <c r="BI101" s="82">
        <f t="shared" si="274"/>
        <v>152</v>
      </c>
      <c r="BJ101" s="82">
        <f t="shared" si="275"/>
        <v>381.2</v>
      </c>
      <c r="BK101" s="82">
        <f t="shared" si="276"/>
        <v>659</v>
      </c>
      <c r="BL101" s="82">
        <f t="shared" si="277"/>
        <v>283</v>
      </c>
      <c r="BM101" s="82">
        <f t="shared" si="278"/>
        <v>0</v>
      </c>
      <c r="BN101" s="82">
        <f t="shared" si="279"/>
        <v>85</v>
      </c>
      <c r="BO101" s="82">
        <f t="shared" si="280"/>
        <v>54</v>
      </c>
      <c r="BP101" s="82">
        <f t="shared" si="281"/>
        <v>10</v>
      </c>
      <c r="BQ101" s="82"/>
      <c r="BR101" s="129">
        <f>SUMIF('Audit HD AR - School Level'!$B$6:B1231, "=" &amp; A101,'Audit HD AR - School Level'!$Q$6:Q1231)</f>
        <v>19.7</v>
      </c>
      <c r="BS101" s="224">
        <f t="shared" si="282"/>
        <v>-3191</v>
      </c>
      <c r="BT101" s="126">
        <f t="shared" si="283"/>
        <v>-3191</v>
      </c>
      <c r="BU101" s="82">
        <f t="shared" si="284"/>
        <v>641</v>
      </c>
    </row>
    <row r="102" spans="1:73">
      <c r="A102" s="1" t="s">
        <v>248</v>
      </c>
      <c r="U102" s="126">
        <v>815</v>
      </c>
      <c r="X102" s="126">
        <v>5.5</v>
      </c>
      <c r="Y102" s="126">
        <v>853</v>
      </c>
      <c r="Z102" s="126">
        <v>0</v>
      </c>
      <c r="AC102" s="126">
        <v>608.5</v>
      </c>
      <c r="AD102" s="126">
        <v>5</v>
      </c>
      <c r="AE102" s="126">
        <v>1.5</v>
      </c>
      <c r="AF102" s="126">
        <v>833</v>
      </c>
      <c r="AG102" s="126">
        <v>258</v>
      </c>
      <c r="AI102" s="126">
        <v>0</v>
      </c>
      <c r="AJ102" s="126">
        <v>229</v>
      </c>
      <c r="AK102" s="132">
        <v>514</v>
      </c>
      <c r="AL102" s="126">
        <v>78</v>
      </c>
      <c r="AO102" s="132">
        <v>0</v>
      </c>
      <c r="AP102" s="126">
        <v>0</v>
      </c>
      <c r="AQ102" s="134">
        <v>0</v>
      </c>
      <c r="AR102" s="132">
        <v>0</v>
      </c>
      <c r="AS102" s="134">
        <v>0</v>
      </c>
      <c r="AT102" s="132">
        <v>0</v>
      </c>
      <c r="AU102" s="132">
        <v>0</v>
      </c>
      <c r="AV102" s="83">
        <v>208525</v>
      </c>
      <c r="AW102" s="237">
        <v>43567</v>
      </c>
      <c r="AX102" s="233">
        <f t="shared" si="214"/>
        <v>15</v>
      </c>
      <c r="AY102" s="232" t="s">
        <v>3487</v>
      </c>
      <c r="AZ102" s="233" t="b">
        <f t="shared" si="213"/>
        <v>0</v>
      </c>
      <c r="BA102" s="129"/>
      <c r="BB102" s="129"/>
      <c r="BC102" s="129"/>
      <c r="BD102" s="129"/>
      <c r="BE102" s="82">
        <f t="shared" si="271"/>
        <v>815</v>
      </c>
      <c r="BF102" s="82">
        <f t="shared" si="272"/>
        <v>5.5</v>
      </c>
      <c r="BG102" s="82"/>
      <c r="BH102" s="82">
        <f t="shared" si="273"/>
        <v>608.5</v>
      </c>
      <c r="BI102" s="82">
        <f t="shared" si="274"/>
        <v>5</v>
      </c>
      <c r="BJ102" s="82">
        <f t="shared" si="275"/>
        <v>1.5</v>
      </c>
      <c r="BK102" s="82">
        <f t="shared" si="276"/>
        <v>833</v>
      </c>
      <c r="BL102" s="82">
        <f t="shared" si="277"/>
        <v>258</v>
      </c>
      <c r="BM102" s="82">
        <f t="shared" si="278"/>
        <v>0</v>
      </c>
      <c r="BN102" s="82">
        <f t="shared" si="279"/>
        <v>229</v>
      </c>
      <c r="BO102" s="82">
        <f t="shared" si="280"/>
        <v>514</v>
      </c>
      <c r="BP102" s="82">
        <f t="shared" si="281"/>
        <v>78</v>
      </c>
      <c r="BQ102" s="82"/>
      <c r="BR102" s="129">
        <f>SUMIF('Audit HD AR - School Level'!$B$6:B1232, "=" &amp; A102,'Audit HD AR - School Level'!$Q$6:Q1232)</f>
        <v>0.6</v>
      </c>
      <c r="BS102" s="224">
        <f t="shared" si="282"/>
        <v>0</v>
      </c>
      <c r="BT102" s="126">
        <f t="shared" si="283"/>
        <v>0</v>
      </c>
      <c r="BU102" s="82">
        <f t="shared" si="284"/>
        <v>815</v>
      </c>
    </row>
    <row r="103" spans="1:73">
      <c r="A103" s="1" t="s">
        <v>286</v>
      </c>
      <c r="U103" s="126">
        <v>609.5</v>
      </c>
      <c r="X103" s="126">
        <v>5</v>
      </c>
      <c r="Y103" s="126">
        <v>602.6</v>
      </c>
      <c r="Z103" s="126">
        <v>0</v>
      </c>
      <c r="AC103" s="126">
        <v>193.6</v>
      </c>
      <c r="AD103" s="126">
        <v>0</v>
      </c>
      <c r="AE103" s="126">
        <v>0</v>
      </c>
      <c r="AF103" s="126">
        <v>629</v>
      </c>
      <c r="AG103" s="126">
        <v>244</v>
      </c>
      <c r="AI103" s="126">
        <v>0</v>
      </c>
      <c r="AJ103" s="126">
        <v>402</v>
      </c>
      <c r="AK103" s="132">
        <v>19</v>
      </c>
      <c r="AL103" s="126">
        <v>17</v>
      </c>
      <c r="AO103" s="132">
        <v>0</v>
      </c>
      <c r="AP103" s="126">
        <v>0</v>
      </c>
      <c r="AQ103" s="134">
        <v>0</v>
      </c>
      <c r="AR103" s="132">
        <v>0</v>
      </c>
      <c r="AS103" s="134">
        <v>0</v>
      </c>
      <c r="AT103" s="132">
        <v>0</v>
      </c>
      <c r="AU103" s="132">
        <v>0</v>
      </c>
      <c r="AV103" s="83">
        <v>295703</v>
      </c>
      <c r="AW103" s="237">
        <v>43567</v>
      </c>
      <c r="AX103" s="233">
        <f t="shared" si="214"/>
        <v>15</v>
      </c>
      <c r="AY103" s="232" t="s">
        <v>3487</v>
      </c>
      <c r="AZ103" s="233" t="b">
        <f t="shared" si="213"/>
        <v>0</v>
      </c>
      <c r="BA103" s="129"/>
      <c r="BB103" s="129"/>
      <c r="BC103" s="129"/>
      <c r="BD103" s="129"/>
      <c r="BE103" s="82">
        <f t="shared" si="271"/>
        <v>609.5</v>
      </c>
      <c r="BF103" s="82">
        <f t="shared" si="272"/>
        <v>5</v>
      </c>
      <c r="BG103" s="82"/>
      <c r="BH103" s="82">
        <f t="shared" si="273"/>
        <v>193.6</v>
      </c>
      <c r="BI103" s="82">
        <f t="shared" si="274"/>
        <v>0</v>
      </c>
      <c r="BJ103" s="82">
        <f t="shared" si="275"/>
        <v>0</v>
      </c>
      <c r="BK103" s="82">
        <f t="shared" si="276"/>
        <v>629</v>
      </c>
      <c r="BL103" s="82">
        <f t="shared" si="277"/>
        <v>244</v>
      </c>
      <c r="BM103" s="82">
        <f t="shared" si="278"/>
        <v>0</v>
      </c>
      <c r="BN103" s="82">
        <f t="shared" si="279"/>
        <v>402</v>
      </c>
      <c r="BO103" s="82">
        <f t="shared" si="280"/>
        <v>19</v>
      </c>
      <c r="BP103" s="82">
        <f t="shared" si="281"/>
        <v>17</v>
      </c>
      <c r="BQ103" s="82"/>
      <c r="BR103" s="129">
        <f>SUMIF('Audit HD AR - School Level'!$B$6:B1234, "=" &amp; A103,'Audit HD AR - School Level'!$Q$6:Q1234)</f>
        <v>6.7</v>
      </c>
      <c r="BS103" s="224">
        <f t="shared" si="282"/>
        <v>0</v>
      </c>
      <c r="BT103" s="126">
        <f t="shared" si="283"/>
        <v>0</v>
      </c>
      <c r="BU103" s="82">
        <f t="shared" si="284"/>
        <v>609.5</v>
      </c>
    </row>
    <row r="104" spans="1:73">
      <c r="A104" s="1" t="s">
        <v>329</v>
      </c>
      <c r="U104" s="126">
        <v>842.7</v>
      </c>
      <c r="X104" s="126">
        <v>0</v>
      </c>
      <c r="Y104" s="126">
        <v>855</v>
      </c>
      <c r="Z104" s="126">
        <v>0</v>
      </c>
      <c r="AC104" s="126">
        <v>255.7</v>
      </c>
      <c r="AD104" s="126">
        <v>0</v>
      </c>
      <c r="AE104" s="126">
        <v>0</v>
      </c>
      <c r="AF104" s="126">
        <v>847</v>
      </c>
      <c r="AG104" s="126">
        <v>192</v>
      </c>
      <c r="AI104" s="126">
        <v>0</v>
      </c>
      <c r="AJ104" s="126">
        <v>486</v>
      </c>
      <c r="AK104" s="132">
        <v>56</v>
      </c>
      <c r="AL104" s="126">
        <v>0</v>
      </c>
      <c r="AO104" s="132">
        <v>0</v>
      </c>
      <c r="AP104" s="126">
        <v>0</v>
      </c>
      <c r="AQ104" s="134">
        <v>2</v>
      </c>
      <c r="AR104" s="132">
        <v>1</v>
      </c>
      <c r="AS104" s="134">
        <v>2</v>
      </c>
      <c r="AT104" s="132">
        <v>0</v>
      </c>
      <c r="AU104" s="132">
        <v>1</v>
      </c>
      <c r="AV104" s="83">
        <v>412149</v>
      </c>
      <c r="AW104" s="237">
        <v>43567</v>
      </c>
      <c r="AX104" s="233">
        <f t="shared" si="214"/>
        <v>15</v>
      </c>
      <c r="AY104" s="232" t="s">
        <v>3487</v>
      </c>
      <c r="AZ104" s="233" t="b">
        <f t="shared" si="213"/>
        <v>0</v>
      </c>
      <c r="BA104" s="129"/>
      <c r="BB104" s="129"/>
      <c r="BC104" s="129"/>
      <c r="BD104" s="129"/>
      <c r="BE104" s="82">
        <f t="shared" si="271"/>
        <v>841.7</v>
      </c>
      <c r="BF104" s="82">
        <f t="shared" si="272"/>
        <v>0</v>
      </c>
      <c r="BG104" s="82"/>
      <c r="BH104" s="82">
        <f t="shared" si="273"/>
        <v>255.7</v>
      </c>
      <c r="BI104" s="82">
        <f t="shared" si="274"/>
        <v>0</v>
      </c>
      <c r="BJ104" s="82">
        <f t="shared" si="275"/>
        <v>0</v>
      </c>
      <c r="BK104" s="82">
        <f t="shared" si="276"/>
        <v>847</v>
      </c>
      <c r="BL104" s="82">
        <f t="shared" si="277"/>
        <v>192</v>
      </c>
      <c r="BM104" s="82">
        <f t="shared" si="278"/>
        <v>0</v>
      </c>
      <c r="BN104" s="82">
        <f t="shared" si="279"/>
        <v>486</v>
      </c>
      <c r="BO104" s="82">
        <f t="shared" si="280"/>
        <v>56</v>
      </c>
      <c r="BP104" s="82">
        <f t="shared" si="281"/>
        <v>0</v>
      </c>
      <c r="BQ104" s="82"/>
      <c r="BR104" s="129">
        <f>SUMIF('Audit HD AR - School Level'!$B$6:B1234, "=" &amp; A104,'Audit HD AR - School Level'!$Q$6:Q1234)</f>
        <v>0</v>
      </c>
      <c r="BS104" s="224">
        <f t="shared" si="282"/>
        <v>0</v>
      </c>
      <c r="BT104" s="126">
        <f t="shared" si="283"/>
        <v>0</v>
      </c>
      <c r="BU104" s="82">
        <f t="shared" si="284"/>
        <v>841.7</v>
      </c>
    </row>
    <row r="105" spans="1:73">
      <c r="A105" s="1" t="s">
        <v>336</v>
      </c>
      <c r="U105" s="126">
        <v>304</v>
      </c>
      <c r="X105" s="126">
        <v>3</v>
      </c>
      <c r="Y105" s="126">
        <v>335</v>
      </c>
      <c r="Z105" s="126">
        <v>0</v>
      </c>
      <c r="AC105" s="126">
        <v>148</v>
      </c>
      <c r="AD105" s="126">
        <v>52</v>
      </c>
      <c r="AE105" s="126">
        <v>215.4</v>
      </c>
      <c r="AF105" s="126">
        <v>312</v>
      </c>
      <c r="AG105" s="126">
        <v>132</v>
      </c>
      <c r="AI105" s="126">
        <v>0</v>
      </c>
      <c r="AJ105" s="126">
        <v>146</v>
      </c>
      <c r="AK105" s="132">
        <v>141.5</v>
      </c>
      <c r="AL105" s="126">
        <v>19</v>
      </c>
      <c r="AO105" s="132">
        <v>0</v>
      </c>
      <c r="AP105" s="126">
        <v>0</v>
      </c>
      <c r="AQ105" s="134">
        <v>0</v>
      </c>
      <c r="AR105" s="132">
        <v>0</v>
      </c>
      <c r="AS105" s="134">
        <v>0</v>
      </c>
      <c r="AT105" s="132">
        <v>0</v>
      </c>
      <c r="AU105" s="132">
        <v>0</v>
      </c>
      <c r="AV105" s="83">
        <v>184004</v>
      </c>
      <c r="AW105" s="237">
        <v>43567</v>
      </c>
      <c r="AX105" s="233">
        <f t="shared" si="214"/>
        <v>15</v>
      </c>
      <c r="AY105" s="232" t="s">
        <v>3487</v>
      </c>
      <c r="AZ105" s="233" t="b">
        <f t="shared" si="213"/>
        <v>0</v>
      </c>
      <c r="BA105" s="129"/>
      <c r="BB105" s="129"/>
      <c r="BC105" s="129"/>
      <c r="BD105" s="129"/>
      <c r="BE105" s="82">
        <f t="shared" si="271"/>
        <v>304</v>
      </c>
      <c r="BF105" s="82">
        <f t="shared" si="272"/>
        <v>3</v>
      </c>
      <c r="BG105" s="82"/>
      <c r="BH105" s="82">
        <f t="shared" si="273"/>
        <v>148</v>
      </c>
      <c r="BI105" s="82">
        <f t="shared" si="274"/>
        <v>52</v>
      </c>
      <c r="BJ105" s="82">
        <f t="shared" si="275"/>
        <v>215.4</v>
      </c>
      <c r="BK105" s="82">
        <f t="shared" si="276"/>
        <v>312</v>
      </c>
      <c r="BL105" s="82">
        <f t="shared" si="277"/>
        <v>132</v>
      </c>
      <c r="BM105" s="82">
        <f t="shared" si="278"/>
        <v>0</v>
      </c>
      <c r="BN105" s="82">
        <f t="shared" si="279"/>
        <v>146</v>
      </c>
      <c r="BO105" s="82">
        <f t="shared" si="280"/>
        <v>141.5</v>
      </c>
      <c r="BP105" s="82">
        <f t="shared" si="281"/>
        <v>19</v>
      </c>
      <c r="BQ105" s="82"/>
      <c r="BR105" s="129">
        <f>SUMIF('Audit HD AR - School Level'!$B$6:B1235, "=" &amp; A105,'Audit HD AR - School Level'!$Q$6:Q1235)</f>
        <v>6.8</v>
      </c>
      <c r="BS105" s="224">
        <f t="shared" si="282"/>
        <v>0</v>
      </c>
      <c r="BT105" s="126">
        <f t="shared" si="283"/>
        <v>0</v>
      </c>
      <c r="BU105" s="82">
        <f t="shared" si="284"/>
        <v>304</v>
      </c>
    </row>
    <row r="106" spans="1:73">
      <c r="A106" s="1" t="s">
        <v>343</v>
      </c>
      <c r="U106" s="126">
        <v>447.5</v>
      </c>
      <c r="X106" s="126">
        <v>0</v>
      </c>
      <c r="Y106" s="126">
        <v>450.3</v>
      </c>
      <c r="Z106" s="126">
        <v>0</v>
      </c>
      <c r="AC106" s="126">
        <v>134.80000000000001</v>
      </c>
      <c r="AD106" s="126">
        <v>0</v>
      </c>
      <c r="AE106" s="126">
        <v>0</v>
      </c>
      <c r="AF106" s="126">
        <v>508</v>
      </c>
      <c r="AG106" s="126">
        <v>144</v>
      </c>
      <c r="AI106" s="126">
        <v>0</v>
      </c>
      <c r="AJ106" s="126">
        <v>70.599999999999994</v>
      </c>
      <c r="AK106" s="132">
        <v>25</v>
      </c>
      <c r="AL106" s="126">
        <v>35.5</v>
      </c>
      <c r="AO106" s="132">
        <v>0</v>
      </c>
      <c r="AP106" s="126">
        <v>0</v>
      </c>
      <c r="AQ106" s="134">
        <v>0</v>
      </c>
      <c r="AR106" s="132">
        <v>0</v>
      </c>
      <c r="AS106" s="134">
        <v>0</v>
      </c>
      <c r="AT106" s="132">
        <v>0</v>
      </c>
      <c r="AU106" s="132">
        <v>0</v>
      </c>
      <c r="AV106" s="83">
        <v>104325</v>
      </c>
      <c r="AW106" s="237">
        <v>43567</v>
      </c>
      <c r="AX106" s="233">
        <f t="shared" si="214"/>
        <v>15</v>
      </c>
      <c r="AY106" s="232" t="s">
        <v>3487</v>
      </c>
      <c r="AZ106" s="233" t="b">
        <f t="shared" si="213"/>
        <v>0</v>
      </c>
      <c r="BA106" s="129"/>
      <c r="BB106" s="129"/>
      <c r="BC106" s="129"/>
      <c r="BD106" s="129"/>
      <c r="BE106" s="82">
        <f t="shared" si="271"/>
        <v>447.5</v>
      </c>
      <c r="BF106" s="82">
        <f t="shared" si="272"/>
        <v>0</v>
      </c>
      <c r="BG106" s="82"/>
      <c r="BH106" s="82">
        <f t="shared" si="273"/>
        <v>134.80000000000001</v>
      </c>
      <c r="BI106" s="82">
        <f t="shared" si="274"/>
        <v>0</v>
      </c>
      <c r="BJ106" s="82">
        <f t="shared" si="275"/>
        <v>0</v>
      </c>
      <c r="BK106" s="82">
        <f t="shared" si="276"/>
        <v>508</v>
      </c>
      <c r="BL106" s="82">
        <f t="shared" si="277"/>
        <v>144</v>
      </c>
      <c r="BM106" s="82">
        <f t="shared" si="278"/>
        <v>0</v>
      </c>
      <c r="BN106" s="82">
        <f t="shared" si="279"/>
        <v>70.599999999999994</v>
      </c>
      <c r="BO106" s="82">
        <f t="shared" si="280"/>
        <v>25</v>
      </c>
      <c r="BP106" s="82">
        <f t="shared" si="281"/>
        <v>35.5</v>
      </c>
      <c r="BQ106" s="82"/>
      <c r="BR106" s="129">
        <f>SUMIF('Audit HD AR - School Level'!$B$6:B1236, "=" &amp; A106,'Audit HD AR - School Level'!$Q$6:Q1236)</f>
        <v>0</v>
      </c>
      <c r="BS106" s="224">
        <f t="shared" si="282"/>
        <v>0</v>
      </c>
      <c r="BT106" s="126">
        <f t="shared" si="283"/>
        <v>0</v>
      </c>
      <c r="BU106" s="82">
        <f t="shared" si="284"/>
        <v>447.5</v>
      </c>
    </row>
    <row r="107" spans="1:73">
      <c r="A107" s="1" t="s">
        <v>351</v>
      </c>
      <c r="U107" s="126">
        <v>924.6</v>
      </c>
      <c r="X107" s="126">
        <v>10.5</v>
      </c>
      <c r="Y107" s="126">
        <v>984</v>
      </c>
      <c r="Z107" s="126">
        <v>0</v>
      </c>
      <c r="AC107" s="126">
        <v>147.19999999999999</v>
      </c>
      <c r="AD107" s="126">
        <v>152</v>
      </c>
      <c r="AE107" s="126">
        <v>552.5</v>
      </c>
      <c r="AF107" s="126">
        <v>952</v>
      </c>
      <c r="AG107" s="126">
        <v>332</v>
      </c>
      <c r="AI107" s="126">
        <v>0</v>
      </c>
      <c r="AJ107" s="126">
        <v>40</v>
      </c>
      <c r="AK107" s="132">
        <v>695</v>
      </c>
      <c r="AL107" s="126">
        <v>37</v>
      </c>
      <c r="AO107" s="132">
        <v>0</v>
      </c>
      <c r="AP107" s="126">
        <v>0</v>
      </c>
      <c r="AQ107" s="134">
        <v>0</v>
      </c>
      <c r="AR107" s="132">
        <v>0</v>
      </c>
      <c r="AS107" s="134">
        <v>0</v>
      </c>
      <c r="AT107" s="132">
        <v>0</v>
      </c>
      <c r="AU107" s="132">
        <v>0</v>
      </c>
      <c r="AV107" s="83">
        <v>176309</v>
      </c>
      <c r="AW107" s="237">
        <v>43567</v>
      </c>
      <c r="AX107" s="233">
        <f t="shared" si="214"/>
        <v>15</v>
      </c>
      <c r="AY107" s="232" t="s">
        <v>3487</v>
      </c>
      <c r="AZ107" s="233" t="b">
        <f t="shared" si="213"/>
        <v>0</v>
      </c>
      <c r="BA107" s="129"/>
      <c r="BB107" s="129"/>
      <c r="BC107" s="129"/>
      <c r="BD107" s="129"/>
      <c r="BE107" s="82">
        <f t="shared" si="271"/>
        <v>924.6</v>
      </c>
      <c r="BF107" s="82">
        <f t="shared" si="272"/>
        <v>10.5</v>
      </c>
      <c r="BG107" s="82"/>
      <c r="BH107" s="82">
        <f t="shared" si="273"/>
        <v>147.19999999999999</v>
      </c>
      <c r="BI107" s="82">
        <f t="shared" si="274"/>
        <v>152</v>
      </c>
      <c r="BJ107" s="82">
        <f t="shared" si="275"/>
        <v>552.5</v>
      </c>
      <c r="BK107" s="82">
        <f t="shared" si="276"/>
        <v>952</v>
      </c>
      <c r="BL107" s="82">
        <f t="shared" si="277"/>
        <v>332</v>
      </c>
      <c r="BM107" s="82">
        <f t="shared" si="278"/>
        <v>0</v>
      </c>
      <c r="BN107" s="82">
        <f t="shared" si="279"/>
        <v>40</v>
      </c>
      <c r="BO107" s="82">
        <f t="shared" si="280"/>
        <v>695</v>
      </c>
      <c r="BP107" s="82">
        <f t="shared" si="281"/>
        <v>37</v>
      </c>
      <c r="BQ107" s="82"/>
      <c r="BR107" s="129">
        <f>SUMIF('Audit HD AR - School Level'!$B$6:B1237, "=" &amp; A107,'Audit HD AR - School Level'!$Q$6:Q1237)</f>
        <v>4</v>
      </c>
      <c r="BS107" s="224">
        <f t="shared" si="282"/>
        <v>0</v>
      </c>
      <c r="BT107" s="126">
        <f t="shared" si="283"/>
        <v>0</v>
      </c>
      <c r="BU107" s="82">
        <f t="shared" si="284"/>
        <v>924.6</v>
      </c>
    </row>
    <row r="108" spans="1:73">
      <c r="A108" s="1" t="s">
        <v>360</v>
      </c>
      <c r="U108" s="126">
        <v>3337.4</v>
      </c>
      <c r="X108" s="126">
        <v>28</v>
      </c>
      <c r="Y108" s="126">
        <v>3358.2</v>
      </c>
      <c r="Z108" s="126">
        <v>0</v>
      </c>
      <c r="AC108" s="126">
        <v>667.6</v>
      </c>
      <c r="AD108" s="126">
        <v>202</v>
      </c>
      <c r="AE108" s="126">
        <v>464.8</v>
      </c>
      <c r="AF108" s="126">
        <v>3533</v>
      </c>
      <c r="AG108" s="126">
        <v>1430</v>
      </c>
      <c r="AI108" s="126">
        <v>0</v>
      </c>
      <c r="AJ108" s="126">
        <v>1116</v>
      </c>
      <c r="AK108" s="132">
        <v>111</v>
      </c>
      <c r="AL108" s="126">
        <v>21</v>
      </c>
      <c r="AO108" s="132">
        <v>9</v>
      </c>
      <c r="AP108" s="126">
        <v>3.1</v>
      </c>
      <c r="AQ108" s="134">
        <v>0</v>
      </c>
      <c r="AR108" s="132">
        <v>0</v>
      </c>
      <c r="AS108" s="134">
        <v>0</v>
      </c>
      <c r="AT108" s="132">
        <v>0</v>
      </c>
      <c r="AU108" s="132">
        <v>0</v>
      </c>
      <c r="AV108" s="83">
        <v>560560</v>
      </c>
      <c r="AW108" s="237">
        <v>43567</v>
      </c>
      <c r="AX108" s="233">
        <f t="shared" si="214"/>
        <v>15</v>
      </c>
      <c r="AY108" s="232" t="s">
        <v>3487</v>
      </c>
      <c r="AZ108" s="233" t="b">
        <f t="shared" si="213"/>
        <v>0</v>
      </c>
      <c r="BA108" s="129"/>
      <c r="BB108" s="129"/>
      <c r="BC108" s="129"/>
      <c r="BD108" s="129"/>
      <c r="BE108" s="82">
        <f t="shared" si="271"/>
        <v>3325.3</v>
      </c>
      <c r="BF108" s="82">
        <f t="shared" si="272"/>
        <v>28</v>
      </c>
      <c r="BG108" s="82"/>
      <c r="BH108" s="82">
        <f t="shared" si="273"/>
        <v>667.6</v>
      </c>
      <c r="BI108" s="82">
        <f t="shared" si="274"/>
        <v>202</v>
      </c>
      <c r="BJ108" s="82">
        <f t="shared" si="275"/>
        <v>464.8</v>
      </c>
      <c r="BK108" s="82">
        <f t="shared" si="276"/>
        <v>3533</v>
      </c>
      <c r="BL108" s="82">
        <f t="shared" si="277"/>
        <v>1430</v>
      </c>
      <c r="BM108" s="82">
        <f t="shared" si="278"/>
        <v>0</v>
      </c>
      <c r="BN108" s="82">
        <f t="shared" si="279"/>
        <v>1116</v>
      </c>
      <c r="BO108" s="82">
        <f t="shared" si="280"/>
        <v>111</v>
      </c>
      <c r="BP108" s="82">
        <f t="shared" si="281"/>
        <v>21</v>
      </c>
      <c r="BQ108" s="82"/>
      <c r="BR108" s="129">
        <f>SUMIF('Audit HD AR - School Level'!$B$6:B1238, "=" &amp; A108,'Audit HD AR - School Level'!$Q$6:Q1238)</f>
        <v>66.2</v>
      </c>
      <c r="BS108" s="224">
        <f t="shared" si="282"/>
        <v>0</v>
      </c>
      <c r="BT108" s="126">
        <f t="shared" si="283"/>
        <v>0</v>
      </c>
      <c r="BU108" s="82">
        <f t="shared" si="284"/>
        <v>3325.3</v>
      </c>
    </row>
    <row r="109" spans="1:73">
      <c r="A109" s="1" t="s">
        <v>373</v>
      </c>
      <c r="U109" s="126">
        <v>217</v>
      </c>
      <c r="X109" s="126">
        <v>2.5</v>
      </c>
      <c r="Y109" s="126">
        <v>220.5</v>
      </c>
      <c r="Z109" s="126">
        <v>0</v>
      </c>
      <c r="AC109" s="126">
        <v>12.5</v>
      </c>
      <c r="AD109" s="126">
        <v>0</v>
      </c>
      <c r="AE109" s="126">
        <v>0</v>
      </c>
      <c r="AF109" s="126">
        <v>224</v>
      </c>
      <c r="AG109" s="126">
        <v>76</v>
      </c>
      <c r="AI109" s="126">
        <v>0</v>
      </c>
      <c r="AJ109" s="126">
        <v>51</v>
      </c>
      <c r="AK109" s="132">
        <v>69.5</v>
      </c>
      <c r="AL109" s="126">
        <v>5</v>
      </c>
      <c r="AO109" s="132">
        <v>0</v>
      </c>
      <c r="AP109" s="126">
        <v>0</v>
      </c>
      <c r="AQ109" s="134">
        <v>0</v>
      </c>
      <c r="AR109" s="132">
        <v>0</v>
      </c>
      <c r="AS109" s="134">
        <v>0</v>
      </c>
      <c r="AT109" s="132">
        <v>0</v>
      </c>
      <c r="AU109" s="132">
        <v>0</v>
      </c>
      <c r="AV109" s="83">
        <v>134364</v>
      </c>
      <c r="AW109" s="237">
        <v>43567</v>
      </c>
      <c r="AX109" s="233">
        <f t="shared" si="214"/>
        <v>15</v>
      </c>
      <c r="AY109" s="232" t="s">
        <v>3487</v>
      </c>
      <c r="AZ109" s="233" t="b">
        <f t="shared" si="213"/>
        <v>0</v>
      </c>
      <c r="BA109" s="129"/>
      <c r="BB109" s="129"/>
      <c r="BC109" s="129"/>
      <c r="BD109" s="129"/>
      <c r="BE109" s="82">
        <f t="shared" si="271"/>
        <v>217</v>
      </c>
      <c r="BF109" s="82">
        <f t="shared" si="272"/>
        <v>2.5</v>
      </c>
      <c r="BG109" s="82"/>
      <c r="BH109" s="82">
        <f t="shared" si="273"/>
        <v>12.5</v>
      </c>
      <c r="BI109" s="82">
        <f t="shared" si="274"/>
        <v>0</v>
      </c>
      <c r="BJ109" s="82">
        <f t="shared" si="275"/>
        <v>0</v>
      </c>
      <c r="BK109" s="82">
        <f t="shared" si="276"/>
        <v>224</v>
      </c>
      <c r="BL109" s="82">
        <f t="shared" si="277"/>
        <v>76</v>
      </c>
      <c r="BM109" s="82">
        <f t="shared" si="278"/>
        <v>0</v>
      </c>
      <c r="BN109" s="82">
        <f t="shared" si="279"/>
        <v>51</v>
      </c>
      <c r="BO109" s="82">
        <f t="shared" si="280"/>
        <v>69.5</v>
      </c>
      <c r="BP109" s="82">
        <f t="shared" si="281"/>
        <v>5</v>
      </c>
      <c r="BQ109" s="82"/>
      <c r="BR109" s="129">
        <f>SUMIF('Audit HD AR - School Level'!$B$6:B1239, "=" &amp; A109,'Audit HD AR - School Level'!$Q$6:Q1239)</f>
        <v>0.6</v>
      </c>
      <c r="BS109" s="224">
        <f t="shared" si="282"/>
        <v>0</v>
      </c>
      <c r="BT109" s="126">
        <f t="shared" si="283"/>
        <v>0</v>
      </c>
      <c r="BU109" s="82">
        <f t="shared" si="284"/>
        <v>217</v>
      </c>
    </row>
    <row r="110" spans="1:73">
      <c r="A110" s="1" t="s">
        <v>377</v>
      </c>
      <c r="U110" s="126">
        <v>60.5</v>
      </c>
      <c r="X110" s="126">
        <v>0.5</v>
      </c>
      <c r="Y110" s="126">
        <v>59.5</v>
      </c>
      <c r="Z110" s="126">
        <v>0</v>
      </c>
      <c r="AC110" s="126">
        <v>0</v>
      </c>
      <c r="AD110" s="126">
        <v>0</v>
      </c>
      <c r="AE110" s="126">
        <v>0</v>
      </c>
      <c r="AF110" s="126">
        <v>62</v>
      </c>
      <c r="AG110" s="126">
        <v>39</v>
      </c>
      <c r="AI110" s="126">
        <v>0</v>
      </c>
      <c r="AJ110" s="126">
        <v>12</v>
      </c>
      <c r="AK110" s="132">
        <v>3</v>
      </c>
      <c r="AL110" s="126">
        <v>4.5</v>
      </c>
      <c r="AO110" s="132">
        <v>0</v>
      </c>
      <c r="AP110" s="126">
        <v>0</v>
      </c>
      <c r="AQ110" s="134">
        <v>0</v>
      </c>
      <c r="AR110" s="132">
        <v>0</v>
      </c>
      <c r="AS110" s="134">
        <v>0</v>
      </c>
      <c r="AT110" s="132">
        <v>0</v>
      </c>
      <c r="AU110" s="132">
        <v>0</v>
      </c>
      <c r="AV110" s="83">
        <v>30491</v>
      </c>
      <c r="AW110" s="237">
        <v>43567</v>
      </c>
      <c r="AX110" s="233">
        <f t="shared" si="214"/>
        <v>15</v>
      </c>
      <c r="AY110" s="232" t="s">
        <v>3487</v>
      </c>
      <c r="AZ110" s="233" t="b">
        <f t="shared" si="213"/>
        <v>0</v>
      </c>
      <c r="BA110" s="129"/>
      <c r="BB110" s="129"/>
      <c r="BC110" s="129"/>
      <c r="BD110" s="129"/>
      <c r="BE110" s="82">
        <f t="shared" si="271"/>
        <v>60.5</v>
      </c>
      <c r="BF110" s="82">
        <f t="shared" si="272"/>
        <v>0.5</v>
      </c>
      <c r="BG110" s="82"/>
      <c r="BH110" s="82">
        <f t="shared" si="273"/>
        <v>0</v>
      </c>
      <c r="BI110" s="82">
        <f t="shared" si="274"/>
        <v>0</v>
      </c>
      <c r="BJ110" s="82">
        <f t="shared" si="275"/>
        <v>0</v>
      </c>
      <c r="BK110" s="82">
        <f t="shared" si="276"/>
        <v>62</v>
      </c>
      <c r="BL110" s="82">
        <f t="shared" si="277"/>
        <v>39</v>
      </c>
      <c r="BM110" s="82">
        <f t="shared" si="278"/>
        <v>0</v>
      </c>
      <c r="BN110" s="82">
        <f t="shared" si="279"/>
        <v>12</v>
      </c>
      <c r="BO110" s="82">
        <f t="shared" si="280"/>
        <v>3</v>
      </c>
      <c r="BP110" s="82">
        <f t="shared" si="281"/>
        <v>4.5</v>
      </c>
      <c r="BQ110" s="82"/>
      <c r="BR110" s="129">
        <f>SUMIF('Audit HD AR - School Level'!$B$6:B1239, "=" &amp; A110,'Audit HD AR - School Level'!$Q$6:Q1239)</f>
        <v>4.0999999999999996</v>
      </c>
      <c r="BS110" s="224">
        <f t="shared" si="282"/>
        <v>0</v>
      </c>
      <c r="BT110" s="126">
        <f t="shared" si="283"/>
        <v>0</v>
      </c>
      <c r="BU110" s="82">
        <f t="shared" si="284"/>
        <v>60.5</v>
      </c>
    </row>
    <row r="111" spans="1:73">
      <c r="A111" s="1" t="s">
        <v>378</v>
      </c>
      <c r="U111" s="126">
        <v>282.3</v>
      </c>
      <c r="X111" s="126">
        <v>3.5</v>
      </c>
      <c r="Y111" s="126">
        <v>283.5</v>
      </c>
      <c r="Z111" s="126">
        <v>0</v>
      </c>
      <c r="AC111" s="126">
        <v>14.4</v>
      </c>
      <c r="AD111" s="126">
        <v>0</v>
      </c>
      <c r="AE111" s="126">
        <v>0</v>
      </c>
      <c r="AF111" s="126">
        <v>292</v>
      </c>
      <c r="AG111" s="126">
        <v>100</v>
      </c>
      <c r="AI111" s="126">
        <v>0</v>
      </c>
      <c r="AJ111" s="126">
        <v>77</v>
      </c>
      <c r="AK111" s="132">
        <v>17</v>
      </c>
      <c r="AL111" s="126">
        <v>4</v>
      </c>
      <c r="AO111" s="132">
        <v>0</v>
      </c>
      <c r="AP111" s="126">
        <v>0</v>
      </c>
      <c r="AQ111" s="134">
        <v>0</v>
      </c>
      <c r="AR111" s="132">
        <v>0</v>
      </c>
      <c r="AS111" s="134">
        <v>0</v>
      </c>
      <c r="AT111" s="132">
        <v>0</v>
      </c>
      <c r="AU111" s="132">
        <v>0</v>
      </c>
      <c r="AV111" s="83">
        <v>120010</v>
      </c>
      <c r="AW111" s="237">
        <v>43567</v>
      </c>
      <c r="AX111" s="233">
        <f t="shared" si="214"/>
        <v>15</v>
      </c>
      <c r="AY111" s="232" t="s">
        <v>3487</v>
      </c>
      <c r="AZ111" s="233" t="b">
        <f t="shared" si="213"/>
        <v>0</v>
      </c>
      <c r="BA111" s="129"/>
      <c r="BB111" s="129"/>
      <c r="BC111" s="129"/>
      <c r="BD111" s="129"/>
      <c r="BE111" s="82">
        <f t="shared" si="271"/>
        <v>282.3</v>
      </c>
      <c r="BF111" s="82">
        <f t="shared" si="272"/>
        <v>3.5</v>
      </c>
      <c r="BG111" s="82"/>
      <c r="BH111" s="82">
        <f t="shared" si="273"/>
        <v>14.4</v>
      </c>
      <c r="BI111" s="82">
        <f t="shared" si="274"/>
        <v>0</v>
      </c>
      <c r="BJ111" s="82">
        <f t="shared" si="275"/>
        <v>0</v>
      </c>
      <c r="BK111" s="82">
        <f t="shared" si="276"/>
        <v>292</v>
      </c>
      <c r="BL111" s="82">
        <f t="shared" si="277"/>
        <v>100</v>
      </c>
      <c r="BM111" s="82">
        <f t="shared" si="278"/>
        <v>0</v>
      </c>
      <c r="BN111" s="82">
        <f t="shared" si="279"/>
        <v>77</v>
      </c>
      <c r="BO111" s="82">
        <f t="shared" si="280"/>
        <v>17</v>
      </c>
      <c r="BP111" s="82">
        <f t="shared" si="281"/>
        <v>4</v>
      </c>
      <c r="BQ111" s="82"/>
      <c r="BR111" s="129">
        <f>SUMIF('Audit HD AR - School Level'!$B$6:B1240, "=" &amp; A111,'Audit HD AR - School Level'!$Q$6:Q1240)</f>
        <v>0.3</v>
      </c>
      <c r="BS111" s="224">
        <f t="shared" si="282"/>
        <v>0</v>
      </c>
      <c r="BT111" s="126">
        <f t="shared" si="283"/>
        <v>0</v>
      </c>
      <c r="BU111" s="82">
        <f t="shared" si="284"/>
        <v>282.3</v>
      </c>
    </row>
    <row r="112" spans="1:73">
      <c r="A112" s="1" t="s">
        <v>394</v>
      </c>
      <c r="U112" s="126">
        <v>1632.7</v>
      </c>
      <c r="X112" s="126">
        <v>17.5</v>
      </c>
      <c r="Y112" s="126">
        <v>1702</v>
      </c>
      <c r="Z112" s="126">
        <v>0</v>
      </c>
      <c r="AC112" s="126">
        <v>148.30000000000001</v>
      </c>
      <c r="AD112" s="126">
        <v>14</v>
      </c>
      <c r="AE112" s="126">
        <v>5.5</v>
      </c>
      <c r="AF112" s="126">
        <v>1690</v>
      </c>
      <c r="AG112" s="126">
        <v>907</v>
      </c>
      <c r="AI112" s="126">
        <v>0</v>
      </c>
      <c r="AJ112" s="126">
        <v>273</v>
      </c>
      <c r="AK112" s="132">
        <v>627.5</v>
      </c>
      <c r="AL112" s="126">
        <v>11</v>
      </c>
      <c r="AO112" s="132">
        <v>0</v>
      </c>
      <c r="AP112" s="126">
        <v>0</v>
      </c>
      <c r="AQ112" s="134">
        <v>0</v>
      </c>
      <c r="AR112" s="132">
        <v>0</v>
      </c>
      <c r="AS112" s="134">
        <v>0</v>
      </c>
      <c r="AT112" s="132">
        <v>0</v>
      </c>
      <c r="AU112" s="132">
        <v>0</v>
      </c>
      <c r="AV112" s="83">
        <v>293101</v>
      </c>
      <c r="AW112" s="237">
        <v>43567</v>
      </c>
      <c r="AX112" s="233">
        <f t="shared" si="214"/>
        <v>15</v>
      </c>
      <c r="AY112" s="232" t="s">
        <v>3487</v>
      </c>
      <c r="AZ112" s="233" t="b">
        <f t="shared" si="213"/>
        <v>0</v>
      </c>
      <c r="BA112" s="129"/>
      <c r="BB112" s="129"/>
      <c r="BC112" s="129"/>
      <c r="BD112" s="129"/>
      <c r="BE112" s="82">
        <f t="shared" si="271"/>
        <v>1632.7</v>
      </c>
      <c r="BF112" s="82">
        <f t="shared" si="272"/>
        <v>17.5</v>
      </c>
      <c r="BG112" s="82"/>
      <c r="BH112" s="82">
        <f t="shared" si="273"/>
        <v>148.30000000000001</v>
      </c>
      <c r="BI112" s="82">
        <f t="shared" si="274"/>
        <v>14</v>
      </c>
      <c r="BJ112" s="82">
        <f t="shared" si="275"/>
        <v>5.5</v>
      </c>
      <c r="BK112" s="82">
        <f t="shared" si="276"/>
        <v>1690</v>
      </c>
      <c r="BL112" s="82">
        <f t="shared" si="277"/>
        <v>907</v>
      </c>
      <c r="BM112" s="82">
        <f t="shared" si="278"/>
        <v>0</v>
      </c>
      <c r="BN112" s="82">
        <f t="shared" si="279"/>
        <v>273</v>
      </c>
      <c r="BO112" s="82">
        <f t="shared" si="280"/>
        <v>627.5</v>
      </c>
      <c r="BP112" s="82">
        <f t="shared" si="281"/>
        <v>11</v>
      </c>
      <c r="BQ112" s="82"/>
      <c r="BR112" s="129">
        <f>SUMIF('Audit HD AR - School Level'!$B$6:B1242, "=" &amp; A112,'Audit HD AR - School Level'!$Q$6:Q1242)</f>
        <v>88</v>
      </c>
      <c r="BS112" s="224">
        <f t="shared" si="282"/>
        <v>0</v>
      </c>
      <c r="BT112" s="126">
        <f t="shared" si="283"/>
        <v>0</v>
      </c>
      <c r="BU112" s="82">
        <f t="shared" si="284"/>
        <v>1632.7</v>
      </c>
    </row>
    <row r="113" spans="1:73">
      <c r="A113" s="1" t="s">
        <v>410</v>
      </c>
      <c r="U113" s="126">
        <v>349</v>
      </c>
      <c r="X113" s="126">
        <v>0</v>
      </c>
      <c r="Y113" s="126">
        <v>336</v>
      </c>
      <c r="Z113" s="126">
        <v>0</v>
      </c>
      <c r="AC113" s="126">
        <v>83.1</v>
      </c>
      <c r="AD113" s="126">
        <v>0</v>
      </c>
      <c r="AE113" s="126">
        <v>0</v>
      </c>
      <c r="AF113" s="126">
        <v>354</v>
      </c>
      <c r="AG113" s="126">
        <v>81</v>
      </c>
      <c r="AI113" s="126">
        <v>0</v>
      </c>
      <c r="AJ113" s="126">
        <v>80</v>
      </c>
      <c r="AK113" s="132">
        <v>18</v>
      </c>
      <c r="AL113" s="126">
        <v>0</v>
      </c>
      <c r="AO113" s="132">
        <v>0</v>
      </c>
      <c r="AP113" s="126">
        <v>0</v>
      </c>
      <c r="AQ113" s="134">
        <v>0</v>
      </c>
      <c r="AR113" s="132">
        <v>0</v>
      </c>
      <c r="AS113" s="134">
        <v>0</v>
      </c>
      <c r="AT113" s="132">
        <v>0</v>
      </c>
      <c r="AU113" s="132">
        <v>0</v>
      </c>
      <c r="AV113" s="83">
        <v>87711</v>
      </c>
      <c r="AW113" s="237">
        <v>43567</v>
      </c>
      <c r="AX113" s="233">
        <f t="shared" si="214"/>
        <v>15</v>
      </c>
      <c r="AY113" s="232" t="s">
        <v>3487</v>
      </c>
      <c r="AZ113" s="233" t="b">
        <f t="shared" si="213"/>
        <v>0</v>
      </c>
      <c r="BA113" s="129"/>
      <c r="BB113" s="129"/>
      <c r="BC113" s="129"/>
      <c r="BD113" s="129"/>
      <c r="BE113" s="82">
        <f t="shared" si="271"/>
        <v>349</v>
      </c>
      <c r="BF113" s="82">
        <f t="shared" si="272"/>
        <v>0</v>
      </c>
      <c r="BG113" s="82"/>
      <c r="BH113" s="82">
        <f t="shared" si="273"/>
        <v>83.1</v>
      </c>
      <c r="BI113" s="82">
        <f t="shared" si="274"/>
        <v>0</v>
      </c>
      <c r="BJ113" s="82">
        <f t="shared" si="275"/>
        <v>0</v>
      </c>
      <c r="BK113" s="82">
        <f t="shared" si="276"/>
        <v>354</v>
      </c>
      <c r="BL113" s="82">
        <f t="shared" si="277"/>
        <v>81</v>
      </c>
      <c r="BM113" s="82">
        <f t="shared" si="278"/>
        <v>0</v>
      </c>
      <c r="BN113" s="82">
        <f t="shared" si="279"/>
        <v>80</v>
      </c>
      <c r="BO113" s="82">
        <f t="shared" si="280"/>
        <v>18</v>
      </c>
      <c r="BP113" s="82">
        <f t="shared" si="281"/>
        <v>0</v>
      </c>
      <c r="BQ113" s="82"/>
      <c r="BR113" s="129">
        <f>SUMIF('Audit HD AR - School Level'!$B$6:B1244, "=" &amp; A113,'Audit HD AR - School Level'!$Q$6:Q1244)</f>
        <v>0</v>
      </c>
      <c r="BS113" s="224">
        <f t="shared" si="282"/>
        <v>0</v>
      </c>
      <c r="BT113" s="126">
        <f t="shared" si="283"/>
        <v>0</v>
      </c>
      <c r="BU113" s="82">
        <f t="shared" si="284"/>
        <v>349</v>
      </c>
    </row>
    <row r="114" spans="1:73">
      <c r="A114" s="1" t="s">
        <v>412</v>
      </c>
      <c r="U114" s="126">
        <v>708.9</v>
      </c>
      <c r="X114" s="126">
        <v>10.5</v>
      </c>
      <c r="Y114" s="126">
        <v>733.1</v>
      </c>
      <c r="Z114" s="126">
        <v>0</v>
      </c>
      <c r="AC114" s="126">
        <v>369.1</v>
      </c>
      <c r="AD114" s="126">
        <v>0</v>
      </c>
      <c r="AE114" s="126">
        <v>0</v>
      </c>
      <c r="AF114" s="126">
        <v>737</v>
      </c>
      <c r="AG114" s="126">
        <v>300</v>
      </c>
      <c r="AI114" s="126">
        <v>216</v>
      </c>
      <c r="AJ114" s="126">
        <v>84.5</v>
      </c>
      <c r="AK114" s="132">
        <v>4</v>
      </c>
      <c r="AL114" s="126">
        <v>27</v>
      </c>
      <c r="AO114" s="132">
        <v>0</v>
      </c>
      <c r="AP114" s="126">
        <v>0</v>
      </c>
      <c r="AQ114" s="134">
        <v>0</v>
      </c>
      <c r="AR114" s="132">
        <v>0</v>
      </c>
      <c r="AS114" s="134">
        <v>0</v>
      </c>
      <c r="AT114" s="132">
        <v>0</v>
      </c>
      <c r="AU114" s="132">
        <v>0</v>
      </c>
      <c r="AV114" s="83">
        <v>152059</v>
      </c>
      <c r="AW114" s="237">
        <v>43567</v>
      </c>
      <c r="AX114" s="233">
        <f t="shared" si="214"/>
        <v>15</v>
      </c>
      <c r="AY114" s="232" t="s">
        <v>3487</v>
      </c>
      <c r="AZ114" s="233" t="b">
        <f t="shared" si="213"/>
        <v>0</v>
      </c>
      <c r="BA114" s="129"/>
      <c r="BB114" s="129"/>
      <c r="BC114" s="129"/>
      <c r="BD114" s="129"/>
      <c r="BE114" s="82">
        <f t="shared" si="271"/>
        <v>708.9</v>
      </c>
      <c r="BF114" s="82">
        <f t="shared" si="272"/>
        <v>10.5</v>
      </c>
      <c r="BG114" s="82"/>
      <c r="BH114" s="82">
        <f t="shared" si="273"/>
        <v>369.1</v>
      </c>
      <c r="BI114" s="82">
        <f t="shared" si="274"/>
        <v>0</v>
      </c>
      <c r="BJ114" s="82">
        <f t="shared" si="275"/>
        <v>0</v>
      </c>
      <c r="BK114" s="82">
        <f t="shared" si="276"/>
        <v>737</v>
      </c>
      <c r="BL114" s="82">
        <f t="shared" si="277"/>
        <v>300</v>
      </c>
      <c r="BM114" s="82">
        <f t="shared" si="278"/>
        <v>216</v>
      </c>
      <c r="BN114" s="82">
        <f t="shared" si="279"/>
        <v>84.5</v>
      </c>
      <c r="BO114" s="82">
        <f t="shared" si="280"/>
        <v>4</v>
      </c>
      <c r="BP114" s="82">
        <f t="shared" si="281"/>
        <v>27</v>
      </c>
      <c r="BQ114" s="82"/>
      <c r="BR114" s="129">
        <f>SUMIF('Audit HD AR - School Level'!$B$6:B1245, "=" &amp; A114,'Audit HD AR - School Level'!$Q$6:Q1245)</f>
        <v>15.5</v>
      </c>
      <c r="BS114" s="224">
        <f t="shared" si="282"/>
        <v>0</v>
      </c>
      <c r="BT114" s="126">
        <f t="shared" si="283"/>
        <v>0</v>
      </c>
      <c r="BU114" s="82">
        <f t="shared" si="284"/>
        <v>708.9</v>
      </c>
    </row>
    <row r="115" spans="1:73">
      <c r="A115" s="1" t="s">
        <v>414</v>
      </c>
      <c r="U115" s="126">
        <v>997.4</v>
      </c>
      <c r="X115" s="126">
        <v>11.5</v>
      </c>
      <c r="Y115" s="126">
        <v>996.6</v>
      </c>
      <c r="Z115" s="126">
        <v>0</v>
      </c>
      <c r="AC115" s="126">
        <v>24.7</v>
      </c>
      <c r="AD115" s="126">
        <v>0</v>
      </c>
      <c r="AE115" s="126">
        <v>0</v>
      </c>
      <c r="AF115" s="126">
        <v>1035</v>
      </c>
      <c r="AG115" s="126">
        <v>395</v>
      </c>
      <c r="AI115" s="126">
        <v>0</v>
      </c>
      <c r="AJ115" s="126">
        <v>778.5</v>
      </c>
      <c r="AK115" s="132">
        <v>137.19999999999999</v>
      </c>
      <c r="AL115" s="126">
        <v>40.5</v>
      </c>
      <c r="AO115" s="132">
        <v>1</v>
      </c>
      <c r="AP115" s="126">
        <v>0</v>
      </c>
      <c r="AQ115" s="134">
        <v>16</v>
      </c>
      <c r="AR115" s="132">
        <v>7</v>
      </c>
      <c r="AS115" s="134">
        <v>11</v>
      </c>
      <c r="AT115" s="132">
        <v>11</v>
      </c>
      <c r="AU115" s="132">
        <v>0</v>
      </c>
      <c r="AV115" s="83">
        <v>750367</v>
      </c>
      <c r="AW115" s="237">
        <v>43567</v>
      </c>
      <c r="AX115" s="233">
        <f t="shared" si="214"/>
        <v>15</v>
      </c>
      <c r="AY115" s="232" t="s">
        <v>3487</v>
      </c>
      <c r="AZ115" s="233" t="b">
        <f t="shared" si="213"/>
        <v>0</v>
      </c>
      <c r="BA115" s="129"/>
      <c r="BB115" s="129"/>
      <c r="BC115" s="129"/>
      <c r="BD115" s="129"/>
      <c r="BE115" s="82">
        <f t="shared" si="271"/>
        <v>989.4</v>
      </c>
      <c r="BF115" s="82">
        <f t="shared" si="272"/>
        <v>11.5</v>
      </c>
      <c r="BG115" s="82"/>
      <c r="BH115" s="82">
        <f t="shared" si="273"/>
        <v>24.7</v>
      </c>
      <c r="BI115" s="82">
        <f t="shared" si="274"/>
        <v>0</v>
      </c>
      <c r="BJ115" s="82">
        <f t="shared" si="275"/>
        <v>0</v>
      </c>
      <c r="BK115" s="82">
        <f t="shared" si="276"/>
        <v>1035</v>
      </c>
      <c r="BL115" s="82">
        <f t="shared" si="277"/>
        <v>395</v>
      </c>
      <c r="BM115" s="82">
        <f t="shared" si="278"/>
        <v>0</v>
      </c>
      <c r="BN115" s="82">
        <f t="shared" si="279"/>
        <v>778.5</v>
      </c>
      <c r="BO115" s="82">
        <f t="shared" si="280"/>
        <v>137.19999999999999</v>
      </c>
      <c r="BP115" s="82">
        <f t="shared" si="281"/>
        <v>40.5</v>
      </c>
      <c r="BQ115" s="82"/>
      <c r="BR115" s="129">
        <f>SUMIF('Audit HD AR - School Level'!$B$6:B1245, "=" &amp; A115,'Audit HD AR - School Level'!$Q$6:Q1245)</f>
        <v>14.5</v>
      </c>
      <c r="BS115" s="224">
        <f t="shared" si="282"/>
        <v>-3545</v>
      </c>
      <c r="BT115" s="126">
        <f t="shared" si="283"/>
        <v>-3545</v>
      </c>
      <c r="BU115" s="82">
        <f t="shared" si="284"/>
        <v>989.4</v>
      </c>
    </row>
    <row r="116" spans="1:73">
      <c r="A116" s="1" t="s">
        <v>422</v>
      </c>
      <c r="U116" s="126">
        <v>288</v>
      </c>
      <c r="X116" s="126">
        <v>6.5</v>
      </c>
      <c r="Y116" s="126">
        <v>309.5</v>
      </c>
      <c r="Z116" s="126">
        <v>0</v>
      </c>
      <c r="AC116" s="126">
        <v>203.2</v>
      </c>
      <c r="AD116" s="126">
        <v>2</v>
      </c>
      <c r="AE116" s="126">
        <v>1</v>
      </c>
      <c r="AF116" s="126">
        <v>302</v>
      </c>
      <c r="AG116" s="126">
        <v>67</v>
      </c>
      <c r="AI116" s="126">
        <v>0</v>
      </c>
      <c r="AJ116" s="126">
        <v>160</v>
      </c>
      <c r="AK116" s="132">
        <v>8</v>
      </c>
      <c r="AL116" s="126">
        <v>72.5</v>
      </c>
      <c r="AO116" s="132">
        <v>0</v>
      </c>
      <c r="AP116" s="126">
        <v>0</v>
      </c>
      <c r="AQ116" s="134">
        <v>0</v>
      </c>
      <c r="AR116" s="132">
        <v>0</v>
      </c>
      <c r="AS116" s="134">
        <v>0</v>
      </c>
      <c r="AT116" s="132">
        <v>0</v>
      </c>
      <c r="AU116" s="132">
        <v>1</v>
      </c>
      <c r="AV116" s="83">
        <v>174979</v>
      </c>
      <c r="AW116" s="237">
        <v>43567</v>
      </c>
      <c r="AX116" s="233">
        <f t="shared" si="214"/>
        <v>15</v>
      </c>
      <c r="AY116" s="232" t="s">
        <v>3487</v>
      </c>
      <c r="AZ116" s="233" t="b">
        <f t="shared" si="213"/>
        <v>0</v>
      </c>
      <c r="BA116" s="129"/>
      <c r="BB116" s="129"/>
      <c r="BC116" s="129"/>
      <c r="BD116" s="129"/>
      <c r="BE116" s="82">
        <f t="shared" si="271"/>
        <v>288</v>
      </c>
      <c r="BF116" s="82">
        <f t="shared" si="272"/>
        <v>6.5</v>
      </c>
      <c r="BG116" s="82"/>
      <c r="BH116" s="82">
        <f t="shared" si="273"/>
        <v>203.2</v>
      </c>
      <c r="BI116" s="82">
        <f t="shared" si="274"/>
        <v>2</v>
      </c>
      <c r="BJ116" s="82">
        <f t="shared" si="275"/>
        <v>1</v>
      </c>
      <c r="BK116" s="82">
        <f t="shared" si="276"/>
        <v>302</v>
      </c>
      <c r="BL116" s="82">
        <f t="shared" si="277"/>
        <v>67</v>
      </c>
      <c r="BM116" s="82">
        <f t="shared" si="278"/>
        <v>0</v>
      </c>
      <c r="BN116" s="82">
        <f t="shared" si="279"/>
        <v>160</v>
      </c>
      <c r="BO116" s="82">
        <f t="shared" si="280"/>
        <v>8</v>
      </c>
      <c r="BP116" s="82">
        <f t="shared" si="281"/>
        <v>72.5</v>
      </c>
      <c r="BQ116" s="82"/>
      <c r="BR116" s="129">
        <f>SUMIF('Audit HD AR - School Level'!$B$6:B1245, "=" &amp; A116,'Audit HD AR - School Level'!$Q$6:Q1245)</f>
        <v>0</v>
      </c>
      <c r="BS116" s="224">
        <f t="shared" si="282"/>
        <v>0</v>
      </c>
      <c r="BT116" s="126">
        <f t="shared" si="283"/>
        <v>0</v>
      </c>
      <c r="BU116" s="82">
        <f t="shared" si="284"/>
        <v>288</v>
      </c>
    </row>
    <row r="117" spans="1:73">
      <c r="A117" s="1" t="s">
        <v>431</v>
      </c>
      <c r="U117" s="126">
        <v>291</v>
      </c>
      <c r="X117" s="126">
        <v>0.5</v>
      </c>
      <c r="Y117" s="126">
        <v>290.89999999999998</v>
      </c>
      <c r="Z117" s="126">
        <v>0</v>
      </c>
      <c r="AC117" s="126">
        <v>41.3</v>
      </c>
      <c r="AD117" s="126">
        <v>1</v>
      </c>
      <c r="AE117" s="126">
        <v>0.5</v>
      </c>
      <c r="AF117" s="126">
        <v>298</v>
      </c>
      <c r="AG117" s="126">
        <v>98</v>
      </c>
      <c r="AI117" s="126">
        <v>0</v>
      </c>
      <c r="AJ117" s="126">
        <v>36</v>
      </c>
      <c r="AK117" s="132">
        <v>36</v>
      </c>
      <c r="AL117" s="126">
        <v>2</v>
      </c>
      <c r="AO117" s="132">
        <v>0</v>
      </c>
      <c r="AP117" s="126">
        <v>0</v>
      </c>
      <c r="AQ117" s="134">
        <v>0</v>
      </c>
      <c r="AR117" s="132">
        <v>0</v>
      </c>
      <c r="AS117" s="134">
        <v>0</v>
      </c>
      <c r="AT117" s="132">
        <v>0</v>
      </c>
      <c r="AU117" s="132">
        <v>0</v>
      </c>
      <c r="AV117" s="83">
        <v>58991</v>
      </c>
      <c r="AW117" s="237">
        <v>43567</v>
      </c>
      <c r="AX117" s="233">
        <f t="shared" si="214"/>
        <v>15</v>
      </c>
      <c r="AY117" s="232" t="s">
        <v>3487</v>
      </c>
      <c r="AZ117" s="233" t="b">
        <f t="shared" si="213"/>
        <v>0</v>
      </c>
      <c r="BA117" s="129"/>
      <c r="BB117" s="129"/>
      <c r="BC117" s="129"/>
      <c r="BD117" s="129"/>
      <c r="BE117" s="82">
        <f t="shared" si="271"/>
        <v>291</v>
      </c>
      <c r="BF117" s="82">
        <f t="shared" si="272"/>
        <v>0.5</v>
      </c>
      <c r="BG117" s="82"/>
      <c r="BH117" s="82">
        <f t="shared" si="273"/>
        <v>41.3</v>
      </c>
      <c r="BI117" s="82">
        <f t="shared" si="274"/>
        <v>1</v>
      </c>
      <c r="BJ117" s="82">
        <f t="shared" si="275"/>
        <v>0.5</v>
      </c>
      <c r="BK117" s="82">
        <f t="shared" si="276"/>
        <v>298</v>
      </c>
      <c r="BL117" s="82">
        <f t="shared" si="277"/>
        <v>98</v>
      </c>
      <c r="BM117" s="82">
        <f t="shared" si="278"/>
        <v>0</v>
      </c>
      <c r="BN117" s="82">
        <f t="shared" si="279"/>
        <v>36</v>
      </c>
      <c r="BO117" s="82">
        <f t="shared" si="280"/>
        <v>36</v>
      </c>
      <c r="BP117" s="82">
        <f t="shared" si="281"/>
        <v>2</v>
      </c>
      <c r="BQ117" s="82"/>
      <c r="BR117" s="129">
        <f>SUMIF('Audit HD AR - School Level'!$B$6:B1245, "=" &amp; A117,'Audit HD AR - School Level'!$Q$6:Q1245)</f>
        <v>0</v>
      </c>
      <c r="BS117" s="224">
        <f t="shared" si="282"/>
        <v>0</v>
      </c>
      <c r="BT117" s="126">
        <f t="shared" si="283"/>
        <v>0</v>
      </c>
      <c r="BU117" s="82">
        <f t="shared" si="284"/>
        <v>291</v>
      </c>
    </row>
    <row r="118" spans="1:73">
      <c r="A118" s="1" t="s">
        <v>440</v>
      </c>
      <c r="U118" s="126">
        <v>1934.5</v>
      </c>
      <c r="X118" s="126">
        <v>0</v>
      </c>
      <c r="Y118" s="126">
        <v>1967.8</v>
      </c>
      <c r="Z118" s="126">
        <v>0</v>
      </c>
      <c r="AC118" s="126">
        <v>399.9</v>
      </c>
      <c r="AD118" s="126">
        <v>27</v>
      </c>
      <c r="AE118" s="126">
        <v>0</v>
      </c>
      <c r="AF118" s="126">
        <v>1944</v>
      </c>
      <c r="AG118" s="126">
        <v>395</v>
      </c>
      <c r="AI118" s="126">
        <v>0</v>
      </c>
      <c r="AJ118" s="126">
        <v>695</v>
      </c>
      <c r="AK118" s="132">
        <v>167</v>
      </c>
      <c r="AL118" s="126">
        <v>6</v>
      </c>
      <c r="AO118" s="132">
        <v>0</v>
      </c>
      <c r="AP118" s="126">
        <v>0</v>
      </c>
      <c r="AQ118" s="134">
        <v>0</v>
      </c>
      <c r="AR118" s="132">
        <v>0</v>
      </c>
      <c r="AS118" s="134">
        <v>0</v>
      </c>
      <c r="AT118" s="132">
        <v>0</v>
      </c>
      <c r="AU118" s="132">
        <v>0</v>
      </c>
      <c r="AV118" s="83">
        <v>532743</v>
      </c>
      <c r="AW118" s="237">
        <v>43567</v>
      </c>
      <c r="AX118" s="233">
        <f t="shared" si="214"/>
        <v>15</v>
      </c>
      <c r="AY118" s="232" t="s">
        <v>3487</v>
      </c>
      <c r="AZ118" s="233" t="b">
        <f t="shared" si="213"/>
        <v>0</v>
      </c>
      <c r="BA118" s="129"/>
      <c r="BB118" s="129"/>
      <c r="BC118" s="129"/>
      <c r="BD118" s="129"/>
      <c r="BE118" s="82">
        <f t="shared" si="271"/>
        <v>1934.5</v>
      </c>
      <c r="BF118" s="82">
        <f t="shared" si="272"/>
        <v>0</v>
      </c>
      <c r="BG118" s="82"/>
      <c r="BH118" s="82">
        <f t="shared" si="273"/>
        <v>399.9</v>
      </c>
      <c r="BI118" s="82">
        <f t="shared" si="274"/>
        <v>27</v>
      </c>
      <c r="BJ118" s="82">
        <f t="shared" si="275"/>
        <v>0</v>
      </c>
      <c r="BK118" s="82">
        <f t="shared" si="276"/>
        <v>1944</v>
      </c>
      <c r="BL118" s="82">
        <f t="shared" si="277"/>
        <v>395</v>
      </c>
      <c r="BM118" s="82">
        <f t="shared" si="278"/>
        <v>0</v>
      </c>
      <c r="BN118" s="82">
        <f t="shared" si="279"/>
        <v>695</v>
      </c>
      <c r="BO118" s="82">
        <f t="shared" si="280"/>
        <v>167</v>
      </c>
      <c r="BP118" s="82">
        <f t="shared" si="281"/>
        <v>6</v>
      </c>
      <c r="BQ118" s="82"/>
      <c r="BR118" s="129">
        <f>SUMIF('Audit HD AR - School Level'!$B$6:B1245, "=" &amp; A118,'Audit HD AR - School Level'!$Q$6:Q1245)</f>
        <v>0</v>
      </c>
      <c r="BS118" s="224">
        <f t="shared" si="282"/>
        <v>0</v>
      </c>
      <c r="BT118" s="126">
        <f t="shared" si="283"/>
        <v>0</v>
      </c>
      <c r="BU118" s="82">
        <f t="shared" si="284"/>
        <v>1934.5</v>
      </c>
    </row>
    <row r="119" spans="1:73">
      <c r="A119" s="1" t="s">
        <v>442</v>
      </c>
      <c r="U119" s="126">
        <v>987.5</v>
      </c>
      <c r="X119" s="126">
        <v>10.5</v>
      </c>
      <c r="Y119" s="126">
        <v>988</v>
      </c>
      <c r="Z119" s="126">
        <v>0</v>
      </c>
      <c r="AC119" s="126">
        <v>160.19999999999999</v>
      </c>
      <c r="AD119" s="126">
        <v>207</v>
      </c>
      <c r="AE119" s="126">
        <v>518.1</v>
      </c>
      <c r="AF119" s="126">
        <v>999</v>
      </c>
      <c r="AG119" s="126">
        <v>364</v>
      </c>
      <c r="AI119" s="126">
        <v>0</v>
      </c>
      <c r="AJ119" s="126">
        <v>125</v>
      </c>
      <c r="AK119" s="132">
        <v>24</v>
      </c>
      <c r="AL119" s="126">
        <v>38</v>
      </c>
      <c r="AO119" s="132">
        <v>3</v>
      </c>
      <c r="AP119" s="126">
        <v>0</v>
      </c>
      <c r="AQ119" s="134">
        <v>12</v>
      </c>
      <c r="AR119" s="132">
        <v>14</v>
      </c>
      <c r="AS119" s="134">
        <v>13</v>
      </c>
      <c r="AT119" s="132">
        <v>0</v>
      </c>
      <c r="AU119" s="132">
        <v>0</v>
      </c>
      <c r="AV119" s="83">
        <v>292422</v>
      </c>
      <c r="AW119" s="237">
        <v>43567</v>
      </c>
      <c r="AX119" s="233">
        <f t="shared" si="214"/>
        <v>15</v>
      </c>
      <c r="AY119" s="232" t="s">
        <v>3487</v>
      </c>
      <c r="AZ119" s="233" t="b">
        <f t="shared" si="213"/>
        <v>0</v>
      </c>
      <c r="BA119" s="129"/>
      <c r="BB119" s="129"/>
      <c r="BC119" s="129"/>
      <c r="BD119" s="129"/>
      <c r="BE119" s="82">
        <f t="shared" si="271"/>
        <v>970.5</v>
      </c>
      <c r="BF119" s="82">
        <f t="shared" si="272"/>
        <v>10.5</v>
      </c>
      <c r="BG119" s="82"/>
      <c r="BH119" s="82">
        <f t="shared" si="273"/>
        <v>160.19999999999999</v>
      </c>
      <c r="BI119" s="82">
        <f t="shared" si="274"/>
        <v>207</v>
      </c>
      <c r="BJ119" s="82">
        <f t="shared" si="275"/>
        <v>518.1</v>
      </c>
      <c r="BK119" s="82">
        <f t="shared" si="276"/>
        <v>999</v>
      </c>
      <c r="BL119" s="82">
        <f t="shared" si="277"/>
        <v>364</v>
      </c>
      <c r="BM119" s="82">
        <f t="shared" si="278"/>
        <v>0</v>
      </c>
      <c r="BN119" s="82">
        <f t="shared" si="279"/>
        <v>125</v>
      </c>
      <c r="BO119" s="82">
        <f t="shared" si="280"/>
        <v>24</v>
      </c>
      <c r="BP119" s="82">
        <f t="shared" si="281"/>
        <v>38</v>
      </c>
      <c r="BQ119" s="82"/>
      <c r="BR119" s="129">
        <f>SUMIF('Audit HD AR - School Level'!$B$6:B1245, "=" &amp; A119,'Audit HD AR - School Level'!$Q$6:Q1245)</f>
        <v>8.9</v>
      </c>
      <c r="BS119" s="224">
        <f t="shared" si="282"/>
        <v>709</v>
      </c>
      <c r="BT119" s="126">
        <f t="shared" si="283"/>
        <v>0</v>
      </c>
      <c r="BU119" s="82">
        <f t="shared" si="284"/>
        <v>970.5</v>
      </c>
    </row>
    <row r="120" spans="1:73">
      <c r="A120" s="1" t="s">
        <v>443</v>
      </c>
      <c r="U120" s="126">
        <v>385.6</v>
      </c>
      <c r="X120" s="126">
        <v>6</v>
      </c>
      <c r="Y120" s="126">
        <v>393.5</v>
      </c>
      <c r="Z120" s="126">
        <v>0</v>
      </c>
      <c r="AC120" s="126">
        <v>97.2</v>
      </c>
      <c r="AD120" s="126">
        <v>94</v>
      </c>
      <c r="AE120" s="126">
        <v>411.4</v>
      </c>
      <c r="AF120" s="126">
        <v>402</v>
      </c>
      <c r="AG120" s="126">
        <v>146</v>
      </c>
      <c r="AI120" s="126">
        <v>0</v>
      </c>
      <c r="AJ120" s="126">
        <v>77</v>
      </c>
      <c r="AK120" s="132">
        <v>0</v>
      </c>
      <c r="AL120" s="126">
        <v>2</v>
      </c>
      <c r="AO120" s="132">
        <v>0</v>
      </c>
      <c r="AP120" s="126">
        <v>0</v>
      </c>
      <c r="AQ120" s="134">
        <v>0</v>
      </c>
      <c r="AR120" s="132">
        <v>0</v>
      </c>
      <c r="AS120" s="134">
        <v>0</v>
      </c>
      <c r="AT120" s="132">
        <v>0</v>
      </c>
      <c r="AU120" s="132">
        <v>0</v>
      </c>
      <c r="AV120" s="83">
        <v>72005</v>
      </c>
      <c r="AW120" s="237">
        <v>43567</v>
      </c>
      <c r="AX120" s="233">
        <f t="shared" si="214"/>
        <v>15</v>
      </c>
      <c r="AY120" s="232" t="s">
        <v>3487</v>
      </c>
      <c r="AZ120" s="233" t="b">
        <f t="shared" si="213"/>
        <v>0</v>
      </c>
      <c r="BA120" s="129"/>
      <c r="BB120" s="129"/>
      <c r="BC120" s="129"/>
      <c r="BD120" s="129"/>
      <c r="BE120" s="82">
        <f t="shared" si="271"/>
        <v>385.6</v>
      </c>
      <c r="BF120" s="82">
        <f t="shared" si="272"/>
        <v>6</v>
      </c>
      <c r="BG120" s="82"/>
      <c r="BH120" s="82">
        <f t="shared" si="273"/>
        <v>97.2</v>
      </c>
      <c r="BI120" s="82">
        <f t="shared" si="274"/>
        <v>94</v>
      </c>
      <c r="BJ120" s="82">
        <f t="shared" si="275"/>
        <v>411.4</v>
      </c>
      <c r="BK120" s="82">
        <f t="shared" si="276"/>
        <v>402</v>
      </c>
      <c r="BL120" s="82">
        <f t="shared" si="277"/>
        <v>146</v>
      </c>
      <c r="BM120" s="82">
        <f t="shared" si="278"/>
        <v>0</v>
      </c>
      <c r="BN120" s="82">
        <f t="shared" si="279"/>
        <v>77</v>
      </c>
      <c r="BO120" s="82">
        <f t="shared" si="280"/>
        <v>0</v>
      </c>
      <c r="BP120" s="82">
        <f t="shared" si="281"/>
        <v>2</v>
      </c>
      <c r="BQ120" s="82"/>
      <c r="BR120" s="129">
        <f>SUMIF('Audit HD AR - School Level'!$B$6:B1245, "=" &amp; A120,'Audit HD AR - School Level'!$Q$6:Q1245)</f>
        <v>2.7</v>
      </c>
      <c r="BS120" s="224">
        <f t="shared" si="282"/>
        <v>0</v>
      </c>
      <c r="BT120" s="126">
        <f t="shared" si="283"/>
        <v>0</v>
      </c>
      <c r="BU120" s="82">
        <f t="shared" si="284"/>
        <v>385.6</v>
      </c>
    </row>
    <row r="121" spans="1:73">
      <c r="A121" s="1" t="s">
        <v>475</v>
      </c>
      <c r="U121" s="126">
        <v>497.5</v>
      </c>
      <c r="X121" s="126">
        <v>5</v>
      </c>
      <c r="Y121" s="126">
        <v>478</v>
      </c>
      <c r="Z121" s="126">
        <v>0</v>
      </c>
      <c r="AC121" s="126">
        <v>58.4</v>
      </c>
      <c r="AD121" s="126">
        <v>3</v>
      </c>
      <c r="AE121" s="126">
        <v>8.6</v>
      </c>
      <c r="AF121" s="126">
        <v>515</v>
      </c>
      <c r="AG121" s="126">
        <v>243</v>
      </c>
      <c r="AI121" s="126">
        <v>0</v>
      </c>
      <c r="AJ121" s="126">
        <v>22</v>
      </c>
      <c r="AK121" s="132">
        <v>152</v>
      </c>
      <c r="AL121" s="126">
        <v>189</v>
      </c>
      <c r="AO121" s="132">
        <v>0</v>
      </c>
      <c r="AP121" s="126">
        <v>0</v>
      </c>
      <c r="AQ121" s="134">
        <v>0</v>
      </c>
      <c r="AR121" s="132">
        <v>0</v>
      </c>
      <c r="AS121" s="134">
        <v>0</v>
      </c>
      <c r="AT121" s="132">
        <v>0</v>
      </c>
      <c r="AU121" s="132">
        <v>0</v>
      </c>
      <c r="AV121" s="83">
        <v>153463</v>
      </c>
      <c r="AW121" s="237">
        <v>43567</v>
      </c>
      <c r="AX121" s="233">
        <f t="shared" si="214"/>
        <v>15</v>
      </c>
      <c r="AY121" s="232" t="s">
        <v>3487</v>
      </c>
      <c r="AZ121" s="233" t="b">
        <f t="shared" si="213"/>
        <v>0</v>
      </c>
      <c r="BA121" s="129"/>
      <c r="BB121" s="129"/>
      <c r="BC121" s="129"/>
      <c r="BD121" s="129"/>
      <c r="BE121" s="82">
        <f t="shared" si="271"/>
        <v>497.5</v>
      </c>
      <c r="BF121" s="82">
        <f t="shared" si="272"/>
        <v>5</v>
      </c>
      <c r="BG121" s="82"/>
      <c r="BH121" s="82">
        <f t="shared" si="273"/>
        <v>58.4</v>
      </c>
      <c r="BI121" s="82">
        <f t="shared" si="274"/>
        <v>3</v>
      </c>
      <c r="BJ121" s="82">
        <f t="shared" si="275"/>
        <v>8.6</v>
      </c>
      <c r="BK121" s="82">
        <f t="shared" si="276"/>
        <v>515</v>
      </c>
      <c r="BL121" s="82">
        <f t="shared" si="277"/>
        <v>243</v>
      </c>
      <c r="BM121" s="82">
        <f t="shared" si="278"/>
        <v>0</v>
      </c>
      <c r="BN121" s="82">
        <f t="shared" si="279"/>
        <v>22</v>
      </c>
      <c r="BO121" s="82">
        <f t="shared" si="280"/>
        <v>152</v>
      </c>
      <c r="BP121" s="82">
        <f t="shared" si="281"/>
        <v>189</v>
      </c>
      <c r="BQ121" s="82"/>
      <c r="BR121" s="129">
        <f>SUMIF('Audit HD AR - School Level'!$B$6:B1245, "=" &amp; A121,'Audit HD AR - School Level'!$Q$6:Q1245)</f>
        <v>17.7</v>
      </c>
      <c r="BS121" s="224">
        <f t="shared" si="282"/>
        <v>0</v>
      </c>
      <c r="BT121" s="126">
        <f t="shared" si="283"/>
        <v>0</v>
      </c>
      <c r="BU121" s="82">
        <f t="shared" si="284"/>
        <v>497.5</v>
      </c>
    </row>
    <row r="122" spans="1:73">
      <c r="A122" s="1" t="s">
        <v>199</v>
      </c>
      <c r="U122" s="126">
        <v>126.5</v>
      </c>
      <c r="X122" s="126">
        <v>0</v>
      </c>
      <c r="Y122" s="126">
        <v>128.5</v>
      </c>
      <c r="Z122" s="126">
        <v>0</v>
      </c>
      <c r="AC122" s="126">
        <v>58.4</v>
      </c>
      <c r="AD122" s="126">
        <v>30</v>
      </c>
      <c r="AE122" s="126">
        <v>142.6</v>
      </c>
      <c r="AF122" s="126">
        <v>127</v>
      </c>
      <c r="AG122" s="126">
        <v>59</v>
      </c>
      <c r="AI122" s="126">
        <v>0</v>
      </c>
      <c r="AJ122" s="126">
        <v>55</v>
      </c>
      <c r="AK122" s="132">
        <v>0</v>
      </c>
      <c r="AL122" s="126">
        <v>5</v>
      </c>
      <c r="AO122" s="132">
        <v>0</v>
      </c>
      <c r="AP122" s="126">
        <v>0</v>
      </c>
      <c r="AQ122" s="134">
        <v>0</v>
      </c>
      <c r="AR122" s="132">
        <v>0</v>
      </c>
      <c r="AS122" s="134">
        <v>0</v>
      </c>
      <c r="AT122" s="132">
        <v>0</v>
      </c>
      <c r="AU122" s="132">
        <v>0</v>
      </c>
      <c r="AV122" s="83">
        <v>83807</v>
      </c>
      <c r="AW122" s="237">
        <v>43573</v>
      </c>
      <c r="AX122" s="233">
        <f t="shared" si="214"/>
        <v>16</v>
      </c>
      <c r="AY122" s="232" t="s">
        <v>3487</v>
      </c>
      <c r="AZ122" s="233" t="b">
        <f t="shared" si="213"/>
        <v>0</v>
      </c>
      <c r="BA122" s="129"/>
      <c r="BB122" s="129"/>
      <c r="BC122" s="129"/>
      <c r="BD122" s="129"/>
      <c r="BE122" s="82">
        <f t="shared" ref="BE122:BE134" si="285">SUM(U122+C122-AO122-AP122-AR122)</f>
        <v>126.5</v>
      </c>
      <c r="BF122" s="82">
        <f t="shared" ref="BF122:BF134" si="286">SUM(X122+F122)</f>
        <v>0</v>
      </c>
      <c r="BG122" s="82"/>
      <c r="BH122" s="82">
        <f t="shared" ref="BH122:BH134" si="287">SUM(AC122+H122)</f>
        <v>58.4</v>
      </c>
      <c r="BI122" s="82">
        <f t="shared" ref="BI122:BI134" si="288">SUM(AD122+I122)</f>
        <v>30</v>
      </c>
      <c r="BJ122" s="82">
        <f t="shared" ref="BJ122:BJ134" si="289">SUM(AE122+J122)</f>
        <v>142.6</v>
      </c>
      <c r="BK122" s="82">
        <f t="shared" ref="BK122:BK134" si="290">SUM(AF122+K122)</f>
        <v>127</v>
      </c>
      <c r="BL122" s="82">
        <f t="shared" ref="BL122:BL134" si="291">SUM(AG122+L122)</f>
        <v>59</v>
      </c>
      <c r="BM122" s="82">
        <f t="shared" ref="BM122:BM134" si="292">SUM(AI122+M122)</f>
        <v>0</v>
      </c>
      <c r="BN122" s="82">
        <f t="shared" ref="BN122:BN134" si="293">SUM(AJ122+Q122)</f>
        <v>55</v>
      </c>
      <c r="BO122" s="82">
        <f t="shared" ref="BO122:BO134" si="294">SUM(AK122+R122)</f>
        <v>0</v>
      </c>
      <c r="BP122" s="82">
        <f t="shared" ref="BP122:BP134" si="295">SUM(AL122+S122)</f>
        <v>5</v>
      </c>
      <c r="BQ122" s="82"/>
      <c r="BR122" s="129">
        <f>SUMIF('Audit HD AR - School Level'!$B$6:B1245, "=" &amp; A122,'Audit HD AR - School Level'!$Q$6:Q1245)</f>
        <v>4.8</v>
      </c>
      <c r="BS122" s="224">
        <f t="shared" ref="BS122:BS134" si="296">SUM(AS122-AQ122)*$BS$2</f>
        <v>0</v>
      </c>
      <c r="BT122" s="126">
        <f t="shared" ref="BT122:BT134" si="297">IF(BS122&lt;0,BS122,0)</f>
        <v>0</v>
      </c>
      <c r="BU122" s="82">
        <f t="shared" ref="BU122:BU134" si="298">SUM(U122-AO122-AP122-AR122)</f>
        <v>126.5</v>
      </c>
    </row>
    <row r="123" spans="1:73">
      <c r="A123" s="1" t="s">
        <v>237</v>
      </c>
      <c r="U123" s="126">
        <v>5882.1</v>
      </c>
      <c r="X123" s="126">
        <v>0</v>
      </c>
      <c r="Y123" s="126">
        <v>5888.9</v>
      </c>
      <c r="Z123" s="126">
        <v>0</v>
      </c>
      <c r="AC123" s="126">
        <v>1078.4000000000001</v>
      </c>
      <c r="AD123" s="126">
        <v>140</v>
      </c>
      <c r="AE123" s="126">
        <v>359.6</v>
      </c>
      <c r="AF123" s="126">
        <v>5971</v>
      </c>
      <c r="AG123" s="126">
        <v>1098</v>
      </c>
      <c r="AI123" s="126">
        <v>0</v>
      </c>
      <c r="AJ123" s="126">
        <v>1167</v>
      </c>
      <c r="AK123" s="132">
        <v>1364</v>
      </c>
      <c r="AL123" s="126">
        <v>0</v>
      </c>
      <c r="AO123" s="132">
        <v>0</v>
      </c>
      <c r="AP123" s="126">
        <v>0</v>
      </c>
      <c r="AQ123" s="134">
        <v>0</v>
      </c>
      <c r="AR123" s="132">
        <v>0</v>
      </c>
      <c r="AS123" s="134">
        <v>0</v>
      </c>
      <c r="AT123" s="132">
        <v>0</v>
      </c>
      <c r="AU123" s="132">
        <v>1</v>
      </c>
      <c r="AV123" s="83">
        <v>1115901</v>
      </c>
      <c r="AW123" s="237">
        <v>43573</v>
      </c>
      <c r="AX123" s="233">
        <f t="shared" si="214"/>
        <v>16</v>
      </c>
      <c r="AY123" s="232" t="s">
        <v>3487</v>
      </c>
      <c r="AZ123" s="233" t="b">
        <f t="shared" si="213"/>
        <v>0</v>
      </c>
      <c r="BA123" s="129"/>
      <c r="BB123" s="129"/>
      <c r="BC123" s="129"/>
      <c r="BD123" s="129"/>
      <c r="BE123" s="82">
        <f t="shared" si="285"/>
        <v>5882.1</v>
      </c>
      <c r="BF123" s="82">
        <f t="shared" si="286"/>
        <v>0</v>
      </c>
      <c r="BG123" s="82"/>
      <c r="BH123" s="82">
        <f t="shared" si="287"/>
        <v>1078.4000000000001</v>
      </c>
      <c r="BI123" s="82">
        <f t="shared" si="288"/>
        <v>140</v>
      </c>
      <c r="BJ123" s="82">
        <f t="shared" si="289"/>
        <v>359.6</v>
      </c>
      <c r="BK123" s="82">
        <f t="shared" si="290"/>
        <v>5971</v>
      </c>
      <c r="BL123" s="82">
        <f t="shared" si="291"/>
        <v>1098</v>
      </c>
      <c r="BM123" s="82">
        <f t="shared" si="292"/>
        <v>0</v>
      </c>
      <c r="BN123" s="82">
        <f t="shared" si="293"/>
        <v>1167</v>
      </c>
      <c r="BO123" s="82">
        <f t="shared" si="294"/>
        <v>1364</v>
      </c>
      <c r="BP123" s="82">
        <f t="shared" si="295"/>
        <v>0</v>
      </c>
      <c r="BQ123" s="82"/>
      <c r="BR123" s="129">
        <f>SUMIF('Audit HD AR - School Level'!$B$6:B1245, "=" &amp; A123,'Audit HD AR - School Level'!$Q$6:Q1245)</f>
        <v>0</v>
      </c>
      <c r="BS123" s="224">
        <f t="shared" si="296"/>
        <v>0</v>
      </c>
      <c r="BT123" s="126">
        <f t="shared" si="297"/>
        <v>0</v>
      </c>
      <c r="BU123" s="82">
        <f t="shared" si="298"/>
        <v>5882.1</v>
      </c>
    </row>
    <row r="124" spans="1:73">
      <c r="A124" s="1" t="s">
        <v>245</v>
      </c>
      <c r="U124" s="126">
        <v>198</v>
      </c>
      <c r="X124" s="126">
        <v>0</v>
      </c>
      <c r="Y124" s="126">
        <v>200.5</v>
      </c>
      <c r="Z124" s="126">
        <v>0</v>
      </c>
      <c r="AC124" s="126">
        <v>0</v>
      </c>
      <c r="AD124" s="126">
        <v>2</v>
      </c>
      <c r="AE124" s="126">
        <v>0</v>
      </c>
      <c r="AF124" s="126">
        <v>200</v>
      </c>
      <c r="AG124" s="126">
        <v>50</v>
      </c>
      <c r="AI124" s="126">
        <v>0</v>
      </c>
      <c r="AJ124" s="126">
        <v>55</v>
      </c>
      <c r="AK124" s="132">
        <v>4</v>
      </c>
      <c r="AL124" s="126">
        <v>13</v>
      </c>
      <c r="AO124" s="132">
        <v>0</v>
      </c>
      <c r="AP124" s="126">
        <v>0</v>
      </c>
      <c r="AQ124" s="134">
        <v>0</v>
      </c>
      <c r="AR124" s="132">
        <v>0</v>
      </c>
      <c r="AS124" s="134">
        <v>0</v>
      </c>
      <c r="AT124" s="132">
        <v>0</v>
      </c>
      <c r="AU124" s="132">
        <v>0</v>
      </c>
      <c r="AV124" s="83">
        <v>83222</v>
      </c>
      <c r="AW124" s="237">
        <v>43573</v>
      </c>
      <c r="AX124" s="233">
        <f t="shared" si="214"/>
        <v>16</v>
      </c>
      <c r="AY124" s="232" t="s">
        <v>3487</v>
      </c>
      <c r="AZ124" s="233" t="b">
        <f t="shared" si="213"/>
        <v>0</v>
      </c>
      <c r="BA124" s="129"/>
      <c r="BB124" s="129"/>
      <c r="BC124" s="129"/>
      <c r="BD124" s="129"/>
      <c r="BE124" s="82">
        <f t="shared" si="285"/>
        <v>198</v>
      </c>
      <c r="BF124" s="82">
        <f t="shared" si="286"/>
        <v>0</v>
      </c>
      <c r="BG124" s="82"/>
      <c r="BH124" s="82">
        <f t="shared" si="287"/>
        <v>0</v>
      </c>
      <c r="BI124" s="82">
        <f t="shared" si="288"/>
        <v>2</v>
      </c>
      <c r="BJ124" s="82">
        <f t="shared" si="289"/>
        <v>0</v>
      </c>
      <c r="BK124" s="82">
        <f t="shared" si="290"/>
        <v>200</v>
      </c>
      <c r="BL124" s="82">
        <f t="shared" si="291"/>
        <v>50</v>
      </c>
      <c r="BM124" s="82">
        <f t="shared" si="292"/>
        <v>0</v>
      </c>
      <c r="BN124" s="82">
        <f t="shared" si="293"/>
        <v>55</v>
      </c>
      <c r="BO124" s="82">
        <f t="shared" si="294"/>
        <v>4</v>
      </c>
      <c r="BP124" s="82">
        <f t="shared" si="295"/>
        <v>13</v>
      </c>
      <c r="BQ124" s="82"/>
      <c r="BR124" s="129">
        <f>SUMIF('Audit HD AR - School Level'!$B$6:B1245, "=" &amp; A124,'Audit HD AR - School Level'!$Q$6:Q1245)</f>
        <v>0</v>
      </c>
      <c r="BS124" s="224">
        <f t="shared" si="296"/>
        <v>0</v>
      </c>
      <c r="BT124" s="126">
        <f t="shared" si="297"/>
        <v>0</v>
      </c>
      <c r="BU124" s="82">
        <f t="shared" si="298"/>
        <v>198</v>
      </c>
    </row>
    <row r="125" spans="1:73">
      <c r="A125" s="1" t="s">
        <v>246</v>
      </c>
      <c r="U125" s="126">
        <v>99.5</v>
      </c>
      <c r="X125" s="126">
        <v>0</v>
      </c>
      <c r="Y125" s="126">
        <v>103.5</v>
      </c>
      <c r="Z125" s="126">
        <v>0</v>
      </c>
      <c r="AC125" s="126">
        <v>21.9</v>
      </c>
      <c r="AD125" s="126">
        <v>3</v>
      </c>
      <c r="AE125" s="126">
        <v>10.6</v>
      </c>
      <c r="AF125" s="126">
        <v>100</v>
      </c>
      <c r="AG125" s="126">
        <v>25</v>
      </c>
      <c r="AI125" s="126">
        <v>0</v>
      </c>
      <c r="AJ125" s="126">
        <v>27</v>
      </c>
      <c r="AK125" s="132">
        <v>1</v>
      </c>
      <c r="AL125" s="126">
        <v>3</v>
      </c>
      <c r="AO125" s="132">
        <v>0</v>
      </c>
      <c r="AP125" s="126">
        <v>0</v>
      </c>
      <c r="AQ125" s="134">
        <v>0</v>
      </c>
      <c r="AR125" s="132">
        <v>0</v>
      </c>
      <c r="AS125" s="134">
        <v>0</v>
      </c>
      <c r="AT125" s="132">
        <v>0</v>
      </c>
      <c r="AU125" s="132">
        <v>0</v>
      </c>
      <c r="AV125" s="83">
        <v>32653</v>
      </c>
      <c r="AW125" s="237">
        <v>43573</v>
      </c>
      <c r="AX125" s="233">
        <f t="shared" si="214"/>
        <v>16</v>
      </c>
      <c r="AY125" s="232" t="s">
        <v>3487</v>
      </c>
      <c r="AZ125" s="233" t="b">
        <f t="shared" si="213"/>
        <v>0</v>
      </c>
      <c r="BA125" s="129"/>
      <c r="BB125" s="129"/>
      <c r="BC125" s="129"/>
      <c r="BD125" s="129"/>
      <c r="BE125" s="82">
        <f t="shared" si="285"/>
        <v>99.5</v>
      </c>
      <c r="BF125" s="82">
        <f t="shared" si="286"/>
        <v>0</v>
      </c>
      <c r="BG125" s="82"/>
      <c r="BH125" s="82">
        <f t="shared" si="287"/>
        <v>21.9</v>
      </c>
      <c r="BI125" s="82">
        <f t="shared" si="288"/>
        <v>3</v>
      </c>
      <c r="BJ125" s="82">
        <f t="shared" si="289"/>
        <v>10.6</v>
      </c>
      <c r="BK125" s="82">
        <f t="shared" si="290"/>
        <v>100</v>
      </c>
      <c r="BL125" s="82">
        <f t="shared" si="291"/>
        <v>25</v>
      </c>
      <c r="BM125" s="82">
        <f t="shared" si="292"/>
        <v>0</v>
      </c>
      <c r="BN125" s="82">
        <f t="shared" si="293"/>
        <v>27</v>
      </c>
      <c r="BO125" s="82">
        <f t="shared" si="294"/>
        <v>1</v>
      </c>
      <c r="BP125" s="82">
        <f t="shared" si="295"/>
        <v>3</v>
      </c>
      <c r="BQ125" s="82"/>
      <c r="BR125" s="129">
        <f>SUMIF('Audit HD AR - School Level'!$B$6:B1245, "=" &amp; A125,'Audit HD AR - School Level'!$Q$6:Q1245)</f>
        <v>0</v>
      </c>
      <c r="BS125" s="224">
        <f t="shared" si="296"/>
        <v>0</v>
      </c>
      <c r="BT125" s="126">
        <f t="shared" si="297"/>
        <v>0</v>
      </c>
      <c r="BU125" s="82">
        <f t="shared" si="298"/>
        <v>99.5</v>
      </c>
    </row>
    <row r="126" spans="1:73">
      <c r="A126" s="1" t="s">
        <v>247</v>
      </c>
      <c r="U126" s="126">
        <v>423</v>
      </c>
      <c r="X126" s="126">
        <v>5</v>
      </c>
      <c r="Y126" s="126">
        <v>428</v>
      </c>
      <c r="Z126" s="126">
        <v>0</v>
      </c>
      <c r="AC126" s="126">
        <v>141.69999999999999</v>
      </c>
      <c r="AD126" s="126">
        <v>1</v>
      </c>
      <c r="AE126" s="126">
        <v>0</v>
      </c>
      <c r="AF126" s="126">
        <v>438</v>
      </c>
      <c r="AG126" s="126">
        <v>115</v>
      </c>
      <c r="AI126" s="126">
        <v>0</v>
      </c>
      <c r="AJ126" s="126">
        <v>97.5</v>
      </c>
      <c r="AK126" s="132">
        <v>7</v>
      </c>
      <c r="AL126" s="126">
        <v>61.5</v>
      </c>
      <c r="AO126" s="132">
        <v>0</v>
      </c>
      <c r="AP126" s="126">
        <v>0</v>
      </c>
      <c r="AQ126" s="134">
        <v>0</v>
      </c>
      <c r="AR126" s="132">
        <v>0</v>
      </c>
      <c r="AS126" s="134">
        <v>0</v>
      </c>
      <c r="AT126" s="132">
        <v>0</v>
      </c>
      <c r="AU126" s="132">
        <v>0</v>
      </c>
      <c r="AV126" s="83">
        <v>227597</v>
      </c>
      <c r="AW126" s="237">
        <v>43573</v>
      </c>
      <c r="AX126" s="233">
        <f t="shared" si="214"/>
        <v>16</v>
      </c>
      <c r="AY126" s="232" t="s">
        <v>3487</v>
      </c>
      <c r="AZ126" s="233" t="b">
        <f t="shared" si="213"/>
        <v>0</v>
      </c>
      <c r="BA126" s="129"/>
      <c r="BB126" s="129"/>
      <c r="BC126" s="129"/>
      <c r="BD126" s="129"/>
      <c r="BE126" s="82">
        <f t="shared" si="285"/>
        <v>423</v>
      </c>
      <c r="BF126" s="82">
        <f t="shared" si="286"/>
        <v>5</v>
      </c>
      <c r="BG126" s="82"/>
      <c r="BH126" s="82">
        <f t="shared" si="287"/>
        <v>141.69999999999999</v>
      </c>
      <c r="BI126" s="82">
        <f t="shared" si="288"/>
        <v>1</v>
      </c>
      <c r="BJ126" s="82">
        <f t="shared" si="289"/>
        <v>0</v>
      </c>
      <c r="BK126" s="82">
        <f t="shared" si="290"/>
        <v>438</v>
      </c>
      <c r="BL126" s="82">
        <f t="shared" si="291"/>
        <v>115</v>
      </c>
      <c r="BM126" s="82">
        <f t="shared" si="292"/>
        <v>0</v>
      </c>
      <c r="BN126" s="82">
        <f t="shared" si="293"/>
        <v>97.5</v>
      </c>
      <c r="BO126" s="82">
        <f t="shared" si="294"/>
        <v>7</v>
      </c>
      <c r="BP126" s="82">
        <f t="shared" si="295"/>
        <v>61.5</v>
      </c>
      <c r="BQ126" s="82"/>
      <c r="BR126" s="129">
        <f>SUMIF('Audit HD AR - School Level'!$B$6:B1245, "=" &amp; A126,'Audit HD AR - School Level'!$Q$6:Q1245)</f>
        <v>0</v>
      </c>
      <c r="BS126" s="224">
        <f t="shared" si="296"/>
        <v>0</v>
      </c>
      <c r="BT126" s="126">
        <f t="shared" si="297"/>
        <v>0</v>
      </c>
      <c r="BU126" s="82">
        <f t="shared" si="298"/>
        <v>423</v>
      </c>
    </row>
    <row r="127" spans="1:73">
      <c r="A127" s="1" t="s">
        <v>249</v>
      </c>
      <c r="U127" s="126">
        <v>202</v>
      </c>
      <c r="X127" s="126">
        <v>0.5</v>
      </c>
      <c r="Y127" s="126">
        <v>201</v>
      </c>
      <c r="Z127" s="126">
        <v>0</v>
      </c>
      <c r="AC127" s="126">
        <v>61.6</v>
      </c>
      <c r="AD127" s="126">
        <v>0</v>
      </c>
      <c r="AE127" s="126">
        <v>0</v>
      </c>
      <c r="AF127" s="126">
        <v>205</v>
      </c>
      <c r="AG127" s="126">
        <v>72</v>
      </c>
      <c r="AI127" s="126">
        <v>0</v>
      </c>
      <c r="AJ127" s="126">
        <v>102</v>
      </c>
      <c r="AK127" s="132">
        <v>7</v>
      </c>
      <c r="AL127" s="126">
        <v>13</v>
      </c>
      <c r="AO127" s="132">
        <v>0</v>
      </c>
      <c r="AP127" s="126">
        <v>0</v>
      </c>
      <c r="AQ127" s="134">
        <v>0</v>
      </c>
      <c r="AR127" s="132">
        <v>0</v>
      </c>
      <c r="AS127" s="134">
        <v>0</v>
      </c>
      <c r="AT127" s="132">
        <v>0</v>
      </c>
      <c r="AU127" s="132">
        <v>0</v>
      </c>
      <c r="AV127" s="83">
        <v>246359</v>
      </c>
      <c r="AW127" s="237">
        <v>43573</v>
      </c>
      <c r="AX127" s="233">
        <f t="shared" si="214"/>
        <v>16</v>
      </c>
      <c r="AY127" s="232" t="s">
        <v>3487</v>
      </c>
      <c r="AZ127" s="233" t="b">
        <f t="shared" si="213"/>
        <v>0</v>
      </c>
      <c r="BA127" s="129"/>
      <c r="BB127" s="129"/>
      <c r="BC127" s="129"/>
      <c r="BD127" s="129"/>
      <c r="BE127" s="82">
        <f t="shared" si="285"/>
        <v>202</v>
      </c>
      <c r="BF127" s="82">
        <f t="shared" si="286"/>
        <v>0.5</v>
      </c>
      <c r="BG127" s="82"/>
      <c r="BH127" s="82">
        <f t="shared" si="287"/>
        <v>61.6</v>
      </c>
      <c r="BI127" s="82">
        <f t="shared" si="288"/>
        <v>0</v>
      </c>
      <c r="BJ127" s="82">
        <f t="shared" si="289"/>
        <v>0</v>
      </c>
      <c r="BK127" s="82">
        <f t="shared" si="290"/>
        <v>205</v>
      </c>
      <c r="BL127" s="82">
        <f t="shared" si="291"/>
        <v>72</v>
      </c>
      <c r="BM127" s="82">
        <f t="shared" si="292"/>
        <v>0</v>
      </c>
      <c r="BN127" s="82">
        <f t="shared" si="293"/>
        <v>102</v>
      </c>
      <c r="BO127" s="82">
        <f t="shared" si="294"/>
        <v>7</v>
      </c>
      <c r="BP127" s="82">
        <f t="shared" si="295"/>
        <v>13</v>
      </c>
      <c r="BQ127" s="82"/>
      <c r="BR127" s="129">
        <f>SUMIF('Audit HD AR - School Level'!$B$6:B1245, "=" &amp; A127,'Audit HD AR - School Level'!$Q$6:Q1245)</f>
        <v>1.7</v>
      </c>
      <c r="BS127" s="224">
        <f t="shared" si="296"/>
        <v>0</v>
      </c>
      <c r="BT127" s="126">
        <f t="shared" si="297"/>
        <v>0</v>
      </c>
      <c r="BU127" s="82">
        <f t="shared" si="298"/>
        <v>202</v>
      </c>
    </row>
    <row r="128" spans="1:73">
      <c r="A128" s="1" t="s">
        <v>290</v>
      </c>
      <c r="U128" s="126">
        <v>73.900000000000006</v>
      </c>
      <c r="X128" s="126">
        <v>0</v>
      </c>
      <c r="Y128" s="126">
        <v>79</v>
      </c>
      <c r="Z128" s="126">
        <v>0</v>
      </c>
      <c r="AC128" s="126">
        <v>6.5</v>
      </c>
      <c r="AD128" s="126">
        <v>0</v>
      </c>
      <c r="AE128" s="126">
        <v>0</v>
      </c>
      <c r="AF128" s="126">
        <v>77</v>
      </c>
      <c r="AG128" s="126">
        <v>27</v>
      </c>
      <c r="AI128" s="126">
        <v>0</v>
      </c>
      <c r="AJ128" s="126">
        <v>26</v>
      </c>
      <c r="AK128" s="132">
        <v>4</v>
      </c>
      <c r="AL128" s="126">
        <v>12</v>
      </c>
      <c r="AO128" s="132">
        <v>0</v>
      </c>
      <c r="AP128" s="126">
        <v>0</v>
      </c>
      <c r="AQ128" s="134">
        <v>0</v>
      </c>
      <c r="AR128" s="132">
        <v>0</v>
      </c>
      <c r="AS128" s="134">
        <v>0</v>
      </c>
      <c r="AT128" s="132">
        <v>0</v>
      </c>
      <c r="AU128" s="132">
        <v>0</v>
      </c>
      <c r="AV128" s="83">
        <v>59238</v>
      </c>
      <c r="AW128" s="237">
        <v>43573</v>
      </c>
      <c r="AX128" s="233">
        <f t="shared" si="214"/>
        <v>16</v>
      </c>
      <c r="AY128" s="232" t="s">
        <v>3487</v>
      </c>
      <c r="AZ128" s="233" t="b">
        <f t="shared" si="213"/>
        <v>0</v>
      </c>
      <c r="BA128" s="129"/>
      <c r="BB128" s="129"/>
      <c r="BC128" s="129"/>
      <c r="BD128" s="129"/>
      <c r="BE128" s="82">
        <f t="shared" si="285"/>
        <v>73.900000000000006</v>
      </c>
      <c r="BF128" s="82">
        <f t="shared" si="286"/>
        <v>0</v>
      </c>
      <c r="BG128" s="82"/>
      <c r="BH128" s="82">
        <f t="shared" si="287"/>
        <v>6.5</v>
      </c>
      <c r="BI128" s="82">
        <f t="shared" si="288"/>
        <v>0</v>
      </c>
      <c r="BJ128" s="82">
        <f t="shared" si="289"/>
        <v>0</v>
      </c>
      <c r="BK128" s="82">
        <f t="shared" si="290"/>
        <v>77</v>
      </c>
      <c r="BL128" s="82">
        <f t="shared" si="291"/>
        <v>27</v>
      </c>
      <c r="BM128" s="82">
        <f t="shared" si="292"/>
        <v>0</v>
      </c>
      <c r="BN128" s="82">
        <f t="shared" si="293"/>
        <v>26</v>
      </c>
      <c r="BO128" s="82">
        <f t="shared" si="294"/>
        <v>4</v>
      </c>
      <c r="BP128" s="82">
        <f t="shared" si="295"/>
        <v>12</v>
      </c>
      <c r="BQ128" s="82"/>
      <c r="BR128" s="129">
        <f>SUMIF('Audit HD AR - School Level'!$B$6:B1245, "=" &amp; A128,'Audit HD AR - School Level'!$Q$6:Q1245)</f>
        <v>0.8</v>
      </c>
      <c r="BS128" s="224">
        <f t="shared" si="296"/>
        <v>0</v>
      </c>
      <c r="BT128" s="126">
        <f t="shared" si="297"/>
        <v>0</v>
      </c>
      <c r="BU128" s="82">
        <f t="shared" si="298"/>
        <v>73.900000000000006</v>
      </c>
    </row>
    <row r="129" spans="1:73">
      <c r="A129" s="1" t="s">
        <v>292</v>
      </c>
      <c r="U129" s="126">
        <v>300</v>
      </c>
      <c r="X129" s="126">
        <v>4</v>
      </c>
      <c r="Y129" s="126">
        <v>299.5</v>
      </c>
      <c r="Z129" s="126">
        <v>0</v>
      </c>
      <c r="AC129" s="126">
        <v>44.1</v>
      </c>
      <c r="AD129" s="126">
        <v>10</v>
      </c>
      <c r="AE129" s="126">
        <v>10.1</v>
      </c>
      <c r="AF129" s="126">
        <v>315</v>
      </c>
      <c r="AG129" s="126">
        <v>72</v>
      </c>
      <c r="AI129" s="126">
        <v>0</v>
      </c>
      <c r="AJ129" s="126">
        <v>89</v>
      </c>
      <c r="AK129" s="132">
        <v>28</v>
      </c>
      <c r="AL129" s="126">
        <v>0</v>
      </c>
      <c r="AO129" s="132">
        <v>0</v>
      </c>
      <c r="AP129" s="126">
        <v>0</v>
      </c>
      <c r="AQ129" s="134">
        <v>0</v>
      </c>
      <c r="AR129" s="132">
        <v>0</v>
      </c>
      <c r="AS129" s="134">
        <v>0</v>
      </c>
      <c r="AT129" s="132">
        <v>0</v>
      </c>
      <c r="AU129" s="132">
        <v>0</v>
      </c>
      <c r="AV129" s="83">
        <v>135049</v>
      </c>
      <c r="AW129" s="237">
        <v>43573</v>
      </c>
      <c r="AX129" s="233">
        <f t="shared" si="214"/>
        <v>16</v>
      </c>
      <c r="AY129" s="232" t="s">
        <v>3487</v>
      </c>
      <c r="AZ129" s="233" t="b">
        <f t="shared" si="213"/>
        <v>0</v>
      </c>
      <c r="BA129" s="129"/>
      <c r="BB129" s="129"/>
      <c r="BC129" s="129"/>
      <c r="BD129" s="129"/>
      <c r="BE129" s="82">
        <f t="shared" si="285"/>
        <v>300</v>
      </c>
      <c r="BF129" s="82">
        <f t="shared" si="286"/>
        <v>4</v>
      </c>
      <c r="BG129" s="82"/>
      <c r="BH129" s="82">
        <f t="shared" si="287"/>
        <v>44.1</v>
      </c>
      <c r="BI129" s="82">
        <f t="shared" si="288"/>
        <v>10</v>
      </c>
      <c r="BJ129" s="82">
        <f t="shared" si="289"/>
        <v>10.1</v>
      </c>
      <c r="BK129" s="82">
        <f t="shared" si="290"/>
        <v>315</v>
      </c>
      <c r="BL129" s="82">
        <f t="shared" si="291"/>
        <v>72</v>
      </c>
      <c r="BM129" s="82">
        <f t="shared" si="292"/>
        <v>0</v>
      </c>
      <c r="BN129" s="82">
        <f t="shared" si="293"/>
        <v>89</v>
      </c>
      <c r="BO129" s="82">
        <f t="shared" si="294"/>
        <v>28</v>
      </c>
      <c r="BP129" s="82">
        <f t="shared" si="295"/>
        <v>0</v>
      </c>
      <c r="BQ129" s="82"/>
      <c r="BR129" s="129">
        <f>SUMIF('Audit HD AR - School Level'!$B$6:B1245, "=" &amp; A129,'Audit HD AR - School Level'!$Q$6:Q1245)</f>
        <v>0</v>
      </c>
      <c r="BS129" s="224">
        <f t="shared" si="296"/>
        <v>0</v>
      </c>
      <c r="BT129" s="126">
        <f t="shared" si="297"/>
        <v>0</v>
      </c>
      <c r="BU129" s="82">
        <f t="shared" si="298"/>
        <v>300</v>
      </c>
    </row>
    <row r="130" spans="1:73">
      <c r="A130" s="1" t="s">
        <v>293</v>
      </c>
      <c r="U130" s="126">
        <v>336.7</v>
      </c>
      <c r="X130" s="126">
        <v>6</v>
      </c>
      <c r="Y130" s="126">
        <v>347.4</v>
      </c>
      <c r="Z130" s="126">
        <v>0</v>
      </c>
      <c r="AC130" s="126">
        <v>52.3</v>
      </c>
      <c r="AD130" s="126">
        <v>0</v>
      </c>
      <c r="AE130" s="126">
        <v>0</v>
      </c>
      <c r="AF130" s="126">
        <v>354</v>
      </c>
      <c r="AG130" s="126">
        <v>110</v>
      </c>
      <c r="AI130" s="126">
        <v>0</v>
      </c>
      <c r="AJ130" s="126">
        <v>83</v>
      </c>
      <c r="AK130" s="132">
        <v>12</v>
      </c>
      <c r="AL130" s="126">
        <v>9</v>
      </c>
      <c r="AO130" s="132">
        <v>0</v>
      </c>
      <c r="AP130" s="126">
        <v>0</v>
      </c>
      <c r="AQ130" s="134">
        <v>0</v>
      </c>
      <c r="AR130" s="132">
        <v>0</v>
      </c>
      <c r="AS130" s="134">
        <v>0</v>
      </c>
      <c r="AT130" s="132">
        <v>0</v>
      </c>
      <c r="AU130" s="132">
        <v>0</v>
      </c>
      <c r="AV130" s="83">
        <v>202691</v>
      </c>
      <c r="AW130" s="237">
        <v>43573</v>
      </c>
      <c r="AX130" s="233">
        <f t="shared" si="214"/>
        <v>16</v>
      </c>
      <c r="AY130" s="232" t="s">
        <v>3487</v>
      </c>
      <c r="AZ130" s="233" t="b">
        <f t="shared" ref="AZ130:AZ193" si="299">COUNTIF(A:A,A130)&gt;1</f>
        <v>0</v>
      </c>
      <c r="BA130" s="129"/>
      <c r="BB130" s="129"/>
      <c r="BC130" s="129"/>
      <c r="BD130" s="129"/>
      <c r="BE130" s="82">
        <f t="shared" si="285"/>
        <v>336.7</v>
      </c>
      <c r="BF130" s="82">
        <f t="shared" si="286"/>
        <v>6</v>
      </c>
      <c r="BG130" s="82"/>
      <c r="BH130" s="82">
        <f t="shared" si="287"/>
        <v>52.3</v>
      </c>
      <c r="BI130" s="82">
        <f t="shared" si="288"/>
        <v>0</v>
      </c>
      <c r="BJ130" s="82">
        <f t="shared" si="289"/>
        <v>0</v>
      </c>
      <c r="BK130" s="82">
        <f t="shared" si="290"/>
        <v>354</v>
      </c>
      <c r="BL130" s="82">
        <f t="shared" si="291"/>
        <v>110</v>
      </c>
      <c r="BM130" s="82">
        <f t="shared" si="292"/>
        <v>0</v>
      </c>
      <c r="BN130" s="82">
        <f t="shared" si="293"/>
        <v>83</v>
      </c>
      <c r="BO130" s="82">
        <f t="shared" si="294"/>
        <v>12</v>
      </c>
      <c r="BP130" s="82">
        <f t="shared" si="295"/>
        <v>9</v>
      </c>
      <c r="BQ130" s="82"/>
      <c r="BR130" s="129">
        <f>SUMIF('Audit HD AR - School Level'!$B$6:B1245, "=" &amp; A130,'Audit HD AR - School Level'!$Q$6:Q1245)</f>
        <v>1.3</v>
      </c>
      <c r="BS130" s="224">
        <f t="shared" si="296"/>
        <v>0</v>
      </c>
      <c r="BT130" s="126">
        <f t="shared" si="297"/>
        <v>0</v>
      </c>
      <c r="BU130" s="82">
        <f t="shared" si="298"/>
        <v>336.7</v>
      </c>
    </row>
    <row r="131" spans="1:73">
      <c r="A131" s="1" t="s">
        <v>371</v>
      </c>
      <c r="U131" s="126">
        <v>205.5</v>
      </c>
      <c r="X131" s="126">
        <v>2.5</v>
      </c>
      <c r="Y131" s="126">
        <v>215.5</v>
      </c>
      <c r="Z131" s="126">
        <v>0</v>
      </c>
      <c r="AC131" s="126">
        <v>96.8</v>
      </c>
      <c r="AD131" s="126">
        <v>0</v>
      </c>
      <c r="AE131" s="126">
        <v>0</v>
      </c>
      <c r="AF131" s="126">
        <v>212</v>
      </c>
      <c r="AG131" s="126">
        <v>38</v>
      </c>
      <c r="AI131" s="126">
        <v>0</v>
      </c>
      <c r="AJ131" s="126">
        <v>142.5</v>
      </c>
      <c r="AK131" s="132">
        <v>8.5</v>
      </c>
      <c r="AL131" s="126">
        <v>22</v>
      </c>
      <c r="AO131" s="132">
        <v>0</v>
      </c>
      <c r="AP131" s="126">
        <v>0</v>
      </c>
      <c r="AQ131" s="134">
        <v>0</v>
      </c>
      <c r="AR131" s="132">
        <v>0</v>
      </c>
      <c r="AS131" s="134">
        <v>0</v>
      </c>
      <c r="AT131" s="132">
        <v>0</v>
      </c>
      <c r="AU131" s="132">
        <v>0</v>
      </c>
      <c r="AV131" s="83">
        <v>219446</v>
      </c>
      <c r="AW131" s="237">
        <v>43573</v>
      </c>
      <c r="AX131" s="233">
        <f t="shared" si="214"/>
        <v>16</v>
      </c>
      <c r="AY131" s="232" t="s">
        <v>3487</v>
      </c>
      <c r="AZ131" s="233" t="b">
        <f t="shared" si="299"/>
        <v>0</v>
      </c>
      <c r="BA131" s="129"/>
      <c r="BB131" s="129"/>
      <c r="BC131" s="129"/>
      <c r="BD131" s="129"/>
      <c r="BE131" s="82">
        <f t="shared" si="285"/>
        <v>205.5</v>
      </c>
      <c r="BF131" s="82">
        <f t="shared" si="286"/>
        <v>2.5</v>
      </c>
      <c r="BG131" s="82"/>
      <c r="BH131" s="82">
        <f t="shared" si="287"/>
        <v>96.8</v>
      </c>
      <c r="BI131" s="82">
        <f t="shared" si="288"/>
        <v>0</v>
      </c>
      <c r="BJ131" s="82">
        <f t="shared" si="289"/>
        <v>0</v>
      </c>
      <c r="BK131" s="82">
        <f t="shared" si="290"/>
        <v>212</v>
      </c>
      <c r="BL131" s="82">
        <f t="shared" si="291"/>
        <v>38</v>
      </c>
      <c r="BM131" s="82">
        <f t="shared" si="292"/>
        <v>0</v>
      </c>
      <c r="BN131" s="82">
        <f t="shared" si="293"/>
        <v>142.5</v>
      </c>
      <c r="BO131" s="82">
        <f t="shared" si="294"/>
        <v>8.5</v>
      </c>
      <c r="BP131" s="82">
        <f t="shared" si="295"/>
        <v>22</v>
      </c>
      <c r="BQ131" s="82"/>
      <c r="BR131" s="129">
        <f>SUMIF('Audit HD AR - School Level'!$B$6:B1245, "=" &amp; A131,'Audit HD AR - School Level'!$Q$6:Q1245)</f>
        <v>0</v>
      </c>
      <c r="BS131" s="224">
        <f t="shared" si="296"/>
        <v>0</v>
      </c>
      <c r="BT131" s="126">
        <f t="shared" si="297"/>
        <v>0</v>
      </c>
      <c r="BU131" s="82">
        <f t="shared" si="298"/>
        <v>205.5</v>
      </c>
    </row>
    <row r="132" spans="1:73">
      <c r="A132" s="1" t="s">
        <v>413</v>
      </c>
      <c r="U132" s="126">
        <v>287.5</v>
      </c>
      <c r="X132" s="126">
        <v>0</v>
      </c>
      <c r="Y132" s="126">
        <v>287</v>
      </c>
      <c r="Z132" s="126">
        <v>0</v>
      </c>
      <c r="AC132" s="126">
        <v>152.69999999999999</v>
      </c>
      <c r="AD132" s="126">
        <v>0</v>
      </c>
      <c r="AE132" s="126">
        <v>0</v>
      </c>
      <c r="AF132" s="126">
        <v>289</v>
      </c>
      <c r="AG132" s="126">
        <v>41</v>
      </c>
      <c r="AI132" s="126">
        <v>0</v>
      </c>
      <c r="AJ132" s="126">
        <v>51</v>
      </c>
      <c r="AK132" s="132">
        <v>0</v>
      </c>
      <c r="AL132" s="126">
        <v>52</v>
      </c>
      <c r="AO132" s="132">
        <v>0</v>
      </c>
      <c r="AP132" s="126">
        <v>0</v>
      </c>
      <c r="AQ132" s="134">
        <v>0</v>
      </c>
      <c r="AR132" s="132">
        <v>0</v>
      </c>
      <c r="AS132" s="134">
        <v>0</v>
      </c>
      <c r="AT132" s="132">
        <v>0</v>
      </c>
      <c r="AU132" s="132">
        <v>0</v>
      </c>
      <c r="AV132" s="83">
        <v>38257</v>
      </c>
      <c r="AW132" s="237">
        <v>43573</v>
      </c>
      <c r="AX132" s="233">
        <f t="shared" si="214"/>
        <v>16</v>
      </c>
      <c r="AY132" s="232" t="s">
        <v>3487</v>
      </c>
      <c r="AZ132" s="233" t="b">
        <f t="shared" si="299"/>
        <v>0</v>
      </c>
      <c r="BA132" s="129"/>
      <c r="BB132" s="129"/>
      <c r="BC132" s="129"/>
      <c r="BD132" s="129"/>
      <c r="BE132" s="82">
        <f t="shared" si="285"/>
        <v>287.5</v>
      </c>
      <c r="BF132" s="82">
        <f t="shared" si="286"/>
        <v>0</v>
      </c>
      <c r="BG132" s="82"/>
      <c r="BH132" s="82">
        <f t="shared" si="287"/>
        <v>152.69999999999999</v>
      </c>
      <c r="BI132" s="82">
        <f t="shared" si="288"/>
        <v>0</v>
      </c>
      <c r="BJ132" s="82">
        <f t="shared" si="289"/>
        <v>0</v>
      </c>
      <c r="BK132" s="82">
        <f t="shared" si="290"/>
        <v>289</v>
      </c>
      <c r="BL132" s="82">
        <f t="shared" si="291"/>
        <v>41</v>
      </c>
      <c r="BM132" s="82">
        <f t="shared" si="292"/>
        <v>0</v>
      </c>
      <c r="BN132" s="82">
        <f t="shared" si="293"/>
        <v>51</v>
      </c>
      <c r="BO132" s="82">
        <f t="shared" si="294"/>
        <v>0</v>
      </c>
      <c r="BP132" s="82">
        <f t="shared" si="295"/>
        <v>52</v>
      </c>
      <c r="BQ132" s="82"/>
      <c r="BR132" s="129">
        <f>SUMIF('Audit HD AR - School Level'!$B$6:B1245, "=" &amp; A132,'Audit HD AR - School Level'!$Q$6:Q1245)</f>
        <v>0</v>
      </c>
      <c r="BS132" s="224">
        <f t="shared" si="296"/>
        <v>0</v>
      </c>
      <c r="BT132" s="126">
        <f t="shared" si="297"/>
        <v>0</v>
      </c>
      <c r="BU132" s="82">
        <f t="shared" si="298"/>
        <v>287.5</v>
      </c>
    </row>
    <row r="133" spans="1:73">
      <c r="A133" s="1" t="s">
        <v>419</v>
      </c>
      <c r="U133" s="126">
        <v>457.5</v>
      </c>
      <c r="X133" s="126">
        <v>0</v>
      </c>
      <c r="Y133" s="126">
        <v>477</v>
      </c>
      <c r="Z133" s="126">
        <v>0</v>
      </c>
      <c r="AC133" s="126">
        <v>188.2</v>
      </c>
      <c r="AD133" s="126">
        <v>1</v>
      </c>
      <c r="AE133" s="126">
        <v>0</v>
      </c>
      <c r="AF133" s="126">
        <v>458</v>
      </c>
      <c r="AG133" s="126">
        <v>111</v>
      </c>
      <c r="AI133" s="126">
        <v>0</v>
      </c>
      <c r="AJ133" s="126">
        <v>51</v>
      </c>
      <c r="AK133" s="132">
        <v>47</v>
      </c>
      <c r="AL133" s="126">
        <v>100</v>
      </c>
      <c r="AO133" s="132">
        <v>0</v>
      </c>
      <c r="AP133" s="126">
        <v>0</v>
      </c>
      <c r="AQ133" s="134">
        <v>0</v>
      </c>
      <c r="AR133" s="132">
        <v>0</v>
      </c>
      <c r="AS133" s="134">
        <v>0</v>
      </c>
      <c r="AT133" s="132">
        <v>0</v>
      </c>
      <c r="AU133" s="132">
        <v>0</v>
      </c>
      <c r="AV133" s="83">
        <v>97869</v>
      </c>
      <c r="AW133" s="237">
        <v>43573</v>
      </c>
      <c r="AX133" s="233">
        <f t="shared" ref="AX133:AX196" si="300">IF(AW133=AW132,AX132,AX132+1)</f>
        <v>16</v>
      </c>
      <c r="AY133" s="232" t="s">
        <v>3487</v>
      </c>
      <c r="AZ133" s="233" t="b">
        <f t="shared" si="299"/>
        <v>0</v>
      </c>
      <c r="BA133" s="129"/>
      <c r="BB133" s="129"/>
      <c r="BC133" s="129"/>
      <c r="BD133" s="129"/>
      <c r="BE133" s="82">
        <f t="shared" si="285"/>
        <v>457.5</v>
      </c>
      <c r="BF133" s="82">
        <f t="shared" si="286"/>
        <v>0</v>
      </c>
      <c r="BG133" s="82"/>
      <c r="BH133" s="82">
        <f t="shared" si="287"/>
        <v>188.2</v>
      </c>
      <c r="BI133" s="82">
        <f t="shared" si="288"/>
        <v>1</v>
      </c>
      <c r="BJ133" s="82">
        <f t="shared" si="289"/>
        <v>0</v>
      </c>
      <c r="BK133" s="82">
        <f t="shared" si="290"/>
        <v>458</v>
      </c>
      <c r="BL133" s="82">
        <f t="shared" si="291"/>
        <v>111</v>
      </c>
      <c r="BM133" s="82">
        <f t="shared" si="292"/>
        <v>0</v>
      </c>
      <c r="BN133" s="82">
        <f t="shared" si="293"/>
        <v>51</v>
      </c>
      <c r="BO133" s="82">
        <f t="shared" si="294"/>
        <v>47</v>
      </c>
      <c r="BP133" s="82">
        <f t="shared" si="295"/>
        <v>100</v>
      </c>
      <c r="BQ133" s="82"/>
      <c r="BR133" s="129">
        <f>SUMIF('Audit HD AR - School Level'!$B$6:B1245, "=" &amp; A133,'Audit HD AR - School Level'!$Q$6:Q1245)</f>
        <v>0</v>
      </c>
      <c r="BS133" s="224">
        <f t="shared" si="296"/>
        <v>0</v>
      </c>
      <c r="BT133" s="126">
        <f t="shared" si="297"/>
        <v>0</v>
      </c>
      <c r="BU133" s="82">
        <f t="shared" si="298"/>
        <v>457.5</v>
      </c>
    </row>
    <row r="134" spans="1:73">
      <c r="A134" s="1" t="s">
        <v>458</v>
      </c>
      <c r="U134" s="126">
        <v>702.5</v>
      </c>
      <c r="X134" s="126">
        <v>6.5</v>
      </c>
      <c r="Y134" s="126">
        <v>693</v>
      </c>
      <c r="Z134" s="126">
        <v>0</v>
      </c>
      <c r="AC134" s="126">
        <v>199.9</v>
      </c>
      <c r="AD134" s="126">
        <v>0</v>
      </c>
      <c r="AE134" s="126">
        <v>0</v>
      </c>
      <c r="AF134" s="126">
        <v>712</v>
      </c>
      <c r="AG134" s="126">
        <v>308</v>
      </c>
      <c r="AI134" s="126">
        <v>0</v>
      </c>
      <c r="AJ134" s="126">
        <v>202</v>
      </c>
      <c r="AK134" s="132">
        <v>86</v>
      </c>
      <c r="AL134" s="126">
        <v>43</v>
      </c>
      <c r="AO134" s="132">
        <v>0</v>
      </c>
      <c r="AP134" s="126">
        <v>0</v>
      </c>
      <c r="AQ134" s="134">
        <v>7</v>
      </c>
      <c r="AR134" s="132">
        <v>5</v>
      </c>
      <c r="AS134" s="134">
        <v>6.5</v>
      </c>
      <c r="AT134" s="132">
        <v>4</v>
      </c>
      <c r="AU134" s="132">
        <v>0</v>
      </c>
      <c r="AV134" s="83">
        <v>277048</v>
      </c>
      <c r="AW134" s="237">
        <v>43573</v>
      </c>
      <c r="AX134" s="233">
        <f t="shared" si="300"/>
        <v>16</v>
      </c>
      <c r="AY134" s="232" t="s">
        <v>3487</v>
      </c>
      <c r="AZ134" s="233" t="b">
        <f t="shared" si="299"/>
        <v>0</v>
      </c>
      <c r="BA134" s="129"/>
      <c r="BB134" s="129"/>
      <c r="BC134" s="129"/>
      <c r="BD134" s="129"/>
      <c r="BE134" s="82">
        <f t="shared" si="285"/>
        <v>697.5</v>
      </c>
      <c r="BF134" s="82">
        <f t="shared" si="286"/>
        <v>6.5</v>
      </c>
      <c r="BG134" s="82"/>
      <c r="BH134" s="82">
        <f t="shared" si="287"/>
        <v>199.9</v>
      </c>
      <c r="BI134" s="82">
        <f t="shared" si="288"/>
        <v>0</v>
      </c>
      <c r="BJ134" s="82">
        <f t="shared" si="289"/>
        <v>0</v>
      </c>
      <c r="BK134" s="82">
        <f t="shared" si="290"/>
        <v>712</v>
      </c>
      <c r="BL134" s="82">
        <f t="shared" si="291"/>
        <v>308</v>
      </c>
      <c r="BM134" s="82">
        <f t="shared" si="292"/>
        <v>0</v>
      </c>
      <c r="BN134" s="82">
        <f t="shared" si="293"/>
        <v>202</v>
      </c>
      <c r="BO134" s="82">
        <f t="shared" si="294"/>
        <v>86</v>
      </c>
      <c r="BP134" s="82">
        <f t="shared" si="295"/>
        <v>43</v>
      </c>
      <c r="BQ134" s="82"/>
      <c r="BR134" s="129">
        <f>SUMIF('Audit HD AR - School Level'!$B$6:B1245, "=" &amp; A134,'Audit HD AR - School Level'!$Q$6:Q1245)</f>
        <v>19.399999999999999</v>
      </c>
      <c r="BS134" s="224">
        <f t="shared" si="296"/>
        <v>-355</v>
      </c>
      <c r="BT134" s="126">
        <f t="shared" si="297"/>
        <v>-355</v>
      </c>
      <c r="BU134" s="82">
        <f t="shared" si="298"/>
        <v>697.5</v>
      </c>
    </row>
    <row r="135" spans="1:73">
      <c r="A135" s="1" t="s">
        <v>200</v>
      </c>
      <c r="U135" s="126">
        <v>353.9</v>
      </c>
      <c r="X135" s="126">
        <v>0</v>
      </c>
      <c r="Y135" s="126">
        <v>335</v>
      </c>
      <c r="Z135" s="126">
        <v>0</v>
      </c>
      <c r="AC135" s="126">
        <v>101.3</v>
      </c>
      <c r="AD135" s="126">
        <v>28</v>
      </c>
      <c r="AE135" s="126">
        <v>65.099999999999994</v>
      </c>
      <c r="AF135" s="126">
        <v>356</v>
      </c>
      <c r="AG135" s="126">
        <v>152</v>
      </c>
      <c r="AI135" s="126">
        <v>0</v>
      </c>
      <c r="AJ135" s="126">
        <v>126.5</v>
      </c>
      <c r="AK135" s="132">
        <v>8</v>
      </c>
      <c r="AL135" s="126">
        <v>15</v>
      </c>
      <c r="AO135" s="132">
        <v>0</v>
      </c>
      <c r="AP135" s="126">
        <v>0</v>
      </c>
      <c r="AQ135" s="134">
        <v>0</v>
      </c>
      <c r="AR135" s="132">
        <v>0</v>
      </c>
      <c r="AS135" s="134">
        <v>0</v>
      </c>
      <c r="AT135" s="132">
        <v>0</v>
      </c>
      <c r="AU135" s="132">
        <v>0</v>
      </c>
      <c r="AV135" s="83">
        <v>224260</v>
      </c>
      <c r="AW135" s="237">
        <v>43588</v>
      </c>
      <c r="AX135" s="233">
        <f t="shared" si="300"/>
        <v>17</v>
      </c>
      <c r="AY135" s="232" t="s">
        <v>3487</v>
      </c>
      <c r="AZ135" s="233" t="b">
        <f t="shared" si="299"/>
        <v>0</v>
      </c>
      <c r="BA135" s="129"/>
      <c r="BB135" s="129"/>
      <c r="BC135" s="129"/>
      <c r="BD135" s="129"/>
      <c r="BE135" s="82">
        <f t="shared" ref="BE135:BE179" si="301">SUM(U135+C135-AO135-AP135-AR135)</f>
        <v>353.9</v>
      </c>
      <c r="BF135" s="82">
        <f t="shared" ref="BF135:BF179" si="302">SUM(X135+F135)</f>
        <v>0</v>
      </c>
      <c r="BG135" s="82"/>
      <c r="BH135" s="82">
        <f t="shared" ref="BH135:BH179" si="303">SUM(AC135+H135)</f>
        <v>101.3</v>
      </c>
      <c r="BI135" s="82">
        <f t="shared" ref="BI135:BI179" si="304">SUM(AD135+I135)</f>
        <v>28</v>
      </c>
      <c r="BJ135" s="82">
        <f t="shared" ref="BJ135:BJ179" si="305">SUM(AE135+J135)</f>
        <v>65.099999999999994</v>
      </c>
      <c r="BK135" s="82">
        <f t="shared" ref="BK135:BK179" si="306">SUM(AF135+K135)</f>
        <v>356</v>
      </c>
      <c r="BL135" s="82">
        <f t="shared" ref="BL135:BL179" si="307">SUM(AG135+L135)</f>
        <v>152</v>
      </c>
      <c r="BM135" s="82">
        <f t="shared" ref="BM135:BM179" si="308">SUM(AI135+M135)</f>
        <v>0</v>
      </c>
      <c r="BN135" s="82">
        <f t="shared" ref="BN135:BN179" si="309">SUM(AJ135+Q135)</f>
        <v>126.5</v>
      </c>
      <c r="BO135" s="82">
        <f t="shared" ref="BO135:BO179" si="310">SUM(AK135+R135)</f>
        <v>8</v>
      </c>
      <c r="BP135" s="82">
        <f t="shared" ref="BP135:BP179" si="311">SUM(AL135+S135)</f>
        <v>15</v>
      </c>
      <c r="BQ135" s="82"/>
      <c r="BR135" s="129">
        <f>SUMIF('Audit HD AR - School Level'!$B$6:B1245, "=" &amp; A135,'Audit HD AR - School Level'!$Q$6:Q1245)</f>
        <v>8.1999999999999993</v>
      </c>
      <c r="BS135" s="224">
        <f t="shared" ref="BS135:BS179" si="312">SUM(AS135-AQ135)*$BS$2</f>
        <v>0</v>
      </c>
      <c r="BT135" s="126">
        <f t="shared" ref="BT135:BT179" si="313">IF(BS135&lt;0,BS135,0)</f>
        <v>0</v>
      </c>
      <c r="BU135" s="82">
        <f t="shared" ref="BU135:BU179" si="314">SUM(U135-AO135-AP135-AR135)</f>
        <v>353.9</v>
      </c>
    </row>
    <row r="136" spans="1:73">
      <c r="A136" s="1" t="s">
        <v>205</v>
      </c>
      <c r="U136" s="126">
        <v>196</v>
      </c>
      <c r="X136" s="126">
        <v>1</v>
      </c>
      <c r="Y136" s="126">
        <v>210.5</v>
      </c>
      <c r="Z136" s="126">
        <v>0</v>
      </c>
      <c r="AC136" s="126">
        <v>54.3</v>
      </c>
      <c r="AD136" s="126">
        <v>0</v>
      </c>
      <c r="AE136" s="126">
        <v>0</v>
      </c>
      <c r="AF136" s="126">
        <v>200</v>
      </c>
      <c r="AG136" s="126">
        <v>81</v>
      </c>
      <c r="AI136" s="126">
        <v>0</v>
      </c>
      <c r="AJ136" s="126">
        <v>122</v>
      </c>
      <c r="AK136" s="132">
        <v>6</v>
      </c>
      <c r="AL136" s="126">
        <v>8</v>
      </c>
      <c r="AO136" s="132">
        <v>0</v>
      </c>
      <c r="AP136" s="126">
        <v>0</v>
      </c>
      <c r="AQ136" s="134">
        <v>0</v>
      </c>
      <c r="AR136" s="132">
        <v>0</v>
      </c>
      <c r="AS136" s="134">
        <v>0</v>
      </c>
      <c r="AT136" s="132">
        <v>0</v>
      </c>
      <c r="AU136" s="132">
        <v>0</v>
      </c>
      <c r="AV136" s="83">
        <v>202714</v>
      </c>
      <c r="AW136" s="237">
        <v>43588</v>
      </c>
      <c r="AX136" s="233">
        <f t="shared" si="300"/>
        <v>17</v>
      </c>
      <c r="AY136" s="232" t="s">
        <v>3487</v>
      </c>
      <c r="AZ136" s="233" t="b">
        <f t="shared" si="299"/>
        <v>0</v>
      </c>
      <c r="BA136" s="129"/>
      <c r="BB136" s="129"/>
      <c r="BC136" s="129"/>
      <c r="BD136" s="129"/>
      <c r="BE136" s="82">
        <f t="shared" si="301"/>
        <v>196</v>
      </c>
      <c r="BF136" s="82">
        <f t="shared" si="302"/>
        <v>1</v>
      </c>
      <c r="BG136" s="82"/>
      <c r="BH136" s="82">
        <f t="shared" si="303"/>
        <v>54.3</v>
      </c>
      <c r="BI136" s="82">
        <f t="shared" si="304"/>
        <v>0</v>
      </c>
      <c r="BJ136" s="82">
        <f t="shared" si="305"/>
        <v>0</v>
      </c>
      <c r="BK136" s="82">
        <f t="shared" si="306"/>
        <v>200</v>
      </c>
      <c r="BL136" s="82">
        <f t="shared" si="307"/>
        <v>81</v>
      </c>
      <c r="BM136" s="82">
        <f t="shared" si="308"/>
        <v>0</v>
      </c>
      <c r="BN136" s="82">
        <f t="shared" si="309"/>
        <v>122</v>
      </c>
      <c r="BO136" s="82">
        <f t="shared" si="310"/>
        <v>6</v>
      </c>
      <c r="BP136" s="82">
        <f t="shared" si="311"/>
        <v>8</v>
      </c>
      <c r="BQ136" s="82"/>
      <c r="BR136" s="129">
        <f>SUMIF('Audit HD AR - School Level'!$B$6:B1245, "=" &amp; A136,'Audit HD AR - School Level'!$Q$6:Q1245)</f>
        <v>4.2</v>
      </c>
      <c r="BS136" s="224">
        <f t="shared" si="312"/>
        <v>0</v>
      </c>
      <c r="BT136" s="126">
        <f t="shared" si="313"/>
        <v>0</v>
      </c>
      <c r="BU136" s="82">
        <f t="shared" si="314"/>
        <v>196</v>
      </c>
    </row>
    <row r="137" spans="1:73">
      <c r="A137" s="1" t="s">
        <v>206</v>
      </c>
      <c r="U137" s="126">
        <v>316</v>
      </c>
      <c r="X137" s="126">
        <v>7</v>
      </c>
      <c r="Y137" s="126">
        <v>330.5</v>
      </c>
      <c r="Z137" s="126">
        <v>0</v>
      </c>
      <c r="AC137" s="126">
        <v>71.3</v>
      </c>
      <c r="AD137" s="126">
        <v>0</v>
      </c>
      <c r="AE137" s="126">
        <v>0</v>
      </c>
      <c r="AF137" s="126">
        <v>330</v>
      </c>
      <c r="AG137" s="126">
        <v>107</v>
      </c>
      <c r="AI137" s="126">
        <v>0</v>
      </c>
      <c r="AJ137" s="126">
        <v>192.5</v>
      </c>
      <c r="AK137" s="132">
        <v>13.5</v>
      </c>
      <c r="AL137" s="126">
        <v>29.5</v>
      </c>
      <c r="AO137" s="132">
        <v>0</v>
      </c>
      <c r="AP137" s="126">
        <v>0</v>
      </c>
      <c r="AQ137" s="134">
        <v>0</v>
      </c>
      <c r="AR137" s="132">
        <v>0</v>
      </c>
      <c r="AS137" s="134">
        <v>0</v>
      </c>
      <c r="AT137" s="132">
        <v>0</v>
      </c>
      <c r="AU137" s="132">
        <v>0</v>
      </c>
      <c r="AV137" s="83">
        <v>230380</v>
      </c>
      <c r="AW137" s="237">
        <v>43588</v>
      </c>
      <c r="AX137" s="233">
        <f t="shared" si="300"/>
        <v>17</v>
      </c>
      <c r="AY137" s="232" t="s">
        <v>3487</v>
      </c>
      <c r="AZ137" s="233" t="b">
        <f t="shared" si="299"/>
        <v>0</v>
      </c>
      <c r="BA137" s="129"/>
      <c r="BB137" s="129"/>
      <c r="BC137" s="129"/>
      <c r="BD137" s="129"/>
      <c r="BE137" s="82">
        <f t="shared" si="301"/>
        <v>316</v>
      </c>
      <c r="BF137" s="82">
        <f t="shared" si="302"/>
        <v>7</v>
      </c>
      <c r="BG137" s="82"/>
      <c r="BH137" s="82">
        <f t="shared" si="303"/>
        <v>71.3</v>
      </c>
      <c r="BI137" s="82">
        <f t="shared" si="304"/>
        <v>0</v>
      </c>
      <c r="BJ137" s="82">
        <f t="shared" si="305"/>
        <v>0</v>
      </c>
      <c r="BK137" s="82">
        <f t="shared" si="306"/>
        <v>330</v>
      </c>
      <c r="BL137" s="82">
        <f t="shared" si="307"/>
        <v>107</v>
      </c>
      <c r="BM137" s="82">
        <f t="shared" si="308"/>
        <v>0</v>
      </c>
      <c r="BN137" s="82">
        <f t="shared" si="309"/>
        <v>192.5</v>
      </c>
      <c r="BO137" s="82">
        <f t="shared" si="310"/>
        <v>13.5</v>
      </c>
      <c r="BP137" s="82">
        <f t="shared" si="311"/>
        <v>29.5</v>
      </c>
      <c r="BQ137" s="82"/>
      <c r="BR137" s="129">
        <f>SUMIF('Audit HD AR - School Level'!$B$6:B1245, "=" &amp; A137,'Audit HD AR - School Level'!$Q$6:Q1245)</f>
        <v>0</v>
      </c>
      <c r="BS137" s="224">
        <f t="shared" si="312"/>
        <v>0</v>
      </c>
      <c r="BT137" s="126">
        <f t="shared" si="313"/>
        <v>0</v>
      </c>
      <c r="BU137" s="82">
        <f t="shared" si="314"/>
        <v>316</v>
      </c>
    </row>
    <row r="138" spans="1:73">
      <c r="A138" s="1" t="s">
        <v>213</v>
      </c>
      <c r="U138" s="126">
        <v>2315.6999999999998</v>
      </c>
      <c r="X138" s="126">
        <v>5.5</v>
      </c>
      <c r="Y138" s="126">
        <v>2265.8000000000002</v>
      </c>
      <c r="Z138" s="126">
        <v>0</v>
      </c>
      <c r="AC138" s="126">
        <v>379.9</v>
      </c>
      <c r="AD138" s="126">
        <v>54</v>
      </c>
      <c r="AE138" s="126">
        <v>114.1</v>
      </c>
      <c r="AF138" s="126">
        <v>2333</v>
      </c>
      <c r="AG138" s="126">
        <v>309</v>
      </c>
      <c r="AI138" s="126">
        <v>0</v>
      </c>
      <c r="AJ138" s="126">
        <v>1124</v>
      </c>
      <c r="AK138" s="132">
        <v>1102</v>
      </c>
      <c r="AL138" s="126">
        <v>12</v>
      </c>
      <c r="AO138" s="132">
        <v>1</v>
      </c>
      <c r="AP138" s="126">
        <v>0.7</v>
      </c>
      <c r="AQ138" s="134">
        <v>0</v>
      </c>
      <c r="AR138" s="132">
        <v>0</v>
      </c>
      <c r="AS138" s="134">
        <v>0</v>
      </c>
      <c r="AT138" s="132">
        <v>0</v>
      </c>
      <c r="AU138" s="132">
        <v>0</v>
      </c>
      <c r="AV138" s="83">
        <v>709546</v>
      </c>
      <c r="AW138" s="237">
        <v>43588</v>
      </c>
      <c r="AX138" s="233">
        <f t="shared" si="300"/>
        <v>17</v>
      </c>
      <c r="AY138" s="232" t="s">
        <v>3487</v>
      </c>
      <c r="AZ138" s="233" t="b">
        <f t="shared" si="299"/>
        <v>0</v>
      </c>
      <c r="BA138" s="129"/>
      <c r="BB138" s="129"/>
      <c r="BC138" s="129"/>
      <c r="BD138" s="129"/>
      <c r="BE138" s="82">
        <f t="shared" si="301"/>
        <v>2314</v>
      </c>
      <c r="BF138" s="82">
        <f t="shared" si="302"/>
        <v>5.5</v>
      </c>
      <c r="BG138" s="82"/>
      <c r="BH138" s="82">
        <f t="shared" si="303"/>
        <v>379.9</v>
      </c>
      <c r="BI138" s="82">
        <f t="shared" si="304"/>
        <v>54</v>
      </c>
      <c r="BJ138" s="82">
        <f t="shared" si="305"/>
        <v>114.1</v>
      </c>
      <c r="BK138" s="82">
        <f t="shared" si="306"/>
        <v>2333</v>
      </c>
      <c r="BL138" s="82">
        <f t="shared" si="307"/>
        <v>309</v>
      </c>
      <c r="BM138" s="82">
        <f t="shared" si="308"/>
        <v>0</v>
      </c>
      <c r="BN138" s="82">
        <f t="shared" si="309"/>
        <v>1124</v>
      </c>
      <c r="BO138" s="82">
        <f t="shared" si="310"/>
        <v>1102</v>
      </c>
      <c r="BP138" s="82">
        <f t="shared" si="311"/>
        <v>12</v>
      </c>
      <c r="BQ138" s="82"/>
      <c r="BR138" s="129">
        <f>SUMIF('Audit HD AR - School Level'!$B$6:B1245, "=" &amp; A138,'Audit HD AR - School Level'!$Q$6:Q1245)</f>
        <v>0</v>
      </c>
      <c r="BS138" s="224">
        <f t="shared" si="312"/>
        <v>0</v>
      </c>
      <c r="BT138" s="126">
        <f t="shared" si="313"/>
        <v>0</v>
      </c>
      <c r="BU138" s="82">
        <f t="shared" si="314"/>
        <v>2314</v>
      </c>
    </row>
    <row r="139" spans="1:73">
      <c r="A139" s="1" t="s">
        <v>220</v>
      </c>
      <c r="U139" s="126">
        <v>1020.8</v>
      </c>
      <c r="X139" s="126">
        <v>13</v>
      </c>
      <c r="Y139" s="126">
        <v>1008.6</v>
      </c>
      <c r="Z139" s="126">
        <v>0</v>
      </c>
      <c r="AC139" s="126">
        <v>242.4</v>
      </c>
      <c r="AD139" s="126">
        <v>346</v>
      </c>
      <c r="AE139" s="126">
        <v>1300.7</v>
      </c>
      <c r="AF139" s="126">
        <v>1036</v>
      </c>
      <c r="AG139" s="126">
        <v>461</v>
      </c>
      <c r="AI139" s="126">
        <v>0</v>
      </c>
      <c r="AJ139" s="126">
        <v>137</v>
      </c>
      <c r="AK139" s="132">
        <v>6</v>
      </c>
      <c r="AL139" s="126">
        <v>1</v>
      </c>
      <c r="AO139" s="132">
        <v>4</v>
      </c>
      <c r="AP139" s="126">
        <v>0</v>
      </c>
      <c r="AQ139" s="134">
        <v>30.5</v>
      </c>
      <c r="AR139" s="132">
        <v>17</v>
      </c>
      <c r="AS139" s="134">
        <v>30.5</v>
      </c>
      <c r="AT139" s="132">
        <v>0</v>
      </c>
      <c r="AU139" s="132">
        <v>0</v>
      </c>
      <c r="AV139" s="83">
        <v>437279</v>
      </c>
      <c r="AW139" s="237">
        <v>43588</v>
      </c>
      <c r="AX139" s="233">
        <f t="shared" si="300"/>
        <v>17</v>
      </c>
      <c r="AY139" s="232" t="s">
        <v>3487</v>
      </c>
      <c r="AZ139" s="233" t="b">
        <f t="shared" si="299"/>
        <v>0</v>
      </c>
      <c r="BA139" s="129"/>
      <c r="BB139" s="129"/>
      <c r="BC139" s="129"/>
      <c r="BD139" s="129"/>
      <c r="BE139" s="82">
        <f t="shared" si="301"/>
        <v>999.8</v>
      </c>
      <c r="BF139" s="82">
        <f t="shared" si="302"/>
        <v>13</v>
      </c>
      <c r="BG139" s="82"/>
      <c r="BH139" s="82">
        <f t="shared" si="303"/>
        <v>242.4</v>
      </c>
      <c r="BI139" s="82">
        <f t="shared" si="304"/>
        <v>346</v>
      </c>
      <c r="BJ139" s="82">
        <f t="shared" si="305"/>
        <v>1300.7</v>
      </c>
      <c r="BK139" s="82">
        <f t="shared" si="306"/>
        <v>1036</v>
      </c>
      <c r="BL139" s="82">
        <f t="shared" si="307"/>
        <v>461</v>
      </c>
      <c r="BM139" s="82">
        <f t="shared" si="308"/>
        <v>0</v>
      </c>
      <c r="BN139" s="82">
        <f t="shared" si="309"/>
        <v>137</v>
      </c>
      <c r="BO139" s="82">
        <f t="shared" si="310"/>
        <v>6</v>
      </c>
      <c r="BP139" s="82">
        <f t="shared" si="311"/>
        <v>1</v>
      </c>
      <c r="BQ139" s="82"/>
      <c r="BR139" s="129">
        <f>SUMIF('Audit HD AR - School Level'!$B$6:B1245, "=" &amp; A139,'Audit HD AR - School Level'!$Q$6:Q1245)</f>
        <v>34</v>
      </c>
      <c r="BS139" s="224">
        <f t="shared" si="312"/>
        <v>0</v>
      </c>
      <c r="BT139" s="126">
        <f t="shared" si="313"/>
        <v>0</v>
      </c>
      <c r="BU139" s="82">
        <f t="shared" si="314"/>
        <v>999.8</v>
      </c>
    </row>
    <row r="140" spans="1:73">
      <c r="A140" s="1" t="s">
        <v>222</v>
      </c>
      <c r="U140" s="126">
        <v>144</v>
      </c>
      <c r="X140" s="126">
        <v>2</v>
      </c>
      <c r="Y140" s="126">
        <v>152.5</v>
      </c>
      <c r="Z140" s="126">
        <v>0</v>
      </c>
      <c r="AC140" s="126">
        <v>77.2</v>
      </c>
      <c r="AD140" s="126">
        <v>0</v>
      </c>
      <c r="AE140" s="126">
        <v>0</v>
      </c>
      <c r="AF140" s="126">
        <v>149</v>
      </c>
      <c r="AG140" s="126">
        <v>65</v>
      </c>
      <c r="AI140" s="126">
        <v>0</v>
      </c>
      <c r="AJ140" s="126">
        <v>31</v>
      </c>
      <c r="AK140" s="132">
        <v>22</v>
      </c>
      <c r="AL140" s="126">
        <v>9</v>
      </c>
      <c r="AO140" s="132">
        <v>0</v>
      </c>
      <c r="AP140" s="126">
        <v>0</v>
      </c>
      <c r="AQ140" s="134">
        <v>3</v>
      </c>
      <c r="AR140" s="132">
        <v>0</v>
      </c>
      <c r="AS140" s="134">
        <v>0</v>
      </c>
      <c r="AT140" s="132">
        <v>0</v>
      </c>
      <c r="AU140" s="132">
        <v>0</v>
      </c>
      <c r="AV140" s="83">
        <v>109965</v>
      </c>
      <c r="AW140" s="237">
        <v>43588</v>
      </c>
      <c r="AX140" s="233">
        <f t="shared" si="300"/>
        <v>17</v>
      </c>
      <c r="AY140" s="232" t="s">
        <v>3487</v>
      </c>
      <c r="AZ140" s="233" t="b">
        <f t="shared" si="299"/>
        <v>0</v>
      </c>
      <c r="BA140" s="129"/>
      <c r="BB140" s="129"/>
      <c r="BC140" s="129"/>
      <c r="BD140" s="129"/>
      <c r="BE140" s="82">
        <f t="shared" si="301"/>
        <v>144</v>
      </c>
      <c r="BF140" s="82">
        <f t="shared" si="302"/>
        <v>2</v>
      </c>
      <c r="BG140" s="82"/>
      <c r="BH140" s="82">
        <f t="shared" si="303"/>
        <v>77.2</v>
      </c>
      <c r="BI140" s="82">
        <f t="shared" si="304"/>
        <v>0</v>
      </c>
      <c r="BJ140" s="82">
        <f t="shared" si="305"/>
        <v>0</v>
      </c>
      <c r="BK140" s="82">
        <f t="shared" si="306"/>
        <v>149</v>
      </c>
      <c r="BL140" s="82">
        <f t="shared" si="307"/>
        <v>65</v>
      </c>
      <c r="BM140" s="82">
        <f t="shared" si="308"/>
        <v>0</v>
      </c>
      <c r="BN140" s="82">
        <f t="shared" si="309"/>
        <v>31</v>
      </c>
      <c r="BO140" s="82">
        <f t="shared" si="310"/>
        <v>22</v>
      </c>
      <c r="BP140" s="82">
        <f t="shared" si="311"/>
        <v>9</v>
      </c>
      <c r="BQ140" s="82"/>
      <c r="BR140" s="129">
        <f>SUMIF('Audit HD AR - School Level'!$B$6:B1245, "=" &amp; A140,'Audit HD AR - School Level'!$Q$6:Q1245)</f>
        <v>4.3</v>
      </c>
      <c r="BS140" s="224">
        <f t="shared" si="312"/>
        <v>-2127</v>
      </c>
      <c r="BT140" s="126">
        <f t="shared" si="313"/>
        <v>-2127</v>
      </c>
      <c r="BU140" s="82">
        <f t="shared" si="314"/>
        <v>144</v>
      </c>
    </row>
    <row r="141" spans="1:73">
      <c r="A141" s="1" t="s">
        <v>229</v>
      </c>
      <c r="U141" s="126">
        <v>207.3</v>
      </c>
      <c r="X141" s="126">
        <v>1.5</v>
      </c>
      <c r="Y141" s="126">
        <v>209.5</v>
      </c>
      <c r="Z141" s="126">
        <v>0</v>
      </c>
      <c r="AC141" s="126">
        <v>51</v>
      </c>
      <c r="AD141" s="126">
        <v>22</v>
      </c>
      <c r="AE141" s="126">
        <v>40.700000000000003</v>
      </c>
      <c r="AF141" s="126">
        <v>211</v>
      </c>
      <c r="AG141" s="126">
        <v>82</v>
      </c>
      <c r="AI141" s="126">
        <v>0</v>
      </c>
      <c r="AJ141" s="126">
        <v>46</v>
      </c>
      <c r="AK141" s="132">
        <v>12</v>
      </c>
      <c r="AL141" s="126">
        <v>10</v>
      </c>
      <c r="AO141" s="132">
        <v>0</v>
      </c>
      <c r="AP141" s="126">
        <v>0</v>
      </c>
      <c r="AQ141" s="134">
        <v>0</v>
      </c>
      <c r="AR141" s="132">
        <v>0</v>
      </c>
      <c r="AS141" s="134">
        <v>0</v>
      </c>
      <c r="AT141" s="132">
        <v>0</v>
      </c>
      <c r="AU141" s="132">
        <v>0</v>
      </c>
      <c r="AV141" s="83">
        <v>87667</v>
      </c>
      <c r="AW141" s="237">
        <v>43588</v>
      </c>
      <c r="AX141" s="233">
        <f t="shared" si="300"/>
        <v>17</v>
      </c>
      <c r="AY141" s="232" t="s">
        <v>3487</v>
      </c>
      <c r="AZ141" s="233" t="b">
        <f t="shared" si="299"/>
        <v>0</v>
      </c>
      <c r="BA141" s="129"/>
      <c r="BB141" s="129"/>
      <c r="BC141" s="129"/>
      <c r="BD141" s="129"/>
      <c r="BE141" s="82">
        <f t="shared" si="301"/>
        <v>207.3</v>
      </c>
      <c r="BF141" s="82">
        <f t="shared" si="302"/>
        <v>1.5</v>
      </c>
      <c r="BG141" s="82"/>
      <c r="BH141" s="82">
        <f t="shared" si="303"/>
        <v>51</v>
      </c>
      <c r="BI141" s="82">
        <f t="shared" si="304"/>
        <v>22</v>
      </c>
      <c r="BJ141" s="82">
        <f t="shared" si="305"/>
        <v>40.700000000000003</v>
      </c>
      <c r="BK141" s="82">
        <f t="shared" si="306"/>
        <v>211</v>
      </c>
      <c r="BL141" s="82">
        <f t="shared" si="307"/>
        <v>82</v>
      </c>
      <c r="BM141" s="82">
        <f t="shared" si="308"/>
        <v>0</v>
      </c>
      <c r="BN141" s="82">
        <f t="shared" si="309"/>
        <v>46</v>
      </c>
      <c r="BO141" s="82">
        <f t="shared" si="310"/>
        <v>12</v>
      </c>
      <c r="BP141" s="82">
        <f t="shared" si="311"/>
        <v>10</v>
      </c>
      <c r="BQ141" s="82"/>
      <c r="BR141" s="129">
        <f>SUMIF('Audit HD AR - School Level'!$B$6:B1245, "=" &amp; A141,'Audit HD AR - School Level'!$Q$6:Q1245)</f>
        <v>5.4</v>
      </c>
      <c r="BS141" s="224">
        <f t="shared" si="312"/>
        <v>0</v>
      </c>
      <c r="BT141" s="126">
        <f t="shared" si="313"/>
        <v>0</v>
      </c>
      <c r="BU141" s="82">
        <f t="shared" si="314"/>
        <v>207.3</v>
      </c>
    </row>
    <row r="142" spans="1:73">
      <c r="A142" s="1" t="s">
        <v>230</v>
      </c>
      <c r="U142" s="126">
        <v>365</v>
      </c>
      <c r="X142" s="126">
        <v>0</v>
      </c>
      <c r="Y142" s="126">
        <v>368.8</v>
      </c>
      <c r="Z142" s="126">
        <v>0</v>
      </c>
      <c r="AC142" s="126">
        <v>145.9</v>
      </c>
      <c r="AD142" s="126">
        <v>38</v>
      </c>
      <c r="AE142" s="126">
        <v>97.5</v>
      </c>
      <c r="AF142" s="126">
        <v>445</v>
      </c>
      <c r="AG142" s="126">
        <v>85</v>
      </c>
      <c r="AI142" s="126">
        <v>0</v>
      </c>
      <c r="AJ142" s="126">
        <v>145.19999999999999</v>
      </c>
      <c r="AK142" s="132">
        <v>18.5</v>
      </c>
      <c r="AL142" s="126">
        <v>22.9</v>
      </c>
      <c r="AO142" s="132">
        <v>0</v>
      </c>
      <c r="AP142" s="126">
        <v>0</v>
      </c>
      <c r="AQ142" s="134">
        <v>0</v>
      </c>
      <c r="AR142" s="132">
        <v>0</v>
      </c>
      <c r="AS142" s="134">
        <v>0</v>
      </c>
      <c r="AT142" s="132">
        <v>0</v>
      </c>
      <c r="AU142" s="132">
        <v>0</v>
      </c>
      <c r="AV142" s="83">
        <v>193920</v>
      </c>
      <c r="AW142" s="237">
        <v>43588</v>
      </c>
      <c r="AX142" s="233">
        <f t="shared" si="300"/>
        <v>17</v>
      </c>
      <c r="AY142" s="232" t="s">
        <v>3487</v>
      </c>
      <c r="AZ142" s="233" t="b">
        <f t="shared" si="299"/>
        <v>0</v>
      </c>
      <c r="BA142" s="129"/>
      <c r="BB142" s="129"/>
      <c r="BC142" s="129"/>
      <c r="BD142" s="129"/>
      <c r="BE142" s="82">
        <f t="shared" si="301"/>
        <v>365</v>
      </c>
      <c r="BF142" s="82">
        <f t="shared" si="302"/>
        <v>0</v>
      </c>
      <c r="BG142" s="82"/>
      <c r="BH142" s="82">
        <f t="shared" si="303"/>
        <v>145.9</v>
      </c>
      <c r="BI142" s="82">
        <f t="shared" si="304"/>
        <v>38</v>
      </c>
      <c r="BJ142" s="82">
        <f t="shared" si="305"/>
        <v>97.5</v>
      </c>
      <c r="BK142" s="82">
        <f t="shared" si="306"/>
        <v>445</v>
      </c>
      <c r="BL142" s="82">
        <f t="shared" si="307"/>
        <v>85</v>
      </c>
      <c r="BM142" s="82">
        <f t="shared" si="308"/>
        <v>0</v>
      </c>
      <c r="BN142" s="82">
        <f t="shared" si="309"/>
        <v>145.19999999999999</v>
      </c>
      <c r="BO142" s="82">
        <f t="shared" si="310"/>
        <v>18.5</v>
      </c>
      <c r="BP142" s="82">
        <f t="shared" si="311"/>
        <v>22.9</v>
      </c>
      <c r="BQ142" s="82"/>
      <c r="BR142" s="129">
        <f>SUMIF('Audit HD AR - School Level'!$B$6:B1245, "=" &amp; A142,'Audit HD AR - School Level'!$Q$6:Q1245)</f>
        <v>0</v>
      </c>
      <c r="BS142" s="224">
        <f t="shared" si="312"/>
        <v>0</v>
      </c>
      <c r="BT142" s="126">
        <f t="shared" si="313"/>
        <v>0</v>
      </c>
      <c r="BU142" s="82">
        <f t="shared" si="314"/>
        <v>365</v>
      </c>
    </row>
    <row r="143" spans="1:73">
      <c r="A143" s="1" t="s">
        <v>242</v>
      </c>
      <c r="U143" s="126">
        <v>423.3</v>
      </c>
      <c r="X143" s="126">
        <v>1.5</v>
      </c>
      <c r="Y143" s="126">
        <v>397.5</v>
      </c>
      <c r="Z143" s="126">
        <v>0</v>
      </c>
      <c r="AC143" s="126">
        <v>150.5</v>
      </c>
      <c r="AD143" s="126">
        <v>4</v>
      </c>
      <c r="AE143" s="126">
        <v>4</v>
      </c>
      <c r="AF143" s="126">
        <v>434</v>
      </c>
      <c r="AG143" s="126">
        <v>154</v>
      </c>
      <c r="AI143" s="126">
        <v>0</v>
      </c>
      <c r="AJ143" s="126">
        <v>136</v>
      </c>
      <c r="AK143" s="132">
        <v>27.5</v>
      </c>
      <c r="AL143" s="126">
        <v>1</v>
      </c>
      <c r="AO143" s="132">
        <v>0</v>
      </c>
      <c r="AP143" s="126">
        <v>0</v>
      </c>
      <c r="AQ143" s="134">
        <v>0</v>
      </c>
      <c r="AR143" s="132">
        <v>0</v>
      </c>
      <c r="AS143" s="134">
        <v>0</v>
      </c>
      <c r="AT143" s="132">
        <v>0</v>
      </c>
      <c r="AU143" s="132">
        <v>0</v>
      </c>
      <c r="AV143" s="83">
        <v>156889</v>
      </c>
      <c r="AW143" s="237">
        <v>43588</v>
      </c>
      <c r="AX143" s="233">
        <f t="shared" si="300"/>
        <v>17</v>
      </c>
      <c r="AY143" s="232" t="s">
        <v>3487</v>
      </c>
      <c r="AZ143" s="233" t="b">
        <f t="shared" si="299"/>
        <v>0</v>
      </c>
      <c r="BA143" s="129"/>
      <c r="BB143" s="129"/>
      <c r="BC143" s="129"/>
      <c r="BD143" s="129"/>
      <c r="BE143" s="82">
        <f t="shared" si="301"/>
        <v>423.3</v>
      </c>
      <c r="BF143" s="82">
        <f t="shared" si="302"/>
        <v>1.5</v>
      </c>
      <c r="BG143" s="82"/>
      <c r="BH143" s="82">
        <f t="shared" si="303"/>
        <v>150.5</v>
      </c>
      <c r="BI143" s="82">
        <f t="shared" si="304"/>
        <v>4</v>
      </c>
      <c r="BJ143" s="82">
        <f t="shared" si="305"/>
        <v>4</v>
      </c>
      <c r="BK143" s="82">
        <f t="shared" si="306"/>
        <v>434</v>
      </c>
      <c r="BL143" s="82">
        <f t="shared" si="307"/>
        <v>154</v>
      </c>
      <c r="BM143" s="82">
        <f t="shared" si="308"/>
        <v>0</v>
      </c>
      <c r="BN143" s="82">
        <f t="shared" si="309"/>
        <v>136</v>
      </c>
      <c r="BO143" s="82">
        <f t="shared" si="310"/>
        <v>27.5</v>
      </c>
      <c r="BP143" s="82">
        <f t="shared" si="311"/>
        <v>1</v>
      </c>
      <c r="BQ143" s="82"/>
      <c r="BR143" s="129">
        <f>SUMIF('Audit HD AR - School Level'!$B$6:B1245, "=" &amp; A143,'Audit HD AR - School Level'!$Q$6:Q1245)</f>
        <v>2.6</v>
      </c>
      <c r="BS143" s="224">
        <f t="shared" si="312"/>
        <v>0</v>
      </c>
      <c r="BT143" s="126">
        <f t="shared" si="313"/>
        <v>0</v>
      </c>
      <c r="BU143" s="82">
        <f t="shared" si="314"/>
        <v>423.3</v>
      </c>
    </row>
    <row r="144" spans="1:73">
      <c r="A144" s="1" t="s">
        <v>243</v>
      </c>
      <c r="U144" s="126">
        <v>594.79999999999995</v>
      </c>
      <c r="X144" s="126">
        <v>0</v>
      </c>
      <c r="Y144" s="126">
        <v>611.20000000000005</v>
      </c>
      <c r="Z144" s="126">
        <v>0</v>
      </c>
      <c r="AC144" s="126">
        <v>102.9</v>
      </c>
      <c r="AD144" s="126">
        <v>0</v>
      </c>
      <c r="AE144" s="126">
        <v>0</v>
      </c>
      <c r="AF144" s="126">
        <v>599</v>
      </c>
      <c r="AG144" s="126">
        <v>173</v>
      </c>
      <c r="AI144" s="126">
        <v>107.7</v>
      </c>
      <c r="AJ144" s="126">
        <v>162</v>
      </c>
      <c r="AK144" s="132">
        <v>23</v>
      </c>
      <c r="AL144" s="126">
        <v>51</v>
      </c>
      <c r="AO144" s="132">
        <v>0</v>
      </c>
      <c r="AP144" s="126">
        <v>0</v>
      </c>
      <c r="AQ144" s="134">
        <v>0</v>
      </c>
      <c r="AR144" s="132">
        <v>0</v>
      </c>
      <c r="AS144" s="134">
        <v>0</v>
      </c>
      <c r="AT144" s="132">
        <v>0</v>
      </c>
      <c r="AU144" s="132">
        <v>0</v>
      </c>
      <c r="AV144" s="83">
        <v>302578</v>
      </c>
      <c r="AW144" s="237">
        <v>43588</v>
      </c>
      <c r="AX144" s="233">
        <f t="shared" si="300"/>
        <v>17</v>
      </c>
      <c r="AY144" s="232" t="s">
        <v>3487</v>
      </c>
      <c r="AZ144" s="233" t="b">
        <f t="shared" si="299"/>
        <v>0</v>
      </c>
      <c r="BA144" s="129"/>
      <c r="BB144" s="129"/>
      <c r="BC144" s="129"/>
      <c r="BD144" s="129"/>
      <c r="BE144" s="82">
        <f t="shared" si="301"/>
        <v>594.79999999999995</v>
      </c>
      <c r="BF144" s="82">
        <f t="shared" si="302"/>
        <v>0</v>
      </c>
      <c r="BG144" s="82"/>
      <c r="BH144" s="82">
        <f t="shared" si="303"/>
        <v>102.9</v>
      </c>
      <c r="BI144" s="82">
        <f t="shared" si="304"/>
        <v>0</v>
      </c>
      <c r="BJ144" s="82">
        <f t="shared" si="305"/>
        <v>0</v>
      </c>
      <c r="BK144" s="82">
        <f t="shared" si="306"/>
        <v>599</v>
      </c>
      <c r="BL144" s="82">
        <f t="shared" si="307"/>
        <v>173</v>
      </c>
      <c r="BM144" s="82">
        <f t="shared" si="308"/>
        <v>107.7</v>
      </c>
      <c r="BN144" s="82">
        <f t="shared" si="309"/>
        <v>162</v>
      </c>
      <c r="BO144" s="82">
        <f t="shared" si="310"/>
        <v>23</v>
      </c>
      <c r="BP144" s="82">
        <f t="shared" si="311"/>
        <v>51</v>
      </c>
      <c r="BQ144" s="82"/>
      <c r="BR144" s="129">
        <f>SUMIF('Audit HD AR - School Level'!$B$6:B1245, "=" &amp; A144,'Audit HD AR - School Level'!$Q$6:Q1245)</f>
        <v>0</v>
      </c>
      <c r="BS144" s="224">
        <f t="shared" si="312"/>
        <v>0</v>
      </c>
      <c r="BT144" s="126">
        <f t="shared" si="313"/>
        <v>0</v>
      </c>
      <c r="BU144" s="82">
        <f t="shared" si="314"/>
        <v>594.79999999999995</v>
      </c>
    </row>
    <row r="145" spans="1:73">
      <c r="A145" s="1" t="s">
        <v>274</v>
      </c>
      <c r="U145" s="126">
        <v>339</v>
      </c>
      <c r="X145" s="126">
        <v>0</v>
      </c>
      <c r="Y145" s="126">
        <v>361</v>
      </c>
      <c r="Z145" s="126">
        <v>0</v>
      </c>
      <c r="AC145" s="126">
        <v>171.7</v>
      </c>
      <c r="AD145" s="126">
        <v>0</v>
      </c>
      <c r="AE145" s="126">
        <v>0</v>
      </c>
      <c r="AF145" s="126">
        <v>344</v>
      </c>
      <c r="AG145" s="126">
        <v>107</v>
      </c>
      <c r="AI145" s="126">
        <v>0</v>
      </c>
      <c r="AJ145" s="126">
        <v>36</v>
      </c>
      <c r="AK145" s="132">
        <v>9</v>
      </c>
      <c r="AL145" s="126">
        <v>29</v>
      </c>
      <c r="AO145" s="132">
        <v>0</v>
      </c>
      <c r="AP145" s="126">
        <v>0</v>
      </c>
      <c r="AQ145" s="134">
        <v>0</v>
      </c>
      <c r="AR145" s="132">
        <v>0</v>
      </c>
      <c r="AS145" s="134">
        <v>0</v>
      </c>
      <c r="AT145" s="132">
        <v>0</v>
      </c>
      <c r="AU145" s="132">
        <v>0</v>
      </c>
      <c r="AV145" s="83">
        <v>54060</v>
      </c>
      <c r="AW145" s="237">
        <v>43588</v>
      </c>
      <c r="AX145" s="233">
        <f t="shared" si="300"/>
        <v>17</v>
      </c>
      <c r="AY145" s="232" t="s">
        <v>3487</v>
      </c>
      <c r="AZ145" s="233" t="b">
        <f t="shared" si="299"/>
        <v>0</v>
      </c>
      <c r="BA145" s="129"/>
      <c r="BB145" s="129"/>
      <c r="BC145" s="129"/>
      <c r="BD145" s="129"/>
      <c r="BE145" s="82">
        <f t="shared" si="301"/>
        <v>339</v>
      </c>
      <c r="BF145" s="82">
        <f t="shared" si="302"/>
        <v>0</v>
      </c>
      <c r="BG145" s="82"/>
      <c r="BH145" s="82">
        <f t="shared" si="303"/>
        <v>171.7</v>
      </c>
      <c r="BI145" s="82">
        <f t="shared" si="304"/>
        <v>0</v>
      </c>
      <c r="BJ145" s="82">
        <f t="shared" si="305"/>
        <v>0</v>
      </c>
      <c r="BK145" s="82">
        <f t="shared" si="306"/>
        <v>344</v>
      </c>
      <c r="BL145" s="82">
        <f t="shared" si="307"/>
        <v>107</v>
      </c>
      <c r="BM145" s="82">
        <f t="shared" si="308"/>
        <v>0</v>
      </c>
      <c r="BN145" s="82">
        <f t="shared" si="309"/>
        <v>36</v>
      </c>
      <c r="BO145" s="82">
        <f t="shared" si="310"/>
        <v>9</v>
      </c>
      <c r="BP145" s="82">
        <f t="shared" si="311"/>
        <v>29</v>
      </c>
      <c r="BQ145" s="82"/>
      <c r="BR145" s="129">
        <f>SUMIF('Audit HD AR - School Level'!$B$6:B1245, "=" &amp; A145,'Audit HD AR - School Level'!$Q$6:Q1245)</f>
        <v>0</v>
      </c>
      <c r="BS145" s="224">
        <f t="shared" si="312"/>
        <v>0</v>
      </c>
      <c r="BT145" s="126">
        <f t="shared" si="313"/>
        <v>0</v>
      </c>
      <c r="BU145" s="82">
        <f t="shared" si="314"/>
        <v>339</v>
      </c>
    </row>
    <row r="146" spans="1:73">
      <c r="A146" s="1" t="s">
        <v>277</v>
      </c>
      <c r="U146" s="126">
        <v>765.1</v>
      </c>
      <c r="X146" s="126">
        <v>16.5</v>
      </c>
      <c r="Y146" s="126">
        <v>778.7</v>
      </c>
      <c r="Z146" s="126">
        <v>0</v>
      </c>
      <c r="AC146" s="126">
        <v>223.8</v>
      </c>
      <c r="AD146" s="126">
        <v>15</v>
      </c>
      <c r="AE146" s="126">
        <v>23.9</v>
      </c>
      <c r="AF146" s="126">
        <v>806</v>
      </c>
      <c r="AG146" s="126">
        <v>245</v>
      </c>
      <c r="AI146" s="126">
        <v>0</v>
      </c>
      <c r="AJ146" s="126">
        <v>115</v>
      </c>
      <c r="AK146" s="132">
        <v>41</v>
      </c>
      <c r="AL146" s="126">
        <v>87</v>
      </c>
      <c r="AO146" s="132">
        <v>0</v>
      </c>
      <c r="AP146" s="126">
        <v>0</v>
      </c>
      <c r="AQ146" s="134">
        <v>0</v>
      </c>
      <c r="AR146" s="132">
        <v>0</v>
      </c>
      <c r="AS146" s="134">
        <v>0</v>
      </c>
      <c r="AT146" s="132">
        <v>0</v>
      </c>
      <c r="AU146" s="132">
        <v>1</v>
      </c>
      <c r="AV146" s="83">
        <v>197299</v>
      </c>
      <c r="AW146" s="237">
        <v>43588</v>
      </c>
      <c r="AX146" s="233">
        <f t="shared" si="300"/>
        <v>17</v>
      </c>
      <c r="AY146" s="232" t="s">
        <v>3487</v>
      </c>
      <c r="AZ146" s="233" t="b">
        <f t="shared" si="299"/>
        <v>0</v>
      </c>
      <c r="BA146" s="129"/>
      <c r="BB146" s="129"/>
      <c r="BC146" s="129"/>
      <c r="BD146" s="129"/>
      <c r="BE146" s="82">
        <f t="shared" si="301"/>
        <v>765.1</v>
      </c>
      <c r="BF146" s="82">
        <f t="shared" si="302"/>
        <v>16.5</v>
      </c>
      <c r="BG146" s="82"/>
      <c r="BH146" s="82">
        <f t="shared" si="303"/>
        <v>223.8</v>
      </c>
      <c r="BI146" s="82">
        <f t="shared" si="304"/>
        <v>15</v>
      </c>
      <c r="BJ146" s="82">
        <f t="shared" si="305"/>
        <v>23.9</v>
      </c>
      <c r="BK146" s="82">
        <f t="shared" si="306"/>
        <v>806</v>
      </c>
      <c r="BL146" s="82">
        <f t="shared" si="307"/>
        <v>245</v>
      </c>
      <c r="BM146" s="82">
        <f t="shared" si="308"/>
        <v>0</v>
      </c>
      <c r="BN146" s="82">
        <f t="shared" si="309"/>
        <v>115</v>
      </c>
      <c r="BO146" s="82">
        <f t="shared" si="310"/>
        <v>41</v>
      </c>
      <c r="BP146" s="82">
        <f t="shared" si="311"/>
        <v>87</v>
      </c>
      <c r="BQ146" s="82"/>
      <c r="BR146" s="129">
        <f>SUMIF('Audit HD AR - School Level'!$B$6:B1245, "=" &amp; A146,'Audit HD AR - School Level'!$Q$6:Q1245)</f>
        <v>0</v>
      </c>
      <c r="BS146" s="224">
        <f t="shared" si="312"/>
        <v>0</v>
      </c>
      <c r="BT146" s="126">
        <f t="shared" si="313"/>
        <v>0</v>
      </c>
      <c r="BU146" s="82">
        <f t="shared" si="314"/>
        <v>765.1</v>
      </c>
    </row>
    <row r="147" spans="1:73">
      <c r="A147" s="1" t="s">
        <v>278</v>
      </c>
      <c r="U147" s="126">
        <v>407.3</v>
      </c>
      <c r="X147" s="126">
        <v>0</v>
      </c>
      <c r="Y147" s="126">
        <v>402.1</v>
      </c>
      <c r="Z147" s="126">
        <v>0</v>
      </c>
      <c r="AC147" s="126">
        <v>148.19999999999999</v>
      </c>
      <c r="AD147" s="126">
        <v>11</v>
      </c>
      <c r="AE147" s="126">
        <v>9</v>
      </c>
      <c r="AF147" s="126">
        <v>450</v>
      </c>
      <c r="AG147" s="126">
        <v>138</v>
      </c>
      <c r="AI147" s="126">
        <v>0</v>
      </c>
      <c r="AJ147" s="126">
        <v>69.5</v>
      </c>
      <c r="AK147" s="132">
        <v>15</v>
      </c>
      <c r="AL147" s="126">
        <v>20</v>
      </c>
      <c r="AO147" s="132">
        <v>0</v>
      </c>
      <c r="AP147" s="126">
        <v>0</v>
      </c>
      <c r="AQ147" s="134">
        <v>4</v>
      </c>
      <c r="AR147" s="132">
        <v>0</v>
      </c>
      <c r="AS147" s="134">
        <v>0</v>
      </c>
      <c r="AT147" s="132">
        <v>0</v>
      </c>
      <c r="AU147" s="132">
        <v>0</v>
      </c>
      <c r="AV147" s="83">
        <v>86556</v>
      </c>
      <c r="AW147" s="237">
        <v>43588</v>
      </c>
      <c r="AX147" s="233">
        <f t="shared" si="300"/>
        <v>17</v>
      </c>
      <c r="AY147" s="232" t="s">
        <v>3487</v>
      </c>
      <c r="AZ147" s="233" t="b">
        <f t="shared" si="299"/>
        <v>0</v>
      </c>
      <c r="BA147" s="129"/>
      <c r="BB147" s="129"/>
      <c r="BC147" s="129"/>
      <c r="BD147" s="129"/>
      <c r="BE147" s="82">
        <f t="shared" si="301"/>
        <v>407.3</v>
      </c>
      <c r="BF147" s="82">
        <f t="shared" si="302"/>
        <v>0</v>
      </c>
      <c r="BG147" s="82"/>
      <c r="BH147" s="82">
        <f t="shared" si="303"/>
        <v>148.19999999999999</v>
      </c>
      <c r="BI147" s="82">
        <f t="shared" si="304"/>
        <v>11</v>
      </c>
      <c r="BJ147" s="82">
        <f t="shared" si="305"/>
        <v>9</v>
      </c>
      <c r="BK147" s="82">
        <f t="shared" si="306"/>
        <v>450</v>
      </c>
      <c r="BL147" s="82">
        <f t="shared" si="307"/>
        <v>138</v>
      </c>
      <c r="BM147" s="82">
        <f t="shared" si="308"/>
        <v>0</v>
      </c>
      <c r="BN147" s="82">
        <f t="shared" si="309"/>
        <v>69.5</v>
      </c>
      <c r="BO147" s="82">
        <f t="shared" si="310"/>
        <v>15</v>
      </c>
      <c r="BP147" s="82">
        <f t="shared" si="311"/>
        <v>20</v>
      </c>
      <c r="BQ147" s="82"/>
      <c r="BR147" s="129">
        <f>SUMIF('Audit HD AR - School Level'!$B$6:B1245, "=" &amp; A147,'Audit HD AR - School Level'!$Q$6:Q1245)</f>
        <v>1</v>
      </c>
      <c r="BS147" s="224">
        <f t="shared" si="312"/>
        <v>-2836</v>
      </c>
      <c r="BT147" s="126">
        <f t="shared" si="313"/>
        <v>-2836</v>
      </c>
      <c r="BU147" s="82">
        <f t="shared" si="314"/>
        <v>407.3</v>
      </c>
    </row>
    <row r="148" spans="1:73">
      <c r="A148" s="1" t="s">
        <v>288</v>
      </c>
      <c r="U148" s="126">
        <v>781.5</v>
      </c>
      <c r="X148" s="126">
        <v>0</v>
      </c>
      <c r="Y148" s="126">
        <v>776</v>
      </c>
      <c r="Z148" s="126">
        <v>0</v>
      </c>
      <c r="AC148" s="126">
        <v>251.7</v>
      </c>
      <c r="AD148" s="126">
        <v>0</v>
      </c>
      <c r="AE148" s="126">
        <v>0</v>
      </c>
      <c r="AF148" s="126">
        <v>793</v>
      </c>
      <c r="AG148" s="126">
        <v>170</v>
      </c>
      <c r="AI148" s="126">
        <v>0</v>
      </c>
      <c r="AJ148" s="126">
        <v>267.5</v>
      </c>
      <c r="AK148" s="132">
        <v>85</v>
      </c>
      <c r="AL148" s="126">
        <v>8</v>
      </c>
      <c r="AO148" s="132">
        <v>1</v>
      </c>
      <c r="AP148" s="126">
        <v>0</v>
      </c>
      <c r="AQ148" s="134">
        <v>0</v>
      </c>
      <c r="AR148" s="132">
        <v>0</v>
      </c>
      <c r="AS148" s="134">
        <v>0</v>
      </c>
      <c r="AT148" s="132">
        <v>0</v>
      </c>
      <c r="AU148" s="132">
        <v>1</v>
      </c>
      <c r="AV148" s="83">
        <v>233602</v>
      </c>
      <c r="AW148" s="237">
        <v>43588</v>
      </c>
      <c r="AX148" s="233">
        <f t="shared" si="300"/>
        <v>17</v>
      </c>
      <c r="AY148" s="232" t="s">
        <v>3487</v>
      </c>
      <c r="AZ148" s="233" t="b">
        <f t="shared" si="299"/>
        <v>0</v>
      </c>
      <c r="BA148" s="129"/>
      <c r="BB148" s="129"/>
      <c r="BC148" s="129"/>
      <c r="BD148" s="129"/>
      <c r="BE148" s="82">
        <f t="shared" si="301"/>
        <v>780.5</v>
      </c>
      <c r="BF148" s="82">
        <f t="shared" si="302"/>
        <v>0</v>
      </c>
      <c r="BG148" s="82"/>
      <c r="BH148" s="82">
        <f t="shared" si="303"/>
        <v>251.7</v>
      </c>
      <c r="BI148" s="82">
        <f t="shared" si="304"/>
        <v>0</v>
      </c>
      <c r="BJ148" s="82">
        <f t="shared" si="305"/>
        <v>0</v>
      </c>
      <c r="BK148" s="82">
        <f t="shared" si="306"/>
        <v>793</v>
      </c>
      <c r="BL148" s="82">
        <f t="shared" si="307"/>
        <v>170</v>
      </c>
      <c r="BM148" s="82">
        <f t="shared" si="308"/>
        <v>0</v>
      </c>
      <c r="BN148" s="82">
        <f t="shared" si="309"/>
        <v>267.5</v>
      </c>
      <c r="BO148" s="82">
        <f t="shared" si="310"/>
        <v>85</v>
      </c>
      <c r="BP148" s="82">
        <f t="shared" si="311"/>
        <v>8</v>
      </c>
      <c r="BQ148" s="82"/>
      <c r="BR148" s="129">
        <f>SUMIF('Audit HD AR - School Level'!$B$6:B1245, "=" &amp; A148,'Audit HD AR - School Level'!$Q$6:Q1245)</f>
        <v>0</v>
      </c>
      <c r="BS148" s="224">
        <f t="shared" si="312"/>
        <v>0</v>
      </c>
      <c r="BT148" s="126">
        <f t="shared" si="313"/>
        <v>0</v>
      </c>
      <c r="BU148" s="82">
        <f t="shared" si="314"/>
        <v>780.5</v>
      </c>
    </row>
    <row r="149" spans="1:73">
      <c r="A149" s="1" t="s">
        <v>294</v>
      </c>
      <c r="U149" s="126">
        <v>261.5</v>
      </c>
      <c r="X149" s="126">
        <v>0</v>
      </c>
      <c r="Y149" s="126">
        <v>281.5</v>
      </c>
      <c r="Z149" s="126">
        <v>0</v>
      </c>
      <c r="AC149" s="126">
        <v>79.5</v>
      </c>
      <c r="AD149" s="126">
        <v>20</v>
      </c>
      <c r="AE149" s="126">
        <v>13.4</v>
      </c>
      <c r="AF149" s="126">
        <v>264</v>
      </c>
      <c r="AG149" s="126">
        <v>79</v>
      </c>
      <c r="AI149" s="126">
        <v>0</v>
      </c>
      <c r="AJ149" s="126">
        <v>63</v>
      </c>
      <c r="AK149" s="132">
        <v>19</v>
      </c>
      <c r="AL149" s="126">
        <v>19</v>
      </c>
      <c r="AO149" s="132">
        <v>0</v>
      </c>
      <c r="AP149" s="126">
        <v>0</v>
      </c>
      <c r="AQ149" s="134">
        <v>0</v>
      </c>
      <c r="AR149" s="132">
        <v>0</v>
      </c>
      <c r="AS149" s="134">
        <v>0</v>
      </c>
      <c r="AT149" s="132">
        <v>0</v>
      </c>
      <c r="AU149" s="132">
        <v>0</v>
      </c>
      <c r="AV149" s="83">
        <v>112537</v>
      </c>
      <c r="AW149" s="237">
        <v>43588</v>
      </c>
      <c r="AX149" s="233">
        <f t="shared" si="300"/>
        <v>17</v>
      </c>
      <c r="AY149" s="232" t="s">
        <v>3487</v>
      </c>
      <c r="AZ149" s="233" t="b">
        <f t="shared" si="299"/>
        <v>0</v>
      </c>
      <c r="BA149" s="129"/>
      <c r="BB149" s="129"/>
      <c r="BC149" s="129"/>
      <c r="BD149" s="129"/>
      <c r="BE149" s="82">
        <f t="shared" si="301"/>
        <v>261.5</v>
      </c>
      <c r="BF149" s="82">
        <f t="shared" si="302"/>
        <v>0</v>
      </c>
      <c r="BG149" s="82"/>
      <c r="BH149" s="82">
        <f t="shared" si="303"/>
        <v>79.5</v>
      </c>
      <c r="BI149" s="82">
        <f t="shared" si="304"/>
        <v>20</v>
      </c>
      <c r="BJ149" s="82">
        <f t="shared" si="305"/>
        <v>13.4</v>
      </c>
      <c r="BK149" s="82">
        <f t="shared" si="306"/>
        <v>264</v>
      </c>
      <c r="BL149" s="82">
        <f t="shared" si="307"/>
        <v>79</v>
      </c>
      <c r="BM149" s="82">
        <f t="shared" si="308"/>
        <v>0</v>
      </c>
      <c r="BN149" s="82">
        <f t="shared" si="309"/>
        <v>63</v>
      </c>
      <c r="BO149" s="82">
        <f t="shared" si="310"/>
        <v>19</v>
      </c>
      <c r="BP149" s="82">
        <f t="shared" si="311"/>
        <v>19</v>
      </c>
      <c r="BQ149" s="82"/>
      <c r="BR149" s="129">
        <f>SUMIF('Audit HD AR - School Level'!$B$6:B1245, "=" &amp; A149,'Audit HD AR - School Level'!$Q$6:Q1245)</f>
        <v>0</v>
      </c>
      <c r="BS149" s="224">
        <f t="shared" si="312"/>
        <v>0</v>
      </c>
      <c r="BT149" s="126">
        <f t="shared" si="313"/>
        <v>0</v>
      </c>
      <c r="BU149" s="82">
        <f t="shared" si="314"/>
        <v>261.5</v>
      </c>
    </row>
    <row r="150" spans="1:73">
      <c r="A150" s="1" t="s">
        <v>296</v>
      </c>
      <c r="U150" s="126">
        <v>230.1</v>
      </c>
      <c r="X150" s="126">
        <v>4</v>
      </c>
      <c r="Y150" s="126">
        <v>245.2</v>
      </c>
      <c r="Z150" s="126">
        <v>0</v>
      </c>
      <c r="AC150" s="126">
        <v>68.2</v>
      </c>
      <c r="AD150" s="126">
        <v>0</v>
      </c>
      <c r="AE150" s="126">
        <v>0</v>
      </c>
      <c r="AF150" s="126">
        <v>240</v>
      </c>
      <c r="AG150" s="126">
        <v>89</v>
      </c>
      <c r="AI150" s="126">
        <v>0</v>
      </c>
      <c r="AJ150" s="126">
        <v>158</v>
      </c>
      <c r="AK150" s="132">
        <v>0</v>
      </c>
      <c r="AL150" s="126">
        <v>8</v>
      </c>
      <c r="AO150" s="132">
        <v>0</v>
      </c>
      <c r="AP150" s="126">
        <v>0</v>
      </c>
      <c r="AQ150" s="134">
        <v>0</v>
      </c>
      <c r="AR150" s="132">
        <v>0</v>
      </c>
      <c r="AS150" s="134">
        <v>0</v>
      </c>
      <c r="AT150" s="132">
        <v>0</v>
      </c>
      <c r="AU150" s="132">
        <v>0</v>
      </c>
      <c r="AV150" s="83">
        <v>195305</v>
      </c>
      <c r="AW150" s="237">
        <v>43588</v>
      </c>
      <c r="AX150" s="233">
        <f t="shared" si="300"/>
        <v>17</v>
      </c>
      <c r="AY150" s="232" t="s">
        <v>3487</v>
      </c>
      <c r="AZ150" s="233" t="b">
        <f t="shared" si="299"/>
        <v>0</v>
      </c>
      <c r="BA150" s="129"/>
      <c r="BB150" s="129"/>
      <c r="BC150" s="129"/>
      <c r="BD150" s="129"/>
      <c r="BE150" s="82">
        <f t="shared" si="301"/>
        <v>230.1</v>
      </c>
      <c r="BF150" s="82">
        <f t="shared" si="302"/>
        <v>4</v>
      </c>
      <c r="BG150" s="82"/>
      <c r="BH150" s="82">
        <f t="shared" si="303"/>
        <v>68.2</v>
      </c>
      <c r="BI150" s="82">
        <f t="shared" si="304"/>
        <v>0</v>
      </c>
      <c r="BJ150" s="82">
        <f t="shared" si="305"/>
        <v>0</v>
      </c>
      <c r="BK150" s="82">
        <f t="shared" si="306"/>
        <v>240</v>
      </c>
      <c r="BL150" s="82">
        <f t="shared" si="307"/>
        <v>89</v>
      </c>
      <c r="BM150" s="82">
        <f t="shared" si="308"/>
        <v>0</v>
      </c>
      <c r="BN150" s="82">
        <f t="shared" si="309"/>
        <v>158</v>
      </c>
      <c r="BO150" s="82">
        <f t="shared" si="310"/>
        <v>0</v>
      </c>
      <c r="BP150" s="82">
        <f t="shared" si="311"/>
        <v>8</v>
      </c>
      <c r="BQ150" s="82"/>
      <c r="BR150" s="129">
        <f>SUMIF('Audit HD AR - School Level'!$B$6:B1245, "=" &amp; A150,'Audit HD AR - School Level'!$Q$6:Q1245)</f>
        <v>4.5</v>
      </c>
      <c r="BS150" s="224">
        <f t="shared" si="312"/>
        <v>0</v>
      </c>
      <c r="BT150" s="126">
        <f t="shared" si="313"/>
        <v>0</v>
      </c>
      <c r="BU150" s="82">
        <f t="shared" si="314"/>
        <v>230.1</v>
      </c>
    </row>
    <row r="151" spans="1:73">
      <c r="A151" s="1" t="s">
        <v>297</v>
      </c>
      <c r="U151" s="126">
        <v>312.5</v>
      </c>
      <c r="X151" s="126">
        <v>0</v>
      </c>
      <c r="Y151" s="126">
        <v>319</v>
      </c>
      <c r="Z151" s="126">
        <v>0</v>
      </c>
      <c r="AC151" s="126">
        <v>35.799999999999997</v>
      </c>
      <c r="AD151" s="126">
        <v>0</v>
      </c>
      <c r="AE151" s="126">
        <v>0</v>
      </c>
      <c r="AF151" s="126">
        <v>316</v>
      </c>
      <c r="AG151" s="126">
        <v>84</v>
      </c>
      <c r="AI151" s="126">
        <v>0</v>
      </c>
      <c r="AJ151" s="126">
        <v>191</v>
      </c>
      <c r="AK151" s="132">
        <v>0</v>
      </c>
      <c r="AL151" s="126">
        <v>7</v>
      </c>
      <c r="AO151" s="132">
        <v>0</v>
      </c>
      <c r="AP151" s="126">
        <v>0</v>
      </c>
      <c r="AQ151" s="134">
        <v>0</v>
      </c>
      <c r="AR151" s="132">
        <v>0</v>
      </c>
      <c r="AS151" s="134">
        <v>0</v>
      </c>
      <c r="AT151" s="132">
        <v>0</v>
      </c>
      <c r="AU151" s="132">
        <v>0</v>
      </c>
      <c r="AV151" s="83">
        <v>310472</v>
      </c>
      <c r="AW151" s="237">
        <v>43588</v>
      </c>
      <c r="AX151" s="233">
        <f t="shared" si="300"/>
        <v>17</v>
      </c>
      <c r="AY151" s="232" t="s">
        <v>3487</v>
      </c>
      <c r="AZ151" s="233" t="b">
        <f t="shared" si="299"/>
        <v>0</v>
      </c>
      <c r="BA151" s="129"/>
      <c r="BB151" s="129"/>
      <c r="BC151" s="129"/>
      <c r="BD151" s="129"/>
      <c r="BE151" s="82">
        <f t="shared" si="301"/>
        <v>312.5</v>
      </c>
      <c r="BF151" s="82">
        <f t="shared" si="302"/>
        <v>0</v>
      </c>
      <c r="BG151" s="82"/>
      <c r="BH151" s="82">
        <f t="shared" si="303"/>
        <v>35.799999999999997</v>
      </c>
      <c r="BI151" s="82">
        <f t="shared" si="304"/>
        <v>0</v>
      </c>
      <c r="BJ151" s="82">
        <f t="shared" si="305"/>
        <v>0</v>
      </c>
      <c r="BK151" s="82">
        <f t="shared" si="306"/>
        <v>316</v>
      </c>
      <c r="BL151" s="82">
        <f t="shared" si="307"/>
        <v>84</v>
      </c>
      <c r="BM151" s="82">
        <f t="shared" si="308"/>
        <v>0</v>
      </c>
      <c r="BN151" s="82">
        <f t="shared" si="309"/>
        <v>191</v>
      </c>
      <c r="BO151" s="82">
        <f t="shared" si="310"/>
        <v>0</v>
      </c>
      <c r="BP151" s="82">
        <f t="shared" si="311"/>
        <v>7</v>
      </c>
      <c r="BQ151" s="82"/>
      <c r="BR151" s="129">
        <f>SUMIF('Audit HD AR - School Level'!$B$6:B1245, "=" &amp; A151,'Audit HD AR - School Level'!$Q$6:Q1245)</f>
        <v>0</v>
      </c>
      <c r="BS151" s="224">
        <f t="shared" si="312"/>
        <v>0</v>
      </c>
      <c r="BT151" s="126">
        <f t="shared" si="313"/>
        <v>0</v>
      </c>
      <c r="BU151" s="82">
        <f t="shared" si="314"/>
        <v>312.5</v>
      </c>
    </row>
    <row r="152" spans="1:73">
      <c r="A152" s="1" t="s">
        <v>314</v>
      </c>
      <c r="U152" s="126">
        <v>1079.9000000000001</v>
      </c>
      <c r="X152" s="126">
        <v>0</v>
      </c>
      <c r="Y152" s="126">
        <v>1060</v>
      </c>
      <c r="Z152" s="126">
        <v>0</v>
      </c>
      <c r="AC152" s="126">
        <v>166.6</v>
      </c>
      <c r="AD152" s="126">
        <v>11</v>
      </c>
      <c r="AE152" s="126">
        <v>13.4</v>
      </c>
      <c r="AF152" s="126">
        <v>1085</v>
      </c>
      <c r="AG152" s="126">
        <v>184</v>
      </c>
      <c r="AI152" s="126">
        <v>0</v>
      </c>
      <c r="AJ152" s="126">
        <v>642.5</v>
      </c>
      <c r="AK152" s="132">
        <v>136.5</v>
      </c>
      <c r="AL152" s="126">
        <v>0</v>
      </c>
      <c r="AO152" s="132">
        <v>0</v>
      </c>
      <c r="AP152" s="126">
        <v>0</v>
      </c>
      <c r="AQ152" s="134">
        <v>0</v>
      </c>
      <c r="AR152" s="132">
        <v>0</v>
      </c>
      <c r="AS152" s="134">
        <v>0</v>
      </c>
      <c r="AT152" s="132">
        <v>0</v>
      </c>
      <c r="AU152" s="132">
        <v>0</v>
      </c>
      <c r="AV152" s="83">
        <v>463410</v>
      </c>
      <c r="AW152" s="237">
        <v>43588</v>
      </c>
      <c r="AX152" s="233">
        <f t="shared" si="300"/>
        <v>17</v>
      </c>
      <c r="AY152" s="232" t="s">
        <v>3487</v>
      </c>
      <c r="AZ152" s="233" t="b">
        <f t="shared" si="299"/>
        <v>0</v>
      </c>
      <c r="BA152" s="129"/>
      <c r="BB152" s="129"/>
      <c r="BC152" s="129"/>
      <c r="BD152" s="129"/>
      <c r="BE152" s="82">
        <f t="shared" si="301"/>
        <v>1079.9000000000001</v>
      </c>
      <c r="BF152" s="82">
        <f t="shared" si="302"/>
        <v>0</v>
      </c>
      <c r="BG152" s="82"/>
      <c r="BH152" s="82">
        <f t="shared" si="303"/>
        <v>166.6</v>
      </c>
      <c r="BI152" s="82">
        <f t="shared" si="304"/>
        <v>11</v>
      </c>
      <c r="BJ152" s="82">
        <f t="shared" si="305"/>
        <v>13.4</v>
      </c>
      <c r="BK152" s="82">
        <f t="shared" si="306"/>
        <v>1085</v>
      </c>
      <c r="BL152" s="82">
        <f t="shared" si="307"/>
        <v>184</v>
      </c>
      <c r="BM152" s="82">
        <f t="shared" si="308"/>
        <v>0</v>
      </c>
      <c r="BN152" s="82">
        <f t="shared" si="309"/>
        <v>642.5</v>
      </c>
      <c r="BO152" s="82">
        <f t="shared" si="310"/>
        <v>136.5</v>
      </c>
      <c r="BP152" s="82">
        <f t="shared" si="311"/>
        <v>0</v>
      </c>
      <c r="BQ152" s="82"/>
      <c r="BR152" s="129">
        <f>SUMIF('Audit HD AR - School Level'!$B$6:B1247, "=" &amp; A152,'Audit HD AR - School Level'!$Q$6:Q1247)</f>
        <v>0</v>
      </c>
      <c r="BS152" s="224">
        <f t="shared" si="312"/>
        <v>0</v>
      </c>
      <c r="BT152" s="126">
        <f t="shared" si="313"/>
        <v>0</v>
      </c>
      <c r="BU152" s="82">
        <f t="shared" si="314"/>
        <v>1079.9000000000001</v>
      </c>
    </row>
    <row r="153" spans="1:73">
      <c r="A153" s="1" t="s">
        <v>315</v>
      </c>
      <c r="U153" s="126">
        <v>595.5</v>
      </c>
      <c r="X153" s="126">
        <v>0</v>
      </c>
      <c r="Y153" s="126">
        <v>619</v>
      </c>
      <c r="Z153" s="126">
        <v>0</v>
      </c>
      <c r="AC153" s="126">
        <v>245.7</v>
      </c>
      <c r="AD153" s="126">
        <v>0</v>
      </c>
      <c r="AE153" s="126">
        <v>0</v>
      </c>
      <c r="AF153" s="126">
        <v>604</v>
      </c>
      <c r="AG153" s="126">
        <v>169</v>
      </c>
      <c r="AI153" s="126">
        <v>0</v>
      </c>
      <c r="AJ153" s="126">
        <v>109</v>
      </c>
      <c r="AK153" s="132">
        <v>6</v>
      </c>
      <c r="AL153" s="126">
        <v>32</v>
      </c>
      <c r="AO153" s="132">
        <v>0</v>
      </c>
      <c r="AP153" s="126">
        <v>0</v>
      </c>
      <c r="AQ153" s="134">
        <v>0</v>
      </c>
      <c r="AR153" s="132">
        <v>0</v>
      </c>
      <c r="AS153" s="134">
        <v>0</v>
      </c>
      <c r="AT153" s="132">
        <v>0</v>
      </c>
      <c r="AU153" s="132">
        <v>1</v>
      </c>
      <c r="AV153" s="83">
        <v>152323</v>
      </c>
      <c r="AW153" s="237">
        <v>43588</v>
      </c>
      <c r="AX153" s="233">
        <f t="shared" si="300"/>
        <v>17</v>
      </c>
      <c r="AY153" s="232" t="s">
        <v>3487</v>
      </c>
      <c r="AZ153" s="233" t="b">
        <f t="shared" si="299"/>
        <v>0</v>
      </c>
      <c r="BA153" s="129"/>
      <c r="BB153" s="129"/>
      <c r="BC153" s="129"/>
      <c r="BD153" s="129"/>
      <c r="BE153" s="82">
        <f t="shared" si="301"/>
        <v>595.5</v>
      </c>
      <c r="BF153" s="82">
        <f t="shared" si="302"/>
        <v>0</v>
      </c>
      <c r="BG153" s="82"/>
      <c r="BH153" s="82">
        <f t="shared" si="303"/>
        <v>245.7</v>
      </c>
      <c r="BI153" s="82">
        <f t="shared" si="304"/>
        <v>0</v>
      </c>
      <c r="BJ153" s="82">
        <f t="shared" si="305"/>
        <v>0</v>
      </c>
      <c r="BK153" s="82">
        <f t="shared" si="306"/>
        <v>604</v>
      </c>
      <c r="BL153" s="82">
        <f t="shared" si="307"/>
        <v>169</v>
      </c>
      <c r="BM153" s="82">
        <f t="shared" si="308"/>
        <v>0</v>
      </c>
      <c r="BN153" s="82">
        <f t="shared" si="309"/>
        <v>109</v>
      </c>
      <c r="BO153" s="82">
        <f t="shared" si="310"/>
        <v>6</v>
      </c>
      <c r="BP153" s="82">
        <f t="shared" si="311"/>
        <v>32</v>
      </c>
      <c r="BQ153" s="82"/>
      <c r="BR153" s="129">
        <f>SUMIF('Audit HD AR - School Level'!$B$6:B1248, "=" &amp; A153,'Audit HD AR - School Level'!$Q$6:Q1248)</f>
        <v>0</v>
      </c>
      <c r="BS153" s="224">
        <f t="shared" si="312"/>
        <v>0</v>
      </c>
      <c r="BT153" s="126">
        <f t="shared" si="313"/>
        <v>0</v>
      </c>
      <c r="BU153" s="82">
        <f t="shared" si="314"/>
        <v>595.5</v>
      </c>
    </row>
    <row r="154" spans="1:73">
      <c r="A154" s="1" t="s">
        <v>316</v>
      </c>
      <c r="U154" s="126">
        <v>136.5</v>
      </c>
      <c r="X154" s="126">
        <v>1</v>
      </c>
      <c r="Y154" s="126">
        <v>151.5</v>
      </c>
      <c r="Z154" s="126">
        <v>0</v>
      </c>
      <c r="AC154" s="126">
        <v>66</v>
      </c>
      <c r="AD154" s="126">
        <v>0</v>
      </c>
      <c r="AE154" s="126">
        <v>0</v>
      </c>
      <c r="AF154" s="126">
        <v>140</v>
      </c>
      <c r="AG154" s="126">
        <v>32</v>
      </c>
      <c r="AI154" s="126">
        <v>0</v>
      </c>
      <c r="AJ154" s="126">
        <v>51</v>
      </c>
      <c r="AK154" s="132">
        <v>8</v>
      </c>
      <c r="AL154" s="126">
        <v>9.5</v>
      </c>
      <c r="AO154" s="132">
        <v>0</v>
      </c>
      <c r="AP154" s="126">
        <v>0</v>
      </c>
      <c r="AQ154" s="134">
        <v>0</v>
      </c>
      <c r="AR154" s="132">
        <v>0</v>
      </c>
      <c r="AS154" s="134">
        <v>0</v>
      </c>
      <c r="AT154" s="132">
        <v>0</v>
      </c>
      <c r="AU154" s="132">
        <v>0</v>
      </c>
      <c r="AV154" s="83">
        <v>57389</v>
      </c>
      <c r="AW154" s="237">
        <v>43588</v>
      </c>
      <c r="AX154" s="233">
        <f t="shared" si="300"/>
        <v>17</v>
      </c>
      <c r="AY154" s="232" t="s">
        <v>3487</v>
      </c>
      <c r="AZ154" s="233" t="b">
        <f t="shared" si="299"/>
        <v>0</v>
      </c>
      <c r="BA154" s="129"/>
      <c r="BB154" s="129"/>
      <c r="BC154" s="129"/>
      <c r="BD154" s="129"/>
      <c r="BE154" s="82">
        <f t="shared" si="301"/>
        <v>136.5</v>
      </c>
      <c r="BF154" s="82">
        <f t="shared" si="302"/>
        <v>1</v>
      </c>
      <c r="BG154" s="82"/>
      <c r="BH154" s="82">
        <f t="shared" si="303"/>
        <v>66</v>
      </c>
      <c r="BI154" s="82">
        <f t="shared" si="304"/>
        <v>0</v>
      </c>
      <c r="BJ154" s="82">
        <f t="shared" si="305"/>
        <v>0</v>
      </c>
      <c r="BK154" s="82">
        <f t="shared" si="306"/>
        <v>140</v>
      </c>
      <c r="BL154" s="82">
        <f t="shared" si="307"/>
        <v>32</v>
      </c>
      <c r="BM154" s="82">
        <f t="shared" si="308"/>
        <v>0</v>
      </c>
      <c r="BN154" s="82">
        <f t="shared" si="309"/>
        <v>51</v>
      </c>
      <c r="BO154" s="82">
        <f t="shared" si="310"/>
        <v>8</v>
      </c>
      <c r="BP154" s="82">
        <f t="shared" si="311"/>
        <v>9.5</v>
      </c>
      <c r="BQ154" s="82"/>
      <c r="BR154" s="129">
        <f>SUMIF('Audit HD AR - School Level'!$B$6:B1249, "=" &amp; A154,'Audit HD AR - School Level'!$Q$6:Q1249)</f>
        <v>0</v>
      </c>
      <c r="BS154" s="224">
        <f t="shared" si="312"/>
        <v>0</v>
      </c>
      <c r="BT154" s="126">
        <f t="shared" si="313"/>
        <v>0</v>
      </c>
      <c r="BU154" s="82">
        <f t="shared" si="314"/>
        <v>136.5</v>
      </c>
    </row>
    <row r="155" spans="1:73">
      <c r="A155" s="1" t="s">
        <v>318</v>
      </c>
      <c r="U155" s="126">
        <v>447.1</v>
      </c>
      <c r="X155" s="126">
        <v>0</v>
      </c>
      <c r="Y155" s="126">
        <v>447</v>
      </c>
      <c r="Z155" s="126">
        <v>0</v>
      </c>
      <c r="AC155" s="126">
        <v>209.6</v>
      </c>
      <c r="AD155" s="126">
        <v>0</v>
      </c>
      <c r="AE155" s="126">
        <v>0</v>
      </c>
      <c r="AF155" s="126">
        <v>453</v>
      </c>
      <c r="AG155" s="126">
        <v>77</v>
      </c>
      <c r="AI155" s="126">
        <v>0</v>
      </c>
      <c r="AJ155" s="126">
        <v>278</v>
      </c>
      <c r="AK155" s="132">
        <v>52</v>
      </c>
      <c r="AL155" s="126">
        <v>13</v>
      </c>
      <c r="AO155" s="132">
        <v>0</v>
      </c>
      <c r="AP155" s="126">
        <v>0</v>
      </c>
      <c r="AQ155" s="134">
        <v>0</v>
      </c>
      <c r="AR155" s="132">
        <v>0</v>
      </c>
      <c r="AS155" s="134">
        <v>0</v>
      </c>
      <c r="AT155" s="132">
        <v>0</v>
      </c>
      <c r="AU155" s="132">
        <v>0</v>
      </c>
      <c r="AV155" s="83">
        <v>255715</v>
      </c>
      <c r="AW155" s="237">
        <v>43588</v>
      </c>
      <c r="AX155" s="233">
        <f t="shared" si="300"/>
        <v>17</v>
      </c>
      <c r="AY155" s="232" t="s">
        <v>3487</v>
      </c>
      <c r="AZ155" s="233" t="b">
        <f t="shared" si="299"/>
        <v>0</v>
      </c>
      <c r="BA155" s="129"/>
      <c r="BB155" s="129"/>
      <c r="BC155" s="129"/>
      <c r="BD155" s="129"/>
      <c r="BE155" s="82">
        <f t="shared" si="301"/>
        <v>447.1</v>
      </c>
      <c r="BF155" s="82">
        <f t="shared" si="302"/>
        <v>0</v>
      </c>
      <c r="BG155" s="82"/>
      <c r="BH155" s="82">
        <f t="shared" si="303"/>
        <v>209.6</v>
      </c>
      <c r="BI155" s="82">
        <f t="shared" si="304"/>
        <v>0</v>
      </c>
      <c r="BJ155" s="82">
        <f t="shared" si="305"/>
        <v>0</v>
      </c>
      <c r="BK155" s="82">
        <f t="shared" si="306"/>
        <v>453</v>
      </c>
      <c r="BL155" s="82">
        <f t="shared" si="307"/>
        <v>77</v>
      </c>
      <c r="BM155" s="82">
        <f t="shared" si="308"/>
        <v>0</v>
      </c>
      <c r="BN155" s="82">
        <f t="shared" si="309"/>
        <v>278</v>
      </c>
      <c r="BO155" s="82">
        <f t="shared" si="310"/>
        <v>52</v>
      </c>
      <c r="BP155" s="82">
        <f t="shared" si="311"/>
        <v>13</v>
      </c>
      <c r="BQ155" s="82"/>
      <c r="BR155" s="129">
        <f>SUMIF('Audit HD AR - School Level'!$B$6:B1250, "=" &amp; A155,'Audit HD AR - School Level'!$Q$6:Q1250)</f>
        <v>0</v>
      </c>
      <c r="BS155" s="224">
        <f t="shared" si="312"/>
        <v>0</v>
      </c>
      <c r="BT155" s="126">
        <f t="shared" si="313"/>
        <v>0</v>
      </c>
      <c r="BU155" s="82">
        <f t="shared" si="314"/>
        <v>447.1</v>
      </c>
    </row>
    <row r="156" spans="1:73">
      <c r="A156" s="1" t="s">
        <v>323</v>
      </c>
      <c r="U156" s="126">
        <v>166</v>
      </c>
      <c r="X156" s="126">
        <v>0</v>
      </c>
      <c r="Y156" s="126">
        <v>178</v>
      </c>
      <c r="Z156" s="126">
        <v>0</v>
      </c>
      <c r="AC156" s="126">
        <v>25.6</v>
      </c>
      <c r="AD156" s="126">
        <v>0</v>
      </c>
      <c r="AE156" s="126">
        <v>0</v>
      </c>
      <c r="AF156" s="126">
        <v>154</v>
      </c>
      <c r="AG156" s="126">
        <v>82</v>
      </c>
      <c r="AI156" s="126">
        <v>0</v>
      </c>
      <c r="AJ156" s="126">
        <v>35</v>
      </c>
      <c r="AK156" s="132">
        <v>7</v>
      </c>
      <c r="AL156" s="126">
        <v>21</v>
      </c>
      <c r="AO156" s="132">
        <v>2</v>
      </c>
      <c r="AP156" s="126">
        <v>0</v>
      </c>
      <c r="AQ156" s="134">
        <v>26</v>
      </c>
      <c r="AR156" s="132">
        <v>10</v>
      </c>
      <c r="AS156" s="134">
        <v>23</v>
      </c>
      <c r="AT156" s="132">
        <v>0</v>
      </c>
      <c r="AU156" s="132">
        <v>0</v>
      </c>
      <c r="AV156" s="83">
        <v>101390</v>
      </c>
      <c r="AW156" s="237">
        <v>43588</v>
      </c>
      <c r="AX156" s="233">
        <f t="shared" si="300"/>
        <v>17</v>
      </c>
      <c r="AY156" s="232" t="s">
        <v>3487</v>
      </c>
      <c r="AZ156" s="233" t="b">
        <f t="shared" si="299"/>
        <v>0</v>
      </c>
      <c r="BA156" s="129"/>
      <c r="BB156" s="129"/>
      <c r="BC156" s="129"/>
      <c r="BD156" s="129"/>
      <c r="BE156" s="82">
        <f t="shared" si="301"/>
        <v>154</v>
      </c>
      <c r="BF156" s="82">
        <f t="shared" si="302"/>
        <v>0</v>
      </c>
      <c r="BG156" s="82"/>
      <c r="BH156" s="82">
        <f t="shared" si="303"/>
        <v>25.6</v>
      </c>
      <c r="BI156" s="82">
        <f t="shared" si="304"/>
        <v>0</v>
      </c>
      <c r="BJ156" s="82">
        <f t="shared" si="305"/>
        <v>0</v>
      </c>
      <c r="BK156" s="82">
        <f t="shared" si="306"/>
        <v>154</v>
      </c>
      <c r="BL156" s="82">
        <f t="shared" si="307"/>
        <v>82</v>
      </c>
      <c r="BM156" s="82">
        <f t="shared" si="308"/>
        <v>0</v>
      </c>
      <c r="BN156" s="82">
        <f t="shared" si="309"/>
        <v>35</v>
      </c>
      <c r="BO156" s="82">
        <f t="shared" si="310"/>
        <v>7</v>
      </c>
      <c r="BP156" s="82">
        <f t="shared" si="311"/>
        <v>21</v>
      </c>
      <c r="BQ156" s="82"/>
      <c r="BR156" s="129">
        <f>SUMIF('Audit HD AR - School Level'!$B$6:B1251, "=" &amp; A156,'Audit HD AR - School Level'!$Q$6:Q1251)</f>
        <v>8</v>
      </c>
      <c r="BS156" s="224">
        <f t="shared" si="312"/>
        <v>-2127</v>
      </c>
      <c r="BT156" s="126">
        <f t="shared" si="313"/>
        <v>-2127</v>
      </c>
      <c r="BU156" s="82">
        <f t="shared" si="314"/>
        <v>154</v>
      </c>
    </row>
    <row r="157" spans="1:73">
      <c r="A157" s="1" t="s">
        <v>324</v>
      </c>
      <c r="U157" s="126">
        <v>372</v>
      </c>
      <c r="X157" s="126">
        <v>7</v>
      </c>
      <c r="Y157" s="126">
        <v>382.5</v>
      </c>
      <c r="Z157" s="126">
        <v>0</v>
      </c>
      <c r="AC157" s="126">
        <v>181.3</v>
      </c>
      <c r="AD157" s="126">
        <v>0</v>
      </c>
      <c r="AE157" s="126">
        <v>0</v>
      </c>
      <c r="AF157" s="126">
        <v>393</v>
      </c>
      <c r="AG157" s="126">
        <v>115</v>
      </c>
      <c r="AI157" s="126">
        <v>0</v>
      </c>
      <c r="AJ157" s="126">
        <v>261</v>
      </c>
      <c r="AK157" s="132">
        <v>27</v>
      </c>
      <c r="AL157" s="126">
        <v>105</v>
      </c>
      <c r="AO157" s="132">
        <v>0</v>
      </c>
      <c r="AP157" s="126">
        <v>0</v>
      </c>
      <c r="AQ157" s="134">
        <v>0</v>
      </c>
      <c r="AR157" s="132">
        <v>0</v>
      </c>
      <c r="AS157" s="134">
        <v>0</v>
      </c>
      <c r="AT157" s="132">
        <v>0</v>
      </c>
      <c r="AU157" s="132">
        <v>0</v>
      </c>
      <c r="AV157" s="83">
        <v>397867</v>
      </c>
      <c r="AW157" s="237">
        <v>43588</v>
      </c>
      <c r="AX157" s="233">
        <f t="shared" si="300"/>
        <v>17</v>
      </c>
      <c r="AY157" s="232" t="s">
        <v>3487</v>
      </c>
      <c r="AZ157" s="233" t="b">
        <f t="shared" si="299"/>
        <v>0</v>
      </c>
      <c r="BA157" s="129"/>
      <c r="BB157" s="129"/>
      <c r="BC157" s="129"/>
      <c r="BD157" s="129"/>
      <c r="BE157" s="82">
        <f t="shared" si="301"/>
        <v>372</v>
      </c>
      <c r="BF157" s="82">
        <f t="shared" si="302"/>
        <v>7</v>
      </c>
      <c r="BG157" s="82"/>
      <c r="BH157" s="82">
        <f t="shared" si="303"/>
        <v>181.3</v>
      </c>
      <c r="BI157" s="82">
        <f t="shared" si="304"/>
        <v>0</v>
      </c>
      <c r="BJ157" s="82">
        <f t="shared" si="305"/>
        <v>0</v>
      </c>
      <c r="BK157" s="82">
        <f t="shared" si="306"/>
        <v>393</v>
      </c>
      <c r="BL157" s="82">
        <f t="shared" si="307"/>
        <v>115</v>
      </c>
      <c r="BM157" s="82">
        <f t="shared" si="308"/>
        <v>0</v>
      </c>
      <c r="BN157" s="82">
        <f t="shared" si="309"/>
        <v>261</v>
      </c>
      <c r="BO157" s="82">
        <f t="shared" si="310"/>
        <v>27</v>
      </c>
      <c r="BP157" s="82">
        <f t="shared" si="311"/>
        <v>105</v>
      </c>
      <c r="BQ157" s="82"/>
      <c r="BR157" s="129">
        <f>SUMIF('Audit HD AR - School Level'!$B$6:B1252, "=" &amp; A157,'Audit HD AR - School Level'!$Q$6:Q1252)</f>
        <v>0</v>
      </c>
      <c r="BS157" s="224">
        <f t="shared" si="312"/>
        <v>0</v>
      </c>
      <c r="BT157" s="126">
        <f t="shared" si="313"/>
        <v>0</v>
      </c>
      <c r="BU157" s="82">
        <f t="shared" si="314"/>
        <v>372</v>
      </c>
    </row>
    <row r="158" spans="1:73">
      <c r="A158" s="1" t="s">
        <v>328</v>
      </c>
      <c r="U158" s="126">
        <v>447.5</v>
      </c>
      <c r="X158" s="126">
        <v>7</v>
      </c>
      <c r="Y158" s="126">
        <v>456.5</v>
      </c>
      <c r="Z158" s="126">
        <v>0</v>
      </c>
      <c r="AC158" s="126">
        <v>72.7</v>
      </c>
      <c r="AD158" s="126">
        <v>0</v>
      </c>
      <c r="AE158" s="126">
        <v>0</v>
      </c>
      <c r="AF158" s="126">
        <v>466</v>
      </c>
      <c r="AG158" s="126">
        <v>115</v>
      </c>
      <c r="AI158" s="126">
        <v>0</v>
      </c>
      <c r="AJ158" s="126">
        <v>207.5</v>
      </c>
      <c r="AK158" s="132">
        <v>86</v>
      </c>
      <c r="AL158" s="126">
        <v>59</v>
      </c>
      <c r="AO158" s="132">
        <v>0</v>
      </c>
      <c r="AP158" s="126">
        <v>0</v>
      </c>
      <c r="AQ158" s="134">
        <v>0</v>
      </c>
      <c r="AR158" s="132">
        <v>0</v>
      </c>
      <c r="AS158" s="134">
        <v>0</v>
      </c>
      <c r="AT158" s="132">
        <v>0</v>
      </c>
      <c r="AU158" s="132">
        <v>0</v>
      </c>
      <c r="AV158" s="83">
        <v>226230</v>
      </c>
      <c r="AW158" s="237">
        <v>43588</v>
      </c>
      <c r="AX158" s="233">
        <f t="shared" si="300"/>
        <v>17</v>
      </c>
      <c r="AY158" s="232" t="s">
        <v>3487</v>
      </c>
      <c r="AZ158" s="233" t="b">
        <f t="shared" si="299"/>
        <v>0</v>
      </c>
      <c r="BA158" s="129"/>
      <c r="BB158" s="129"/>
      <c r="BC158" s="129"/>
      <c r="BD158" s="129"/>
      <c r="BE158" s="82">
        <f t="shared" si="301"/>
        <v>447.5</v>
      </c>
      <c r="BF158" s="82">
        <f t="shared" si="302"/>
        <v>7</v>
      </c>
      <c r="BG158" s="82"/>
      <c r="BH158" s="82">
        <f t="shared" si="303"/>
        <v>72.7</v>
      </c>
      <c r="BI158" s="82">
        <f t="shared" si="304"/>
        <v>0</v>
      </c>
      <c r="BJ158" s="82">
        <f t="shared" si="305"/>
        <v>0</v>
      </c>
      <c r="BK158" s="82">
        <f t="shared" si="306"/>
        <v>466</v>
      </c>
      <c r="BL158" s="82">
        <f t="shared" si="307"/>
        <v>115</v>
      </c>
      <c r="BM158" s="82">
        <f t="shared" si="308"/>
        <v>0</v>
      </c>
      <c r="BN158" s="82">
        <f t="shared" si="309"/>
        <v>207.5</v>
      </c>
      <c r="BO158" s="82">
        <f t="shared" si="310"/>
        <v>86</v>
      </c>
      <c r="BP158" s="82">
        <f t="shared" si="311"/>
        <v>59</v>
      </c>
      <c r="BQ158" s="82"/>
      <c r="BR158" s="129">
        <f>SUMIF('Audit HD AR - School Level'!$B$6:B1253, "=" &amp; A158,'Audit HD AR - School Level'!$Q$6:Q1253)</f>
        <v>0</v>
      </c>
      <c r="BS158" s="224">
        <f t="shared" si="312"/>
        <v>0</v>
      </c>
      <c r="BT158" s="126">
        <f t="shared" si="313"/>
        <v>0</v>
      </c>
      <c r="BU158" s="82">
        <f t="shared" si="314"/>
        <v>447.5</v>
      </c>
    </row>
    <row r="159" spans="1:73">
      <c r="A159" s="1" t="s">
        <v>333</v>
      </c>
      <c r="U159" s="126">
        <v>353.5</v>
      </c>
      <c r="X159" s="126">
        <v>6</v>
      </c>
      <c r="Y159" s="126">
        <v>364</v>
      </c>
      <c r="Z159" s="126">
        <v>0</v>
      </c>
      <c r="AC159" s="126">
        <v>84.8</v>
      </c>
      <c r="AD159" s="126">
        <v>0</v>
      </c>
      <c r="AE159" s="126">
        <v>0</v>
      </c>
      <c r="AF159" s="126">
        <v>366</v>
      </c>
      <c r="AG159" s="126">
        <v>134</v>
      </c>
      <c r="AI159" s="126">
        <v>0</v>
      </c>
      <c r="AJ159" s="126">
        <v>55</v>
      </c>
      <c r="AK159" s="132">
        <v>0</v>
      </c>
      <c r="AL159" s="126">
        <v>18</v>
      </c>
      <c r="AO159" s="132">
        <v>0</v>
      </c>
      <c r="AP159" s="126">
        <v>0</v>
      </c>
      <c r="AQ159" s="134">
        <v>0</v>
      </c>
      <c r="AR159" s="132">
        <v>0</v>
      </c>
      <c r="AS159" s="134">
        <v>0</v>
      </c>
      <c r="AT159" s="132">
        <v>0</v>
      </c>
      <c r="AU159" s="132">
        <v>0</v>
      </c>
      <c r="AV159" s="83">
        <v>53941</v>
      </c>
      <c r="AW159" s="237">
        <v>43588</v>
      </c>
      <c r="AX159" s="233">
        <f t="shared" si="300"/>
        <v>17</v>
      </c>
      <c r="AY159" s="232" t="s">
        <v>3487</v>
      </c>
      <c r="AZ159" s="233" t="b">
        <f t="shared" si="299"/>
        <v>0</v>
      </c>
      <c r="BA159" s="129"/>
      <c r="BB159" s="129"/>
      <c r="BC159" s="129"/>
      <c r="BD159" s="129"/>
      <c r="BE159" s="82">
        <f t="shared" si="301"/>
        <v>353.5</v>
      </c>
      <c r="BF159" s="82">
        <f t="shared" si="302"/>
        <v>6</v>
      </c>
      <c r="BG159" s="82"/>
      <c r="BH159" s="82">
        <f t="shared" si="303"/>
        <v>84.8</v>
      </c>
      <c r="BI159" s="82">
        <f t="shared" si="304"/>
        <v>0</v>
      </c>
      <c r="BJ159" s="82">
        <f t="shared" si="305"/>
        <v>0</v>
      </c>
      <c r="BK159" s="82">
        <f t="shared" si="306"/>
        <v>366</v>
      </c>
      <c r="BL159" s="82">
        <f t="shared" si="307"/>
        <v>134</v>
      </c>
      <c r="BM159" s="82">
        <f t="shared" si="308"/>
        <v>0</v>
      </c>
      <c r="BN159" s="82">
        <f t="shared" si="309"/>
        <v>55</v>
      </c>
      <c r="BO159" s="82">
        <f t="shared" si="310"/>
        <v>0</v>
      </c>
      <c r="BP159" s="82">
        <f t="shared" si="311"/>
        <v>18</v>
      </c>
      <c r="BQ159" s="82"/>
      <c r="BR159" s="129">
        <f>SUMIF('Audit HD AR - School Level'!$B$6:B1254, "=" &amp; A159,'Audit HD AR - School Level'!$Q$6:Q1254)</f>
        <v>2.8</v>
      </c>
      <c r="BS159" s="224">
        <f t="shared" si="312"/>
        <v>0</v>
      </c>
      <c r="BT159" s="126">
        <f t="shared" si="313"/>
        <v>0</v>
      </c>
      <c r="BU159" s="82">
        <f t="shared" si="314"/>
        <v>353.5</v>
      </c>
    </row>
    <row r="160" spans="1:73">
      <c r="A160" s="1" t="s">
        <v>335</v>
      </c>
      <c r="U160" s="126">
        <v>569.79999999999995</v>
      </c>
      <c r="X160" s="126">
        <v>7</v>
      </c>
      <c r="Y160" s="126">
        <v>577.79999999999995</v>
      </c>
      <c r="Z160" s="126">
        <v>0</v>
      </c>
      <c r="AC160" s="126">
        <v>123.9</v>
      </c>
      <c r="AD160" s="126">
        <v>8</v>
      </c>
      <c r="AE160" s="126">
        <v>0.4</v>
      </c>
      <c r="AF160" s="126">
        <v>589</v>
      </c>
      <c r="AG160" s="126">
        <v>269</v>
      </c>
      <c r="AI160" s="126">
        <v>0</v>
      </c>
      <c r="AJ160" s="126">
        <v>326</v>
      </c>
      <c r="AK160" s="132">
        <v>72</v>
      </c>
      <c r="AL160" s="126">
        <v>37</v>
      </c>
      <c r="AO160" s="132">
        <v>4</v>
      </c>
      <c r="AP160" s="126">
        <v>0</v>
      </c>
      <c r="AQ160" s="134">
        <v>0</v>
      </c>
      <c r="AR160" s="132">
        <v>0</v>
      </c>
      <c r="AS160" s="134">
        <v>0</v>
      </c>
      <c r="AT160" s="132">
        <v>0</v>
      </c>
      <c r="AU160" s="132">
        <v>0</v>
      </c>
      <c r="AV160" s="83">
        <v>311450</v>
      </c>
      <c r="AW160" s="237">
        <v>43588</v>
      </c>
      <c r="AX160" s="233">
        <f t="shared" si="300"/>
        <v>17</v>
      </c>
      <c r="AY160" s="232" t="s">
        <v>3487</v>
      </c>
      <c r="AZ160" s="233" t="b">
        <f t="shared" si="299"/>
        <v>0</v>
      </c>
      <c r="BA160" s="129"/>
      <c r="BB160" s="129"/>
      <c r="BC160" s="129"/>
      <c r="BD160" s="129"/>
      <c r="BE160" s="82">
        <f t="shared" si="301"/>
        <v>565.79999999999995</v>
      </c>
      <c r="BF160" s="82">
        <f t="shared" si="302"/>
        <v>7</v>
      </c>
      <c r="BG160" s="82"/>
      <c r="BH160" s="82">
        <f t="shared" si="303"/>
        <v>123.9</v>
      </c>
      <c r="BI160" s="82">
        <f t="shared" si="304"/>
        <v>8</v>
      </c>
      <c r="BJ160" s="82">
        <f t="shared" si="305"/>
        <v>0.4</v>
      </c>
      <c r="BK160" s="82">
        <f t="shared" si="306"/>
        <v>589</v>
      </c>
      <c r="BL160" s="82">
        <f t="shared" si="307"/>
        <v>269</v>
      </c>
      <c r="BM160" s="82">
        <f t="shared" si="308"/>
        <v>0</v>
      </c>
      <c r="BN160" s="82">
        <f t="shared" si="309"/>
        <v>326</v>
      </c>
      <c r="BO160" s="82">
        <f t="shared" si="310"/>
        <v>72</v>
      </c>
      <c r="BP160" s="82">
        <f t="shared" si="311"/>
        <v>37</v>
      </c>
      <c r="BQ160" s="82"/>
      <c r="BR160" s="129">
        <f>SUMIF('Audit HD AR - School Level'!$B$6:B1255, "=" &amp; A160,'Audit HD AR - School Level'!$Q$6:Q1255)</f>
        <v>21</v>
      </c>
      <c r="BS160" s="224">
        <f t="shared" si="312"/>
        <v>0</v>
      </c>
      <c r="BT160" s="126">
        <f t="shared" si="313"/>
        <v>0</v>
      </c>
      <c r="BU160" s="82">
        <f t="shared" si="314"/>
        <v>565.79999999999995</v>
      </c>
    </row>
    <row r="161" spans="1:73">
      <c r="A161" s="1" t="s">
        <v>337</v>
      </c>
      <c r="U161" s="126">
        <v>1349</v>
      </c>
      <c r="X161" s="126">
        <v>10</v>
      </c>
      <c r="Y161" s="126">
        <v>1387.7</v>
      </c>
      <c r="Z161" s="126">
        <v>0</v>
      </c>
      <c r="AC161" s="126">
        <v>362.3</v>
      </c>
      <c r="AD161" s="126">
        <v>0</v>
      </c>
      <c r="AE161" s="126">
        <v>0</v>
      </c>
      <c r="AF161" s="126">
        <v>1379.6</v>
      </c>
      <c r="AG161" s="126">
        <v>283</v>
      </c>
      <c r="AI161" s="126">
        <v>0</v>
      </c>
      <c r="AJ161" s="126">
        <v>446</v>
      </c>
      <c r="AK161" s="132">
        <v>46</v>
      </c>
      <c r="AL161" s="126">
        <v>0</v>
      </c>
      <c r="AO161" s="132">
        <v>2</v>
      </c>
      <c r="AP161" s="126">
        <v>3.7</v>
      </c>
      <c r="AQ161" s="134">
        <v>1.5</v>
      </c>
      <c r="AR161" s="132">
        <v>0.4</v>
      </c>
      <c r="AS161" s="134">
        <v>0</v>
      </c>
      <c r="AT161" s="132">
        <v>0</v>
      </c>
      <c r="AU161" s="132">
        <v>0</v>
      </c>
      <c r="AV161" s="83">
        <v>455650</v>
      </c>
      <c r="AW161" s="237">
        <v>43588</v>
      </c>
      <c r="AX161" s="233">
        <f t="shared" si="300"/>
        <v>17</v>
      </c>
      <c r="AY161" s="232" t="s">
        <v>3487</v>
      </c>
      <c r="AZ161" s="233" t="b">
        <f t="shared" si="299"/>
        <v>0</v>
      </c>
      <c r="BA161" s="129"/>
      <c r="BB161" s="129"/>
      <c r="BC161" s="129"/>
      <c r="BD161" s="129"/>
      <c r="BE161" s="82">
        <f t="shared" si="301"/>
        <v>1342.9</v>
      </c>
      <c r="BF161" s="82">
        <f t="shared" si="302"/>
        <v>10</v>
      </c>
      <c r="BG161" s="82"/>
      <c r="BH161" s="82">
        <f t="shared" si="303"/>
        <v>362.3</v>
      </c>
      <c r="BI161" s="82">
        <f t="shared" si="304"/>
        <v>0</v>
      </c>
      <c r="BJ161" s="82">
        <f t="shared" si="305"/>
        <v>0</v>
      </c>
      <c r="BK161" s="82">
        <f t="shared" si="306"/>
        <v>1379.6</v>
      </c>
      <c r="BL161" s="82">
        <f t="shared" si="307"/>
        <v>283</v>
      </c>
      <c r="BM161" s="82">
        <f t="shared" si="308"/>
        <v>0</v>
      </c>
      <c r="BN161" s="82">
        <f t="shared" si="309"/>
        <v>446</v>
      </c>
      <c r="BO161" s="82">
        <f t="shared" si="310"/>
        <v>46</v>
      </c>
      <c r="BP161" s="82">
        <f t="shared" si="311"/>
        <v>0</v>
      </c>
      <c r="BQ161" s="82"/>
      <c r="BR161" s="129">
        <f>SUMIF('Audit HD AR - School Level'!$B$6:B1256, "=" &amp; A161,'Audit HD AR - School Level'!$Q$6:Q1256)</f>
        <v>0</v>
      </c>
      <c r="BS161" s="224">
        <f t="shared" si="312"/>
        <v>-1064</v>
      </c>
      <c r="BT161" s="126">
        <f t="shared" si="313"/>
        <v>-1064</v>
      </c>
      <c r="BU161" s="82">
        <f t="shared" si="314"/>
        <v>1342.9</v>
      </c>
    </row>
    <row r="162" spans="1:73">
      <c r="A162" s="1" t="s">
        <v>338</v>
      </c>
      <c r="U162" s="126">
        <v>243.8</v>
      </c>
      <c r="X162" s="126">
        <v>6.5</v>
      </c>
      <c r="Y162" s="126">
        <v>236.3</v>
      </c>
      <c r="Z162" s="126">
        <v>0</v>
      </c>
      <c r="AC162" s="126">
        <v>84.5</v>
      </c>
      <c r="AD162" s="126">
        <v>20</v>
      </c>
      <c r="AE162" s="126">
        <v>27.9</v>
      </c>
      <c r="AF162" s="126">
        <v>263</v>
      </c>
      <c r="AG162" s="126">
        <v>102</v>
      </c>
      <c r="AI162" s="126">
        <v>0</v>
      </c>
      <c r="AJ162" s="126">
        <v>9</v>
      </c>
      <c r="AK162" s="132">
        <v>1</v>
      </c>
      <c r="AL162" s="126">
        <v>0</v>
      </c>
      <c r="AO162" s="132">
        <v>0</v>
      </c>
      <c r="AP162" s="126">
        <v>0</v>
      </c>
      <c r="AQ162" s="134">
        <v>0</v>
      </c>
      <c r="AR162" s="132">
        <v>0</v>
      </c>
      <c r="AS162" s="134">
        <v>0</v>
      </c>
      <c r="AT162" s="132">
        <v>0</v>
      </c>
      <c r="AU162" s="132">
        <v>0</v>
      </c>
      <c r="AV162" s="83">
        <v>14839</v>
      </c>
      <c r="AW162" s="237">
        <v>43588</v>
      </c>
      <c r="AX162" s="233">
        <f t="shared" si="300"/>
        <v>17</v>
      </c>
      <c r="AY162" s="232" t="s">
        <v>3487</v>
      </c>
      <c r="AZ162" s="233" t="b">
        <f t="shared" si="299"/>
        <v>0</v>
      </c>
      <c r="BA162" s="129"/>
      <c r="BB162" s="129"/>
      <c r="BC162" s="129"/>
      <c r="BD162" s="129"/>
      <c r="BE162" s="82">
        <f t="shared" si="301"/>
        <v>243.8</v>
      </c>
      <c r="BF162" s="82">
        <f t="shared" si="302"/>
        <v>6.5</v>
      </c>
      <c r="BG162" s="82"/>
      <c r="BH162" s="82">
        <f t="shared" si="303"/>
        <v>84.5</v>
      </c>
      <c r="BI162" s="82">
        <f t="shared" si="304"/>
        <v>20</v>
      </c>
      <c r="BJ162" s="82">
        <f t="shared" si="305"/>
        <v>27.9</v>
      </c>
      <c r="BK162" s="82">
        <f t="shared" si="306"/>
        <v>263</v>
      </c>
      <c r="BL162" s="82">
        <f t="shared" si="307"/>
        <v>102</v>
      </c>
      <c r="BM162" s="82">
        <f t="shared" si="308"/>
        <v>0</v>
      </c>
      <c r="BN162" s="82">
        <f t="shared" si="309"/>
        <v>9</v>
      </c>
      <c r="BO162" s="82">
        <f t="shared" si="310"/>
        <v>1</v>
      </c>
      <c r="BP162" s="82">
        <f t="shared" si="311"/>
        <v>0</v>
      </c>
      <c r="BQ162" s="82"/>
      <c r="BR162" s="129">
        <f>SUMIF('Audit HD AR - School Level'!$B$6:B1257, "=" &amp; A162,'Audit HD AR - School Level'!$Q$6:Q1257)</f>
        <v>8.6</v>
      </c>
      <c r="BS162" s="224">
        <f t="shared" si="312"/>
        <v>0</v>
      </c>
      <c r="BT162" s="126">
        <f t="shared" si="313"/>
        <v>0</v>
      </c>
      <c r="BU162" s="82">
        <f t="shared" si="314"/>
        <v>243.8</v>
      </c>
    </row>
    <row r="163" spans="1:73">
      <c r="A163" s="1" t="s">
        <v>342</v>
      </c>
      <c r="U163" s="126">
        <v>1552.4</v>
      </c>
      <c r="X163" s="126">
        <v>2.5</v>
      </c>
      <c r="Y163" s="126">
        <v>1592</v>
      </c>
      <c r="Z163" s="126">
        <v>0</v>
      </c>
      <c r="AC163" s="126">
        <v>276.10000000000002</v>
      </c>
      <c r="AD163" s="126">
        <v>21</v>
      </c>
      <c r="AE163" s="126">
        <v>7.6</v>
      </c>
      <c r="AF163" s="126">
        <v>1575</v>
      </c>
      <c r="AG163" s="126">
        <v>695</v>
      </c>
      <c r="AI163" s="126">
        <v>0</v>
      </c>
      <c r="AJ163" s="126">
        <v>213</v>
      </c>
      <c r="AK163" s="132">
        <v>8</v>
      </c>
      <c r="AL163" s="126">
        <v>12</v>
      </c>
      <c r="AO163" s="132">
        <v>0</v>
      </c>
      <c r="AP163" s="126">
        <v>0</v>
      </c>
      <c r="AQ163" s="134">
        <v>0</v>
      </c>
      <c r="AR163" s="132">
        <v>0</v>
      </c>
      <c r="AS163" s="134">
        <v>0</v>
      </c>
      <c r="AT163" s="132">
        <v>0</v>
      </c>
      <c r="AU163" s="132">
        <v>0</v>
      </c>
      <c r="AV163" s="83">
        <v>285957</v>
      </c>
      <c r="AW163" s="237">
        <v>43588</v>
      </c>
      <c r="AX163" s="233">
        <f t="shared" si="300"/>
        <v>17</v>
      </c>
      <c r="AY163" s="232" t="s">
        <v>3487</v>
      </c>
      <c r="AZ163" s="233" t="b">
        <f t="shared" si="299"/>
        <v>0</v>
      </c>
      <c r="BA163" s="129"/>
      <c r="BB163" s="129"/>
      <c r="BC163" s="129"/>
      <c r="BD163" s="129"/>
      <c r="BE163" s="82">
        <f t="shared" si="301"/>
        <v>1552.4</v>
      </c>
      <c r="BF163" s="82">
        <f t="shared" si="302"/>
        <v>2.5</v>
      </c>
      <c r="BG163" s="82"/>
      <c r="BH163" s="82">
        <f t="shared" si="303"/>
        <v>276.10000000000002</v>
      </c>
      <c r="BI163" s="82">
        <f t="shared" si="304"/>
        <v>21</v>
      </c>
      <c r="BJ163" s="82">
        <f t="shared" si="305"/>
        <v>7.6</v>
      </c>
      <c r="BK163" s="82">
        <f t="shared" si="306"/>
        <v>1575</v>
      </c>
      <c r="BL163" s="82">
        <f t="shared" si="307"/>
        <v>695</v>
      </c>
      <c r="BM163" s="82">
        <f t="shared" si="308"/>
        <v>0</v>
      </c>
      <c r="BN163" s="82">
        <f t="shared" si="309"/>
        <v>213</v>
      </c>
      <c r="BO163" s="82">
        <f t="shared" si="310"/>
        <v>8</v>
      </c>
      <c r="BP163" s="82">
        <f t="shared" si="311"/>
        <v>12</v>
      </c>
      <c r="BQ163" s="82"/>
      <c r="BR163" s="129">
        <f>SUMIF('Audit HD AR - School Level'!$B$6:B1257, "=" &amp; A163,'Audit HD AR - School Level'!$Q$6:Q1257)</f>
        <v>40.200000000000003</v>
      </c>
      <c r="BS163" s="224">
        <f t="shared" si="312"/>
        <v>0</v>
      </c>
      <c r="BT163" s="126">
        <f t="shared" si="313"/>
        <v>0</v>
      </c>
      <c r="BU163" s="82">
        <f t="shared" si="314"/>
        <v>1552.4</v>
      </c>
    </row>
    <row r="164" spans="1:73">
      <c r="A164" s="1" t="s">
        <v>364</v>
      </c>
      <c r="U164" s="126">
        <v>479</v>
      </c>
      <c r="X164" s="126">
        <v>4</v>
      </c>
      <c r="Y164" s="126">
        <v>515</v>
      </c>
      <c r="Z164" s="126">
        <v>0</v>
      </c>
      <c r="AC164" s="126">
        <v>100.8</v>
      </c>
      <c r="AD164" s="126">
        <v>2</v>
      </c>
      <c r="AE164" s="126">
        <v>0</v>
      </c>
      <c r="AF164" s="126">
        <v>490</v>
      </c>
      <c r="AG164" s="126">
        <v>157</v>
      </c>
      <c r="AI164" s="126">
        <v>0</v>
      </c>
      <c r="AJ164" s="126">
        <v>296.5</v>
      </c>
      <c r="AK164" s="132">
        <v>109</v>
      </c>
      <c r="AL164" s="126">
        <v>84</v>
      </c>
      <c r="AO164" s="132">
        <v>0</v>
      </c>
      <c r="AP164" s="126">
        <v>0</v>
      </c>
      <c r="AQ164" s="134">
        <v>0</v>
      </c>
      <c r="AR164" s="132">
        <v>0</v>
      </c>
      <c r="AS164" s="134">
        <v>0</v>
      </c>
      <c r="AT164" s="132">
        <v>0</v>
      </c>
      <c r="AU164" s="132">
        <v>0</v>
      </c>
      <c r="AV164" s="83">
        <v>605658</v>
      </c>
      <c r="AW164" s="237">
        <v>43588</v>
      </c>
      <c r="AX164" s="233">
        <f t="shared" si="300"/>
        <v>17</v>
      </c>
      <c r="AY164" s="232" t="s">
        <v>3487</v>
      </c>
      <c r="AZ164" s="233" t="b">
        <f t="shared" si="299"/>
        <v>0</v>
      </c>
      <c r="BA164" s="129"/>
      <c r="BB164" s="129"/>
      <c r="BC164" s="129"/>
      <c r="BD164" s="129"/>
      <c r="BE164" s="82">
        <f t="shared" si="301"/>
        <v>479</v>
      </c>
      <c r="BF164" s="82">
        <f t="shared" si="302"/>
        <v>4</v>
      </c>
      <c r="BG164" s="82"/>
      <c r="BH164" s="82">
        <f t="shared" si="303"/>
        <v>100.8</v>
      </c>
      <c r="BI164" s="82">
        <f t="shared" si="304"/>
        <v>2</v>
      </c>
      <c r="BJ164" s="82">
        <f t="shared" si="305"/>
        <v>0</v>
      </c>
      <c r="BK164" s="82">
        <f t="shared" si="306"/>
        <v>490</v>
      </c>
      <c r="BL164" s="82">
        <f t="shared" si="307"/>
        <v>157</v>
      </c>
      <c r="BM164" s="82">
        <f t="shared" si="308"/>
        <v>0</v>
      </c>
      <c r="BN164" s="82">
        <f t="shared" si="309"/>
        <v>296.5</v>
      </c>
      <c r="BO164" s="82">
        <f t="shared" si="310"/>
        <v>109</v>
      </c>
      <c r="BP164" s="82">
        <f t="shared" si="311"/>
        <v>84</v>
      </c>
      <c r="BQ164" s="82"/>
      <c r="BR164" s="129">
        <f>SUMIF('Audit HD AR - School Level'!$B$6:B1259, "=" &amp; A164,'Audit HD AR - School Level'!$Q$6:Q1259)</f>
        <v>0</v>
      </c>
      <c r="BS164" s="224">
        <f t="shared" si="312"/>
        <v>0</v>
      </c>
      <c r="BT164" s="126">
        <f t="shared" si="313"/>
        <v>0</v>
      </c>
      <c r="BU164" s="82">
        <f t="shared" si="314"/>
        <v>479</v>
      </c>
    </row>
    <row r="165" spans="1:73">
      <c r="A165" s="1" t="s">
        <v>368</v>
      </c>
      <c r="U165" s="126">
        <v>318.5</v>
      </c>
      <c r="X165" s="126">
        <v>4.5</v>
      </c>
      <c r="Y165" s="126">
        <v>358.5</v>
      </c>
      <c r="Z165" s="126">
        <v>0</v>
      </c>
      <c r="AC165" s="126">
        <v>96.9</v>
      </c>
      <c r="AD165" s="126">
        <v>15</v>
      </c>
      <c r="AE165" s="126">
        <v>25</v>
      </c>
      <c r="AF165" s="126">
        <v>328</v>
      </c>
      <c r="AG165" s="126">
        <v>67</v>
      </c>
      <c r="AI165" s="126">
        <v>0</v>
      </c>
      <c r="AJ165" s="126">
        <v>61</v>
      </c>
      <c r="AK165" s="132">
        <v>0</v>
      </c>
      <c r="AL165" s="126">
        <v>111</v>
      </c>
      <c r="AO165" s="132">
        <v>0</v>
      </c>
      <c r="AP165" s="126">
        <v>0</v>
      </c>
      <c r="AQ165" s="134">
        <v>0</v>
      </c>
      <c r="AR165" s="132">
        <v>0</v>
      </c>
      <c r="AS165" s="134">
        <v>0</v>
      </c>
      <c r="AT165" s="132">
        <v>0</v>
      </c>
      <c r="AU165" s="132">
        <v>0</v>
      </c>
      <c r="AV165" s="83">
        <v>122960</v>
      </c>
      <c r="AW165" s="237">
        <v>43588</v>
      </c>
      <c r="AX165" s="233">
        <f t="shared" si="300"/>
        <v>17</v>
      </c>
      <c r="AY165" s="232" t="s">
        <v>3487</v>
      </c>
      <c r="AZ165" s="233" t="b">
        <f t="shared" si="299"/>
        <v>0</v>
      </c>
      <c r="BA165" s="129"/>
      <c r="BB165" s="129"/>
      <c r="BC165" s="129"/>
      <c r="BD165" s="129"/>
      <c r="BE165" s="82">
        <f t="shared" si="301"/>
        <v>318.5</v>
      </c>
      <c r="BF165" s="82">
        <f t="shared" si="302"/>
        <v>4.5</v>
      </c>
      <c r="BG165" s="82"/>
      <c r="BH165" s="82">
        <f t="shared" si="303"/>
        <v>96.9</v>
      </c>
      <c r="BI165" s="82">
        <f t="shared" si="304"/>
        <v>15</v>
      </c>
      <c r="BJ165" s="82">
        <f t="shared" si="305"/>
        <v>25</v>
      </c>
      <c r="BK165" s="82">
        <f t="shared" si="306"/>
        <v>328</v>
      </c>
      <c r="BL165" s="82">
        <f t="shared" si="307"/>
        <v>67</v>
      </c>
      <c r="BM165" s="82">
        <f t="shared" si="308"/>
        <v>0</v>
      </c>
      <c r="BN165" s="82">
        <f t="shared" si="309"/>
        <v>61</v>
      </c>
      <c r="BO165" s="82">
        <f t="shared" si="310"/>
        <v>0</v>
      </c>
      <c r="BP165" s="82">
        <f t="shared" si="311"/>
        <v>111</v>
      </c>
      <c r="BQ165" s="82"/>
      <c r="BR165" s="129">
        <f>SUMIF('Audit HD AR - School Level'!$B$6:B1259, "=" &amp; A165,'Audit HD AR - School Level'!$Q$6:Q1259)</f>
        <v>0</v>
      </c>
      <c r="BS165" s="224">
        <f t="shared" si="312"/>
        <v>0</v>
      </c>
      <c r="BT165" s="126">
        <f t="shared" si="313"/>
        <v>0</v>
      </c>
      <c r="BU165" s="82">
        <f t="shared" si="314"/>
        <v>318.5</v>
      </c>
    </row>
    <row r="166" spans="1:73">
      <c r="A166" s="1" t="s">
        <v>380</v>
      </c>
      <c r="U166" s="126">
        <v>1577.7</v>
      </c>
      <c r="X166" s="126">
        <v>17</v>
      </c>
      <c r="Y166" s="126">
        <v>1550.5</v>
      </c>
      <c r="Z166" s="126">
        <v>0</v>
      </c>
      <c r="AC166" s="126">
        <v>325.2</v>
      </c>
      <c r="AD166" s="126">
        <v>36</v>
      </c>
      <c r="AE166" s="126">
        <v>56</v>
      </c>
      <c r="AF166" s="126">
        <v>1594</v>
      </c>
      <c r="AG166" s="126">
        <v>326</v>
      </c>
      <c r="AI166" s="126">
        <v>0</v>
      </c>
      <c r="AJ166" s="126">
        <v>580</v>
      </c>
      <c r="AK166" s="132">
        <v>7</v>
      </c>
      <c r="AL166" s="126">
        <v>16</v>
      </c>
      <c r="AO166" s="132">
        <v>22</v>
      </c>
      <c r="AP166" s="126">
        <v>0</v>
      </c>
      <c r="AQ166" s="134">
        <v>21</v>
      </c>
      <c r="AR166" s="132">
        <v>14</v>
      </c>
      <c r="AS166" s="134">
        <v>18</v>
      </c>
      <c r="AT166" s="132">
        <v>18</v>
      </c>
      <c r="AU166" s="132">
        <v>0</v>
      </c>
      <c r="AV166" s="83">
        <v>235807</v>
      </c>
      <c r="AW166" s="237">
        <v>43588</v>
      </c>
      <c r="AX166" s="233">
        <f t="shared" si="300"/>
        <v>17</v>
      </c>
      <c r="AY166" s="232" t="s">
        <v>3487</v>
      </c>
      <c r="AZ166" s="233" t="b">
        <f t="shared" si="299"/>
        <v>0</v>
      </c>
      <c r="BA166" s="129"/>
      <c r="BB166" s="129"/>
      <c r="BC166" s="129"/>
      <c r="BD166" s="129"/>
      <c r="BE166" s="82">
        <f t="shared" si="301"/>
        <v>1541.7</v>
      </c>
      <c r="BF166" s="82">
        <f t="shared" si="302"/>
        <v>17</v>
      </c>
      <c r="BG166" s="82"/>
      <c r="BH166" s="82">
        <f t="shared" si="303"/>
        <v>325.2</v>
      </c>
      <c r="BI166" s="82">
        <f t="shared" si="304"/>
        <v>36</v>
      </c>
      <c r="BJ166" s="82">
        <f t="shared" si="305"/>
        <v>56</v>
      </c>
      <c r="BK166" s="82">
        <f t="shared" si="306"/>
        <v>1594</v>
      </c>
      <c r="BL166" s="82">
        <f t="shared" si="307"/>
        <v>326</v>
      </c>
      <c r="BM166" s="82">
        <f t="shared" si="308"/>
        <v>0</v>
      </c>
      <c r="BN166" s="82">
        <f t="shared" si="309"/>
        <v>580</v>
      </c>
      <c r="BO166" s="82">
        <f t="shared" si="310"/>
        <v>7</v>
      </c>
      <c r="BP166" s="82">
        <f t="shared" si="311"/>
        <v>16</v>
      </c>
      <c r="BQ166" s="82"/>
      <c r="BR166" s="129">
        <f>SUMIF('Audit HD AR - School Level'!$B$6:B1260, "=" &amp; A166,'Audit HD AR - School Level'!$Q$6:Q1260)</f>
        <v>0</v>
      </c>
      <c r="BS166" s="224">
        <f t="shared" si="312"/>
        <v>-2127</v>
      </c>
      <c r="BT166" s="126">
        <f t="shared" si="313"/>
        <v>-2127</v>
      </c>
      <c r="BU166" s="82">
        <f t="shared" si="314"/>
        <v>1541.7</v>
      </c>
    </row>
    <row r="167" spans="1:73">
      <c r="A167" s="1" t="s">
        <v>381</v>
      </c>
      <c r="U167" s="126">
        <v>260</v>
      </c>
      <c r="X167" s="126">
        <v>0</v>
      </c>
      <c r="Y167" s="126">
        <v>287.5</v>
      </c>
      <c r="Z167" s="126">
        <v>0</v>
      </c>
      <c r="AC167" s="126">
        <v>126.2</v>
      </c>
      <c r="AD167" s="126">
        <v>0</v>
      </c>
      <c r="AE167" s="126">
        <v>0</v>
      </c>
      <c r="AF167" s="126">
        <v>261</v>
      </c>
      <c r="AG167" s="126">
        <v>106</v>
      </c>
      <c r="AI167" s="126">
        <v>0</v>
      </c>
      <c r="AJ167" s="126">
        <v>69</v>
      </c>
      <c r="AK167" s="132">
        <v>0</v>
      </c>
      <c r="AL167" s="126">
        <v>0</v>
      </c>
      <c r="AO167" s="132">
        <v>0</v>
      </c>
      <c r="AP167" s="126">
        <v>0</v>
      </c>
      <c r="AQ167" s="134">
        <v>0</v>
      </c>
      <c r="AR167" s="132">
        <v>0</v>
      </c>
      <c r="AS167" s="134">
        <v>0</v>
      </c>
      <c r="AT167" s="132">
        <v>0</v>
      </c>
      <c r="AU167" s="132">
        <v>1</v>
      </c>
      <c r="AV167" s="83">
        <v>163924</v>
      </c>
      <c r="AW167" s="237">
        <v>43588</v>
      </c>
      <c r="AX167" s="233">
        <f t="shared" si="300"/>
        <v>17</v>
      </c>
      <c r="AY167" s="232" t="s">
        <v>3487</v>
      </c>
      <c r="AZ167" s="233" t="b">
        <f t="shared" si="299"/>
        <v>0</v>
      </c>
      <c r="BA167" s="129"/>
      <c r="BB167" s="129"/>
      <c r="BC167" s="129"/>
      <c r="BD167" s="129"/>
      <c r="BE167" s="82">
        <f t="shared" si="301"/>
        <v>260</v>
      </c>
      <c r="BF167" s="82">
        <f t="shared" si="302"/>
        <v>0</v>
      </c>
      <c r="BG167" s="82"/>
      <c r="BH167" s="82">
        <f t="shared" si="303"/>
        <v>126.2</v>
      </c>
      <c r="BI167" s="82">
        <f t="shared" si="304"/>
        <v>0</v>
      </c>
      <c r="BJ167" s="82">
        <f t="shared" si="305"/>
        <v>0</v>
      </c>
      <c r="BK167" s="82">
        <f t="shared" si="306"/>
        <v>261</v>
      </c>
      <c r="BL167" s="82">
        <f t="shared" si="307"/>
        <v>106</v>
      </c>
      <c r="BM167" s="82">
        <f t="shared" si="308"/>
        <v>0</v>
      </c>
      <c r="BN167" s="82">
        <f t="shared" si="309"/>
        <v>69</v>
      </c>
      <c r="BO167" s="82">
        <f t="shared" si="310"/>
        <v>0</v>
      </c>
      <c r="BP167" s="82">
        <f t="shared" si="311"/>
        <v>0</v>
      </c>
      <c r="BQ167" s="82"/>
      <c r="BR167" s="129">
        <f>SUMIF('Audit HD AR - School Level'!$B$6:B1261, "=" &amp; A167,'Audit HD AR - School Level'!$Q$6:Q1261)</f>
        <v>4.3</v>
      </c>
      <c r="BS167" s="224">
        <f t="shared" si="312"/>
        <v>0</v>
      </c>
      <c r="BT167" s="126">
        <f t="shared" si="313"/>
        <v>0</v>
      </c>
      <c r="BU167" s="82">
        <f t="shared" si="314"/>
        <v>260</v>
      </c>
    </row>
    <row r="168" spans="1:73">
      <c r="A168" s="1" t="s">
        <v>389</v>
      </c>
      <c r="U168" s="126">
        <v>251.6</v>
      </c>
      <c r="X168" s="126">
        <v>2</v>
      </c>
      <c r="Y168" s="126">
        <v>239.5</v>
      </c>
      <c r="Z168" s="126">
        <v>0</v>
      </c>
      <c r="AC168" s="126">
        <v>62.7</v>
      </c>
      <c r="AD168" s="126">
        <v>6</v>
      </c>
      <c r="AE168" s="126">
        <v>10.7</v>
      </c>
      <c r="AF168" s="126">
        <v>252</v>
      </c>
      <c r="AG168" s="126">
        <v>64</v>
      </c>
      <c r="AI168" s="126">
        <v>0</v>
      </c>
      <c r="AJ168" s="126">
        <v>94</v>
      </c>
      <c r="AK168" s="132">
        <v>10</v>
      </c>
      <c r="AL168" s="126">
        <v>37</v>
      </c>
      <c r="AO168" s="132">
        <v>6</v>
      </c>
      <c r="AP168" s="126">
        <v>0</v>
      </c>
      <c r="AQ168" s="134">
        <v>0</v>
      </c>
      <c r="AR168" s="132">
        <v>0</v>
      </c>
      <c r="AS168" s="134">
        <v>0</v>
      </c>
      <c r="AT168" s="132">
        <v>0</v>
      </c>
      <c r="AU168" s="132">
        <v>1</v>
      </c>
      <c r="AV168" s="83">
        <v>135158</v>
      </c>
      <c r="AW168" s="237">
        <v>43588</v>
      </c>
      <c r="AX168" s="233">
        <f t="shared" si="300"/>
        <v>17</v>
      </c>
      <c r="AY168" s="232" t="s">
        <v>3487</v>
      </c>
      <c r="AZ168" s="233" t="b">
        <f t="shared" si="299"/>
        <v>0</v>
      </c>
      <c r="BA168" s="129"/>
      <c r="BB168" s="129"/>
      <c r="BC168" s="129"/>
      <c r="BD168" s="129"/>
      <c r="BE168" s="82">
        <f t="shared" si="301"/>
        <v>245.6</v>
      </c>
      <c r="BF168" s="82">
        <f t="shared" si="302"/>
        <v>2</v>
      </c>
      <c r="BG168" s="82"/>
      <c r="BH168" s="82">
        <f t="shared" si="303"/>
        <v>62.7</v>
      </c>
      <c r="BI168" s="82">
        <f t="shared" si="304"/>
        <v>6</v>
      </c>
      <c r="BJ168" s="82">
        <f t="shared" si="305"/>
        <v>10.7</v>
      </c>
      <c r="BK168" s="82">
        <f t="shared" si="306"/>
        <v>252</v>
      </c>
      <c r="BL168" s="82">
        <f t="shared" si="307"/>
        <v>64</v>
      </c>
      <c r="BM168" s="82">
        <f t="shared" si="308"/>
        <v>0</v>
      </c>
      <c r="BN168" s="82">
        <f t="shared" si="309"/>
        <v>94</v>
      </c>
      <c r="BO168" s="82">
        <f t="shared" si="310"/>
        <v>10</v>
      </c>
      <c r="BP168" s="82">
        <f t="shared" si="311"/>
        <v>37</v>
      </c>
      <c r="BQ168" s="82"/>
      <c r="BR168" s="129">
        <f>SUMIF('Audit HD AR - School Level'!$B$6:B1263, "=" &amp; A168,'Audit HD AR - School Level'!$Q$6:Q1263)</f>
        <v>0.4</v>
      </c>
      <c r="BS168" s="224">
        <f t="shared" si="312"/>
        <v>0</v>
      </c>
      <c r="BT168" s="126">
        <f t="shared" si="313"/>
        <v>0</v>
      </c>
      <c r="BU168" s="82">
        <f t="shared" si="314"/>
        <v>245.6</v>
      </c>
    </row>
    <row r="169" spans="1:73">
      <c r="A169" s="1" t="s">
        <v>396</v>
      </c>
      <c r="U169" s="126">
        <v>301.5</v>
      </c>
      <c r="X169" s="126">
        <v>3</v>
      </c>
      <c r="Y169" s="126">
        <v>292.60000000000002</v>
      </c>
      <c r="Z169" s="126">
        <v>0</v>
      </c>
      <c r="AC169" s="126">
        <v>164.2</v>
      </c>
      <c r="AD169" s="126">
        <v>4</v>
      </c>
      <c r="AE169" s="126">
        <v>2.2000000000000002</v>
      </c>
      <c r="AF169" s="126">
        <v>308</v>
      </c>
      <c r="AG169" s="126">
        <v>63</v>
      </c>
      <c r="AI169" s="126">
        <v>0</v>
      </c>
      <c r="AJ169" s="126">
        <v>112</v>
      </c>
      <c r="AK169" s="132">
        <v>54</v>
      </c>
      <c r="AL169" s="126">
        <v>31</v>
      </c>
      <c r="AO169" s="132">
        <v>0</v>
      </c>
      <c r="AP169" s="126">
        <v>0</v>
      </c>
      <c r="AQ169" s="134">
        <v>0</v>
      </c>
      <c r="AR169" s="132">
        <v>0</v>
      </c>
      <c r="AS169" s="134">
        <v>0</v>
      </c>
      <c r="AT169" s="132">
        <v>0</v>
      </c>
      <c r="AU169" s="132">
        <v>0</v>
      </c>
      <c r="AV169" s="83">
        <v>140145</v>
      </c>
      <c r="AW169" s="237">
        <v>43588</v>
      </c>
      <c r="AX169" s="233">
        <f t="shared" si="300"/>
        <v>17</v>
      </c>
      <c r="AY169" s="232" t="s">
        <v>3487</v>
      </c>
      <c r="AZ169" s="233" t="b">
        <f t="shared" si="299"/>
        <v>0</v>
      </c>
      <c r="BA169" s="129"/>
      <c r="BB169" s="129"/>
      <c r="BC169" s="129"/>
      <c r="BD169" s="129"/>
      <c r="BE169" s="82">
        <f t="shared" si="301"/>
        <v>301.5</v>
      </c>
      <c r="BF169" s="82">
        <f t="shared" si="302"/>
        <v>3</v>
      </c>
      <c r="BG169" s="82"/>
      <c r="BH169" s="82">
        <f t="shared" si="303"/>
        <v>164.2</v>
      </c>
      <c r="BI169" s="82">
        <f t="shared" si="304"/>
        <v>4</v>
      </c>
      <c r="BJ169" s="82">
        <f t="shared" si="305"/>
        <v>2.2000000000000002</v>
      </c>
      <c r="BK169" s="82">
        <f t="shared" si="306"/>
        <v>308</v>
      </c>
      <c r="BL169" s="82">
        <f t="shared" si="307"/>
        <v>63</v>
      </c>
      <c r="BM169" s="82">
        <f t="shared" si="308"/>
        <v>0</v>
      </c>
      <c r="BN169" s="82">
        <f t="shared" si="309"/>
        <v>112</v>
      </c>
      <c r="BO169" s="82">
        <f t="shared" si="310"/>
        <v>54</v>
      </c>
      <c r="BP169" s="82">
        <f t="shared" si="311"/>
        <v>31</v>
      </c>
      <c r="BQ169" s="82"/>
      <c r="BR169" s="129">
        <f>SUMIF('Audit HD AR - School Level'!$B$6:B1266, "=" &amp; A169,'Audit HD AR - School Level'!$Q$6:Q1266)</f>
        <v>0</v>
      </c>
      <c r="BS169" s="224">
        <f t="shared" si="312"/>
        <v>0</v>
      </c>
      <c r="BT169" s="126">
        <f t="shared" si="313"/>
        <v>0</v>
      </c>
      <c r="BU169" s="82">
        <f t="shared" si="314"/>
        <v>301.5</v>
      </c>
    </row>
    <row r="170" spans="1:73">
      <c r="A170" s="1" t="s">
        <v>397</v>
      </c>
      <c r="U170" s="126">
        <v>403.3</v>
      </c>
      <c r="X170" s="126">
        <v>0</v>
      </c>
      <c r="Y170" s="126">
        <v>400.5</v>
      </c>
      <c r="Z170" s="126">
        <v>0</v>
      </c>
      <c r="AC170" s="126">
        <v>65.8</v>
      </c>
      <c r="AD170" s="126">
        <v>0</v>
      </c>
      <c r="AE170" s="126">
        <v>0</v>
      </c>
      <c r="AF170" s="126">
        <v>407</v>
      </c>
      <c r="AG170" s="126">
        <v>70</v>
      </c>
      <c r="AI170" s="126">
        <v>0</v>
      </c>
      <c r="AJ170" s="126">
        <v>96</v>
      </c>
      <c r="AK170" s="132">
        <v>0</v>
      </c>
      <c r="AL170" s="126">
        <v>32</v>
      </c>
      <c r="AO170" s="132">
        <v>0</v>
      </c>
      <c r="AP170" s="126">
        <v>0</v>
      </c>
      <c r="AQ170" s="134">
        <v>0</v>
      </c>
      <c r="AR170" s="132">
        <v>0</v>
      </c>
      <c r="AS170" s="134">
        <v>0</v>
      </c>
      <c r="AT170" s="132">
        <v>0</v>
      </c>
      <c r="AU170" s="132">
        <v>0</v>
      </c>
      <c r="AV170" s="83">
        <v>177120</v>
      </c>
      <c r="AW170" s="237">
        <v>43588</v>
      </c>
      <c r="AX170" s="233">
        <f t="shared" si="300"/>
        <v>17</v>
      </c>
      <c r="AY170" s="232" t="s">
        <v>3487</v>
      </c>
      <c r="AZ170" s="233" t="b">
        <f t="shared" si="299"/>
        <v>0</v>
      </c>
      <c r="BA170" s="129"/>
      <c r="BB170" s="129"/>
      <c r="BC170" s="129"/>
      <c r="BD170" s="129"/>
      <c r="BE170" s="82">
        <f t="shared" si="301"/>
        <v>403.3</v>
      </c>
      <c r="BF170" s="82">
        <f t="shared" si="302"/>
        <v>0</v>
      </c>
      <c r="BG170" s="82"/>
      <c r="BH170" s="82">
        <f t="shared" si="303"/>
        <v>65.8</v>
      </c>
      <c r="BI170" s="82">
        <f t="shared" si="304"/>
        <v>0</v>
      </c>
      <c r="BJ170" s="82">
        <f t="shared" si="305"/>
        <v>0</v>
      </c>
      <c r="BK170" s="82">
        <f t="shared" si="306"/>
        <v>407</v>
      </c>
      <c r="BL170" s="82">
        <f t="shared" si="307"/>
        <v>70</v>
      </c>
      <c r="BM170" s="82">
        <f t="shared" si="308"/>
        <v>0</v>
      </c>
      <c r="BN170" s="82">
        <f t="shared" si="309"/>
        <v>96</v>
      </c>
      <c r="BO170" s="82">
        <f t="shared" si="310"/>
        <v>0</v>
      </c>
      <c r="BP170" s="82">
        <f t="shared" si="311"/>
        <v>32</v>
      </c>
      <c r="BQ170" s="82"/>
      <c r="BR170" s="129">
        <f>SUMIF('Audit HD AR - School Level'!$B$6:B1267, "=" &amp; A170,'Audit HD AR - School Level'!$Q$6:Q1267)</f>
        <v>0</v>
      </c>
      <c r="BS170" s="224">
        <f t="shared" si="312"/>
        <v>0</v>
      </c>
      <c r="BT170" s="126">
        <f t="shared" si="313"/>
        <v>0</v>
      </c>
      <c r="BU170" s="82">
        <f t="shared" si="314"/>
        <v>403.3</v>
      </c>
    </row>
    <row r="171" spans="1:73">
      <c r="A171" s="1" t="s">
        <v>404</v>
      </c>
      <c r="U171" s="126">
        <v>677.5</v>
      </c>
      <c r="X171" s="126">
        <v>4</v>
      </c>
      <c r="Y171" s="126">
        <v>670.5</v>
      </c>
      <c r="Z171" s="126">
        <v>0</v>
      </c>
      <c r="AC171" s="126">
        <v>120.9</v>
      </c>
      <c r="AD171" s="126">
        <v>2</v>
      </c>
      <c r="AE171" s="126">
        <v>1.5</v>
      </c>
      <c r="AF171" s="126">
        <v>693</v>
      </c>
      <c r="AG171" s="126">
        <v>228</v>
      </c>
      <c r="AI171" s="126">
        <v>0</v>
      </c>
      <c r="AJ171" s="126">
        <v>73</v>
      </c>
      <c r="AK171" s="132">
        <v>193</v>
      </c>
      <c r="AL171" s="126">
        <v>55.5</v>
      </c>
      <c r="AO171" s="132">
        <v>2</v>
      </c>
      <c r="AP171" s="126">
        <v>0</v>
      </c>
      <c r="AQ171" s="134">
        <v>7</v>
      </c>
      <c r="AR171" s="132">
        <v>2</v>
      </c>
      <c r="AS171" s="134">
        <v>0</v>
      </c>
      <c r="AT171" s="132">
        <v>0</v>
      </c>
      <c r="AU171" s="132">
        <v>0</v>
      </c>
      <c r="AV171" s="83">
        <v>135548</v>
      </c>
      <c r="AW171" s="237">
        <v>43588</v>
      </c>
      <c r="AX171" s="233">
        <f t="shared" si="300"/>
        <v>17</v>
      </c>
      <c r="AY171" s="232" t="s">
        <v>3487</v>
      </c>
      <c r="AZ171" s="233" t="b">
        <f t="shared" si="299"/>
        <v>0</v>
      </c>
      <c r="BA171" s="129"/>
      <c r="BB171" s="129"/>
      <c r="BC171" s="129"/>
      <c r="BD171" s="129"/>
      <c r="BE171" s="82">
        <f t="shared" si="301"/>
        <v>673.5</v>
      </c>
      <c r="BF171" s="82">
        <f t="shared" si="302"/>
        <v>4</v>
      </c>
      <c r="BG171" s="82"/>
      <c r="BH171" s="82">
        <f t="shared" si="303"/>
        <v>120.9</v>
      </c>
      <c r="BI171" s="82">
        <f t="shared" si="304"/>
        <v>2</v>
      </c>
      <c r="BJ171" s="82">
        <f t="shared" si="305"/>
        <v>1.5</v>
      </c>
      <c r="BK171" s="82">
        <f t="shared" si="306"/>
        <v>693</v>
      </c>
      <c r="BL171" s="82">
        <f t="shared" si="307"/>
        <v>228</v>
      </c>
      <c r="BM171" s="82">
        <f t="shared" si="308"/>
        <v>0</v>
      </c>
      <c r="BN171" s="82">
        <f t="shared" si="309"/>
        <v>73</v>
      </c>
      <c r="BO171" s="82">
        <f t="shared" si="310"/>
        <v>193</v>
      </c>
      <c r="BP171" s="82">
        <f t="shared" si="311"/>
        <v>55.5</v>
      </c>
      <c r="BQ171" s="82"/>
      <c r="BR171" s="129">
        <f>SUMIF('Audit HD AR - School Level'!$B$6:B1268, "=" &amp; A171,'Audit HD AR - School Level'!$Q$6:Q1268)</f>
        <v>0.3</v>
      </c>
      <c r="BS171" s="224">
        <f t="shared" si="312"/>
        <v>-4963</v>
      </c>
      <c r="BT171" s="126">
        <f t="shared" si="313"/>
        <v>-4963</v>
      </c>
      <c r="BU171" s="82">
        <f t="shared" si="314"/>
        <v>673.5</v>
      </c>
    </row>
    <row r="172" spans="1:73">
      <c r="A172" s="1" t="s">
        <v>405</v>
      </c>
      <c r="U172" s="126">
        <v>418</v>
      </c>
      <c r="X172" s="126">
        <v>1</v>
      </c>
      <c r="Y172" s="126">
        <v>431</v>
      </c>
      <c r="Z172" s="126">
        <v>0</v>
      </c>
      <c r="AC172" s="126">
        <v>65.599999999999994</v>
      </c>
      <c r="AD172" s="126">
        <v>0</v>
      </c>
      <c r="AE172" s="126">
        <v>0</v>
      </c>
      <c r="AF172" s="126">
        <v>431</v>
      </c>
      <c r="AG172" s="126">
        <v>88</v>
      </c>
      <c r="AI172" s="126">
        <v>0</v>
      </c>
      <c r="AJ172" s="126">
        <v>163</v>
      </c>
      <c r="AK172" s="132">
        <v>40</v>
      </c>
      <c r="AL172" s="126">
        <v>47</v>
      </c>
      <c r="AO172" s="132">
        <v>0</v>
      </c>
      <c r="AP172" s="126">
        <v>0</v>
      </c>
      <c r="AQ172" s="134">
        <v>2</v>
      </c>
      <c r="AR172" s="132">
        <v>0</v>
      </c>
      <c r="AS172" s="134">
        <v>0</v>
      </c>
      <c r="AT172" s="132">
        <v>0</v>
      </c>
      <c r="AU172" s="132">
        <v>0</v>
      </c>
      <c r="AV172" s="83">
        <v>190534</v>
      </c>
      <c r="AW172" s="237">
        <v>43588</v>
      </c>
      <c r="AX172" s="233">
        <f t="shared" si="300"/>
        <v>17</v>
      </c>
      <c r="AY172" s="232" t="s">
        <v>3487</v>
      </c>
      <c r="AZ172" s="233" t="b">
        <f t="shared" si="299"/>
        <v>0</v>
      </c>
      <c r="BA172" s="129"/>
      <c r="BB172" s="129"/>
      <c r="BC172" s="129"/>
      <c r="BD172" s="129"/>
      <c r="BE172" s="82">
        <f t="shared" si="301"/>
        <v>418</v>
      </c>
      <c r="BF172" s="82">
        <f t="shared" si="302"/>
        <v>1</v>
      </c>
      <c r="BG172" s="82"/>
      <c r="BH172" s="82">
        <f t="shared" si="303"/>
        <v>65.599999999999994</v>
      </c>
      <c r="BI172" s="82">
        <f t="shared" si="304"/>
        <v>0</v>
      </c>
      <c r="BJ172" s="82">
        <f t="shared" si="305"/>
        <v>0</v>
      </c>
      <c r="BK172" s="82">
        <f t="shared" si="306"/>
        <v>431</v>
      </c>
      <c r="BL172" s="82">
        <f t="shared" si="307"/>
        <v>88</v>
      </c>
      <c r="BM172" s="82">
        <f t="shared" si="308"/>
        <v>0</v>
      </c>
      <c r="BN172" s="82">
        <f t="shared" si="309"/>
        <v>163</v>
      </c>
      <c r="BO172" s="82">
        <f t="shared" si="310"/>
        <v>40</v>
      </c>
      <c r="BP172" s="82">
        <f t="shared" si="311"/>
        <v>47</v>
      </c>
      <c r="BQ172" s="82"/>
      <c r="BR172" s="129">
        <f>SUMIF('Audit HD AR - School Level'!$B$6:B1269, "=" &amp; A172,'Audit HD AR - School Level'!$Q$6:Q1269)</f>
        <v>0</v>
      </c>
      <c r="BS172" s="224">
        <f t="shared" si="312"/>
        <v>-1418</v>
      </c>
      <c r="BT172" s="126">
        <f t="shared" si="313"/>
        <v>-1418</v>
      </c>
      <c r="BU172" s="82">
        <f t="shared" si="314"/>
        <v>418</v>
      </c>
    </row>
    <row r="173" spans="1:73">
      <c r="A173" s="1" t="s">
        <v>416</v>
      </c>
      <c r="U173" s="126">
        <v>741.5</v>
      </c>
      <c r="X173" s="126">
        <v>8</v>
      </c>
      <c r="Y173" s="126">
        <v>776.5</v>
      </c>
      <c r="Z173" s="126">
        <v>0</v>
      </c>
      <c r="AC173" s="126">
        <v>211.4</v>
      </c>
      <c r="AD173" s="126">
        <v>7</v>
      </c>
      <c r="AE173" s="126">
        <v>4.9000000000000004</v>
      </c>
      <c r="AF173" s="126">
        <v>759</v>
      </c>
      <c r="AG173" s="126">
        <v>294</v>
      </c>
      <c r="AI173" s="126">
        <v>0</v>
      </c>
      <c r="AJ173" s="126">
        <v>234.5</v>
      </c>
      <c r="AK173" s="132">
        <v>89</v>
      </c>
      <c r="AL173" s="126">
        <v>42</v>
      </c>
      <c r="AO173" s="132">
        <v>0</v>
      </c>
      <c r="AP173" s="126">
        <v>0</v>
      </c>
      <c r="AQ173" s="134">
        <v>4</v>
      </c>
      <c r="AR173" s="132">
        <v>0</v>
      </c>
      <c r="AS173" s="134">
        <v>0</v>
      </c>
      <c r="AT173" s="132">
        <v>0</v>
      </c>
      <c r="AU173" s="132">
        <v>0</v>
      </c>
      <c r="AV173" s="83">
        <v>182979</v>
      </c>
      <c r="AW173" s="237">
        <v>43588</v>
      </c>
      <c r="AX173" s="233">
        <f t="shared" si="300"/>
        <v>17</v>
      </c>
      <c r="AY173" s="232" t="s">
        <v>3487</v>
      </c>
      <c r="AZ173" s="233" t="b">
        <f t="shared" si="299"/>
        <v>0</v>
      </c>
      <c r="BA173" s="129"/>
      <c r="BB173" s="129"/>
      <c r="BC173" s="129"/>
      <c r="BD173" s="129"/>
      <c r="BE173" s="82">
        <f t="shared" si="301"/>
        <v>741.5</v>
      </c>
      <c r="BF173" s="82">
        <f t="shared" si="302"/>
        <v>8</v>
      </c>
      <c r="BG173" s="82"/>
      <c r="BH173" s="82">
        <f t="shared" si="303"/>
        <v>211.4</v>
      </c>
      <c r="BI173" s="82">
        <f t="shared" si="304"/>
        <v>7</v>
      </c>
      <c r="BJ173" s="82">
        <f t="shared" si="305"/>
        <v>4.9000000000000004</v>
      </c>
      <c r="BK173" s="82">
        <f t="shared" si="306"/>
        <v>759</v>
      </c>
      <c r="BL173" s="82">
        <f t="shared" si="307"/>
        <v>294</v>
      </c>
      <c r="BM173" s="82">
        <f t="shared" si="308"/>
        <v>0</v>
      </c>
      <c r="BN173" s="82">
        <f t="shared" si="309"/>
        <v>234.5</v>
      </c>
      <c r="BO173" s="82">
        <f t="shared" si="310"/>
        <v>89</v>
      </c>
      <c r="BP173" s="82">
        <f t="shared" si="311"/>
        <v>42</v>
      </c>
      <c r="BQ173" s="82"/>
      <c r="BR173" s="129">
        <f>SUMIF('Audit HD AR - School Level'!$B$6:B1271, "=" &amp; A173,'Audit HD AR - School Level'!$Q$6:Q1271)</f>
        <v>9.1999999999999993</v>
      </c>
      <c r="BS173" s="224">
        <f t="shared" si="312"/>
        <v>-2836</v>
      </c>
      <c r="BT173" s="126">
        <f t="shared" si="313"/>
        <v>-2836</v>
      </c>
      <c r="BU173" s="82">
        <f t="shared" si="314"/>
        <v>741.5</v>
      </c>
    </row>
    <row r="174" spans="1:73">
      <c r="A174" s="1" t="s">
        <v>426</v>
      </c>
      <c r="U174" s="126">
        <v>387.5</v>
      </c>
      <c r="X174" s="126">
        <v>6</v>
      </c>
      <c r="Y174" s="126">
        <v>420.5</v>
      </c>
      <c r="Z174" s="126">
        <v>0</v>
      </c>
      <c r="AC174" s="126">
        <v>317.10000000000002</v>
      </c>
      <c r="AD174" s="126">
        <v>0</v>
      </c>
      <c r="AE174" s="126">
        <v>0</v>
      </c>
      <c r="AF174" s="126">
        <v>404</v>
      </c>
      <c r="AG174" s="126">
        <v>80</v>
      </c>
      <c r="AI174" s="126">
        <v>0</v>
      </c>
      <c r="AJ174" s="126">
        <v>86</v>
      </c>
      <c r="AK174" s="132">
        <v>10</v>
      </c>
      <c r="AL174" s="126">
        <v>81</v>
      </c>
      <c r="AO174" s="132">
        <v>0</v>
      </c>
      <c r="AP174" s="126">
        <v>0</v>
      </c>
      <c r="AQ174" s="134">
        <v>0</v>
      </c>
      <c r="AR174" s="132">
        <v>0</v>
      </c>
      <c r="AS174" s="134">
        <v>0</v>
      </c>
      <c r="AT174" s="132">
        <v>4</v>
      </c>
      <c r="AU174" s="132">
        <v>0</v>
      </c>
      <c r="AV174" s="83">
        <v>100909</v>
      </c>
      <c r="AW174" s="237">
        <v>43588</v>
      </c>
      <c r="AX174" s="233">
        <f t="shared" si="300"/>
        <v>17</v>
      </c>
      <c r="AY174" s="232" t="s">
        <v>3487</v>
      </c>
      <c r="AZ174" s="233" t="b">
        <f t="shared" si="299"/>
        <v>0</v>
      </c>
      <c r="BA174" s="129"/>
      <c r="BB174" s="129"/>
      <c r="BC174" s="129"/>
      <c r="BD174" s="129"/>
      <c r="BE174" s="82">
        <f t="shared" si="301"/>
        <v>387.5</v>
      </c>
      <c r="BF174" s="82">
        <f t="shared" si="302"/>
        <v>6</v>
      </c>
      <c r="BG174" s="82"/>
      <c r="BH174" s="82">
        <f t="shared" si="303"/>
        <v>317.10000000000002</v>
      </c>
      <c r="BI174" s="82">
        <f t="shared" si="304"/>
        <v>0</v>
      </c>
      <c r="BJ174" s="82">
        <f t="shared" si="305"/>
        <v>0</v>
      </c>
      <c r="BK174" s="82">
        <f t="shared" si="306"/>
        <v>404</v>
      </c>
      <c r="BL174" s="82">
        <f t="shared" si="307"/>
        <v>80</v>
      </c>
      <c r="BM174" s="82">
        <f t="shared" si="308"/>
        <v>0</v>
      </c>
      <c r="BN174" s="82">
        <f t="shared" si="309"/>
        <v>86</v>
      </c>
      <c r="BO174" s="82">
        <f t="shared" si="310"/>
        <v>10</v>
      </c>
      <c r="BP174" s="82">
        <f t="shared" si="311"/>
        <v>81</v>
      </c>
      <c r="BQ174" s="82"/>
      <c r="BR174" s="129">
        <f>SUMIF('Audit HD AR - School Level'!$B$6:B1272, "=" &amp; A174,'Audit HD AR - School Level'!$Q$6:Q1272)</f>
        <v>0</v>
      </c>
      <c r="BS174" s="224">
        <f t="shared" si="312"/>
        <v>0</v>
      </c>
      <c r="BT174" s="126">
        <f t="shared" si="313"/>
        <v>0</v>
      </c>
      <c r="BU174" s="82">
        <f t="shared" si="314"/>
        <v>387.5</v>
      </c>
    </row>
    <row r="175" spans="1:73">
      <c r="A175" s="1" t="s">
        <v>436</v>
      </c>
      <c r="U175" s="126">
        <v>837.6</v>
      </c>
      <c r="X175" s="126">
        <v>0</v>
      </c>
      <c r="Y175" s="126">
        <v>808.1</v>
      </c>
      <c r="Z175" s="126">
        <v>0</v>
      </c>
      <c r="AC175" s="126">
        <v>273.5</v>
      </c>
      <c r="AD175" s="126">
        <v>18</v>
      </c>
      <c r="AE175" s="126">
        <v>54.6</v>
      </c>
      <c r="AF175" s="126">
        <v>842</v>
      </c>
      <c r="AG175" s="126">
        <v>138</v>
      </c>
      <c r="AI175" s="126">
        <v>0</v>
      </c>
      <c r="AJ175" s="126">
        <v>73</v>
      </c>
      <c r="AK175" s="132">
        <v>79</v>
      </c>
      <c r="AL175" s="126">
        <v>70</v>
      </c>
      <c r="AO175" s="132">
        <v>0</v>
      </c>
      <c r="AP175" s="126">
        <v>0</v>
      </c>
      <c r="AQ175" s="134">
        <v>0</v>
      </c>
      <c r="AR175" s="132">
        <v>0</v>
      </c>
      <c r="AS175" s="134">
        <v>0</v>
      </c>
      <c r="AT175" s="132">
        <v>0</v>
      </c>
      <c r="AU175" s="132">
        <v>0</v>
      </c>
      <c r="AV175" s="83">
        <v>137130</v>
      </c>
      <c r="AW175" s="237">
        <v>43588</v>
      </c>
      <c r="AX175" s="233">
        <f t="shared" si="300"/>
        <v>17</v>
      </c>
      <c r="AY175" s="232" t="s">
        <v>3487</v>
      </c>
      <c r="AZ175" s="233" t="b">
        <f t="shared" si="299"/>
        <v>0</v>
      </c>
      <c r="BA175" s="129"/>
      <c r="BB175" s="129"/>
      <c r="BC175" s="129"/>
      <c r="BD175" s="129"/>
      <c r="BE175" s="82">
        <f t="shared" si="301"/>
        <v>837.6</v>
      </c>
      <c r="BF175" s="82">
        <f t="shared" si="302"/>
        <v>0</v>
      </c>
      <c r="BG175" s="82"/>
      <c r="BH175" s="82">
        <f t="shared" si="303"/>
        <v>273.5</v>
      </c>
      <c r="BI175" s="82">
        <f t="shared" si="304"/>
        <v>18</v>
      </c>
      <c r="BJ175" s="82">
        <f t="shared" si="305"/>
        <v>54.6</v>
      </c>
      <c r="BK175" s="82">
        <f t="shared" si="306"/>
        <v>842</v>
      </c>
      <c r="BL175" s="82">
        <f t="shared" si="307"/>
        <v>138</v>
      </c>
      <c r="BM175" s="82">
        <f t="shared" si="308"/>
        <v>0</v>
      </c>
      <c r="BN175" s="82">
        <f t="shared" si="309"/>
        <v>73</v>
      </c>
      <c r="BO175" s="82">
        <f t="shared" si="310"/>
        <v>79</v>
      </c>
      <c r="BP175" s="82">
        <f t="shared" si="311"/>
        <v>70</v>
      </c>
      <c r="BQ175" s="82"/>
      <c r="BR175" s="129">
        <f>SUMIF('Audit HD AR - School Level'!$B$6:B1275, "=" &amp; A175,'Audit HD AR - School Level'!$Q$6:Q1275)</f>
        <v>0</v>
      </c>
      <c r="BS175" s="224">
        <f t="shared" si="312"/>
        <v>0</v>
      </c>
      <c r="BT175" s="126">
        <f t="shared" si="313"/>
        <v>0</v>
      </c>
      <c r="BU175" s="82">
        <f t="shared" si="314"/>
        <v>837.6</v>
      </c>
    </row>
    <row r="176" spans="1:73">
      <c r="A176" s="1" t="s">
        <v>438</v>
      </c>
      <c r="U176" s="126">
        <v>299.60000000000002</v>
      </c>
      <c r="X176" s="126">
        <v>0</v>
      </c>
      <c r="Y176" s="126">
        <v>311.7</v>
      </c>
      <c r="Z176" s="126">
        <v>0</v>
      </c>
      <c r="AC176" s="126">
        <v>102.6</v>
      </c>
      <c r="AD176" s="126">
        <v>0</v>
      </c>
      <c r="AE176" s="126">
        <v>0</v>
      </c>
      <c r="AF176" s="126">
        <v>302</v>
      </c>
      <c r="AG176" s="126">
        <v>137</v>
      </c>
      <c r="AI176" s="126">
        <v>0</v>
      </c>
      <c r="AJ176" s="126">
        <v>131</v>
      </c>
      <c r="AK176" s="132">
        <v>105.1</v>
      </c>
      <c r="AL176" s="126">
        <v>10</v>
      </c>
      <c r="AO176" s="132">
        <v>0</v>
      </c>
      <c r="AP176" s="126">
        <v>0</v>
      </c>
      <c r="AQ176" s="134">
        <v>0</v>
      </c>
      <c r="AR176" s="132">
        <v>0</v>
      </c>
      <c r="AS176" s="134">
        <v>0</v>
      </c>
      <c r="AT176" s="132">
        <v>0</v>
      </c>
      <c r="AU176" s="132">
        <v>0</v>
      </c>
      <c r="AV176" s="83">
        <v>226490</v>
      </c>
      <c r="AW176" s="237">
        <v>43588</v>
      </c>
      <c r="AX176" s="233">
        <f t="shared" si="300"/>
        <v>17</v>
      </c>
      <c r="AY176" s="232" t="s">
        <v>3487</v>
      </c>
      <c r="AZ176" s="233" t="b">
        <f t="shared" si="299"/>
        <v>0</v>
      </c>
      <c r="BA176" s="129"/>
      <c r="BB176" s="129"/>
      <c r="BC176" s="129"/>
      <c r="BD176" s="129"/>
      <c r="BE176" s="82">
        <f t="shared" si="301"/>
        <v>299.60000000000002</v>
      </c>
      <c r="BF176" s="82">
        <f t="shared" si="302"/>
        <v>0</v>
      </c>
      <c r="BG176" s="82"/>
      <c r="BH176" s="82">
        <f t="shared" si="303"/>
        <v>102.6</v>
      </c>
      <c r="BI176" s="82">
        <f t="shared" si="304"/>
        <v>0</v>
      </c>
      <c r="BJ176" s="82">
        <f t="shared" si="305"/>
        <v>0</v>
      </c>
      <c r="BK176" s="82">
        <f t="shared" si="306"/>
        <v>302</v>
      </c>
      <c r="BL176" s="82">
        <f t="shared" si="307"/>
        <v>137</v>
      </c>
      <c r="BM176" s="82">
        <f t="shared" si="308"/>
        <v>0</v>
      </c>
      <c r="BN176" s="82">
        <f t="shared" si="309"/>
        <v>131</v>
      </c>
      <c r="BO176" s="82">
        <f t="shared" si="310"/>
        <v>105.1</v>
      </c>
      <c r="BP176" s="82">
        <f t="shared" si="311"/>
        <v>10</v>
      </c>
      <c r="BQ176" s="82"/>
      <c r="BR176" s="129">
        <f>SUMIF('Audit HD AR - School Level'!$B$6:B1276, "=" &amp; A176,'Audit HD AR - School Level'!$Q$6:Q1276)</f>
        <v>9.9</v>
      </c>
      <c r="BS176" s="224">
        <f t="shared" si="312"/>
        <v>0</v>
      </c>
      <c r="BT176" s="126">
        <f t="shared" si="313"/>
        <v>0</v>
      </c>
      <c r="BU176" s="82">
        <f t="shared" si="314"/>
        <v>299.60000000000002</v>
      </c>
    </row>
    <row r="177" spans="1:73">
      <c r="A177" s="1" t="s">
        <v>447</v>
      </c>
      <c r="U177" s="126">
        <v>189.5</v>
      </c>
      <c r="X177" s="126">
        <v>0</v>
      </c>
      <c r="Y177" s="126">
        <v>166</v>
      </c>
      <c r="Z177" s="126">
        <v>0</v>
      </c>
      <c r="AC177" s="126">
        <v>0</v>
      </c>
      <c r="AD177" s="126">
        <v>0</v>
      </c>
      <c r="AE177" s="126">
        <v>0</v>
      </c>
      <c r="AF177" s="126">
        <v>192</v>
      </c>
      <c r="AG177" s="126">
        <v>77</v>
      </c>
      <c r="AI177" s="126">
        <v>0</v>
      </c>
      <c r="AJ177" s="126">
        <v>36</v>
      </c>
      <c r="AK177" s="132">
        <v>12</v>
      </c>
      <c r="AL177" s="126">
        <v>20</v>
      </c>
      <c r="AO177" s="132">
        <v>0</v>
      </c>
      <c r="AP177" s="126">
        <v>0</v>
      </c>
      <c r="AQ177" s="134">
        <v>0</v>
      </c>
      <c r="AR177" s="132">
        <v>0</v>
      </c>
      <c r="AS177" s="134">
        <v>0</v>
      </c>
      <c r="AT177" s="132">
        <v>0</v>
      </c>
      <c r="AU177" s="132">
        <v>0</v>
      </c>
      <c r="AV177" s="83">
        <v>96421</v>
      </c>
      <c r="AW177" s="237">
        <v>43588</v>
      </c>
      <c r="AX177" s="233">
        <f t="shared" si="300"/>
        <v>17</v>
      </c>
      <c r="AY177" s="232" t="s">
        <v>3487</v>
      </c>
      <c r="AZ177" s="233" t="b">
        <f t="shared" si="299"/>
        <v>0</v>
      </c>
      <c r="BA177" s="129"/>
      <c r="BB177" s="129"/>
      <c r="BC177" s="129"/>
      <c r="BD177" s="129"/>
      <c r="BE177" s="82">
        <f t="shared" si="301"/>
        <v>189.5</v>
      </c>
      <c r="BF177" s="82">
        <f t="shared" si="302"/>
        <v>0</v>
      </c>
      <c r="BG177" s="82"/>
      <c r="BH177" s="82">
        <f t="shared" si="303"/>
        <v>0</v>
      </c>
      <c r="BI177" s="82">
        <f t="shared" si="304"/>
        <v>0</v>
      </c>
      <c r="BJ177" s="82">
        <f t="shared" si="305"/>
        <v>0</v>
      </c>
      <c r="BK177" s="82">
        <f t="shared" si="306"/>
        <v>192</v>
      </c>
      <c r="BL177" s="82">
        <f t="shared" si="307"/>
        <v>77</v>
      </c>
      <c r="BM177" s="82">
        <f t="shared" si="308"/>
        <v>0</v>
      </c>
      <c r="BN177" s="82">
        <f t="shared" si="309"/>
        <v>36</v>
      </c>
      <c r="BO177" s="82">
        <f t="shared" si="310"/>
        <v>12</v>
      </c>
      <c r="BP177" s="82">
        <f t="shared" si="311"/>
        <v>20</v>
      </c>
      <c r="BQ177" s="82"/>
      <c r="BR177" s="129">
        <f>SUMIF('Audit HD AR - School Level'!$B$6:B1277, "=" &amp; A177,'Audit HD AR - School Level'!$Q$6:Q1277)</f>
        <v>4.2</v>
      </c>
      <c r="BS177" s="224">
        <f t="shared" si="312"/>
        <v>0</v>
      </c>
      <c r="BT177" s="126">
        <f t="shared" si="313"/>
        <v>0</v>
      </c>
      <c r="BU177" s="82">
        <f t="shared" si="314"/>
        <v>189.5</v>
      </c>
    </row>
    <row r="178" spans="1:73">
      <c r="A178" s="1" t="s">
        <v>449</v>
      </c>
      <c r="U178" s="126">
        <v>108.5</v>
      </c>
      <c r="X178" s="126">
        <v>0</v>
      </c>
      <c r="Y178" s="126">
        <v>106.5</v>
      </c>
      <c r="Z178" s="126">
        <v>0</v>
      </c>
      <c r="AC178" s="126">
        <v>37.1</v>
      </c>
      <c r="AD178" s="126">
        <v>0</v>
      </c>
      <c r="AE178" s="126">
        <v>0</v>
      </c>
      <c r="AF178" s="126">
        <v>109</v>
      </c>
      <c r="AG178" s="126">
        <v>37</v>
      </c>
      <c r="AI178" s="126">
        <v>0</v>
      </c>
      <c r="AJ178" s="126">
        <v>43</v>
      </c>
      <c r="AK178" s="132">
        <v>0</v>
      </c>
      <c r="AL178" s="126">
        <v>3</v>
      </c>
      <c r="AO178" s="132">
        <v>0</v>
      </c>
      <c r="AP178" s="126">
        <v>0</v>
      </c>
      <c r="AQ178" s="134">
        <v>0</v>
      </c>
      <c r="AR178" s="132">
        <v>0</v>
      </c>
      <c r="AS178" s="134">
        <v>0</v>
      </c>
      <c r="AT178" s="132">
        <v>0</v>
      </c>
      <c r="AU178" s="132">
        <v>0</v>
      </c>
      <c r="AV178" s="83">
        <v>133228</v>
      </c>
      <c r="AW178" s="237">
        <v>43588</v>
      </c>
      <c r="AX178" s="233">
        <f t="shared" si="300"/>
        <v>17</v>
      </c>
      <c r="AY178" s="232" t="s">
        <v>3487</v>
      </c>
      <c r="AZ178" s="233" t="b">
        <f t="shared" si="299"/>
        <v>0</v>
      </c>
      <c r="BA178" s="129"/>
      <c r="BB178" s="129"/>
      <c r="BC178" s="129"/>
      <c r="BD178" s="129"/>
      <c r="BE178" s="82">
        <f t="shared" si="301"/>
        <v>108.5</v>
      </c>
      <c r="BF178" s="82">
        <f t="shared" si="302"/>
        <v>0</v>
      </c>
      <c r="BG178" s="82"/>
      <c r="BH178" s="82">
        <f t="shared" si="303"/>
        <v>37.1</v>
      </c>
      <c r="BI178" s="82">
        <f t="shared" si="304"/>
        <v>0</v>
      </c>
      <c r="BJ178" s="82">
        <f t="shared" si="305"/>
        <v>0</v>
      </c>
      <c r="BK178" s="82">
        <f t="shared" si="306"/>
        <v>109</v>
      </c>
      <c r="BL178" s="82">
        <f t="shared" si="307"/>
        <v>37</v>
      </c>
      <c r="BM178" s="82">
        <f t="shared" si="308"/>
        <v>0</v>
      </c>
      <c r="BN178" s="82">
        <f t="shared" si="309"/>
        <v>43</v>
      </c>
      <c r="BO178" s="82">
        <f t="shared" si="310"/>
        <v>0</v>
      </c>
      <c r="BP178" s="82">
        <f t="shared" si="311"/>
        <v>3</v>
      </c>
      <c r="BQ178" s="82"/>
      <c r="BR178" s="129">
        <f>SUMIF('Audit HD AR - School Level'!$B$6:B1278, "=" &amp; A178,'Audit HD AR - School Level'!$Q$6:Q1278)</f>
        <v>0</v>
      </c>
      <c r="BS178" s="224">
        <f t="shared" si="312"/>
        <v>0</v>
      </c>
      <c r="BT178" s="126">
        <f t="shared" si="313"/>
        <v>0</v>
      </c>
      <c r="BU178" s="82">
        <f t="shared" si="314"/>
        <v>108.5</v>
      </c>
    </row>
    <row r="179" spans="1:73">
      <c r="A179" s="1" t="s">
        <v>481</v>
      </c>
      <c r="U179" s="126">
        <v>158.5</v>
      </c>
      <c r="X179" s="126">
        <v>2</v>
      </c>
      <c r="Y179" s="126">
        <v>169.5</v>
      </c>
      <c r="Z179" s="126">
        <v>0</v>
      </c>
      <c r="AC179" s="126">
        <v>0</v>
      </c>
      <c r="AD179" s="126">
        <v>0</v>
      </c>
      <c r="AE179" s="126">
        <v>0</v>
      </c>
      <c r="AF179" s="126">
        <v>165</v>
      </c>
      <c r="AG179" s="126">
        <v>59</v>
      </c>
      <c r="AI179" s="126">
        <v>0</v>
      </c>
      <c r="AJ179" s="126">
        <v>16</v>
      </c>
      <c r="AK179" s="132">
        <v>1</v>
      </c>
      <c r="AL179" s="126">
        <v>25.5</v>
      </c>
      <c r="AO179" s="132">
        <v>0</v>
      </c>
      <c r="AP179" s="126">
        <v>0</v>
      </c>
      <c r="AQ179" s="134">
        <v>0</v>
      </c>
      <c r="AR179" s="132">
        <v>0</v>
      </c>
      <c r="AS179" s="134">
        <v>0</v>
      </c>
      <c r="AT179" s="132">
        <v>0</v>
      </c>
      <c r="AU179" s="132">
        <v>0</v>
      </c>
      <c r="AV179" s="83">
        <v>74853</v>
      </c>
      <c r="AW179" s="237">
        <v>43588</v>
      </c>
      <c r="AX179" s="233">
        <f t="shared" si="300"/>
        <v>17</v>
      </c>
      <c r="AY179" s="232" t="s">
        <v>3487</v>
      </c>
      <c r="AZ179" s="233" t="b">
        <f t="shared" si="299"/>
        <v>0</v>
      </c>
      <c r="BA179" s="129"/>
      <c r="BB179" s="129"/>
      <c r="BC179" s="129"/>
      <c r="BD179" s="129"/>
      <c r="BE179" s="82">
        <f t="shared" si="301"/>
        <v>158.5</v>
      </c>
      <c r="BF179" s="82">
        <f t="shared" si="302"/>
        <v>2</v>
      </c>
      <c r="BG179" s="82"/>
      <c r="BH179" s="82">
        <f t="shared" si="303"/>
        <v>0</v>
      </c>
      <c r="BI179" s="82">
        <f t="shared" si="304"/>
        <v>0</v>
      </c>
      <c r="BJ179" s="82">
        <f t="shared" si="305"/>
        <v>0</v>
      </c>
      <c r="BK179" s="82">
        <f t="shared" si="306"/>
        <v>165</v>
      </c>
      <c r="BL179" s="82">
        <f t="shared" si="307"/>
        <v>59</v>
      </c>
      <c r="BM179" s="82">
        <f t="shared" si="308"/>
        <v>0</v>
      </c>
      <c r="BN179" s="82">
        <f t="shared" si="309"/>
        <v>16</v>
      </c>
      <c r="BO179" s="82">
        <f t="shared" si="310"/>
        <v>1</v>
      </c>
      <c r="BP179" s="82">
        <f t="shared" si="311"/>
        <v>25.5</v>
      </c>
      <c r="BQ179" s="82"/>
      <c r="BR179" s="129">
        <f>SUMIF('Audit HD AR - School Level'!$B$6:B1279, "=" &amp; A179,'Audit HD AR - School Level'!$Q$6:Q1279)</f>
        <v>0.3</v>
      </c>
      <c r="BS179" s="224">
        <f t="shared" si="312"/>
        <v>0</v>
      </c>
      <c r="BT179" s="126">
        <f t="shared" si="313"/>
        <v>0</v>
      </c>
      <c r="BU179" s="82">
        <f t="shared" si="314"/>
        <v>158.5</v>
      </c>
    </row>
    <row r="180" spans="1:73">
      <c r="A180" s="1" t="s">
        <v>354</v>
      </c>
      <c r="U180" s="126">
        <v>434.5</v>
      </c>
      <c r="X180" s="126">
        <v>6.5</v>
      </c>
      <c r="Y180" s="126">
        <v>460.5</v>
      </c>
      <c r="Z180" s="126">
        <v>0</v>
      </c>
      <c r="AC180" s="126">
        <v>63.6</v>
      </c>
      <c r="AD180" s="126">
        <v>0</v>
      </c>
      <c r="AE180" s="126">
        <v>0</v>
      </c>
      <c r="AF180" s="126">
        <v>450</v>
      </c>
      <c r="AG180" s="126">
        <v>198</v>
      </c>
      <c r="AI180" s="126">
        <v>0</v>
      </c>
      <c r="AJ180" s="126">
        <v>161</v>
      </c>
      <c r="AK180" s="132">
        <v>8</v>
      </c>
      <c r="AL180" s="126">
        <v>24</v>
      </c>
      <c r="AO180" s="132">
        <v>2</v>
      </c>
      <c r="AP180" s="126">
        <v>0</v>
      </c>
      <c r="AQ180" s="134">
        <v>0</v>
      </c>
      <c r="AR180" s="132">
        <v>1</v>
      </c>
      <c r="AS180" s="134">
        <v>0</v>
      </c>
      <c r="AT180" s="132">
        <v>0</v>
      </c>
      <c r="AU180" s="132">
        <v>0</v>
      </c>
      <c r="AV180" s="83">
        <v>201077</v>
      </c>
      <c r="AW180" s="237">
        <v>43588</v>
      </c>
      <c r="AX180" s="233">
        <f t="shared" si="300"/>
        <v>17</v>
      </c>
      <c r="AY180" s="232" t="s">
        <v>3487</v>
      </c>
      <c r="AZ180" s="233" t="b">
        <f t="shared" si="299"/>
        <v>0</v>
      </c>
      <c r="BA180" s="129"/>
      <c r="BB180" s="129"/>
      <c r="BC180" s="129"/>
      <c r="BD180" s="129"/>
      <c r="BE180" s="82">
        <f t="shared" ref="BE180" si="315">SUM(U180+C180-AO180-AP180-AR180)</f>
        <v>431.5</v>
      </c>
      <c r="BF180" s="82">
        <f t="shared" ref="BF180" si="316">SUM(X180+F180)</f>
        <v>6.5</v>
      </c>
      <c r="BG180" s="82"/>
      <c r="BH180" s="82">
        <f t="shared" ref="BH180" si="317">SUM(AC180+H180)</f>
        <v>63.6</v>
      </c>
      <c r="BI180" s="82">
        <f t="shared" ref="BI180" si="318">SUM(AD180+I180)</f>
        <v>0</v>
      </c>
      <c r="BJ180" s="82">
        <f t="shared" ref="BJ180" si="319">SUM(AE180+J180)</f>
        <v>0</v>
      </c>
      <c r="BK180" s="82">
        <f t="shared" ref="BK180" si="320">SUM(AF180+K180)</f>
        <v>450</v>
      </c>
      <c r="BL180" s="82">
        <f t="shared" ref="BL180" si="321">SUM(AG180+L180)</f>
        <v>198</v>
      </c>
      <c r="BM180" s="82">
        <f t="shared" ref="BM180" si="322">SUM(AI180+M180)</f>
        <v>0</v>
      </c>
      <c r="BN180" s="82">
        <f t="shared" ref="BN180" si="323">SUM(AJ180+Q180)</f>
        <v>161</v>
      </c>
      <c r="BO180" s="82">
        <f t="shared" ref="BO180" si="324">SUM(AK180+R180)</f>
        <v>8</v>
      </c>
      <c r="BP180" s="82">
        <f t="shared" ref="BP180" si="325">SUM(AL180+S180)</f>
        <v>24</v>
      </c>
      <c r="BQ180" s="82"/>
      <c r="BR180" s="129">
        <f>SUMIF('Audit HD AR - School Level'!$B$6:B1280, "=" &amp; A180,'Audit HD AR - School Level'!$Q$6:Q1280)</f>
        <v>12.9</v>
      </c>
      <c r="BS180" s="224">
        <f t="shared" ref="BS180" si="326">SUM(AS180-AQ180)*$BS$2</f>
        <v>0</v>
      </c>
      <c r="BT180" s="126">
        <f t="shared" ref="BT180" si="327">IF(BS180&lt;0,BS180,0)</f>
        <v>0</v>
      </c>
      <c r="BU180" s="82">
        <f t="shared" ref="BU180" si="328">SUM(U180-AO180-AP180-AR180)</f>
        <v>431.5</v>
      </c>
    </row>
    <row r="181" spans="1:73">
      <c r="A181" s="1" t="s">
        <v>201</v>
      </c>
      <c r="U181" s="126">
        <v>99.5</v>
      </c>
      <c r="X181" s="126">
        <v>3</v>
      </c>
      <c r="Y181" s="126">
        <v>108.8</v>
      </c>
      <c r="Z181" s="126">
        <v>0</v>
      </c>
      <c r="AC181" s="126">
        <v>82.6</v>
      </c>
      <c r="AD181" s="126">
        <v>23</v>
      </c>
      <c r="AE181" s="126">
        <v>110.3</v>
      </c>
      <c r="AF181" s="126">
        <v>107</v>
      </c>
      <c r="AG181" s="126">
        <v>66</v>
      </c>
      <c r="AI181" s="126">
        <v>0</v>
      </c>
      <c r="AJ181" s="126">
        <v>40</v>
      </c>
      <c r="AK181" s="132">
        <v>0</v>
      </c>
      <c r="AL181" s="126">
        <v>5</v>
      </c>
      <c r="AO181" s="132">
        <v>0</v>
      </c>
      <c r="AP181" s="126">
        <v>0</v>
      </c>
      <c r="AQ181" s="134">
        <v>0</v>
      </c>
      <c r="AR181" s="132">
        <v>0</v>
      </c>
      <c r="AS181" s="134">
        <v>0</v>
      </c>
      <c r="AT181" s="132">
        <v>0</v>
      </c>
      <c r="AU181" s="132">
        <v>0</v>
      </c>
      <c r="AV181" s="83">
        <v>45198</v>
      </c>
      <c r="AW181" s="237">
        <v>43593</v>
      </c>
      <c r="AX181" s="233">
        <f t="shared" si="300"/>
        <v>18</v>
      </c>
      <c r="AY181" s="232" t="s">
        <v>3487</v>
      </c>
      <c r="AZ181" s="233" t="b">
        <f t="shared" si="299"/>
        <v>0</v>
      </c>
      <c r="BA181" s="129"/>
      <c r="BB181" s="129"/>
      <c r="BC181" s="129"/>
      <c r="BD181" s="129"/>
      <c r="BE181" s="82">
        <f t="shared" ref="BE181:BE193" si="329">SUM(U181+C181-AO181-AP181-AR181)</f>
        <v>99.5</v>
      </c>
      <c r="BF181" s="82">
        <f t="shared" ref="BF181:BF193" si="330">SUM(X181+F181)</f>
        <v>3</v>
      </c>
      <c r="BG181" s="82"/>
      <c r="BH181" s="82">
        <f t="shared" ref="BH181:BH193" si="331">SUM(AC181+H181)</f>
        <v>82.6</v>
      </c>
      <c r="BI181" s="82">
        <f t="shared" ref="BI181:BI193" si="332">SUM(AD181+I181)</f>
        <v>23</v>
      </c>
      <c r="BJ181" s="82">
        <f t="shared" ref="BJ181:BJ193" si="333">SUM(AE181+J181)</f>
        <v>110.3</v>
      </c>
      <c r="BK181" s="82">
        <f t="shared" ref="BK181:BK193" si="334">SUM(AF181+K181)</f>
        <v>107</v>
      </c>
      <c r="BL181" s="82">
        <f t="shared" ref="BL181:BL193" si="335">SUM(AG181+L181)</f>
        <v>66</v>
      </c>
      <c r="BM181" s="82">
        <f t="shared" ref="BM181:BM193" si="336">SUM(AI181+M181)</f>
        <v>0</v>
      </c>
      <c r="BN181" s="82">
        <f t="shared" ref="BN181:BN193" si="337">SUM(AJ181+Q181)</f>
        <v>40</v>
      </c>
      <c r="BO181" s="82">
        <f t="shared" ref="BO181:BO193" si="338">SUM(AK181+R181)</f>
        <v>0</v>
      </c>
      <c r="BP181" s="82">
        <f t="shared" ref="BP181:BP193" si="339">SUM(AL181+S181)</f>
        <v>5</v>
      </c>
      <c r="BQ181" s="82"/>
      <c r="BR181" s="129">
        <f>SUMIF('Audit HD AR - School Level'!$B$6:B1281, "=" &amp; A181,'Audit HD AR - School Level'!$Q$6:Q1281)</f>
        <v>5.6</v>
      </c>
      <c r="BS181" s="224">
        <f t="shared" ref="BS181:BS193" si="340">SUM(AS181-AQ181)*$BS$2</f>
        <v>0</v>
      </c>
      <c r="BT181" s="126">
        <f t="shared" ref="BT181:BT193" si="341">IF(BS181&lt;0,BS181,0)</f>
        <v>0</v>
      </c>
      <c r="BU181" s="82">
        <f t="shared" ref="BU181:BU193" si="342">SUM(U181-AO181-AP181-AR181)</f>
        <v>99.5</v>
      </c>
    </row>
    <row r="182" spans="1:73">
      <c r="A182" s="1" t="s">
        <v>202</v>
      </c>
      <c r="U182" s="126">
        <v>294.5</v>
      </c>
      <c r="X182" s="126">
        <v>4.5</v>
      </c>
      <c r="Y182" s="126">
        <v>307</v>
      </c>
      <c r="Z182" s="126">
        <v>0</v>
      </c>
      <c r="AC182" s="126">
        <v>62.6</v>
      </c>
      <c r="AD182" s="126">
        <v>0</v>
      </c>
      <c r="AE182" s="126">
        <v>0</v>
      </c>
      <c r="AF182" s="126">
        <v>304</v>
      </c>
      <c r="AG182" s="126">
        <v>143</v>
      </c>
      <c r="AI182" s="126">
        <v>0</v>
      </c>
      <c r="AJ182" s="126">
        <v>138</v>
      </c>
      <c r="AK182" s="132">
        <v>3</v>
      </c>
      <c r="AL182" s="126">
        <v>8</v>
      </c>
      <c r="AO182" s="132">
        <v>1</v>
      </c>
      <c r="AP182" s="126">
        <v>0</v>
      </c>
      <c r="AQ182" s="134">
        <v>0</v>
      </c>
      <c r="AR182" s="132">
        <v>0</v>
      </c>
      <c r="AS182" s="134">
        <v>0</v>
      </c>
      <c r="AT182" s="132">
        <v>0</v>
      </c>
      <c r="AU182" s="132">
        <v>0</v>
      </c>
      <c r="AV182" s="83">
        <v>219391</v>
      </c>
      <c r="AW182" s="237">
        <v>43593</v>
      </c>
      <c r="AX182" s="233">
        <f t="shared" si="300"/>
        <v>18</v>
      </c>
      <c r="AY182" s="232" t="s">
        <v>3487</v>
      </c>
      <c r="AZ182" s="233" t="b">
        <f t="shared" si="299"/>
        <v>0</v>
      </c>
      <c r="BA182" s="129"/>
      <c r="BB182" s="129"/>
      <c r="BC182" s="129"/>
      <c r="BD182" s="129"/>
      <c r="BE182" s="82">
        <f t="shared" si="329"/>
        <v>293.5</v>
      </c>
      <c r="BF182" s="82">
        <f t="shared" si="330"/>
        <v>4.5</v>
      </c>
      <c r="BG182" s="82"/>
      <c r="BH182" s="82">
        <f t="shared" si="331"/>
        <v>62.6</v>
      </c>
      <c r="BI182" s="82">
        <f t="shared" si="332"/>
        <v>0</v>
      </c>
      <c r="BJ182" s="82">
        <f t="shared" si="333"/>
        <v>0</v>
      </c>
      <c r="BK182" s="82">
        <f t="shared" si="334"/>
        <v>304</v>
      </c>
      <c r="BL182" s="82">
        <f t="shared" si="335"/>
        <v>143</v>
      </c>
      <c r="BM182" s="82">
        <f t="shared" si="336"/>
        <v>0</v>
      </c>
      <c r="BN182" s="82">
        <f t="shared" si="337"/>
        <v>138</v>
      </c>
      <c r="BO182" s="82">
        <f t="shared" si="338"/>
        <v>3</v>
      </c>
      <c r="BP182" s="82">
        <f t="shared" si="339"/>
        <v>8</v>
      </c>
      <c r="BQ182" s="82"/>
      <c r="BR182" s="129">
        <f>SUMIF('Audit HD AR - School Level'!$B$6:B1282, "=" &amp; A182,'Audit HD AR - School Level'!$Q$6:Q1282)</f>
        <v>12.1</v>
      </c>
      <c r="BS182" s="224">
        <f t="shared" si="340"/>
        <v>0</v>
      </c>
      <c r="BT182" s="126">
        <f t="shared" si="341"/>
        <v>0</v>
      </c>
      <c r="BU182" s="82">
        <f t="shared" si="342"/>
        <v>293.5</v>
      </c>
    </row>
    <row r="183" spans="1:73">
      <c r="A183" s="1" t="s">
        <v>221</v>
      </c>
      <c r="U183" s="126">
        <v>672</v>
      </c>
      <c r="X183" s="126">
        <v>0</v>
      </c>
      <c r="Y183" s="126">
        <v>675.1</v>
      </c>
      <c r="Z183" s="126">
        <v>0</v>
      </c>
      <c r="AC183" s="126">
        <v>100.2</v>
      </c>
      <c r="AD183" s="126">
        <v>3</v>
      </c>
      <c r="AE183" s="126">
        <v>0</v>
      </c>
      <c r="AF183" s="126">
        <v>680</v>
      </c>
      <c r="AG183" s="126">
        <v>218</v>
      </c>
      <c r="AI183" s="126">
        <v>25.1</v>
      </c>
      <c r="AJ183" s="126">
        <v>136.5</v>
      </c>
      <c r="AK183" s="132">
        <v>53.5</v>
      </c>
      <c r="AL183" s="126">
        <v>39.5</v>
      </c>
      <c r="AO183" s="132">
        <v>0</v>
      </c>
      <c r="AP183" s="126">
        <v>0</v>
      </c>
      <c r="AQ183" s="134">
        <v>0</v>
      </c>
      <c r="AR183" s="132">
        <v>0</v>
      </c>
      <c r="AS183" s="134">
        <v>0</v>
      </c>
      <c r="AT183" s="132">
        <v>0</v>
      </c>
      <c r="AU183" s="132">
        <v>0</v>
      </c>
      <c r="AV183" s="83">
        <v>298115</v>
      </c>
      <c r="AW183" s="237">
        <v>43593</v>
      </c>
      <c r="AX183" s="233">
        <f t="shared" si="300"/>
        <v>18</v>
      </c>
      <c r="AY183" s="232" t="s">
        <v>3487</v>
      </c>
      <c r="AZ183" s="233" t="b">
        <f t="shared" si="299"/>
        <v>0</v>
      </c>
      <c r="BA183" s="129"/>
      <c r="BB183" s="129"/>
      <c r="BC183" s="129"/>
      <c r="BD183" s="129"/>
      <c r="BE183" s="82">
        <f t="shared" si="329"/>
        <v>672</v>
      </c>
      <c r="BF183" s="82">
        <f t="shared" si="330"/>
        <v>0</v>
      </c>
      <c r="BG183" s="82"/>
      <c r="BH183" s="82">
        <f t="shared" si="331"/>
        <v>100.2</v>
      </c>
      <c r="BI183" s="82">
        <f t="shared" si="332"/>
        <v>3</v>
      </c>
      <c r="BJ183" s="82">
        <f t="shared" si="333"/>
        <v>0</v>
      </c>
      <c r="BK183" s="82">
        <f t="shared" si="334"/>
        <v>680</v>
      </c>
      <c r="BL183" s="82">
        <f t="shared" si="335"/>
        <v>218</v>
      </c>
      <c r="BM183" s="82">
        <f t="shared" si="336"/>
        <v>25.1</v>
      </c>
      <c r="BN183" s="82">
        <f t="shared" si="337"/>
        <v>136.5</v>
      </c>
      <c r="BO183" s="82">
        <f t="shared" si="338"/>
        <v>53.5</v>
      </c>
      <c r="BP183" s="82">
        <f t="shared" si="339"/>
        <v>39.5</v>
      </c>
      <c r="BQ183" s="82"/>
      <c r="BR183" s="129">
        <f>SUMIF('Audit HD AR - School Level'!$B$6:B1283, "=" &amp; A183,'Audit HD AR - School Level'!$Q$6:Q1283)</f>
        <v>3.3</v>
      </c>
      <c r="BS183" s="224">
        <f t="shared" si="340"/>
        <v>0</v>
      </c>
      <c r="BT183" s="126">
        <f t="shared" si="341"/>
        <v>0</v>
      </c>
      <c r="BU183" s="82">
        <f t="shared" si="342"/>
        <v>672</v>
      </c>
    </row>
    <row r="184" spans="1:73">
      <c r="A184" s="1" t="s">
        <v>244</v>
      </c>
      <c r="U184" s="126">
        <v>562</v>
      </c>
      <c r="X184" s="126">
        <v>11</v>
      </c>
      <c r="Y184" s="126">
        <v>593.6</v>
      </c>
      <c r="Z184" s="126">
        <v>0</v>
      </c>
      <c r="AC184" s="126">
        <v>169</v>
      </c>
      <c r="AD184" s="126">
        <v>0</v>
      </c>
      <c r="AE184" s="126">
        <v>0</v>
      </c>
      <c r="AF184" s="126">
        <v>588</v>
      </c>
      <c r="AG184" s="126">
        <v>228</v>
      </c>
      <c r="AI184" s="126">
        <v>0</v>
      </c>
      <c r="AJ184" s="126">
        <v>179</v>
      </c>
      <c r="AK184" s="132">
        <v>40</v>
      </c>
      <c r="AL184" s="126">
        <v>178</v>
      </c>
      <c r="AO184" s="132">
        <v>0</v>
      </c>
      <c r="AP184" s="126">
        <v>0</v>
      </c>
      <c r="AQ184" s="134">
        <v>0</v>
      </c>
      <c r="AR184" s="132">
        <v>0</v>
      </c>
      <c r="AS184" s="134">
        <v>0</v>
      </c>
      <c r="AT184" s="132">
        <v>0</v>
      </c>
      <c r="AU184" s="132">
        <v>0</v>
      </c>
      <c r="AV184" s="83">
        <v>378433</v>
      </c>
      <c r="AW184" s="237">
        <v>43593</v>
      </c>
      <c r="AX184" s="233">
        <f t="shared" si="300"/>
        <v>18</v>
      </c>
      <c r="AY184" s="232" t="s">
        <v>3487</v>
      </c>
      <c r="AZ184" s="233" t="b">
        <f t="shared" si="299"/>
        <v>0</v>
      </c>
      <c r="BA184" s="129"/>
      <c r="BB184" s="129"/>
      <c r="BC184" s="129"/>
      <c r="BD184" s="129"/>
      <c r="BE184" s="82">
        <f t="shared" si="329"/>
        <v>562</v>
      </c>
      <c r="BF184" s="82">
        <f t="shared" si="330"/>
        <v>11</v>
      </c>
      <c r="BG184" s="82"/>
      <c r="BH184" s="82">
        <f t="shared" si="331"/>
        <v>169</v>
      </c>
      <c r="BI184" s="82">
        <f t="shared" si="332"/>
        <v>0</v>
      </c>
      <c r="BJ184" s="82">
        <f t="shared" si="333"/>
        <v>0</v>
      </c>
      <c r="BK184" s="82">
        <f t="shared" si="334"/>
        <v>588</v>
      </c>
      <c r="BL184" s="82">
        <f t="shared" si="335"/>
        <v>228</v>
      </c>
      <c r="BM184" s="82">
        <f t="shared" si="336"/>
        <v>0</v>
      </c>
      <c r="BN184" s="82">
        <f t="shared" si="337"/>
        <v>179</v>
      </c>
      <c r="BO184" s="82">
        <f t="shared" si="338"/>
        <v>40</v>
      </c>
      <c r="BP184" s="82">
        <f t="shared" si="339"/>
        <v>178</v>
      </c>
      <c r="BQ184" s="82"/>
      <c r="BR184" s="129">
        <f>SUMIF('Audit HD AR - School Level'!$B$6:B1285, "=" &amp; A184,'Audit HD AR - School Level'!$Q$6:Q1285)</f>
        <v>9.5</v>
      </c>
      <c r="BS184" s="224">
        <f t="shared" si="340"/>
        <v>0</v>
      </c>
      <c r="BT184" s="126">
        <f t="shared" si="341"/>
        <v>0</v>
      </c>
      <c r="BU184" s="82">
        <f t="shared" si="342"/>
        <v>562</v>
      </c>
    </row>
    <row r="185" spans="1:73">
      <c r="A185" s="1" t="s">
        <v>255</v>
      </c>
      <c r="U185" s="126">
        <v>346.5</v>
      </c>
      <c r="X185" s="126">
        <v>0</v>
      </c>
      <c r="Y185" s="126">
        <v>391</v>
      </c>
      <c r="Z185" s="126">
        <v>0</v>
      </c>
      <c r="AC185" s="126">
        <v>69.400000000000006</v>
      </c>
      <c r="AD185" s="126">
        <v>0</v>
      </c>
      <c r="AE185" s="126">
        <v>0</v>
      </c>
      <c r="AF185" s="126">
        <v>347</v>
      </c>
      <c r="AG185" s="126">
        <v>126</v>
      </c>
      <c r="AI185" s="126">
        <v>0</v>
      </c>
      <c r="AJ185" s="126">
        <v>201</v>
      </c>
      <c r="AK185" s="132">
        <v>1</v>
      </c>
      <c r="AL185" s="126">
        <v>0</v>
      </c>
      <c r="AO185" s="132">
        <v>0</v>
      </c>
      <c r="AP185" s="126">
        <v>0</v>
      </c>
      <c r="AQ185" s="134">
        <v>0</v>
      </c>
      <c r="AR185" s="132">
        <v>0</v>
      </c>
      <c r="AS185" s="134">
        <v>0</v>
      </c>
      <c r="AT185" s="132">
        <v>0</v>
      </c>
      <c r="AU185" s="132">
        <v>0</v>
      </c>
      <c r="AV185" s="83">
        <v>391400</v>
      </c>
      <c r="AW185" s="237">
        <v>43593</v>
      </c>
      <c r="AX185" s="233">
        <f t="shared" si="300"/>
        <v>18</v>
      </c>
      <c r="AY185" s="232" t="s">
        <v>3487</v>
      </c>
      <c r="AZ185" s="233" t="b">
        <f t="shared" si="299"/>
        <v>0</v>
      </c>
      <c r="BA185" s="129"/>
      <c r="BB185" s="129"/>
      <c r="BC185" s="129"/>
      <c r="BD185" s="129"/>
      <c r="BE185" s="82">
        <f t="shared" si="329"/>
        <v>346.5</v>
      </c>
      <c r="BF185" s="82">
        <f t="shared" si="330"/>
        <v>0</v>
      </c>
      <c r="BG185" s="82"/>
      <c r="BH185" s="82">
        <f t="shared" si="331"/>
        <v>69.400000000000006</v>
      </c>
      <c r="BI185" s="82">
        <f t="shared" si="332"/>
        <v>0</v>
      </c>
      <c r="BJ185" s="82">
        <f t="shared" si="333"/>
        <v>0</v>
      </c>
      <c r="BK185" s="82">
        <f t="shared" si="334"/>
        <v>347</v>
      </c>
      <c r="BL185" s="82">
        <f t="shared" si="335"/>
        <v>126</v>
      </c>
      <c r="BM185" s="82">
        <f t="shared" si="336"/>
        <v>0</v>
      </c>
      <c r="BN185" s="82">
        <f t="shared" si="337"/>
        <v>201</v>
      </c>
      <c r="BO185" s="82">
        <f t="shared" si="338"/>
        <v>1</v>
      </c>
      <c r="BP185" s="82">
        <f t="shared" si="339"/>
        <v>0</v>
      </c>
      <c r="BQ185" s="82"/>
      <c r="BR185" s="129">
        <f>SUMIF('Audit HD AR - School Level'!$B$6:B1286, "=" &amp; A185,'Audit HD AR - School Level'!$Q$6:Q1286)</f>
        <v>1.2</v>
      </c>
      <c r="BS185" s="224">
        <f t="shared" si="340"/>
        <v>0</v>
      </c>
      <c r="BT185" s="126">
        <f t="shared" si="341"/>
        <v>0</v>
      </c>
      <c r="BU185" s="82">
        <f t="shared" si="342"/>
        <v>346.5</v>
      </c>
    </row>
    <row r="186" spans="1:73">
      <c r="A186" s="1" t="s">
        <v>383</v>
      </c>
      <c r="U186" s="126">
        <v>520.4</v>
      </c>
      <c r="X186" s="126">
        <v>1</v>
      </c>
      <c r="Y186" s="126">
        <v>202.5</v>
      </c>
      <c r="Z186" s="126">
        <v>0</v>
      </c>
      <c r="AC186" s="126">
        <v>109.4</v>
      </c>
      <c r="AD186" s="126">
        <v>0</v>
      </c>
      <c r="AE186" s="126">
        <v>0</v>
      </c>
      <c r="AF186" s="126">
        <v>196</v>
      </c>
      <c r="AG186" s="126">
        <v>61</v>
      </c>
      <c r="AI186" s="126">
        <v>0</v>
      </c>
      <c r="AJ186" s="126">
        <v>150</v>
      </c>
      <c r="AK186" s="132">
        <v>17</v>
      </c>
      <c r="AL186" s="126">
        <v>7</v>
      </c>
      <c r="AO186" s="132">
        <v>102</v>
      </c>
      <c r="AP186" s="126">
        <v>1.9</v>
      </c>
      <c r="AQ186" s="134">
        <v>526.5</v>
      </c>
      <c r="AR186" s="132">
        <v>224</v>
      </c>
      <c r="AS186" s="134">
        <v>526.5</v>
      </c>
      <c r="AT186" s="132">
        <v>500</v>
      </c>
      <c r="AU186" s="132">
        <v>0</v>
      </c>
      <c r="AV186" s="83">
        <v>221447</v>
      </c>
      <c r="AW186" s="237">
        <v>43593</v>
      </c>
      <c r="AX186" s="233">
        <f t="shared" si="300"/>
        <v>18</v>
      </c>
      <c r="AY186" s="232" t="s">
        <v>3487</v>
      </c>
      <c r="AZ186" s="233" t="b">
        <f t="shared" si="299"/>
        <v>0</v>
      </c>
      <c r="BA186" s="129"/>
      <c r="BB186" s="129"/>
      <c r="BC186" s="129"/>
      <c r="BD186" s="129"/>
      <c r="BE186" s="82">
        <f t="shared" si="329"/>
        <v>192.5</v>
      </c>
      <c r="BF186" s="82">
        <f t="shared" si="330"/>
        <v>1</v>
      </c>
      <c r="BG186" s="82"/>
      <c r="BH186" s="82">
        <f t="shared" si="331"/>
        <v>109.4</v>
      </c>
      <c r="BI186" s="82">
        <f t="shared" si="332"/>
        <v>0</v>
      </c>
      <c r="BJ186" s="82">
        <f t="shared" si="333"/>
        <v>0</v>
      </c>
      <c r="BK186" s="82">
        <f t="shared" si="334"/>
        <v>196</v>
      </c>
      <c r="BL186" s="82">
        <f t="shared" si="335"/>
        <v>61</v>
      </c>
      <c r="BM186" s="82">
        <f t="shared" si="336"/>
        <v>0</v>
      </c>
      <c r="BN186" s="82">
        <f t="shared" si="337"/>
        <v>150</v>
      </c>
      <c r="BO186" s="82">
        <f t="shared" si="338"/>
        <v>17</v>
      </c>
      <c r="BP186" s="82">
        <f t="shared" si="339"/>
        <v>7</v>
      </c>
      <c r="BQ186" s="82"/>
      <c r="BR186" s="129">
        <f>SUMIF('Audit HD AR - School Level'!$B$6:B1291, "=" &amp; A186,'Audit HD AR - School Level'!$Q$6:Q1291)</f>
        <v>0</v>
      </c>
      <c r="BS186" s="224">
        <f t="shared" si="340"/>
        <v>0</v>
      </c>
      <c r="BT186" s="126">
        <f t="shared" si="341"/>
        <v>0</v>
      </c>
      <c r="BU186" s="82">
        <f t="shared" si="342"/>
        <v>192.5</v>
      </c>
    </row>
    <row r="187" spans="1:73">
      <c r="A187" s="1" t="s">
        <v>384</v>
      </c>
      <c r="U187" s="126">
        <v>235.3</v>
      </c>
      <c r="X187" s="126">
        <v>4</v>
      </c>
      <c r="Y187" s="126">
        <v>250.5</v>
      </c>
      <c r="Z187" s="126">
        <v>0</v>
      </c>
      <c r="AC187" s="126">
        <v>113.4</v>
      </c>
      <c r="AD187" s="126">
        <v>0</v>
      </c>
      <c r="AE187" s="126">
        <v>0</v>
      </c>
      <c r="AF187" s="126">
        <v>240</v>
      </c>
      <c r="AG187" s="126">
        <v>116</v>
      </c>
      <c r="AI187" s="126">
        <v>0</v>
      </c>
      <c r="AJ187" s="126">
        <v>67</v>
      </c>
      <c r="AK187" s="132">
        <v>8</v>
      </c>
      <c r="AL187" s="126">
        <v>0</v>
      </c>
      <c r="AO187" s="132">
        <v>1</v>
      </c>
      <c r="AP187" s="126">
        <v>0.8</v>
      </c>
      <c r="AQ187" s="134">
        <v>4</v>
      </c>
      <c r="AR187" s="132">
        <v>3</v>
      </c>
      <c r="AS187" s="134">
        <v>6</v>
      </c>
      <c r="AT187" s="132">
        <v>1</v>
      </c>
      <c r="AU187" s="132">
        <v>0</v>
      </c>
      <c r="AV187" s="83">
        <v>108475</v>
      </c>
      <c r="AW187" s="237">
        <v>43593</v>
      </c>
      <c r="AX187" s="233">
        <f t="shared" si="300"/>
        <v>18</v>
      </c>
      <c r="AY187" s="232" t="s">
        <v>3487</v>
      </c>
      <c r="AZ187" s="233" t="b">
        <f t="shared" si="299"/>
        <v>0</v>
      </c>
      <c r="BA187" s="129"/>
      <c r="BB187" s="129"/>
      <c r="BC187" s="129"/>
      <c r="BD187" s="129"/>
      <c r="BE187" s="82">
        <f t="shared" si="329"/>
        <v>230.5</v>
      </c>
      <c r="BF187" s="82">
        <f t="shared" si="330"/>
        <v>4</v>
      </c>
      <c r="BG187" s="82"/>
      <c r="BH187" s="82">
        <f t="shared" si="331"/>
        <v>113.4</v>
      </c>
      <c r="BI187" s="82">
        <f t="shared" si="332"/>
        <v>0</v>
      </c>
      <c r="BJ187" s="82">
        <f t="shared" si="333"/>
        <v>0</v>
      </c>
      <c r="BK187" s="82">
        <f t="shared" si="334"/>
        <v>240</v>
      </c>
      <c r="BL187" s="82">
        <f t="shared" si="335"/>
        <v>116</v>
      </c>
      <c r="BM187" s="82">
        <f t="shared" si="336"/>
        <v>0</v>
      </c>
      <c r="BN187" s="82">
        <f t="shared" si="337"/>
        <v>67</v>
      </c>
      <c r="BO187" s="82">
        <f t="shared" si="338"/>
        <v>8</v>
      </c>
      <c r="BP187" s="82">
        <f t="shared" si="339"/>
        <v>0</v>
      </c>
      <c r="BQ187" s="82"/>
      <c r="BR187" s="129">
        <f>SUMIF('Audit HD AR - School Level'!$B$6:B1292, "=" &amp; A187,'Audit HD AR - School Level'!$Q$6:Q1292)</f>
        <v>10</v>
      </c>
      <c r="BS187" s="224">
        <f t="shared" si="340"/>
        <v>1418</v>
      </c>
      <c r="BT187" s="126">
        <f t="shared" si="341"/>
        <v>0</v>
      </c>
      <c r="BU187" s="82">
        <f t="shared" si="342"/>
        <v>230.5</v>
      </c>
    </row>
    <row r="188" spans="1:73">
      <c r="A188" s="1" t="s">
        <v>407</v>
      </c>
      <c r="U188" s="126">
        <v>394.1</v>
      </c>
      <c r="X188" s="126">
        <v>7.5</v>
      </c>
      <c r="Y188" s="126">
        <v>404.2</v>
      </c>
      <c r="Z188" s="126">
        <v>0</v>
      </c>
      <c r="AC188" s="126">
        <v>185.7</v>
      </c>
      <c r="AD188" s="126">
        <v>0</v>
      </c>
      <c r="AE188" s="126">
        <v>0</v>
      </c>
      <c r="AF188" s="126">
        <v>413</v>
      </c>
      <c r="AG188" s="126">
        <v>85</v>
      </c>
      <c r="AI188" s="126">
        <v>0</v>
      </c>
      <c r="AJ188" s="126">
        <v>71</v>
      </c>
      <c r="AK188" s="132">
        <v>0</v>
      </c>
      <c r="AL188" s="126">
        <v>12</v>
      </c>
      <c r="AO188" s="132">
        <v>0</v>
      </c>
      <c r="AP188" s="126">
        <v>0</v>
      </c>
      <c r="AQ188" s="134">
        <v>0</v>
      </c>
      <c r="AR188" s="132">
        <v>0</v>
      </c>
      <c r="AS188" s="134">
        <v>0</v>
      </c>
      <c r="AT188" s="132">
        <v>1</v>
      </c>
      <c r="AU188" s="132">
        <v>0</v>
      </c>
      <c r="AV188" s="83">
        <v>115770</v>
      </c>
      <c r="AW188" s="237">
        <v>43593</v>
      </c>
      <c r="AX188" s="233">
        <f t="shared" si="300"/>
        <v>18</v>
      </c>
      <c r="AY188" s="232" t="s">
        <v>3487</v>
      </c>
      <c r="AZ188" s="233" t="b">
        <f t="shared" si="299"/>
        <v>0</v>
      </c>
      <c r="BA188" s="129"/>
      <c r="BB188" s="129"/>
      <c r="BC188" s="129"/>
      <c r="BD188" s="129"/>
      <c r="BE188" s="82">
        <f t="shared" si="329"/>
        <v>394.1</v>
      </c>
      <c r="BF188" s="82">
        <f t="shared" si="330"/>
        <v>7.5</v>
      </c>
      <c r="BG188" s="82"/>
      <c r="BH188" s="82">
        <f t="shared" si="331"/>
        <v>185.7</v>
      </c>
      <c r="BI188" s="82">
        <f t="shared" si="332"/>
        <v>0</v>
      </c>
      <c r="BJ188" s="82">
        <f t="shared" si="333"/>
        <v>0</v>
      </c>
      <c r="BK188" s="82">
        <f t="shared" si="334"/>
        <v>413</v>
      </c>
      <c r="BL188" s="82">
        <f t="shared" si="335"/>
        <v>85</v>
      </c>
      <c r="BM188" s="82">
        <f t="shared" si="336"/>
        <v>0</v>
      </c>
      <c r="BN188" s="82">
        <f t="shared" si="337"/>
        <v>71</v>
      </c>
      <c r="BO188" s="82">
        <f t="shared" si="338"/>
        <v>0</v>
      </c>
      <c r="BP188" s="82">
        <f t="shared" si="339"/>
        <v>12</v>
      </c>
      <c r="BQ188" s="82"/>
      <c r="BR188" s="129">
        <f>SUMIF('Audit HD AR - School Level'!$B$6:B1294, "=" &amp; A188,'Audit HD AR - School Level'!$Q$6:Q1294)</f>
        <v>0</v>
      </c>
      <c r="BS188" s="224">
        <f t="shared" si="340"/>
        <v>0</v>
      </c>
      <c r="BT188" s="126">
        <f t="shared" si="341"/>
        <v>0</v>
      </c>
      <c r="BU188" s="82">
        <f t="shared" si="342"/>
        <v>394.1</v>
      </c>
    </row>
    <row r="189" spans="1:73">
      <c r="A189" s="1" t="s">
        <v>423</v>
      </c>
      <c r="U189" s="126">
        <v>1726.6</v>
      </c>
      <c r="X189" s="126">
        <v>36</v>
      </c>
      <c r="Y189" s="126">
        <v>1741.9</v>
      </c>
      <c r="Z189" s="126">
        <v>0</v>
      </c>
      <c r="AC189" s="126">
        <v>343.4</v>
      </c>
      <c r="AD189" s="126">
        <v>213</v>
      </c>
      <c r="AE189" s="126">
        <v>435</v>
      </c>
      <c r="AF189" s="126">
        <v>1786.7</v>
      </c>
      <c r="AG189" s="126">
        <v>1222</v>
      </c>
      <c r="AI189" s="126">
        <v>0</v>
      </c>
      <c r="AJ189" s="126">
        <v>342</v>
      </c>
      <c r="AK189" s="132">
        <v>18</v>
      </c>
      <c r="AL189" s="126">
        <v>4</v>
      </c>
      <c r="AO189" s="132">
        <v>13</v>
      </c>
      <c r="AP189" s="126">
        <v>7.4</v>
      </c>
      <c r="AQ189" s="134">
        <v>63</v>
      </c>
      <c r="AR189" s="132">
        <v>0.3</v>
      </c>
      <c r="AS189" s="134">
        <v>63</v>
      </c>
      <c r="AT189" s="132">
        <v>65</v>
      </c>
      <c r="AU189" s="132">
        <v>0</v>
      </c>
      <c r="AV189" s="83">
        <v>594974</v>
      </c>
      <c r="AW189" s="237">
        <v>43593</v>
      </c>
      <c r="AX189" s="233">
        <f t="shared" si="300"/>
        <v>18</v>
      </c>
      <c r="AY189" s="232" t="s">
        <v>3487</v>
      </c>
      <c r="AZ189" s="233" t="b">
        <f t="shared" si="299"/>
        <v>0</v>
      </c>
      <c r="BA189" s="129"/>
      <c r="BB189" s="129"/>
      <c r="BC189" s="129"/>
      <c r="BD189" s="129"/>
      <c r="BE189" s="82">
        <f t="shared" si="329"/>
        <v>1705.9</v>
      </c>
      <c r="BF189" s="82">
        <f t="shared" si="330"/>
        <v>36</v>
      </c>
      <c r="BG189" s="82"/>
      <c r="BH189" s="82">
        <f t="shared" si="331"/>
        <v>343.4</v>
      </c>
      <c r="BI189" s="82">
        <f t="shared" si="332"/>
        <v>213</v>
      </c>
      <c r="BJ189" s="82">
        <f t="shared" si="333"/>
        <v>435</v>
      </c>
      <c r="BK189" s="82">
        <f t="shared" si="334"/>
        <v>1786.7</v>
      </c>
      <c r="BL189" s="82">
        <f t="shared" si="335"/>
        <v>1222</v>
      </c>
      <c r="BM189" s="82">
        <f t="shared" si="336"/>
        <v>0</v>
      </c>
      <c r="BN189" s="82">
        <f t="shared" si="337"/>
        <v>342</v>
      </c>
      <c r="BO189" s="82">
        <f t="shared" si="338"/>
        <v>18</v>
      </c>
      <c r="BP189" s="82">
        <f t="shared" si="339"/>
        <v>4</v>
      </c>
      <c r="BQ189" s="82"/>
      <c r="BR189" s="129">
        <f>SUMIF('Audit HD AR - School Level'!$B$6:B1295, "=" &amp; A189,'Audit HD AR - School Level'!$Q$6:Q1295)</f>
        <v>128.30000000000001</v>
      </c>
      <c r="BS189" s="224">
        <f t="shared" si="340"/>
        <v>0</v>
      </c>
      <c r="BT189" s="126">
        <f t="shared" si="341"/>
        <v>0</v>
      </c>
      <c r="BU189" s="82">
        <f t="shared" si="342"/>
        <v>1705.9</v>
      </c>
    </row>
    <row r="190" spans="1:73">
      <c r="A190" s="1" t="s">
        <v>427</v>
      </c>
      <c r="U190" s="126">
        <v>651.29999999999995</v>
      </c>
      <c r="X190" s="126">
        <v>0</v>
      </c>
      <c r="Y190" s="126">
        <v>624.29999999999995</v>
      </c>
      <c r="Z190" s="126">
        <v>0</v>
      </c>
      <c r="AC190" s="126">
        <v>209.7</v>
      </c>
      <c r="AD190" s="126">
        <v>0</v>
      </c>
      <c r="AE190" s="126">
        <v>0</v>
      </c>
      <c r="AF190" s="126">
        <v>656</v>
      </c>
      <c r="AG190" s="126">
        <v>138</v>
      </c>
      <c r="AI190" s="126">
        <v>0</v>
      </c>
      <c r="AJ190" s="126">
        <v>319</v>
      </c>
      <c r="AK190" s="132">
        <v>93</v>
      </c>
      <c r="AL190" s="126">
        <v>137.5</v>
      </c>
      <c r="AO190" s="132">
        <v>0</v>
      </c>
      <c r="AP190" s="126">
        <v>0</v>
      </c>
      <c r="AQ190" s="134">
        <v>0</v>
      </c>
      <c r="AR190" s="132">
        <v>0</v>
      </c>
      <c r="AS190" s="134">
        <v>0</v>
      </c>
      <c r="AT190" s="132">
        <v>0</v>
      </c>
      <c r="AU190" s="132">
        <v>0</v>
      </c>
      <c r="AV190" s="83">
        <v>397727</v>
      </c>
      <c r="AW190" s="237">
        <v>43593</v>
      </c>
      <c r="AX190" s="233">
        <f t="shared" si="300"/>
        <v>18</v>
      </c>
      <c r="AY190" s="232" t="s">
        <v>3487</v>
      </c>
      <c r="AZ190" s="233" t="b">
        <f t="shared" si="299"/>
        <v>0</v>
      </c>
      <c r="BA190" s="129"/>
      <c r="BB190" s="129"/>
      <c r="BC190" s="129"/>
      <c r="BD190" s="129"/>
      <c r="BE190" s="82">
        <f t="shared" si="329"/>
        <v>651.29999999999995</v>
      </c>
      <c r="BF190" s="82">
        <f t="shared" si="330"/>
        <v>0</v>
      </c>
      <c r="BG190" s="82"/>
      <c r="BH190" s="82">
        <f t="shared" si="331"/>
        <v>209.7</v>
      </c>
      <c r="BI190" s="82">
        <f t="shared" si="332"/>
        <v>0</v>
      </c>
      <c r="BJ190" s="82">
        <f t="shared" si="333"/>
        <v>0</v>
      </c>
      <c r="BK190" s="82">
        <f t="shared" si="334"/>
        <v>656</v>
      </c>
      <c r="BL190" s="82">
        <f t="shared" si="335"/>
        <v>138</v>
      </c>
      <c r="BM190" s="82">
        <f t="shared" si="336"/>
        <v>0</v>
      </c>
      <c r="BN190" s="82">
        <f t="shared" si="337"/>
        <v>319</v>
      </c>
      <c r="BO190" s="82">
        <f t="shared" si="338"/>
        <v>93</v>
      </c>
      <c r="BP190" s="82">
        <f t="shared" si="339"/>
        <v>137.5</v>
      </c>
      <c r="BQ190" s="82"/>
      <c r="BR190" s="129">
        <f>SUMIF('Audit HD AR - School Level'!$B$6:B1296, "=" &amp; A190,'Audit HD AR - School Level'!$Q$6:Q1296)</f>
        <v>0</v>
      </c>
      <c r="BS190" s="224">
        <f t="shared" si="340"/>
        <v>0</v>
      </c>
      <c r="BT190" s="126">
        <f t="shared" si="341"/>
        <v>0</v>
      </c>
      <c r="BU190" s="82">
        <f t="shared" si="342"/>
        <v>651.29999999999995</v>
      </c>
    </row>
    <row r="191" spans="1:73">
      <c r="A191" s="1" t="s">
        <v>445</v>
      </c>
      <c r="U191" s="126">
        <v>2548</v>
      </c>
      <c r="X191" s="126">
        <v>0</v>
      </c>
      <c r="Y191" s="126">
        <v>2657</v>
      </c>
      <c r="Z191" s="126">
        <v>0</v>
      </c>
      <c r="AC191" s="126">
        <v>297.89999999999998</v>
      </c>
      <c r="AD191" s="126">
        <v>42</v>
      </c>
      <c r="AE191" s="126">
        <v>61</v>
      </c>
      <c r="AF191" s="126">
        <v>2571</v>
      </c>
      <c r="AG191" s="126">
        <v>535</v>
      </c>
      <c r="AI191" s="126">
        <v>0</v>
      </c>
      <c r="AJ191" s="126">
        <v>604</v>
      </c>
      <c r="AK191" s="132">
        <v>31</v>
      </c>
      <c r="AL191" s="126">
        <v>1</v>
      </c>
      <c r="AO191" s="132">
        <v>0</v>
      </c>
      <c r="AP191" s="126">
        <v>0</v>
      </c>
      <c r="AQ191" s="134">
        <v>0</v>
      </c>
      <c r="AR191" s="132">
        <v>0</v>
      </c>
      <c r="AS191" s="134">
        <v>0</v>
      </c>
      <c r="AT191" s="132">
        <v>0</v>
      </c>
      <c r="AU191" s="132">
        <v>0</v>
      </c>
      <c r="AV191" s="83">
        <v>615938</v>
      </c>
      <c r="AW191" s="237">
        <v>43593</v>
      </c>
      <c r="AX191" s="233">
        <f t="shared" si="300"/>
        <v>18</v>
      </c>
      <c r="AY191" s="232" t="s">
        <v>3487</v>
      </c>
      <c r="AZ191" s="233" t="b">
        <f t="shared" si="299"/>
        <v>0</v>
      </c>
      <c r="BA191" s="129"/>
      <c r="BB191" s="129"/>
      <c r="BC191" s="129"/>
      <c r="BD191" s="129"/>
      <c r="BE191" s="82">
        <f t="shared" si="329"/>
        <v>2548</v>
      </c>
      <c r="BF191" s="82">
        <f t="shared" si="330"/>
        <v>0</v>
      </c>
      <c r="BG191" s="82"/>
      <c r="BH191" s="82">
        <f t="shared" si="331"/>
        <v>297.89999999999998</v>
      </c>
      <c r="BI191" s="82">
        <f t="shared" si="332"/>
        <v>42</v>
      </c>
      <c r="BJ191" s="82">
        <f t="shared" si="333"/>
        <v>61</v>
      </c>
      <c r="BK191" s="82">
        <f t="shared" si="334"/>
        <v>2571</v>
      </c>
      <c r="BL191" s="82">
        <f t="shared" si="335"/>
        <v>535</v>
      </c>
      <c r="BM191" s="82">
        <f t="shared" si="336"/>
        <v>0</v>
      </c>
      <c r="BN191" s="82">
        <f t="shared" si="337"/>
        <v>604</v>
      </c>
      <c r="BO191" s="82">
        <f t="shared" si="338"/>
        <v>31</v>
      </c>
      <c r="BP191" s="82">
        <f t="shared" si="339"/>
        <v>1</v>
      </c>
      <c r="BQ191" s="82"/>
      <c r="BR191" s="129">
        <f>SUMIF('Audit HD AR - School Level'!$B$6:B1297, "=" &amp; A191,'Audit HD AR - School Level'!$Q$6:Q1297)</f>
        <v>0</v>
      </c>
      <c r="BS191" s="224">
        <f t="shared" si="340"/>
        <v>0</v>
      </c>
      <c r="BT191" s="126">
        <f t="shared" si="341"/>
        <v>0</v>
      </c>
      <c r="BU191" s="82">
        <f t="shared" si="342"/>
        <v>2548</v>
      </c>
    </row>
    <row r="192" spans="1:73">
      <c r="A192" s="1" t="s">
        <v>454</v>
      </c>
      <c r="U192" s="126">
        <v>4666</v>
      </c>
      <c r="X192" s="126">
        <v>84.5</v>
      </c>
      <c r="Y192" s="126">
        <v>4860</v>
      </c>
      <c r="Z192" s="126">
        <v>0</v>
      </c>
      <c r="AC192" s="126">
        <v>736.9</v>
      </c>
      <c r="AD192" s="126">
        <v>2611</v>
      </c>
      <c r="AE192" s="126">
        <v>8809.1</v>
      </c>
      <c r="AF192" s="126">
        <v>4856</v>
      </c>
      <c r="AG192" s="126">
        <v>3266</v>
      </c>
      <c r="AI192" s="126">
        <v>1274</v>
      </c>
      <c r="AJ192" s="126">
        <v>80.5</v>
      </c>
      <c r="AK192" s="132">
        <v>135.5</v>
      </c>
      <c r="AL192" s="126">
        <v>0</v>
      </c>
      <c r="AO192" s="132">
        <v>0</v>
      </c>
      <c r="AP192" s="126">
        <v>0</v>
      </c>
      <c r="AQ192" s="134">
        <v>0</v>
      </c>
      <c r="AR192" s="132">
        <v>0</v>
      </c>
      <c r="AS192" s="134">
        <v>0</v>
      </c>
      <c r="AT192" s="132">
        <v>0</v>
      </c>
      <c r="AU192" s="132">
        <v>0</v>
      </c>
      <c r="AV192" s="83">
        <v>820810</v>
      </c>
      <c r="AW192" s="237">
        <v>43593</v>
      </c>
      <c r="AX192" s="233">
        <f t="shared" si="300"/>
        <v>18</v>
      </c>
      <c r="AY192" s="232" t="s">
        <v>3487</v>
      </c>
      <c r="AZ192" s="233" t="b">
        <f t="shared" si="299"/>
        <v>0</v>
      </c>
      <c r="BA192" s="129"/>
      <c r="BB192" s="129"/>
      <c r="BC192" s="129"/>
      <c r="BD192" s="129"/>
      <c r="BE192" s="82">
        <f t="shared" si="329"/>
        <v>4666</v>
      </c>
      <c r="BF192" s="82">
        <f t="shared" si="330"/>
        <v>84.5</v>
      </c>
      <c r="BG192" s="82"/>
      <c r="BH192" s="82">
        <f t="shared" si="331"/>
        <v>736.9</v>
      </c>
      <c r="BI192" s="82">
        <f t="shared" si="332"/>
        <v>2611</v>
      </c>
      <c r="BJ192" s="82">
        <f t="shared" si="333"/>
        <v>8809.1</v>
      </c>
      <c r="BK192" s="82">
        <f t="shared" si="334"/>
        <v>4856</v>
      </c>
      <c r="BL192" s="82">
        <f t="shared" si="335"/>
        <v>3266</v>
      </c>
      <c r="BM192" s="82">
        <f t="shared" si="336"/>
        <v>1274</v>
      </c>
      <c r="BN192" s="82">
        <f t="shared" si="337"/>
        <v>80.5</v>
      </c>
      <c r="BO192" s="82">
        <f t="shared" si="338"/>
        <v>135.5</v>
      </c>
      <c r="BP192" s="82">
        <f t="shared" si="339"/>
        <v>0</v>
      </c>
      <c r="BQ192" s="82"/>
      <c r="BR192" s="129">
        <f>SUMIF('Audit HD AR - School Level'!$B$6:B1298, "=" &amp; A192,'Audit HD AR - School Level'!$Q$6:Q1298)</f>
        <v>343</v>
      </c>
      <c r="BS192" s="224">
        <f t="shared" si="340"/>
        <v>0</v>
      </c>
      <c r="BT192" s="126">
        <f t="shared" si="341"/>
        <v>0</v>
      </c>
      <c r="BU192" s="82">
        <f t="shared" si="342"/>
        <v>4666</v>
      </c>
    </row>
    <row r="193" spans="1:73">
      <c r="A193" s="1" t="s">
        <v>455</v>
      </c>
      <c r="U193" s="126">
        <v>258</v>
      </c>
      <c r="X193" s="126">
        <v>5</v>
      </c>
      <c r="Y193" s="126">
        <v>290</v>
      </c>
      <c r="Z193" s="126">
        <v>0</v>
      </c>
      <c r="AC193" s="126">
        <v>90.2</v>
      </c>
      <c r="AD193" s="126">
        <v>0</v>
      </c>
      <c r="AE193" s="126">
        <v>0</v>
      </c>
      <c r="AF193" s="126">
        <v>268</v>
      </c>
      <c r="AG193" s="126">
        <v>103</v>
      </c>
      <c r="AI193" s="126">
        <v>0</v>
      </c>
      <c r="AJ193" s="126">
        <v>116.5</v>
      </c>
      <c r="AK193" s="132">
        <v>10</v>
      </c>
      <c r="AL193" s="126">
        <v>25.5</v>
      </c>
      <c r="AO193" s="132">
        <v>0</v>
      </c>
      <c r="AP193" s="126">
        <v>0</v>
      </c>
      <c r="AQ193" s="134">
        <v>0</v>
      </c>
      <c r="AR193" s="132">
        <v>0</v>
      </c>
      <c r="AS193" s="134">
        <v>0</v>
      </c>
      <c r="AT193" s="132">
        <v>0</v>
      </c>
      <c r="AU193" s="132">
        <v>0</v>
      </c>
      <c r="AV193" s="83">
        <v>211378</v>
      </c>
      <c r="AW193" s="237">
        <v>43593</v>
      </c>
      <c r="AX193" s="233">
        <f t="shared" si="300"/>
        <v>18</v>
      </c>
      <c r="AY193" s="232" t="s">
        <v>3487</v>
      </c>
      <c r="AZ193" s="233" t="b">
        <f t="shared" si="299"/>
        <v>0</v>
      </c>
      <c r="BA193" s="129"/>
      <c r="BB193" s="129"/>
      <c r="BC193" s="129"/>
      <c r="BD193" s="129"/>
      <c r="BE193" s="82">
        <f t="shared" si="329"/>
        <v>258</v>
      </c>
      <c r="BF193" s="82">
        <f t="shared" si="330"/>
        <v>5</v>
      </c>
      <c r="BG193" s="82"/>
      <c r="BH193" s="82">
        <f t="shared" si="331"/>
        <v>90.2</v>
      </c>
      <c r="BI193" s="82">
        <f t="shared" si="332"/>
        <v>0</v>
      </c>
      <c r="BJ193" s="82">
        <f t="shared" si="333"/>
        <v>0</v>
      </c>
      <c r="BK193" s="82">
        <f t="shared" si="334"/>
        <v>268</v>
      </c>
      <c r="BL193" s="82">
        <f t="shared" si="335"/>
        <v>103</v>
      </c>
      <c r="BM193" s="82">
        <f t="shared" si="336"/>
        <v>0</v>
      </c>
      <c r="BN193" s="82">
        <f t="shared" si="337"/>
        <v>116.5</v>
      </c>
      <c r="BO193" s="82">
        <f t="shared" si="338"/>
        <v>10</v>
      </c>
      <c r="BP193" s="82">
        <f t="shared" si="339"/>
        <v>25.5</v>
      </c>
      <c r="BQ193" s="82"/>
      <c r="BR193" s="129">
        <f>SUMIF('Audit HD AR - School Level'!$B$6:B1299, "=" &amp; A193,'Audit HD AR - School Level'!$Q$6:Q1299)</f>
        <v>3.7</v>
      </c>
      <c r="BS193" s="224">
        <f t="shared" si="340"/>
        <v>0</v>
      </c>
      <c r="BT193" s="126">
        <f t="shared" si="341"/>
        <v>0</v>
      </c>
      <c r="BU193" s="82">
        <f t="shared" si="342"/>
        <v>258</v>
      </c>
    </row>
    <row r="194" spans="1:73">
      <c r="A194" s="1" t="s">
        <v>197</v>
      </c>
      <c r="U194" s="126">
        <v>491.5</v>
      </c>
      <c r="X194" s="126">
        <v>0</v>
      </c>
      <c r="Y194" s="126">
        <v>514.5</v>
      </c>
      <c r="Z194" s="126">
        <v>0</v>
      </c>
      <c r="AC194" s="126">
        <v>98.5</v>
      </c>
      <c r="AD194" s="126">
        <v>8</v>
      </c>
      <c r="AE194" s="126">
        <v>1.3</v>
      </c>
      <c r="AF194" s="126">
        <v>495</v>
      </c>
      <c r="AG194" s="126">
        <v>236</v>
      </c>
      <c r="AI194" s="126">
        <v>0</v>
      </c>
      <c r="AJ194" s="126">
        <v>256</v>
      </c>
      <c r="AK194" s="132">
        <v>15</v>
      </c>
      <c r="AL194" s="126">
        <v>85</v>
      </c>
      <c r="AO194" s="132">
        <v>0</v>
      </c>
      <c r="AP194" s="126">
        <v>0</v>
      </c>
      <c r="AQ194" s="134">
        <v>0</v>
      </c>
      <c r="AR194" s="132">
        <v>0</v>
      </c>
      <c r="AS194" s="134">
        <v>0</v>
      </c>
      <c r="AT194" s="132">
        <v>0</v>
      </c>
      <c r="AU194" s="132">
        <v>0</v>
      </c>
      <c r="AV194" s="83">
        <v>518247</v>
      </c>
      <c r="AW194" s="237">
        <v>43598</v>
      </c>
      <c r="AX194" s="233">
        <f t="shared" si="300"/>
        <v>19</v>
      </c>
      <c r="AY194" s="232" t="s">
        <v>3487</v>
      </c>
      <c r="AZ194" s="233" t="b">
        <f t="shared" ref="AZ194:AZ257" si="343">COUNTIF(A:A,A194)&gt;1</f>
        <v>0</v>
      </c>
      <c r="BA194" s="129"/>
      <c r="BB194" s="129"/>
      <c r="BC194" s="129"/>
      <c r="BD194" s="129"/>
      <c r="BE194" s="82">
        <f t="shared" ref="BE194:BE229" si="344">SUM(U194+C194-AO194-AP194-AR194)</f>
        <v>491.5</v>
      </c>
      <c r="BF194" s="82">
        <f t="shared" ref="BF194:BF229" si="345">SUM(X194+F194)</f>
        <v>0</v>
      </c>
      <c r="BG194" s="82"/>
      <c r="BH194" s="82">
        <f t="shared" ref="BH194:BH229" si="346">SUM(AC194+H194)</f>
        <v>98.5</v>
      </c>
      <c r="BI194" s="82">
        <f t="shared" ref="BI194:BI229" si="347">SUM(AD194+I194)</f>
        <v>8</v>
      </c>
      <c r="BJ194" s="82">
        <f t="shared" ref="BJ194:BJ229" si="348">SUM(AE194+J194)</f>
        <v>1.3</v>
      </c>
      <c r="BK194" s="82">
        <f t="shared" ref="BK194:BK229" si="349">SUM(AF194+K194)</f>
        <v>495</v>
      </c>
      <c r="BL194" s="82">
        <f t="shared" ref="BL194:BL229" si="350">SUM(AG194+L194)</f>
        <v>236</v>
      </c>
      <c r="BM194" s="82">
        <f t="shared" ref="BM194:BM229" si="351">SUM(AI194+M194)</f>
        <v>0</v>
      </c>
      <c r="BN194" s="82">
        <f t="shared" ref="BN194:BN229" si="352">SUM(AJ194+Q194)</f>
        <v>256</v>
      </c>
      <c r="BO194" s="82">
        <f t="shared" ref="BO194:BO229" si="353">SUM(AK194+R194)</f>
        <v>15</v>
      </c>
      <c r="BP194" s="82">
        <f t="shared" ref="BP194:BP229" si="354">SUM(AL194+S194)</f>
        <v>85</v>
      </c>
      <c r="BQ194" s="82"/>
      <c r="BR194" s="129">
        <f>SUMIF('Audit HD AR - School Level'!$B$6:B1303, "=" &amp; A194,'Audit HD AR - School Level'!$Q$6:Q1303)</f>
        <v>18.2</v>
      </c>
      <c r="BS194" s="224">
        <f t="shared" ref="BS194:BS229" si="355">SUM(AS194-AQ194)*$BS$2</f>
        <v>0</v>
      </c>
      <c r="BT194" s="126">
        <f t="shared" ref="BT194:BT229" si="356">IF(BS194&lt;0,BS194,0)</f>
        <v>0</v>
      </c>
      <c r="BU194" s="82">
        <f t="shared" ref="BU194:BU229" si="357">SUM(U194-AO194-AP194-AR194)</f>
        <v>491.5</v>
      </c>
    </row>
    <row r="195" spans="1:73">
      <c r="A195" s="1" t="s">
        <v>209</v>
      </c>
      <c r="U195" s="126">
        <v>590</v>
      </c>
      <c r="X195" s="126">
        <v>5.5</v>
      </c>
      <c r="Y195" s="126">
        <v>594</v>
      </c>
      <c r="Z195" s="126">
        <v>0</v>
      </c>
      <c r="AC195" s="126">
        <v>167.3</v>
      </c>
      <c r="AD195" s="126">
        <v>0</v>
      </c>
      <c r="AE195" s="126">
        <v>0</v>
      </c>
      <c r="AF195" s="126">
        <v>601</v>
      </c>
      <c r="AG195" s="126">
        <v>236</v>
      </c>
      <c r="AI195" s="126">
        <v>0</v>
      </c>
      <c r="AJ195" s="126">
        <v>190</v>
      </c>
      <c r="AK195" s="132">
        <v>40</v>
      </c>
      <c r="AL195" s="126">
        <v>1</v>
      </c>
      <c r="AO195" s="132">
        <v>5</v>
      </c>
      <c r="AP195" s="126">
        <v>0</v>
      </c>
      <c r="AQ195" s="134">
        <v>2.5</v>
      </c>
      <c r="AR195" s="132">
        <v>5</v>
      </c>
      <c r="AS195" s="134">
        <v>0.5</v>
      </c>
      <c r="AT195" s="132">
        <v>0</v>
      </c>
      <c r="AU195" s="132">
        <v>0</v>
      </c>
      <c r="AV195" s="83">
        <v>161448</v>
      </c>
      <c r="AW195" s="237">
        <v>43598</v>
      </c>
      <c r="AX195" s="233">
        <f t="shared" si="300"/>
        <v>19</v>
      </c>
      <c r="AY195" s="232" t="s">
        <v>3487</v>
      </c>
      <c r="AZ195" s="233" t="b">
        <f t="shared" si="343"/>
        <v>0</v>
      </c>
      <c r="BA195" s="129"/>
      <c r="BB195" s="129"/>
      <c r="BC195" s="129"/>
      <c r="BD195" s="129"/>
      <c r="BE195" s="82">
        <f t="shared" si="344"/>
        <v>580</v>
      </c>
      <c r="BF195" s="82">
        <f t="shared" si="345"/>
        <v>5.5</v>
      </c>
      <c r="BG195" s="82"/>
      <c r="BH195" s="82">
        <f t="shared" si="346"/>
        <v>167.3</v>
      </c>
      <c r="BI195" s="82">
        <f t="shared" si="347"/>
        <v>0</v>
      </c>
      <c r="BJ195" s="82">
        <f t="shared" si="348"/>
        <v>0</v>
      </c>
      <c r="BK195" s="82">
        <f t="shared" si="349"/>
        <v>601</v>
      </c>
      <c r="BL195" s="82">
        <f t="shared" si="350"/>
        <v>236</v>
      </c>
      <c r="BM195" s="82">
        <f t="shared" si="351"/>
        <v>0</v>
      </c>
      <c r="BN195" s="82">
        <f t="shared" si="352"/>
        <v>190</v>
      </c>
      <c r="BO195" s="82">
        <f t="shared" si="353"/>
        <v>40</v>
      </c>
      <c r="BP195" s="82">
        <f t="shared" si="354"/>
        <v>1</v>
      </c>
      <c r="BQ195" s="82"/>
      <c r="BR195" s="129">
        <f>SUMIF('Audit HD AR - School Level'!$B$6:B1303, "=" &amp; A195,'Audit HD AR - School Level'!$Q$6:Q1303)</f>
        <v>8.1999999999999993</v>
      </c>
      <c r="BS195" s="224">
        <f t="shared" si="355"/>
        <v>-1418</v>
      </c>
      <c r="BT195" s="126">
        <f t="shared" si="356"/>
        <v>-1418</v>
      </c>
      <c r="BU195" s="82">
        <f t="shared" si="357"/>
        <v>580</v>
      </c>
    </row>
    <row r="196" spans="1:73">
      <c r="A196" s="1" t="s">
        <v>218</v>
      </c>
      <c r="U196" s="126">
        <v>375.5</v>
      </c>
      <c r="X196" s="126">
        <v>0</v>
      </c>
      <c r="Y196" s="126">
        <v>385.3</v>
      </c>
      <c r="Z196" s="126">
        <v>0</v>
      </c>
      <c r="AC196" s="126">
        <v>77.2</v>
      </c>
      <c r="AD196" s="126">
        <v>0</v>
      </c>
      <c r="AE196" s="126">
        <v>0</v>
      </c>
      <c r="AF196" s="126">
        <v>380</v>
      </c>
      <c r="AG196" s="126">
        <v>102</v>
      </c>
      <c r="AI196" s="126">
        <v>0</v>
      </c>
      <c r="AJ196" s="126">
        <v>78</v>
      </c>
      <c r="AK196" s="132">
        <v>3</v>
      </c>
      <c r="AL196" s="126">
        <v>0</v>
      </c>
      <c r="AO196" s="132">
        <v>0</v>
      </c>
      <c r="AP196" s="126">
        <v>0</v>
      </c>
      <c r="AQ196" s="134">
        <v>0</v>
      </c>
      <c r="AR196" s="132">
        <v>0</v>
      </c>
      <c r="AS196" s="134">
        <v>0</v>
      </c>
      <c r="AT196" s="132">
        <v>0</v>
      </c>
      <c r="AU196" s="132">
        <v>0</v>
      </c>
      <c r="AV196" s="83">
        <v>128185</v>
      </c>
      <c r="AW196" s="237">
        <v>43598</v>
      </c>
      <c r="AX196" s="233">
        <f t="shared" si="300"/>
        <v>19</v>
      </c>
      <c r="AY196" s="232" t="s">
        <v>3487</v>
      </c>
      <c r="AZ196" s="233" t="b">
        <f t="shared" si="343"/>
        <v>0</v>
      </c>
      <c r="BA196" s="129"/>
      <c r="BB196" s="129"/>
      <c r="BC196" s="129"/>
      <c r="BD196" s="129"/>
      <c r="BE196" s="82">
        <f t="shared" si="344"/>
        <v>375.5</v>
      </c>
      <c r="BF196" s="82">
        <f t="shared" si="345"/>
        <v>0</v>
      </c>
      <c r="BG196" s="82"/>
      <c r="BH196" s="82">
        <f t="shared" si="346"/>
        <v>77.2</v>
      </c>
      <c r="BI196" s="82">
        <f t="shared" si="347"/>
        <v>0</v>
      </c>
      <c r="BJ196" s="82">
        <f t="shared" si="348"/>
        <v>0</v>
      </c>
      <c r="BK196" s="82">
        <f t="shared" si="349"/>
        <v>380</v>
      </c>
      <c r="BL196" s="82">
        <f t="shared" si="350"/>
        <v>102</v>
      </c>
      <c r="BM196" s="82">
        <f t="shared" si="351"/>
        <v>0</v>
      </c>
      <c r="BN196" s="82">
        <f t="shared" si="352"/>
        <v>78</v>
      </c>
      <c r="BO196" s="82">
        <f t="shared" si="353"/>
        <v>3</v>
      </c>
      <c r="BP196" s="82">
        <f t="shared" si="354"/>
        <v>0</v>
      </c>
      <c r="BQ196" s="82"/>
      <c r="BR196" s="129">
        <f>SUMIF('Audit HD AR - School Level'!$B$6:B1304, "=" &amp; A196,'Audit HD AR - School Level'!$Q$6:Q1304)</f>
        <v>0</v>
      </c>
      <c r="BS196" s="224">
        <f t="shared" si="355"/>
        <v>0</v>
      </c>
      <c r="BT196" s="126">
        <f t="shared" si="356"/>
        <v>0</v>
      </c>
      <c r="BU196" s="82">
        <f t="shared" si="357"/>
        <v>375.5</v>
      </c>
    </row>
    <row r="197" spans="1:73">
      <c r="A197" s="1" t="s">
        <v>223</v>
      </c>
      <c r="U197" s="126">
        <v>1593.7</v>
      </c>
      <c r="X197" s="126">
        <v>16.5</v>
      </c>
      <c r="Y197" s="126">
        <v>1649.5</v>
      </c>
      <c r="Z197" s="126">
        <v>0</v>
      </c>
      <c r="AC197" s="126">
        <v>518.79999999999995</v>
      </c>
      <c r="AD197" s="126">
        <v>522</v>
      </c>
      <c r="AE197" s="126">
        <v>1612.6</v>
      </c>
      <c r="AF197" s="126">
        <v>1591.3</v>
      </c>
      <c r="AG197" s="126">
        <v>796</v>
      </c>
      <c r="AI197" s="126">
        <v>0</v>
      </c>
      <c r="AJ197" s="126">
        <v>219</v>
      </c>
      <c r="AK197" s="132">
        <v>164</v>
      </c>
      <c r="AL197" s="126">
        <v>0</v>
      </c>
      <c r="AO197" s="132">
        <v>6</v>
      </c>
      <c r="AP197" s="126">
        <v>3</v>
      </c>
      <c r="AQ197" s="134">
        <v>58</v>
      </c>
      <c r="AR197" s="132">
        <v>39.700000000000003</v>
      </c>
      <c r="AS197" s="134">
        <v>58</v>
      </c>
      <c r="AT197" s="132">
        <v>75</v>
      </c>
      <c r="AU197" s="132">
        <v>0</v>
      </c>
      <c r="AV197" s="83">
        <v>292126</v>
      </c>
      <c r="AW197" s="237">
        <v>43598</v>
      </c>
      <c r="AX197" s="233">
        <f t="shared" ref="AX197:AX260" si="358">IF(AW197=AW196,AX196,AX196+1)</f>
        <v>19</v>
      </c>
      <c r="AY197" s="232" t="s">
        <v>3487</v>
      </c>
      <c r="AZ197" s="233" t="b">
        <f t="shared" si="343"/>
        <v>0</v>
      </c>
      <c r="BA197" s="129"/>
      <c r="BB197" s="129"/>
      <c r="BC197" s="129"/>
      <c r="BD197" s="129"/>
      <c r="BE197" s="82">
        <f t="shared" si="344"/>
        <v>1545</v>
      </c>
      <c r="BF197" s="82">
        <f t="shared" si="345"/>
        <v>16.5</v>
      </c>
      <c r="BG197" s="82"/>
      <c r="BH197" s="82">
        <f t="shared" si="346"/>
        <v>518.79999999999995</v>
      </c>
      <c r="BI197" s="82">
        <f t="shared" si="347"/>
        <v>522</v>
      </c>
      <c r="BJ197" s="82">
        <f t="shared" si="348"/>
        <v>1612.6</v>
      </c>
      <c r="BK197" s="82">
        <f t="shared" si="349"/>
        <v>1591.3</v>
      </c>
      <c r="BL197" s="82">
        <f t="shared" si="350"/>
        <v>796</v>
      </c>
      <c r="BM197" s="82">
        <f t="shared" si="351"/>
        <v>0</v>
      </c>
      <c r="BN197" s="82">
        <f t="shared" si="352"/>
        <v>219</v>
      </c>
      <c r="BO197" s="82">
        <f t="shared" si="353"/>
        <v>164</v>
      </c>
      <c r="BP197" s="82">
        <f t="shared" si="354"/>
        <v>0</v>
      </c>
      <c r="BQ197" s="82"/>
      <c r="BR197" s="129">
        <f>SUMIF('Audit HD AR - School Level'!$B$6:B1305, "=" &amp; A197,'Audit HD AR - School Level'!$Q$6:Q1305)</f>
        <v>72.8</v>
      </c>
      <c r="BS197" s="224">
        <f t="shared" si="355"/>
        <v>0</v>
      </c>
      <c r="BT197" s="126">
        <f t="shared" si="356"/>
        <v>0</v>
      </c>
      <c r="BU197" s="82">
        <f t="shared" si="357"/>
        <v>1545</v>
      </c>
    </row>
    <row r="198" spans="1:73">
      <c r="A198" s="1" t="s">
        <v>227</v>
      </c>
      <c r="U198" s="126">
        <v>1200.5</v>
      </c>
      <c r="X198" s="126">
        <v>4.5</v>
      </c>
      <c r="Y198" s="126">
        <v>458.4</v>
      </c>
      <c r="Z198" s="126">
        <v>0</v>
      </c>
      <c r="AC198" s="126">
        <v>95.3</v>
      </c>
      <c r="AD198" s="126">
        <v>73</v>
      </c>
      <c r="AE198" s="126">
        <v>265.39999999999998</v>
      </c>
      <c r="AF198" s="126">
        <v>431</v>
      </c>
      <c r="AG198" s="126">
        <v>169</v>
      </c>
      <c r="AI198" s="126">
        <v>0</v>
      </c>
      <c r="AJ198" s="126">
        <v>24</v>
      </c>
      <c r="AK198" s="132">
        <v>2</v>
      </c>
      <c r="AL198" s="126">
        <v>0</v>
      </c>
      <c r="AO198" s="132">
        <v>767</v>
      </c>
      <c r="AP198" s="126">
        <v>25.3</v>
      </c>
      <c r="AQ198" s="134">
        <v>4</v>
      </c>
      <c r="AR198" s="132">
        <v>1</v>
      </c>
      <c r="AS198" s="134">
        <v>3.5</v>
      </c>
      <c r="AT198" s="132">
        <v>0</v>
      </c>
      <c r="AU198" s="132">
        <v>0</v>
      </c>
      <c r="AV198" s="83">
        <v>101169</v>
      </c>
      <c r="AW198" s="237">
        <v>43598</v>
      </c>
      <c r="AX198" s="233">
        <f t="shared" si="358"/>
        <v>19</v>
      </c>
      <c r="AY198" s="232" t="s">
        <v>3487</v>
      </c>
      <c r="AZ198" s="233" t="b">
        <f t="shared" si="343"/>
        <v>0</v>
      </c>
      <c r="BA198" s="129"/>
      <c r="BB198" s="129"/>
      <c r="BC198" s="129"/>
      <c r="BD198" s="129"/>
      <c r="BE198" s="82">
        <f t="shared" si="344"/>
        <v>407.2</v>
      </c>
      <c r="BF198" s="82">
        <f t="shared" si="345"/>
        <v>4.5</v>
      </c>
      <c r="BG198" s="82"/>
      <c r="BH198" s="82">
        <f t="shared" si="346"/>
        <v>95.3</v>
      </c>
      <c r="BI198" s="82">
        <f t="shared" si="347"/>
        <v>73</v>
      </c>
      <c r="BJ198" s="82">
        <f t="shared" si="348"/>
        <v>265.39999999999998</v>
      </c>
      <c r="BK198" s="82">
        <f t="shared" si="349"/>
        <v>431</v>
      </c>
      <c r="BL198" s="82">
        <f t="shared" si="350"/>
        <v>169</v>
      </c>
      <c r="BM198" s="82">
        <f t="shared" si="351"/>
        <v>0</v>
      </c>
      <c r="BN198" s="82">
        <f t="shared" si="352"/>
        <v>24</v>
      </c>
      <c r="BO198" s="82">
        <f t="shared" si="353"/>
        <v>2</v>
      </c>
      <c r="BP198" s="82">
        <f t="shared" si="354"/>
        <v>0</v>
      </c>
      <c r="BQ198" s="82"/>
      <c r="BR198" s="129">
        <f>SUMIF('Audit HD AR - School Level'!$B$6:B1306, "=" &amp; A198,'Audit HD AR - School Level'!$Q$6:Q1306)</f>
        <v>9.1</v>
      </c>
      <c r="BS198" s="224">
        <f t="shared" si="355"/>
        <v>-355</v>
      </c>
      <c r="BT198" s="126">
        <f t="shared" si="356"/>
        <v>-355</v>
      </c>
      <c r="BU198" s="82">
        <f t="shared" si="357"/>
        <v>407.2</v>
      </c>
    </row>
    <row r="199" spans="1:73">
      <c r="A199" s="1" t="s">
        <v>234</v>
      </c>
      <c r="U199" s="126">
        <v>280.5</v>
      </c>
      <c r="X199" s="126">
        <v>0</v>
      </c>
      <c r="Y199" s="126">
        <v>296.5</v>
      </c>
      <c r="Z199" s="126">
        <v>0</v>
      </c>
      <c r="AC199" s="126">
        <v>44.9</v>
      </c>
      <c r="AD199" s="126">
        <v>8</v>
      </c>
      <c r="AE199" s="126">
        <v>7.7</v>
      </c>
      <c r="AF199" s="126">
        <v>284</v>
      </c>
      <c r="AG199" s="126">
        <v>72</v>
      </c>
      <c r="AI199" s="126">
        <v>0</v>
      </c>
      <c r="AJ199" s="126">
        <v>126.5</v>
      </c>
      <c r="AK199" s="132">
        <v>17</v>
      </c>
      <c r="AL199" s="126">
        <v>9</v>
      </c>
      <c r="AO199" s="132">
        <v>0</v>
      </c>
      <c r="AP199" s="126">
        <v>0</v>
      </c>
      <c r="AQ199" s="134">
        <v>0</v>
      </c>
      <c r="AR199" s="132">
        <v>0</v>
      </c>
      <c r="AS199" s="134">
        <v>0</v>
      </c>
      <c r="AT199" s="132">
        <v>0</v>
      </c>
      <c r="AU199" s="132">
        <v>0</v>
      </c>
      <c r="AV199" s="83">
        <v>193779</v>
      </c>
      <c r="AW199" s="237">
        <v>43598</v>
      </c>
      <c r="AX199" s="233">
        <f t="shared" si="358"/>
        <v>19</v>
      </c>
      <c r="AY199" s="232" t="s">
        <v>3487</v>
      </c>
      <c r="AZ199" s="233" t="b">
        <f t="shared" si="343"/>
        <v>0</v>
      </c>
      <c r="BA199" s="129"/>
      <c r="BB199" s="129"/>
      <c r="BC199" s="129"/>
      <c r="BD199" s="129"/>
      <c r="BE199" s="82">
        <f t="shared" si="344"/>
        <v>280.5</v>
      </c>
      <c r="BF199" s="82">
        <f t="shared" si="345"/>
        <v>0</v>
      </c>
      <c r="BG199" s="82"/>
      <c r="BH199" s="82">
        <f t="shared" si="346"/>
        <v>44.9</v>
      </c>
      <c r="BI199" s="82">
        <f t="shared" si="347"/>
        <v>8</v>
      </c>
      <c r="BJ199" s="82">
        <f t="shared" si="348"/>
        <v>7.7</v>
      </c>
      <c r="BK199" s="82">
        <f t="shared" si="349"/>
        <v>284</v>
      </c>
      <c r="BL199" s="82">
        <f t="shared" si="350"/>
        <v>72</v>
      </c>
      <c r="BM199" s="82">
        <f t="shared" si="351"/>
        <v>0</v>
      </c>
      <c r="BN199" s="82">
        <f t="shared" si="352"/>
        <v>126.5</v>
      </c>
      <c r="BO199" s="82">
        <f t="shared" si="353"/>
        <v>17</v>
      </c>
      <c r="BP199" s="82">
        <f t="shared" si="354"/>
        <v>9</v>
      </c>
      <c r="BQ199" s="82"/>
      <c r="BR199" s="129">
        <f>SUMIF('Audit HD AR - School Level'!$B$6:B1307, "=" &amp; A199,'Audit HD AR - School Level'!$Q$6:Q1307)</f>
        <v>0</v>
      </c>
      <c r="BS199" s="224">
        <f t="shared" si="355"/>
        <v>0</v>
      </c>
      <c r="BT199" s="126">
        <f t="shared" si="356"/>
        <v>0</v>
      </c>
      <c r="BU199" s="82">
        <f t="shared" si="357"/>
        <v>280.5</v>
      </c>
    </row>
    <row r="200" spans="1:73">
      <c r="A200" s="1" t="s">
        <v>240</v>
      </c>
      <c r="U200" s="126">
        <v>1867</v>
      </c>
      <c r="X200" s="126">
        <v>15.5</v>
      </c>
      <c r="Y200" s="126">
        <v>1859.5</v>
      </c>
      <c r="Z200" s="126">
        <v>0</v>
      </c>
      <c r="AC200" s="126">
        <v>468.2</v>
      </c>
      <c r="AD200" s="126">
        <v>6</v>
      </c>
      <c r="AE200" s="126">
        <v>2</v>
      </c>
      <c r="AF200" s="126">
        <v>1908</v>
      </c>
      <c r="AG200" s="126">
        <v>881</v>
      </c>
      <c r="AI200" s="126">
        <v>20.100000000000001</v>
      </c>
      <c r="AJ200" s="126">
        <v>508</v>
      </c>
      <c r="AK200" s="132">
        <v>1152</v>
      </c>
      <c r="AL200" s="126">
        <v>19</v>
      </c>
      <c r="AO200" s="132">
        <v>4</v>
      </c>
      <c r="AP200" s="126">
        <v>0</v>
      </c>
      <c r="AQ200" s="134">
        <v>3.5</v>
      </c>
      <c r="AR200" s="132">
        <v>0</v>
      </c>
      <c r="AS200" s="134">
        <v>3.5</v>
      </c>
      <c r="AT200" s="132">
        <v>0</v>
      </c>
      <c r="AU200" s="132">
        <v>0</v>
      </c>
      <c r="AV200" s="83">
        <v>630866</v>
      </c>
      <c r="AW200" s="237">
        <v>43598</v>
      </c>
      <c r="AX200" s="233">
        <f t="shared" si="358"/>
        <v>19</v>
      </c>
      <c r="AY200" s="232" t="s">
        <v>3487</v>
      </c>
      <c r="AZ200" s="233" t="b">
        <f t="shared" si="343"/>
        <v>0</v>
      </c>
      <c r="BA200" s="129"/>
      <c r="BB200" s="129"/>
      <c r="BC200" s="129"/>
      <c r="BD200" s="129"/>
      <c r="BE200" s="82">
        <f t="shared" si="344"/>
        <v>1863</v>
      </c>
      <c r="BF200" s="82">
        <f t="shared" si="345"/>
        <v>15.5</v>
      </c>
      <c r="BG200" s="82"/>
      <c r="BH200" s="82">
        <f t="shared" si="346"/>
        <v>468.2</v>
      </c>
      <c r="BI200" s="82">
        <f t="shared" si="347"/>
        <v>6</v>
      </c>
      <c r="BJ200" s="82">
        <f t="shared" si="348"/>
        <v>2</v>
      </c>
      <c r="BK200" s="82">
        <f t="shared" si="349"/>
        <v>1908</v>
      </c>
      <c r="BL200" s="82">
        <f t="shared" si="350"/>
        <v>881</v>
      </c>
      <c r="BM200" s="82">
        <f t="shared" si="351"/>
        <v>20.100000000000001</v>
      </c>
      <c r="BN200" s="82">
        <f t="shared" si="352"/>
        <v>508</v>
      </c>
      <c r="BO200" s="82">
        <f t="shared" si="353"/>
        <v>1152</v>
      </c>
      <c r="BP200" s="82">
        <f t="shared" si="354"/>
        <v>19</v>
      </c>
      <c r="BQ200" s="82"/>
      <c r="BR200" s="129">
        <f>SUMIF('Audit HD AR - School Level'!$B$6:B1310, "=" &amp; A200,'Audit HD AR - School Level'!$Q$6:Q1310)</f>
        <v>64.5</v>
      </c>
      <c r="BS200" s="224">
        <f t="shared" si="355"/>
        <v>0</v>
      </c>
      <c r="BT200" s="126">
        <f t="shared" si="356"/>
        <v>0</v>
      </c>
      <c r="BU200" s="82">
        <f t="shared" si="357"/>
        <v>1863</v>
      </c>
    </row>
    <row r="201" spans="1:73">
      <c r="A201" s="1" t="s">
        <v>265</v>
      </c>
      <c r="U201" s="126">
        <v>5576.7</v>
      </c>
      <c r="X201" s="126">
        <v>80</v>
      </c>
      <c r="Y201" s="126">
        <v>5639.1</v>
      </c>
      <c r="Z201" s="126">
        <v>0</v>
      </c>
      <c r="AC201" s="126">
        <v>1173.3</v>
      </c>
      <c r="AD201" s="126">
        <v>202</v>
      </c>
      <c r="AE201" s="126">
        <v>371.3</v>
      </c>
      <c r="AF201" s="126">
        <v>5806</v>
      </c>
      <c r="AG201" s="126">
        <v>2483</v>
      </c>
      <c r="AI201" s="126">
        <v>267.5</v>
      </c>
      <c r="AJ201" s="126">
        <v>1551</v>
      </c>
      <c r="AK201" s="132">
        <v>2</v>
      </c>
      <c r="AL201" s="126">
        <v>1</v>
      </c>
      <c r="AO201" s="132">
        <v>0</v>
      </c>
      <c r="AP201" s="126">
        <v>0</v>
      </c>
      <c r="AQ201" s="134">
        <v>0</v>
      </c>
      <c r="AR201" s="132">
        <v>0</v>
      </c>
      <c r="AS201" s="134">
        <v>0</v>
      </c>
      <c r="AT201" s="132">
        <v>0</v>
      </c>
      <c r="AU201" s="132">
        <v>0</v>
      </c>
      <c r="AV201" s="83">
        <v>1506882</v>
      </c>
      <c r="AW201" s="237">
        <v>43598</v>
      </c>
      <c r="AX201" s="233">
        <f t="shared" si="358"/>
        <v>19</v>
      </c>
      <c r="AY201" s="232" t="s">
        <v>3487</v>
      </c>
      <c r="AZ201" s="233" t="b">
        <f t="shared" si="343"/>
        <v>0</v>
      </c>
      <c r="BA201" s="129"/>
      <c r="BB201" s="129"/>
      <c r="BC201" s="129"/>
      <c r="BD201" s="129"/>
      <c r="BE201" s="82">
        <f t="shared" si="344"/>
        <v>5576.7</v>
      </c>
      <c r="BF201" s="82">
        <f t="shared" si="345"/>
        <v>80</v>
      </c>
      <c r="BG201" s="82"/>
      <c r="BH201" s="82">
        <f t="shared" si="346"/>
        <v>1173.3</v>
      </c>
      <c r="BI201" s="82">
        <f t="shared" si="347"/>
        <v>202</v>
      </c>
      <c r="BJ201" s="82">
        <f t="shared" si="348"/>
        <v>371.3</v>
      </c>
      <c r="BK201" s="82">
        <f t="shared" si="349"/>
        <v>5806</v>
      </c>
      <c r="BL201" s="82">
        <f t="shared" si="350"/>
        <v>2483</v>
      </c>
      <c r="BM201" s="82">
        <f t="shared" si="351"/>
        <v>267.5</v>
      </c>
      <c r="BN201" s="82">
        <f t="shared" si="352"/>
        <v>1551</v>
      </c>
      <c r="BO201" s="82">
        <f t="shared" si="353"/>
        <v>2</v>
      </c>
      <c r="BP201" s="82">
        <f t="shared" si="354"/>
        <v>1</v>
      </c>
      <c r="BQ201" s="82"/>
      <c r="BR201" s="129">
        <f>SUMIF('Audit HD AR - School Level'!$B$6:B1311, "=" &amp; A201,'Audit HD AR - School Level'!$Q$6:Q1311)</f>
        <v>143</v>
      </c>
      <c r="BS201" s="224">
        <f t="shared" si="355"/>
        <v>0</v>
      </c>
      <c r="BT201" s="126">
        <f t="shared" si="356"/>
        <v>0</v>
      </c>
      <c r="BU201" s="82">
        <f t="shared" si="357"/>
        <v>5576.7</v>
      </c>
    </row>
    <row r="202" spans="1:73">
      <c r="A202" s="1" t="s">
        <v>266</v>
      </c>
      <c r="U202" s="126">
        <v>2958.8</v>
      </c>
      <c r="X202" s="126">
        <v>21</v>
      </c>
      <c r="Y202" s="126">
        <v>2841.6</v>
      </c>
      <c r="Z202" s="126">
        <v>0</v>
      </c>
      <c r="AC202" s="126">
        <v>792.4</v>
      </c>
      <c r="AD202" s="126">
        <v>78</v>
      </c>
      <c r="AE202" s="126">
        <v>187.4</v>
      </c>
      <c r="AF202" s="126">
        <v>2953</v>
      </c>
      <c r="AG202" s="126">
        <v>852</v>
      </c>
      <c r="AI202" s="126">
        <v>0</v>
      </c>
      <c r="AJ202" s="126">
        <v>1406</v>
      </c>
      <c r="AK202" s="132">
        <v>5</v>
      </c>
      <c r="AL202" s="126">
        <v>39</v>
      </c>
      <c r="AO202" s="132">
        <v>38</v>
      </c>
      <c r="AP202" s="126">
        <v>0</v>
      </c>
      <c r="AQ202" s="134">
        <v>16.5</v>
      </c>
      <c r="AR202" s="132">
        <v>21</v>
      </c>
      <c r="AS202" s="134">
        <v>16.5</v>
      </c>
      <c r="AT202" s="132">
        <v>55</v>
      </c>
      <c r="AU202" s="132">
        <v>0</v>
      </c>
      <c r="AV202" s="83">
        <v>862614</v>
      </c>
      <c r="AW202" s="237">
        <v>43598</v>
      </c>
      <c r="AX202" s="233">
        <f t="shared" si="358"/>
        <v>19</v>
      </c>
      <c r="AY202" s="232" t="s">
        <v>3487</v>
      </c>
      <c r="AZ202" s="233" t="b">
        <f t="shared" si="343"/>
        <v>0</v>
      </c>
      <c r="BA202" s="129"/>
      <c r="BB202" s="129"/>
      <c r="BC202" s="129"/>
      <c r="BD202" s="129"/>
      <c r="BE202" s="82">
        <f t="shared" si="344"/>
        <v>2899.8</v>
      </c>
      <c r="BF202" s="82">
        <f t="shared" si="345"/>
        <v>21</v>
      </c>
      <c r="BG202" s="82"/>
      <c r="BH202" s="82">
        <f t="shared" si="346"/>
        <v>792.4</v>
      </c>
      <c r="BI202" s="82">
        <f t="shared" si="347"/>
        <v>78</v>
      </c>
      <c r="BJ202" s="82">
        <f t="shared" si="348"/>
        <v>187.4</v>
      </c>
      <c r="BK202" s="82">
        <f t="shared" si="349"/>
        <v>2953</v>
      </c>
      <c r="BL202" s="82">
        <f t="shared" si="350"/>
        <v>852</v>
      </c>
      <c r="BM202" s="82">
        <f t="shared" si="351"/>
        <v>0</v>
      </c>
      <c r="BN202" s="82">
        <f t="shared" si="352"/>
        <v>1406</v>
      </c>
      <c r="BO202" s="82">
        <f t="shared" si="353"/>
        <v>5</v>
      </c>
      <c r="BP202" s="82">
        <f t="shared" si="354"/>
        <v>39</v>
      </c>
      <c r="BQ202" s="82"/>
      <c r="BR202" s="129">
        <f>SUMIF('Audit HD AR - School Level'!$B$6:B1312, "=" &amp; A202,'Audit HD AR - School Level'!$Q$6:Q1312)</f>
        <v>0</v>
      </c>
      <c r="BS202" s="224">
        <f t="shared" si="355"/>
        <v>0</v>
      </c>
      <c r="BT202" s="126">
        <f t="shared" si="356"/>
        <v>0</v>
      </c>
      <c r="BU202" s="82">
        <f t="shared" si="357"/>
        <v>2899.8</v>
      </c>
    </row>
    <row r="203" spans="1:73">
      <c r="A203" s="1" t="s">
        <v>268</v>
      </c>
      <c r="U203" s="126">
        <v>1108.5</v>
      </c>
      <c r="X203" s="126">
        <v>5</v>
      </c>
      <c r="Y203" s="126">
        <v>1127.5</v>
      </c>
      <c r="Z203" s="126">
        <v>0</v>
      </c>
      <c r="AC203" s="126">
        <v>144.30000000000001</v>
      </c>
      <c r="AD203" s="126">
        <v>5</v>
      </c>
      <c r="AE203" s="126">
        <v>2.1</v>
      </c>
      <c r="AF203" s="126">
        <v>1124</v>
      </c>
      <c r="AG203" s="126">
        <v>212</v>
      </c>
      <c r="AI203" s="126">
        <v>0</v>
      </c>
      <c r="AJ203" s="126">
        <v>475</v>
      </c>
      <c r="AK203" s="132">
        <v>29</v>
      </c>
      <c r="AL203" s="126">
        <v>3</v>
      </c>
      <c r="AO203" s="132">
        <v>0</v>
      </c>
      <c r="AP203" s="126">
        <v>0</v>
      </c>
      <c r="AQ203" s="134">
        <v>0</v>
      </c>
      <c r="AR203" s="132">
        <v>0</v>
      </c>
      <c r="AS203" s="134">
        <v>0</v>
      </c>
      <c r="AT203" s="132">
        <v>0</v>
      </c>
      <c r="AU203" s="132">
        <v>0</v>
      </c>
      <c r="AV203" s="83">
        <v>310612</v>
      </c>
      <c r="AW203" s="237">
        <v>43598</v>
      </c>
      <c r="AX203" s="233">
        <f t="shared" si="358"/>
        <v>19</v>
      </c>
      <c r="AY203" s="232" t="s">
        <v>3487</v>
      </c>
      <c r="AZ203" s="233" t="b">
        <f t="shared" si="343"/>
        <v>0</v>
      </c>
      <c r="BA203" s="129"/>
      <c r="BB203" s="129"/>
      <c r="BC203" s="129"/>
      <c r="BD203" s="129"/>
      <c r="BE203" s="82">
        <f t="shared" si="344"/>
        <v>1108.5</v>
      </c>
      <c r="BF203" s="82">
        <f t="shared" si="345"/>
        <v>5</v>
      </c>
      <c r="BG203" s="82"/>
      <c r="BH203" s="82">
        <f t="shared" si="346"/>
        <v>144.30000000000001</v>
      </c>
      <c r="BI203" s="82">
        <f t="shared" si="347"/>
        <v>5</v>
      </c>
      <c r="BJ203" s="82">
        <f t="shared" si="348"/>
        <v>2.1</v>
      </c>
      <c r="BK203" s="82">
        <f t="shared" si="349"/>
        <v>1124</v>
      </c>
      <c r="BL203" s="82">
        <f t="shared" si="350"/>
        <v>212</v>
      </c>
      <c r="BM203" s="82">
        <f t="shared" si="351"/>
        <v>0</v>
      </c>
      <c r="BN203" s="82">
        <f t="shared" si="352"/>
        <v>475</v>
      </c>
      <c r="BO203" s="82">
        <f t="shared" si="353"/>
        <v>29</v>
      </c>
      <c r="BP203" s="82">
        <f t="shared" si="354"/>
        <v>3</v>
      </c>
      <c r="BQ203" s="82"/>
      <c r="BR203" s="129">
        <f>SUMIF('Audit HD AR - School Level'!$B$6:B1313, "=" &amp; A203,'Audit HD AR - School Level'!$Q$6:Q1313)</f>
        <v>0</v>
      </c>
      <c r="BS203" s="224">
        <f t="shared" si="355"/>
        <v>0</v>
      </c>
      <c r="BT203" s="126">
        <f t="shared" si="356"/>
        <v>0</v>
      </c>
      <c r="BU203" s="82">
        <f t="shared" si="357"/>
        <v>1108.5</v>
      </c>
    </row>
    <row r="204" spans="1:73">
      <c r="A204" s="1" t="s">
        <v>270</v>
      </c>
      <c r="U204" s="126">
        <v>7520.6</v>
      </c>
      <c r="X204" s="126">
        <v>20.5</v>
      </c>
      <c r="Y204" s="126">
        <v>6941.5</v>
      </c>
      <c r="Z204" s="126">
        <v>0</v>
      </c>
      <c r="AC204" s="126">
        <v>1787.2</v>
      </c>
      <c r="AD204" s="126">
        <v>144</v>
      </c>
      <c r="AE204" s="126">
        <v>395.2</v>
      </c>
      <c r="AF204" s="126">
        <v>7213</v>
      </c>
      <c r="AG204" s="126">
        <v>1069</v>
      </c>
      <c r="AI204" s="126">
        <v>239.4</v>
      </c>
      <c r="AJ204" s="126">
        <v>4395</v>
      </c>
      <c r="AK204" s="132">
        <v>1317</v>
      </c>
      <c r="AL204" s="126">
        <v>11</v>
      </c>
      <c r="AO204" s="132">
        <v>400</v>
      </c>
      <c r="AP204" s="126">
        <v>2.5</v>
      </c>
      <c r="AQ204" s="134">
        <v>0</v>
      </c>
      <c r="AR204" s="132">
        <v>0</v>
      </c>
      <c r="AS204" s="134">
        <v>0</v>
      </c>
      <c r="AT204" s="132">
        <v>0</v>
      </c>
      <c r="AU204" s="132">
        <v>1</v>
      </c>
      <c r="AV204" s="83">
        <v>2297129</v>
      </c>
      <c r="AW204" s="237">
        <v>43598</v>
      </c>
      <c r="AX204" s="233">
        <f t="shared" si="358"/>
        <v>19</v>
      </c>
      <c r="AY204" s="232" t="s">
        <v>3487</v>
      </c>
      <c r="AZ204" s="233" t="b">
        <f t="shared" si="343"/>
        <v>0</v>
      </c>
      <c r="BA204" s="129"/>
      <c r="BB204" s="129"/>
      <c r="BC204" s="129"/>
      <c r="BD204" s="129"/>
      <c r="BE204" s="82">
        <f t="shared" si="344"/>
        <v>7118.1</v>
      </c>
      <c r="BF204" s="82">
        <f t="shared" si="345"/>
        <v>20.5</v>
      </c>
      <c r="BG204" s="82"/>
      <c r="BH204" s="82">
        <f t="shared" si="346"/>
        <v>1787.2</v>
      </c>
      <c r="BI204" s="82">
        <f t="shared" si="347"/>
        <v>144</v>
      </c>
      <c r="BJ204" s="82">
        <f t="shared" si="348"/>
        <v>395.2</v>
      </c>
      <c r="BK204" s="82">
        <f t="shared" si="349"/>
        <v>7213</v>
      </c>
      <c r="BL204" s="82">
        <f t="shared" si="350"/>
        <v>1069</v>
      </c>
      <c r="BM204" s="82">
        <f t="shared" si="351"/>
        <v>239.4</v>
      </c>
      <c r="BN204" s="82">
        <f t="shared" si="352"/>
        <v>4395</v>
      </c>
      <c r="BO204" s="82">
        <f t="shared" si="353"/>
        <v>1317</v>
      </c>
      <c r="BP204" s="82">
        <f t="shared" si="354"/>
        <v>11</v>
      </c>
      <c r="BQ204" s="82"/>
      <c r="BR204" s="129">
        <f>SUMIF('Audit HD AR - School Level'!$B$6:B1314, "=" &amp; A204,'Audit HD AR - School Level'!$Q$6:Q1314)</f>
        <v>0</v>
      </c>
      <c r="BS204" s="224">
        <f t="shared" si="355"/>
        <v>0</v>
      </c>
      <c r="BT204" s="126">
        <f t="shared" si="356"/>
        <v>0</v>
      </c>
      <c r="BU204" s="82">
        <f t="shared" si="357"/>
        <v>7118.1</v>
      </c>
    </row>
    <row r="205" spans="1:73">
      <c r="A205" s="1" t="s">
        <v>271</v>
      </c>
      <c r="U205" s="126">
        <v>1786</v>
      </c>
      <c r="X205" s="126">
        <v>0</v>
      </c>
      <c r="Y205" s="126">
        <v>1851</v>
      </c>
      <c r="Z205" s="126">
        <v>0</v>
      </c>
      <c r="AC205" s="126">
        <v>617.5</v>
      </c>
      <c r="AD205" s="126">
        <v>1</v>
      </c>
      <c r="AE205" s="126">
        <v>0.7</v>
      </c>
      <c r="AF205" s="126">
        <v>1797</v>
      </c>
      <c r="AG205" s="126">
        <v>158</v>
      </c>
      <c r="AI205" s="126">
        <v>0</v>
      </c>
      <c r="AJ205" s="126">
        <v>731.5</v>
      </c>
      <c r="AK205" s="132">
        <v>427</v>
      </c>
      <c r="AL205" s="126">
        <v>30.5</v>
      </c>
      <c r="AO205" s="132">
        <v>0</v>
      </c>
      <c r="AP205" s="126">
        <v>0</v>
      </c>
      <c r="AQ205" s="134">
        <v>0</v>
      </c>
      <c r="AR205" s="132">
        <v>0</v>
      </c>
      <c r="AS205" s="134">
        <v>0</v>
      </c>
      <c r="AT205" s="132">
        <v>0</v>
      </c>
      <c r="AU205" s="132">
        <v>0</v>
      </c>
      <c r="AV205" s="83">
        <v>589102</v>
      </c>
      <c r="AW205" s="237">
        <v>43598</v>
      </c>
      <c r="AX205" s="233">
        <f t="shared" si="358"/>
        <v>19</v>
      </c>
      <c r="AY205" s="232" t="s">
        <v>3487</v>
      </c>
      <c r="AZ205" s="233" t="b">
        <f t="shared" si="343"/>
        <v>0</v>
      </c>
      <c r="BA205" s="129"/>
      <c r="BB205" s="129"/>
      <c r="BC205" s="129"/>
      <c r="BD205" s="129"/>
      <c r="BE205" s="82">
        <f t="shared" si="344"/>
        <v>1786</v>
      </c>
      <c r="BF205" s="82">
        <f t="shared" si="345"/>
        <v>0</v>
      </c>
      <c r="BG205" s="82"/>
      <c r="BH205" s="82">
        <f t="shared" si="346"/>
        <v>617.5</v>
      </c>
      <c r="BI205" s="82">
        <f t="shared" si="347"/>
        <v>1</v>
      </c>
      <c r="BJ205" s="82">
        <f t="shared" si="348"/>
        <v>0.7</v>
      </c>
      <c r="BK205" s="82">
        <f t="shared" si="349"/>
        <v>1797</v>
      </c>
      <c r="BL205" s="82">
        <f t="shared" si="350"/>
        <v>158</v>
      </c>
      <c r="BM205" s="82">
        <f t="shared" si="351"/>
        <v>0</v>
      </c>
      <c r="BN205" s="82">
        <f t="shared" si="352"/>
        <v>731.5</v>
      </c>
      <c r="BO205" s="82">
        <f t="shared" si="353"/>
        <v>427</v>
      </c>
      <c r="BP205" s="82">
        <f t="shared" si="354"/>
        <v>30.5</v>
      </c>
      <c r="BQ205" s="82"/>
      <c r="BR205" s="129">
        <f>SUMIF('Audit HD AR - School Level'!$B$6:B1315, "=" &amp; A205,'Audit HD AR - School Level'!$Q$6:Q1315)</f>
        <v>0</v>
      </c>
      <c r="BS205" s="224">
        <f t="shared" si="355"/>
        <v>0</v>
      </c>
      <c r="BT205" s="126">
        <f t="shared" si="356"/>
        <v>0</v>
      </c>
      <c r="BU205" s="82">
        <f t="shared" si="357"/>
        <v>1786</v>
      </c>
    </row>
    <row r="206" spans="1:73">
      <c r="A206" s="1" t="s">
        <v>279</v>
      </c>
      <c r="U206" s="126">
        <v>68.5</v>
      </c>
      <c r="X206" s="126">
        <v>0</v>
      </c>
      <c r="Y206" s="126">
        <v>64.5</v>
      </c>
      <c r="Z206" s="126">
        <v>0</v>
      </c>
      <c r="AC206" s="126">
        <v>0</v>
      </c>
      <c r="AD206" s="126">
        <v>0</v>
      </c>
      <c r="AE206" s="126">
        <v>0</v>
      </c>
      <c r="AF206" s="126">
        <v>71</v>
      </c>
      <c r="AG206" s="126">
        <v>19</v>
      </c>
      <c r="AI206" s="126">
        <v>0</v>
      </c>
      <c r="AJ206" s="126">
        <v>27</v>
      </c>
      <c r="AK206" s="132">
        <v>0</v>
      </c>
      <c r="AL206" s="126">
        <v>0</v>
      </c>
      <c r="AO206" s="132">
        <v>0</v>
      </c>
      <c r="AP206" s="126">
        <v>0</v>
      </c>
      <c r="AQ206" s="134">
        <v>0</v>
      </c>
      <c r="AR206" s="132">
        <v>0</v>
      </c>
      <c r="AS206" s="134">
        <v>0</v>
      </c>
      <c r="AT206" s="132">
        <v>0</v>
      </c>
      <c r="AU206" s="132">
        <v>0</v>
      </c>
      <c r="AV206" s="83">
        <v>57138</v>
      </c>
      <c r="AW206" s="237">
        <v>43598</v>
      </c>
      <c r="AX206" s="233">
        <f t="shared" si="358"/>
        <v>19</v>
      </c>
      <c r="AY206" s="232" t="s">
        <v>3487</v>
      </c>
      <c r="AZ206" s="233" t="b">
        <f t="shared" si="343"/>
        <v>0</v>
      </c>
      <c r="BA206" s="129"/>
      <c r="BB206" s="129"/>
      <c r="BC206" s="129"/>
      <c r="BD206" s="129"/>
      <c r="BE206" s="82">
        <f t="shared" si="344"/>
        <v>68.5</v>
      </c>
      <c r="BF206" s="82">
        <f t="shared" si="345"/>
        <v>0</v>
      </c>
      <c r="BG206" s="82"/>
      <c r="BH206" s="82">
        <f t="shared" si="346"/>
        <v>0</v>
      </c>
      <c r="BI206" s="82">
        <f t="shared" si="347"/>
        <v>0</v>
      </c>
      <c r="BJ206" s="82">
        <f t="shared" si="348"/>
        <v>0</v>
      </c>
      <c r="BK206" s="82">
        <f t="shared" si="349"/>
        <v>71</v>
      </c>
      <c r="BL206" s="82">
        <f t="shared" si="350"/>
        <v>19</v>
      </c>
      <c r="BM206" s="82">
        <f t="shared" si="351"/>
        <v>0</v>
      </c>
      <c r="BN206" s="82">
        <f t="shared" si="352"/>
        <v>27</v>
      </c>
      <c r="BO206" s="82">
        <f t="shared" si="353"/>
        <v>0</v>
      </c>
      <c r="BP206" s="82">
        <f t="shared" si="354"/>
        <v>0</v>
      </c>
      <c r="BQ206" s="82"/>
      <c r="BR206" s="129">
        <f>SUMIF('Audit HD AR - School Level'!$B$6:B1317, "=" &amp; A206,'Audit HD AR - School Level'!$Q$6:Q1317)</f>
        <v>0.5</v>
      </c>
      <c r="BS206" s="224">
        <f t="shared" si="355"/>
        <v>0</v>
      </c>
      <c r="BT206" s="126">
        <f t="shared" si="356"/>
        <v>0</v>
      </c>
      <c r="BU206" s="82">
        <f t="shared" si="357"/>
        <v>68.5</v>
      </c>
    </row>
    <row r="207" spans="1:73">
      <c r="A207" s="1" t="s">
        <v>301</v>
      </c>
      <c r="U207" s="126">
        <v>460</v>
      </c>
      <c r="X207" s="126">
        <v>7</v>
      </c>
      <c r="Y207" s="126">
        <v>467</v>
      </c>
      <c r="Z207" s="126">
        <v>0</v>
      </c>
      <c r="AC207" s="126">
        <v>155.5</v>
      </c>
      <c r="AD207" s="126">
        <v>21</v>
      </c>
      <c r="AE207" s="126">
        <v>38</v>
      </c>
      <c r="AF207" s="126">
        <v>477</v>
      </c>
      <c r="AG207" s="126">
        <v>124</v>
      </c>
      <c r="AI207" s="126">
        <v>0</v>
      </c>
      <c r="AJ207" s="126">
        <v>184</v>
      </c>
      <c r="AK207" s="132">
        <v>9</v>
      </c>
      <c r="AL207" s="126">
        <v>3</v>
      </c>
      <c r="AO207" s="132">
        <v>0</v>
      </c>
      <c r="AP207" s="126">
        <v>0</v>
      </c>
      <c r="AQ207" s="134">
        <v>0</v>
      </c>
      <c r="AR207" s="132">
        <v>0</v>
      </c>
      <c r="AS207" s="134">
        <v>0</v>
      </c>
      <c r="AT207" s="132">
        <v>0</v>
      </c>
      <c r="AU207" s="132">
        <v>0</v>
      </c>
      <c r="AV207" s="83">
        <v>191630</v>
      </c>
      <c r="AW207" s="237">
        <v>43598</v>
      </c>
      <c r="AX207" s="233">
        <f t="shared" si="358"/>
        <v>19</v>
      </c>
      <c r="AY207" s="232" t="s">
        <v>3487</v>
      </c>
      <c r="AZ207" s="233" t="b">
        <f t="shared" si="343"/>
        <v>0</v>
      </c>
      <c r="BA207" s="129"/>
      <c r="BB207" s="129"/>
      <c r="BC207" s="129"/>
      <c r="BD207" s="129"/>
      <c r="BE207" s="82">
        <f t="shared" si="344"/>
        <v>460</v>
      </c>
      <c r="BF207" s="82">
        <f t="shared" si="345"/>
        <v>7</v>
      </c>
      <c r="BG207" s="82"/>
      <c r="BH207" s="82">
        <f t="shared" si="346"/>
        <v>155.5</v>
      </c>
      <c r="BI207" s="82">
        <f t="shared" si="347"/>
        <v>21</v>
      </c>
      <c r="BJ207" s="82">
        <f t="shared" si="348"/>
        <v>38</v>
      </c>
      <c r="BK207" s="82">
        <f t="shared" si="349"/>
        <v>477</v>
      </c>
      <c r="BL207" s="82">
        <f t="shared" si="350"/>
        <v>124</v>
      </c>
      <c r="BM207" s="82">
        <f t="shared" si="351"/>
        <v>0</v>
      </c>
      <c r="BN207" s="82">
        <f t="shared" si="352"/>
        <v>184</v>
      </c>
      <c r="BO207" s="82">
        <f t="shared" si="353"/>
        <v>9</v>
      </c>
      <c r="BP207" s="82">
        <f t="shared" si="354"/>
        <v>3</v>
      </c>
      <c r="BQ207" s="82"/>
      <c r="BR207" s="129">
        <f>SUMIF('Audit HD AR - School Level'!$B$6:B1319, "=" &amp; A207,'Audit HD AR - School Level'!$Q$6:Q1319)</f>
        <v>0</v>
      </c>
      <c r="BS207" s="224">
        <f t="shared" si="355"/>
        <v>0</v>
      </c>
      <c r="BT207" s="126">
        <f t="shared" si="356"/>
        <v>0</v>
      </c>
      <c r="BU207" s="82">
        <f t="shared" si="357"/>
        <v>460</v>
      </c>
    </row>
    <row r="208" spans="1:73">
      <c r="A208" s="1" t="s">
        <v>302</v>
      </c>
      <c r="U208" s="126">
        <v>4322.1000000000004</v>
      </c>
      <c r="X208" s="126">
        <v>19</v>
      </c>
      <c r="Y208" s="126">
        <v>4488.3999999999996</v>
      </c>
      <c r="Z208" s="126">
        <v>0</v>
      </c>
      <c r="AC208" s="126">
        <v>1438.9</v>
      </c>
      <c r="AD208" s="126">
        <v>189</v>
      </c>
      <c r="AE208" s="126">
        <v>490.8</v>
      </c>
      <c r="AF208" s="126">
        <v>4426</v>
      </c>
      <c r="AG208" s="126">
        <v>2369</v>
      </c>
      <c r="AI208" s="126">
        <v>0</v>
      </c>
      <c r="AJ208" s="126">
        <v>31.5</v>
      </c>
      <c r="AK208" s="132">
        <v>143.5</v>
      </c>
      <c r="AL208" s="126">
        <v>10</v>
      </c>
      <c r="AO208" s="132">
        <v>0</v>
      </c>
      <c r="AP208" s="126">
        <v>0</v>
      </c>
      <c r="AQ208" s="134">
        <v>6.5</v>
      </c>
      <c r="AR208" s="132">
        <v>2</v>
      </c>
      <c r="AS208" s="134">
        <v>5.5</v>
      </c>
      <c r="AT208" s="132">
        <v>6</v>
      </c>
      <c r="AU208" s="132">
        <v>0</v>
      </c>
      <c r="AV208" s="83">
        <v>240412</v>
      </c>
      <c r="AW208" s="237">
        <v>43598</v>
      </c>
      <c r="AX208" s="233">
        <f t="shared" si="358"/>
        <v>19</v>
      </c>
      <c r="AY208" s="232" t="s">
        <v>3487</v>
      </c>
      <c r="AZ208" s="233" t="b">
        <f t="shared" si="343"/>
        <v>0</v>
      </c>
      <c r="BA208" s="129"/>
      <c r="BB208" s="129"/>
      <c r="BC208" s="129"/>
      <c r="BD208" s="129"/>
      <c r="BE208" s="82">
        <f t="shared" si="344"/>
        <v>4320.1000000000004</v>
      </c>
      <c r="BF208" s="82">
        <f t="shared" si="345"/>
        <v>19</v>
      </c>
      <c r="BG208" s="82"/>
      <c r="BH208" s="82">
        <f t="shared" si="346"/>
        <v>1438.9</v>
      </c>
      <c r="BI208" s="82">
        <f t="shared" si="347"/>
        <v>189</v>
      </c>
      <c r="BJ208" s="82">
        <f t="shared" si="348"/>
        <v>490.8</v>
      </c>
      <c r="BK208" s="82">
        <f t="shared" si="349"/>
        <v>4426</v>
      </c>
      <c r="BL208" s="82">
        <f t="shared" si="350"/>
        <v>2369</v>
      </c>
      <c r="BM208" s="82">
        <f t="shared" si="351"/>
        <v>0</v>
      </c>
      <c r="BN208" s="82">
        <f t="shared" si="352"/>
        <v>31.5</v>
      </c>
      <c r="BO208" s="82">
        <f t="shared" si="353"/>
        <v>143.5</v>
      </c>
      <c r="BP208" s="82">
        <f t="shared" si="354"/>
        <v>10</v>
      </c>
      <c r="BQ208" s="82"/>
      <c r="BR208" s="129">
        <f>SUMIF('Audit HD AR - School Level'!$B$6:B1320, "=" &amp; A208,'Audit HD AR - School Level'!$Q$6:Q1320)</f>
        <v>223.5</v>
      </c>
      <c r="BS208" s="224">
        <f t="shared" si="355"/>
        <v>-709</v>
      </c>
      <c r="BT208" s="126">
        <f t="shared" si="356"/>
        <v>-709</v>
      </c>
      <c r="BU208" s="82">
        <f t="shared" si="357"/>
        <v>4320.1000000000004</v>
      </c>
    </row>
    <row r="209" spans="1:73">
      <c r="A209" s="1" t="s">
        <v>304</v>
      </c>
      <c r="U209" s="126">
        <v>277.5</v>
      </c>
      <c r="X209" s="126">
        <v>0</v>
      </c>
      <c r="Y209" s="126">
        <v>287</v>
      </c>
      <c r="Z209" s="126">
        <v>0</v>
      </c>
      <c r="AC209" s="126">
        <v>98.3</v>
      </c>
      <c r="AD209" s="126">
        <v>17</v>
      </c>
      <c r="AE209" s="126">
        <v>17.3</v>
      </c>
      <c r="AF209" s="126">
        <v>279</v>
      </c>
      <c r="AG209" s="126">
        <v>136</v>
      </c>
      <c r="AI209" s="126">
        <v>0</v>
      </c>
      <c r="AJ209" s="126">
        <v>260</v>
      </c>
      <c r="AK209" s="132">
        <v>9</v>
      </c>
      <c r="AL209" s="126">
        <v>0</v>
      </c>
      <c r="AO209" s="132">
        <v>0</v>
      </c>
      <c r="AP209" s="126">
        <v>0</v>
      </c>
      <c r="AQ209" s="134">
        <v>0</v>
      </c>
      <c r="AR209" s="132">
        <v>0</v>
      </c>
      <c r="AS209" s="134">
        <v>0</v>
      </c>
      <c r="AT209" s="132">
        <v>0</v>
      </c>
      <c r="AU209" s="132">
        <v>0</v>
      </c>
      <c r="AV209" s="83">
        <v>448518</v>
      </c>
      <c r="AW209" s="237">
        <v>43598</v>
      </c>
      <c r="AX209" s="233">
        <f t="shared" si="358"/>
        <v>19</v>
      </c>
      <c r="AY209" s="232" t="s">
        <v>3487</v>
      </c>
      <c r="AZ209" s="233" t="b">
        <f t="shared" si="343"/>
        <v>0</v>
      </c>
      <c r="BA209" s="129"/>
      <c r="BB209" s="129"/>
      <c r="BC209" s="129"/>
      <c r="BD209" s="129"/>
      <c r="BE209" s="82">
        <f t="shared" si="344"/>
        <v>277.5</v>
      </c>
      <c r="BF209" s="82">
        <f t="shared" si="345"/>
        <v>0</v>
      </c>
      <c r="BG209" s="82"/>
      <c r="BH209" s="82">
        <f t="shared" si="346"/>
        <v>98.3</v>
      </c>
      <c r="BI209" s="82">
        <f t="shared" si="347"/>
        <v>17</v>
      </c>
      <c r="BJ209" s="82">
        <f t="shared" si="348"/>
        <v>17.3</v>
      </c>
      <c r="BK209" s="82">
        <f t="shared" si="349"/>
        <v>279</v>
      </c>
      <c r="BL209" s="82">
        <f t="shared" si="350"/>
        <v>136</v>
      </c>
      <c r="BM209" s="82">
        <f t="shared" si="351"/>
        <v>0</v>
      </c>
      <c r="BN209" s="82">
        <f t="shared" si="352"/>
        <v>260</v>
      </c>
      <c r="BO209" s="82">
        <f t="shared" si="353"/>
        <v>9</v>
      </c>
      <c r="BP209" s="82">
        <f t="shared" si="354"/>
        <v>0</v>
      </c>
      <c r="BQ209" s="82"/>
      <c r="BR209" s="129">
        <f>SUMIF('Audit HD AR - School Level'!$B$6:B1321, "=" &amp; A209,'Audit HD AR - School Level'!$Q$6:Q1321)</f>
        <v>13</v>
      </c>
      <c r="BS209" s="224">
        <f t="shared" si="355"/>
        <v>0</v>
      </c>
      <c r="BT209" s="126">
        <f t="shared" si="356"/>
        <v>0</v>
      </c>
      <c r="BU209" s="82">
        <f t="shared" si="357"/>
        <v>277.5</v>
      </c>
    </row>
    <row r="210" spans="1:73">
      <c r="A210" s="1" t="s">
        <v>309</v>
      </c>
      <c r="U210" s="126">
        <v>941.6</v>
      </c>
      <c r="X210" s="126">
        <v>6.5</v>
      </c>
      <c r="Y210" s="126">
        <v>893.1</v>
      </c>
      <c r="Z210" s="126">
        <v>0</v>
      </c>
      <c r="AC210" s="126">
        <v>319.5</v>
      </c>
      <c r="AD210" s="126">
        <v>51</v>
      </c>
      <c r="AE210" s="126">
        <v>124.5</v>
      </c>
      <c r="AF210" s="126">
        <v>923.6</v>
      </c>
      <c r="AG210" s="126">
        <v>256</v>
      </c>
      <c r="AI210" s="126">
        <v>0</v>
      </c>
      <c r="AJ210" s="126">
        <v>167</v>
      </c>
      <c r="AK210" s="132">
        <v>3</v>
      </c>
      <c r="AL210" s="126">
        <v>33</v>
      </c>
      <c r="AO210" s="132">
        <v>0</v>
      </c>
      <c r="AP210" s="126">
        <v>0</v>
      </c>
      <c r="AQ210" s="134">
        <v>11</v>
      </c>
      <c r="AR210" s="132">
        <v>41.4</v>
      </c>
      <c r="AS210" s="134">
        <v>8.5</v>
      </c>
      <c r="AT210" s="132">
        <v>15</v>
      </c>
      <c r="AU210" s="132">
        <v>0</v>
      </c>
      <c r="AV210" s="83">
        <v>183648</v>
      </c>
      <c r="AW210" s="237">
        <v>43598</v>
      </c>
      <c r="AX210" s="233">
        <f t="shared" si="358"/>
        <v>19</v>
      </c>
      <c r="AY210" s="232" t="s">
        <v>3487</v>
      </c>
      <c r="AZ210" s="233" t="b">
        <f t="shared" si="343"/>
        <v>0</v>
      </c>
      <c r="BA210" s="129"/>
      <c r="BB210" s="129"/>
      <c r="BC210" s="129"/>
      <c r="BD210" s="129"/>
      <c r="BE210" s="82">
        <f t="shared" si="344"/>
        <v>900.2</v>
      </c>
      <c r="BF210" s="82">
        <f t="shared" si="345"/>
        <v>6.5</v>
      </c>
      <c r="BG210" s="82"/>
      <c r="BH210" s="82">
        <f t="shared" si="346"/>
        <v>319.5</v>
      </c>
      <c r="BI210" s="82">
        <f t="shared" si="347"/>
        <v>51</v>
      </c>
      <c r="BJ210" s="82">
        <f t="shared" si="348"/>
        <v>124.5</v>
      </c>
      <c r="BK210" s="82">
        <f t="shared" si="349"/>
        <v>923.6</v>
      </c>
      <c r="BL210" s="82">
        <f t="shared" si="350"/>
        <v>256</v>
      </c>
      <c r="BM210" s="82">
        <f t="shared" si="351"/>
        <v>0</v>
      </c>
      <c r="BN210" s="82">
        <f t="shared" si="352"/>
        <v>167</v>
      </c>
      <c r="BO210" s="82">
        <f t="shared" si="353"/>
        <v>3</v>
      </c>
      <c r="BP210" s="82">
        <f t="shared" si="354"/>
        <v>33</v>
      </c>
      <c r="BQ210" s="82"/>
      <c r="BR210" s="129">
        <f>SUMIF('Audit HD AR - School Level'!$B$6:B1322, "=" &amp; A210,'Audit HD AR - School Level'!$Q$6:Q1322)</f>
        <v>0</v>
      </c>
      <c r="BS210" s="224">
        <f t="shared" si="355"/>
        <v>-1773</v>
      </c>
      <c r="BT210" s="126">
        <f t="shared" si="356"/>
        <v>-1773</v>
      </c>
      <c r="BU210" s="82">
        <f t="shared" si="357"/>
        <v>900.2</v>
      </c>
    </row>
    <row r="211" spans="1:73">
      <c r="A211" s="1" t="s">
        <v>317</v>
      </c>
      <c r="U211" s="126">
        <v>636</v>
      </c>
      <c r="X211" s="126">
        <v>0</v>
      </c>
      <c r="Y211" s="126">
        <v>645</v>
      </c>
      <c r="Z211" s="126">
        <v>0</v>
      </c>
      <c r="AC211" s="126">
        <v>126.4</v>
      </c>
      <c r="AD211" s="126">
        <v>0</v>
      </c>
      <c r="AE211" s="126">
        <v>0</v>
      </c>
      <c r="AF211" s="126">
        <v>640</v>
      </c>
      <c r="AG211" s="126">
        <v>153</v>
      </c>
      <c r="AI211" s="126">
        <v>0</v>
      </c>
      <c r="AJ211" s="126">
        <v>255</v>
      </c>
      <c r="AK211" s="132">
        <v>0</v>
      </c>
      <c r="AL211" s="126">
        <v>2</v>
      </c>
      <c r="AO211" s="132">
        <v>0</v>
      </c>
      <c r="AP211" s="126">
        <v>0</v>
      </c>
      <c r="AQ211" s="134">
        <v>0</v>
      </c>
      <c r="AR211" s="132">
        <v>0</v>
      </c>
      <c r="AS211" s="134">
        <v>0</v>
      </c>
      <c r="AT211" s="132">
        <v>0</v>
      </c>
      <c r="AU211" s="132">
        <v>0</v>
      </c>
      <c r="AV211" s="83">
        <v>182080</v>
      </c>
      <c r="AW211" s="237">
        <v>43598</v>
      </c>
      <c r="AX211" s="233">
        <f t="shared" si="358"/>
        <v>19</v>
      </c>
      <c r="AY211" s="232" t="s">
        <v>3487</v>
      </c>
      <c r="AZ211" s="233" t="b">
        <f t="shared" si="343"/>
        <v>0</v>
      </c>
      <c r="BA211" s="129"/>
      <c r="BB211" s="129"/>
      <c r="BC211" s="129"/>
      <c r="BD211" s="129"/>
      <c r="BE211" s="82">
        <f t="shared" si="344"/>
        <v>636</v>
      </c>
      <c r="BF211" s="82">
        <f t="shared" si="345"/>
        <v>0</v>
      </c>
      <c r="BG211" s="82"/>
      <c r="BH211" s="82">
        <f t="shared" si="346"/>
        <v>126.4</v>
      </c>
      <c r="BI211" s="82">
        <f t="shared" si="347"/>
        <v>0</v>
      </c>
      <c r="BJ211" s="82">
        <f t="shared" si="348"/>
        <v>0</v>
      </c>
      <c r="BK211" s="82">
        <f t="shared" si="349"/>
        <v>640</v>
      </c>
      <c r="BL211" s="82">
        <f t="shared" si="350"/>
        <v>153</v>
      </c>
      <c r="BM211" s="82">
        <f t="shared" si="351"/>
        <v>0</v>
      </c>
      <c r="BN211" s="82">
        <f t="shared" si="352"/>
        <v>255</v>
      </c>
      <c r="BO211" s="82">
        <f t="shared" si="353"/>
        <v>0</v>
      </c>
      <c r="BP211" s="82">
        <f t="shared" si="354"/>
        <v>2</v>
      </c>
      <c r="BQ211" s="82"/>
      <c r="BR211" s="129">
        <f>SUMIF('Audit HD AR - School Level'!$B$6:B1324, "=" &amp; A211,'Audit HD AR - School Level'!$Q$6:Q1324)</f>
        <v>0</v>
      </c>
      <c r="BS211" s="224">
        <f t="shared" si="355"/>
        <v>0</v>
      </c>
      <c r="BT211" s="126">
        <f t="shared" si="356"/>
        <v>0</v>
      </c>
      <c r="BU211" s="82">
        <f t="shared" si="357"/>
        <v>636</v>
      </c>
    </row>
    <row r="212" spans="1:73">
      <c r="A212" s="1" t="s">
        <v>340</v>
      </c>
      <c r="U212" s="126">
        <v>214</v>
      </c>
      <c r="X212" s="126">
        <v>2.5</v>
      </c>
      <c r="Y212" s="126">
        <v>231</v>
      </c>
      <c r="Z212" s="126">
        <v>0</v>
      </c>
      <c r="AC212" s="126">
        <v>18.600000000000001</v>
      </c>
      <c r="AD212" s="126">
        <v>48</v>
      </c>
      <c r="AE212" s="126">
        <v>184.5</v>
      </c>
      <c r="AF212" s="126">
        <v>221</v>
      </c>
      <c r="AG212" s="126">
        <v>108</v>
      </c>
      <c r="AI212" s="126">
        <v>0</v>
      </c>
      <c r="AJ212" s="126">
        <v>73</v>
      </c>
      <c r="AK212" s="132">
        <v>0</v>
      </c>
      <c r="AL212" s="126">
        <v>5</v>
      </c>
      <c r="AO212" s="132">
        <v>0</v>
      </c>
      <c r="AP212" s="126">
        <v>0</v>
      </c>
      <c r="AQ212" s="134">
        <v>0</v>
      </c>
      <c r="AR212" s="132">
        <v>0</v>
      </c>
      <c r="AS212" s="134">
        <v>0</v>
      </c>
      <c r="AT212" s="132">
        <v>0</v>
      </c>
      <c r="AU212" s="132">
        <v>0</v>
      </c>
      <c r="AV212" s="83">
        <v>132700</v>
      </c>
      <c r="AW212" s="237">
        <v>43598</v>
      </c>
      <c r="AX212" s="233">
        <f t="shared" si="358"/>
        <v>19</v>
      </c>
      <c r="AY212" s="232" t="s">
        <v>3487</v>
      </c>
      <c r="AZ212" s="233" t="b">
        <f t="shared" si="343"/>
        <v>0</v>
      </c>
      <c r="BA212" s="129"/>
      <c r="BB212" s="129"/>
      <c r="BC212" s="129"/>
      <c r="BD212" s="129"/>
      <c r="BE212" s="82">
        <f t="shared" si="344"/>
        <v>214</v>
      </c>
      <c r="BF212" s="82">
        <f t="shared" si="345"/>
        <v>2.5</v>
      </c>
      <c r="BG212" s="82"/>
      <c r="BH212" s="82">
        <f t="shared" si="346"/>
        <v>18.600000000000001</v>
      </c>
      <c r="BI212" s="82">
        <f t="shared" si="347"/>
        <v>48</v>
      </c>
      <c r="BJ212" s="82">
        <f t="shared" si="348"/>
        <v>184.5</v>
      </c>
      <c r="BK212" s="82">
        <f t="shared" si="349"/>
        <v>221</v>
      </c>
      <c r="BL212" s="82">
        <f t="shared" si="350"/>
        <v>108</v>
      </c>
      <c r="BM212" s="82">
        <f t="shared" si="351"/>
        <v>0</v>
      </c>
      <c r="BN212" s="82">
        <f t="shared" si="352"/>
        <v>73</v>
      </c>
      <c r="BO212" s="82">
        <f t="shared" si="353"/>
        <v>0</v>
      </c>
      <c r="BP212" s="82">
        <f t="shared" si="354"/>
        <v>5</v>
      </c>
      <c r="BQ212" s="82"/>
      <c r="BR212" s="129">
        <f>SUMIF('Audit HD AR - School Level'!$B$6:B1326, "=" &amp; A212,'Audit HD AR - School Level'!$Q$6:Q1326)</f>
        <v>7.7</v>
      </c>
      <c r="BS212" s="224">
        <f t="shared" si="355"/>
        <v>0</v>
      </c>
      <c r="BT212" s="126">
        <f t="shared" si="356"/>
        <v>0</v>
      </c>
      <c r="BU212" s="82">
        <f t="shared" si="357"/>
        <v>214</v>
      </c>
    </row>
    <row r="213" spans="1:73">
      <c r="A213" s="1" t="s">
        <v>349</v>
      </c>
      <c r="U213" s="126">
        <v>797.2</v>
      </c>
      <c r="X213" s="126">
        <v>12</v>
      </c>
      <c r="Y213" s="126">
        <v>808.1</v>
      </c>
      <c r="Z213" s="126">
        <v>0</v>
      </c>
      <c r="AC213" s="126">
        <v>116.4</v>
      </c>
      <c r="AD213" s="126">
        <v>57</v>
      </c>
      <c r="AE213" s="126">
        <v>145</v>
      </c>
      <c r="AF213" s="126">
        <v>824</v>
      </c>
      <c r="AG213" s="126">
        <v>385</v>
      </c>
      <c r="AI213" s="126">
        <v>0</v>
      </c>
      <c r="AJ213" s="126">
        <v>374.5</v>
      </c>
      <c r="AK213" s="132">
        <v>34</v>
      </c>
      <c r="AL213" s="126">
        <v>3</v>
      </c>
      <c r="AO213" s="132">
        <v>2</v>
      </c>
      <c r="AP213" s="126">
        <v>0.9</v>
      </c>
      <c r="AQ213" s="134">
        <v>25</v>
      </c>
      <c r="AR213" s="132">
        <v>8</v>
      </c>
      <c r="AS213" s="134">
        <v>21</v>
      </c>
      <c r="AT213" s="132">
        <v>0</v>
      </c>
      <c r="AU213" s="132">
        <v>0</v>
      </c>
      <c r="AV213" s="83">
        <v>634762</v>
      </c>
      <c r="AW213" s="237">
        <v>43598</v>
      </c>
      <c r="AX213" s="233">
        <f t="shared" si="358"/>
        <v>19</v>
      </c>
      <c r="AY213" s="232" t="s">
        <v>3487</v>
      </c>
      <c r="AZ213" s="233" t="b">
        <f t="shared" si="343"/>
        <v>0</v>
      </c>
      <c r="BA213" s="129"/>
      <c r="BB213" s="129"/>
      <c r="BC213" s="129"/>
      <c r="BD213" s="129"/>
      <c r="BE213" s="82">
        <f t="shared" si="344"/>
        <v>786.3</v>
      </c>
      <c r="BF213" s="82">
        <f t="shared" si="345"/>
        <v>12</v>
      </c>
      <c r="BG213" s="82"/>
      <c r="BH213" s="82">
        <f t="shared" si="346"/>
        <v>116.4</v>
      </c>
      <c r="BI213" s="82">
        <f t="shared" si="347"/>
        <v>57</v>
      </c>
      <c r="BJ213" s="82">
        <f t="shared" si="348"/>
        <v>145</v>
      </c>
      <c r="BK213" s="82">
        <f t="shared" si="349"/>
        <v>824</v>
      </c>
      <c r="BL213" s="82">
        <f t="shared" si="350"/>
        <v>385</v>
      </c>
      <c r="BM213" s="82">
        <f t="shared" si="351"/>
        <v>0</v>
      </c>
      <c r="BN213" s="82">
        <f t="shared" si="352"/>
        <v>374.5</v>
      </c>
      <c r="BO213" s="82">
        <f t="shared" si="353"/>
        <v>34</v>
      </c>
      <c r="BP213" s="82">
        <f t="shared" si="354"/>
        <v>3</v>
      </c>
      <c r="BQ213" s="82"/>
      <c r="BR213" s="129">
        <f>SUMIF('Audit HD AR - School Level'!$B$6:B1327, "=" &amp; A213,'Audit HD AR - School Level'!$Q$6:Q1327)</f>
        <v>28.6</v>
      </c>
      <c r="BS213" s="224">
        <f t="shared" si="355"/>
        <v>-2836</v>
      </c>
      <c r="BT213" s="126">
        <f t="shared" si="356"/>
        <v>-2836</v>
      </c>
      <c r="BU213" s="82">
        <f t="shared" si="357"/>
        <v>786.3</v>
      </c>
    </row>
    <row r="214" spans="1:73">
      <c r="A214" s="1" t="s">
        <v>357</v>
      </c>
      <c r="U214" s="126">
        <v>220</v>
      </c>
      <c r="X214" s="126">
        <v>3.5</v>
      </c>
      <c r="Y214" s="126">
        <v>235</v>
      </c>
      <c r="Z214" s="126">
        <v>0</v>
      </c>
      <c r="AC214" s="126">
        <v>69.400000000000006</v>
      </c>
      <c r="AD214" s="126">
        <v>8</v>
      </c>
      <c r="AE214" s="126">
        <v>1.1000000000000001</v>
      </c>
      <c r="AF214" s="126">
        <v>227</v>
      </c>
      <c r="AG214" s="126">
        <v>93</v>
      </c>
      <c r="AI214" s="126">
        <v>0</v>
      </c>
      <c r="AJ214" s="126">
        <v>32</v>
      </c>
      <c r="AK214" s="132">
        <v>0</v>
      </c>
      <c r="AL214" s="126">
        <v>7</v>
      </c>
      <c r="AO214" s="132">
        <v>0</v>
      </c>
      <c r="AP214" s="126">
        <v>0</v>
      </c>
      <c r="AQ214" s="134">
        <v>0</v>
      </c>
      <c r="AR214" s="132">
        <v>0</v>
      </c>
      <c r="AS214" s="134">
        <v>0</v>
      </c>
      <c r="AT214" s="132">
        <v>0</v>
      </c>
      <c r="AU214" s="132">
        <v>0</v>
      </c>
      <c r="AV214" s="83">
        <v>105940</v>
      </c>
      <c r="AW214" s="237">
        <v>43598</v>
      </c>
      <c r="AX214" s="233">
        <f t="shared" si="358"/>
        <v>19</v>
      </c>
      <c r="AY214" s="232" t="s">
        <v>3487</v>
      </c>
      <c r="AZ214" s="233" t="b">
        <f t="shared" si="343"/>
        <v>0</v>
      </c>
      <c r="BA214" s="129"/>
      <c r="BB214" s="129"/>
      <c r="BC214" s="129"/>
      <c r="BD214" s="129"/>
      <c r="BE214" s="82">
        <f t="shared" si="344"/>
        <v>220</v>
      </c>
      <c r="BF214" s="82">
        <f t="shared" si="345"/>
        <v>3.5</v>
      </c>
      <c r="BG214" s="82"/>
      <c r="BH214" s="82">
        <f t="shared" si="346"/>
        <v>69.400000000000006</v>
      </c>
      <c r="BI214" s="82">
        <f t="shared" si="347"/>
        <v>8</v>
      </c>
      <c r="BJ214" s="82">
        <f t="shared" si="348"/>
        <v>1.1000000000000001</v>
      </c>
      <c r="BK214" s="82">
        <f t="shared" si="349"/>
        <v>227</v>
      </c>
      <c r="BL214" s="82">
        <f t="shared" si="350"/>
        <v>93</v>
      </c>
      <c r="BM214" s="82">
        <f t="shared" si="351"/>
        <v>0</v>
      </c>
      <c r="BN214" s="82">
        <f t="shared" si="352"/>
        <v>32</v>
      </c>
      <c r="BO214" s="82">
        <f t="shared" si="353"/>
        <v>0</v>
      </c>
      <c r="BP214" s="82">
        <f t="shared" si="354"/>
        <v>7</v>
      </c>
      <c r="BQ214" s="82"/>
      <c r="BR214" s="129">
        <f>SUMIF('Audit HD AR - School Level'!$B$6:B1329, "=" &amp; A214,'Audit HD AR - School Level'!$Q$6:Q1329)</f>
        <v>4.0999999999999996</v>
      </c>
      <c r="BS214" s="224">
        <f t="shared" si="355"/>
        <v>0</v>
      </c>
      <c r="BT214" s="126">
        <f t="shared" si="356"/>
        <v>0</v>
      </c>
      <c r="BU214" s="82">
        <f t="shared" si="357"/>
        <v>220</v>
      </c>
    </row>
    <row r="215" spans="1:73">
      <c r="A215" s="1" t="s">
        <v>361</v>
      </c>
      <c r="U215" s="126">
        <v>392.7</v>
      </c>
      <c r="X215" s="126">
        <v>8.5</v>
      </c>
      <c r="Y215" s="126">
        <v>447.2</v>
      </c>
      <c r="Z215" s="126">
        <v>0</v>
      </c>
      <c r="AC215" s="126">
        <v>74.3</v>
      </c>
      <c r="AD215" s="126">
        <v>122</v>
      </c>
      <c r="AE215" s="126">
        <v>683.1</v>
      </c>
      <c r="AF215" s="126">
        <v>414</v>
      </c>
      <c r="AG215" s="126">
        <v>203</v>
      </c>
      <c r="AI215" s="126">
        <v>0</v>
      </c>
      <c r="AJ215" s="126">
        <v>75</v>
      </c>
      <c r="AK215" s="132">
        <v>44</v>
      </c>
      <c r="AL215" s="126">
        <v>6</v>
      </c>
      <c r="AO215" s="132">
        <v>0</v>
      </c>
      <c r="AP215" s="126">
        <v>0</v>
      </c>
      <c r="AQ215" s="134">
        <v>0.5</v>
      </c>
      <c r="AR215" s="132">
        <v>0</v>
      </c>
      <c r="AS215" s="134">
        <v>0</v>
      </c>
      <c r="AT215" s="132">
        <v>0</v>
      </c>
      <c r="AU215" s="132">
        <v>0</v>
      </c>
      <c r="AV215" s="83">
        <v>151413</v>
      </c>
      <c r="AW215" s="237">
        <v>43598</v>
      </c>
      <c r="AX215" s="233">
        <f t="shared" si="358"/>
        <v>19</v>
      </c>
      <c r="AY215" s="232" t="s">
        <v>3487</v>
      </c>
      <c r="AZ215" s="233" t="b">
        <f t="shared" si="343"/>
        <v>0</v>
      </c>
      <c r="BA215" s="129"/>
      <c r="BB215" s="129"/>
      <c r="BC215" s="129"/>
      <c r="BD215" s="129"/>
      <c r="BE215" s="82">
        <f t="shared" si="344"/>
        <v>392.7</v>
      </c>
      <c r="BF215" s="82">
        <f t="shared" si="345"/>
        <v>8.5</v>
      </c>
      <c r="BG215" s="82"/>
      <c r="BH215" s="82">
        <f t="shared" si="346"/>
        <v>74.3</v>
      </c>
      <c r="BI215" s="82">
        <f t="shared" si="347"/>
        <v>122</v>
      </c>
      <c r="BJ215" s="82">
        <f t="shared" si="348"/>
        <v>683.1</v>
      </c>
      <c r="BK215" s="82">
        <f t="shared" si="349"/>
        <v>414</v>
      </c>
      <c r="BL215" s="82">
        <f t="shared" si="350"/>
        <v>203</v>
      </c>
      <c r="BM215" s="82">
        <f t="shared" si="351"/>
        <v>0</v>
      </c>
      <c r="BN215" s="82">
        <f t="shared" si="352"/>
        <v>75</v>
      </c>
      <c r="BO215" s="82">
        <f t="shared" si="353"/>
        <v>44</v>
      </c>
      <c r="BP215" s="82">
        <f t="shared" si="354"/>
        <v>6</v>
      </c>
      <c r="BQ215" s="82"/>
      <c r="BR215" s="129">
        <f>SUMIF('Audit HD AR - School Level'!$B$6:B1331, "=" &amp; A215,'Audit HD AR - School Level'!$Q$6:Q1331)</f>
        <v>17.5</v>
      </c>
      <c r="BS215" s="224">
        <f t="shared" si="355"/>
        <v>-355</v>
      </c>
      <c r="BT215" s="126">
        <f t="shared" si="356"/>
        <v>-355</v>
      </c>
      <c r="BU215" s="82">
        <f t="shared" si="357"/>
        <v>392.7</v>
      </c>
    </row>
    <row r="216" spans="1:73">
      <c r="A216" s="1" t="s">
        <v>387</v>
      </c>
      <c r="U216" s="126">
        <v>146.5</v>
      </c>
      <c r="X216" s="126">
        <v>2.5</v>
      </c>
      <c r="Y216" s="126">
        <v>165.5</v>
      </c>
      <c r="Z216" s="126">
        <v>0</v>
      </c>
      <c r="AC216" s="126">
        <v>37.6</v>
      </c>
      <c r="AD216" s="126">
        <v>6</v>
      </c>
      <c r="AE216" s="126">
        <v>6.9</v>
      </c>
      <c r="AF216" s="126">
        <v>153</v>
      </c>
      <c r="AG216" s="126">
        <v>91</v>
      </c>
      <c r="AI216" s="126">
        <v>0</v>
      </c>
      <c r="AJ216" s="126">
        <v>27</v>
      </c>
      <c r="AK216" s="132">
        <v>4</v>
      </c>
      <c r="AL216" s="126">
        <v>1</v>
      </c>
      <c r="AO216" s="132">
        <v>0</v>
      </c>
      <c r="AP216" s="126">
        <v>0</v>
      </c>
      <c r="AQ216" s="134">
        <v>0</v>
      </c>
      <c r="AR216" s="132">
        <v>0</v>
      </c>
      <c r="AS216" s="134">
        <v>0</v>
      </c>
      <c r="AT216" s="132">
        <v>0</v>
      </c>
      <c r="AU216" s="132">
        <v>0</v>
      </c>
      <c r="AV216" s="83">
        <v>46122</v>
      </c>
      <c r="AW216" s="237">
        <v>43598</v>
      </c>
      <c r="AX216" s="233">
        <f t="shared" si="358"/>
        <v>19</v>
      </c>
      <c r="AY216" s="232" t="s">
        <v>3487</v>
      </c>
      <c r="AZ216" s="233" t="b">
        <f t="shared" si="343"/>
        <v>0</v>
      </c>
      <c r="BA216" s="129"/>
      <c r="BB216" s="129"/>
      <c r="BC216" s="129"/>
      <c r="BD216" s="129"/>
      <c r="BE216" s="82">
        <f t="shared" si="344"/>
        <v>146.5</v>
      </c>
      <c r="BF216" s="82">
        <f t="shared" si="345"/>
        <v>2.5</v>
      </c>
      <c r="BG216" s="82"/>
      <c r="BH216" s="82">
        <f t="shared" si="346"/>
        <v>37.6</v>
      </c>
      <c r="BI216" s="82">
        <f t="shared" si="347"/>
        <v>6</v>
      </c>
      <c r="BJ216" s="82">
        <f t="shared" si="348"/>
        <v>6.9</v>
      </c>
      <c r="BK216" s="82">
        <f t="shared" si="349"/>
        <v>153</v>
      </c>
      <c r="BL216" s="82">
        <f t="shared" si="350"/>
        <v>91</v>
      </c>
      <c r="BM216" s="82">
        <f t="shared" si="351"/>
        <v>0</v>
      </c>
      <c r="BN216" s="82">
        <f t="shared" si="352"/>
        <v>27</v>
      </c>
      <c r="BO216" s="82">
        <f t="shared" si="353"/>
        <v>4</v>
      </c>
      <c r="BP216" s="82">
        <f t="shared" si="354"/>
        <v>1</v>
      </c>
      <c r="BQ216" s="82"/>
      <c r="BR216" s="129">
        <f>SUMIF('Audit HD AR - School Level'!$B$6:B1334, "=" &amp; A216,'Audit HD AR - School Level'!$Q$6:Q1334)</f>
        <v>9.5</v>
      </c>
      <c r="BS216" s="224">
        <f t="shared" si="355"/>
        <v>0</v>
      </c>
      <c r="BT216" s="126">
        <f t="shared" si="356"/>
        <v>0</v>
      </c>
      <c r="BU216" s="82">
        <f t="shared" si="357"/>
        <v>146.5</v>
      </c>
    </row>
    <row r="217" spans="1:73">
      <c r="A217" s="1" t="s">
        <v>393</v>
      </c>
      <c r="U217" s="126">
        <v>496</v>
      </c>
      <c r="X217" s="126">
        <v>0</v>
      </c>
      <c r="Y217" s="126">
        <v>502.5</v>
      </c>
      <c r="Z217" s="126">
        <v>0</v>
      </c>
      <c r="AC217" s="126">
        <v>193.8</v>
      </c>
      <c r="AD217" s="126">
        <v>0</v>
      </c>
      <c r="AE217" s="126">
        <v>0</v>
      </c>
      <c r="AF217" s="126">
        <v>488</v>
      </c>
      <c r="AG217" s="126">
        <v>157</v>
      </c>
      <c r="AI217" s="126">
        <v>0</v>
      </c>
      <c r="AJ217" s="126">
        <v>172</v>
      </c>
      <c r="AK217" s="132">
        <v>1</v>
      </c>
      <c r="AL217" s="126">
        <v>35</v>
      </c>
      <c r="AO217" s="132">
        <v>4</v>
      </c>
      <c r="AP217" s="126">
        <v>0</v>
      </c>
      <c r="AQ217" s="134">
        <v>4.5</v>
      </c>
      <c r="AR217" s="132">
        <v>4</v>
      </c>
      <c r="AS217" s="134">
        <v>4.5</v>
      </c>
      <c r="AT217" s="132">
        <v>3.5</v>
      </c>
      <c r="AU217" s="132">
        <v>2</v>
      </c>
      <c r="AV217" s="83">
        <v>157795</v>
      </c>
      <c r="AW217" s="237">
        <v>43598</v>
      </c>
      <c r="AX217" s="233">
        <f t="shared" si="358"/>
        <v>19</v>
      </c>
      <c r="AY217" s="232" t="s">
        <v>3487</v>
      </c>
      <c r="AZ217" s="233" t="b">
        <f t="shared" si="343"/>
        <v>0</v>
      </c>
      <c r="BA217" s="129"/>
      <c r="BB217" s="129"/>
      <c r="BC217" s="129"/>
      <c r="BD217" s="129"/>
      <c r="BE217" s="82">
        <f t="shared" si="344"/>
        <v>488</v>
      </c>
      <c r="BF217" s="82">
        <f t="shared" si="345"/>
        <v>0</v>
      </c>
      <c r="BG217" s="82"/>
      <c r="BH217" s="82">
        <f t="shared" si="346"/>
        <v>193.8</v>
      </c>
      <c r="BI217" s="82">
        <f t="shared" si="347"/>
        <v>0</v>
      </c>
      <c r="BJ217" s="82">
        <f t="shared" si="348"/>
        <v>0</v>
      </c>
      <c r="BK217" s="82">
        <f t="shared" si="349"/>
        <v>488</v>
      </c>
      <c r="BL217" s="82">
        <f t="shared" si="350"/>
        <v>157</v>
      </c>
      <c r="BM217" s="82">
        <f t="shared" si="351"/>
        <v>0</v>
      </c>
      <c r="BN217" s="82">
        <f t="shared" si="352"/>
        <v>172</v>
      </c>
      <c r="BO217" s="82">
        <f t="shared" si="353"/>
        <v>1</v>
      </c>
      <c r="BP217" s="82">
        <f t="shared" si="354"/>
        <v>35</v>
      </c>
      <c r="BQ217" s="82"/>
      <c r="BR217" s="129">
        <f>SUMIF('Audit HD AR - School Level'!$B$6:B1335, "=" &amp; A217,'Audit HD AR - School Level'!$Q$6:Q1335)</f>
        <v>0</v>
      </c>
      <c r="BS217" s="224">
        <f t="shared" si="355"/>
        <v>0</v>
      </c>
      <c r="BT217" s="126">
        <f t="shared" si="356"/>
        <v>0</v>
      </c>
      <c r="BU217" s="82">
        <f t="shared" si="357"/>
        <v>488</v>
      </c>
    </row>
    <row r="218" spans="1:73">
      <c r="A218" s="1" t="s">
        <v>420</v>
      </c>
      <c r="U218" s="126">
        <v>774.5</v>
      </c>
      <c r="X218" s="126">
        <v>8</v>
      </c>
      <c r="Y218" s="126">
        <v>766.5</v>
      </c>
      <c r="Z218" s="126">
        <v>0</v>
      </c>
      <c r="AC218" s="126">
        <v>538.70000000000005</v>
      </c>
      <c r="AD218" s="126">
        <v>16</v>
      </c>
      <c r="AE218" s="126">
        <v>28.1</v>
      </c>
      <c r="AF218" s="126">
        <v>796</v>
      </c>
      <c r="AG218" s="126">
        <v>230</v>
      </c>
      <c r="AI218" s="126">
        <v>0</v>
      </c>
      <c r="AJ218" s="126">
        <v>327</v>
      </c>
      <c r="AK218" s="132">
        <v>24</v>
      </c>
      <c r="AL218" s="126">
        <v>16</v>
      </c>
      <c r="AO218" s="132">
        <v>0</v>
      </c>
      <c r="AP218" s="126">
        <v>0</v>
      </c>
      <c r="AQ218" s="134">
        <v>0</v>
      </c>
      <c r="AR218" s="132">
        <v>0</v>
      </c>
      <c r="AS218" s="134">
        <v>0</v>
      </c>
      <c r="AT218" s="132">
        <v>0</v>
      </c>
      <c r="AU218" s="132">
        <v>0</v>
      </c>
      <c r="AV218" s="83">
        <v>232672</v>
      </c>
      <c r="AW218" s="237">
        <v>43598</v>
      </c>
      <c r="AX218" s="233">
        <f t="shared" si="358"/>
        <v>19</v>
      </c>
      <c r="AY218" s="232" t="s">
        <v>3487</v>
      </c>
      <c r="AZ218" s="233" t="b">
        <f t="shared" si="343"/>
        <v>0</v>
      </c>
      <c r="BA218" s="129"/>
      <c r="BB218" s="129"/>
      <c r="BC218" s="129"/>
      <c r="BD218" s="129"/>
      <c r="BE218" s="82">
        <f t="shared" si="344"/>
        <v>774.5</v>
      </c>
      <c r="BF218" s="82">
        <f t="shared" si="345"/>
        <v>8</v>
      </c>
      <c r="BG218" s="82"/>
      <c r="BH218" s="82">
        <f t="shared" si="346"/>
        <v>538.70000000000005</v>
      </c>
      <c r="BI218" s="82">
        <f t="shared" si="347"/>
        <v>16</v>
      </c>
      <c r="BJ218" s="82">
        <f t="shared" si="348"/>
        <v>28.1</v>
      </c>
      <c r="BK218" s="82">
        <f t="shared" si="349"/>
        <v>796</v>
      </c>
      <c r="BL218" s="82">
        <f t="shared" si="350"/>
        <v>230</v>
      </c>
      <c r="BM218" s="82">
        <f t="shared" si="351"/>
        <v>0</v>
      </c>
      <c r="BN218" s="82">
        <f t="shared" si="352"/>
        <v>327</v>
      </c>
      <c r="BO218" s="82">
        <f t="shared" si="353"/>
        <v>24</v>
      </c>
      <c r="BP218" s="82">
        <f t="shared" si="354"/>
        <v>16</v>
      </c>
      <c r="BQ218" s="82"/>
      <c r="BR218" s="129">
        <f>SUMIF('Audit HD AR - School Level'!$B$6:B1337, "=" &amp; A218,'Audit HD AR - School Level'!$Q$6:Q1337)</f>
        <v>0</v>
      </c>
      <c r="BS218" s="224">
        <f t="shared" si="355"/>
        <v>0</v>
      </c>
      <c r="BT218" s="126">
        <f t="shared" si="356"/>
        <v>0</v>
      </c>
      <c r="BU218" s="82">
        <f t="shared" si="357"/>
        <v>774.5</v>
      </c>
    </row>
    <row r="219" spans="1:73">
      <c r="A219" s="1" t="s">
        <v>424</v>
      </c>
      <c r="U219" s="126">
        <v>1957.5</v>
      </c>
      <c r="X219" s="126">
        <v>24</v>
      </c>
      <c r="Y219" s="126">
        <v>2003.6</v>
      </c>
      <c r="Z219" s="126">
        <v>0</v>
      </c>
      <c r="AC219" s="126">
        <v>310.39999999999998</v>
      </c>
      <c r="AD219" s="126">
        <v>50</v>
      </c>
      <c r="AE219" s="126">
        <v>41.2</v>
      </c>
      <c r="AF219" s="126">
        <v>2150</v>
      </c>
      <c r="AG219" s="126">
        <v>1084</v>
      </c>
      <c r="AI219" s="126">
        <v>0</v>
      </c>
      <c r="AJ219" s="126">
        <v>377</v>
      </c>
      <c r="AK219" s="132">
        <v>659</v>
      </c>
      <c r="AL219" s="126">
        <v>67</v>
      </c>
      <c r="AO219" s="132">
        <v>0</v>
      </c>
      <c r="AP219" s="126">
        <v>0</v>
      </c>
      <c r="AQ219" s="134">
        <v>0</v>
      </c>
      <c r="AR219" s="132">
        <v>0</v>
      </c>
      <c r="AS219" s="134">
        <v>0</v>
      </c>
      <c r="AT219" s="132">
        <v>0</v>
      </c>
      <c r="AU219" s="132">
        <v>0</v>
      </c>
      <c r="AV219" s="83">
        <v>483657</v>
      </c>
      <c r="AW219" s="237">
        <v>43598</v>
      </c>
      <c r="AX219" s="233">
        <f t="shared" si="358"/>
        <v>19</v>
      </c>
      <c r="AY219" s="232" t="s">
        <v>3487</v>
      </c>
      <c r="AZ219" s="233" t="b">
        <f t="shared" si="343"/>
        <v>0</v>
      </c>
      <c r="BA219" s="129"/>
      <c r="BB219" s="129"/>
      <c r="BC219" s="129"/>
      <c r="BD219" s="129"/>
      <c r="BE219" s="82">
        <f t="shared" si="344"/>
        <v>1957.5</v>
      </c>
      <c r="BF219" s="82">
        <f t="shared" si="345"/>
        <v>24</v>
      </c>
      <c r="BG219" s="82"/>
      <c r="BH219" s="82">
        <f t="shared" si="346"/>
        <v>310.39999999999998</v>
      </c>
      <c r="BI219" s="82">
        <f t="shared" si="347"/>
        <v>50</v>
      </c>
      <c r="BJ219" s="82">
        <f t="shared" si="348"/>
        <v>41.2</v>
      </c>
      <c r="BK219" s="82">
        <f t="shared" si="349"/>
        <v>2150</v>
      </c>
      <c r="BL219" s="82">
        <f t="shared" si="350"/>
        <v>1084</v>
      </c>
      <c r="BM219" s="82">
        <f t="shared" si="351"/>
        <v>0</v>
      </c>
      <c r="BN219" s="82">
        <f t="shared" si="352"/>
        <v>377</v>
      </c>
      <c r="BO219" s="82">
        <f t="shared" si="353"/>
        <v>659</v>
      </c>
      <c r="BP219" s="82">
        <f t="shared" si="354"/>
        <v>67</v>
      </c>
      <c r="BQ219" s="82"/>
      <c r="BR219" s="129">
        <f>SUMIF('Audit HD AR - School Level'!$B$6:B1338, "=" &amp; A219,'Audit HD AR - School Level'!$Q$6:Q1338)</f>
        <v>93.9</v>
      </c>
      <c r="BS219" s="224">
        <f t="shared" si="355"/>
        <v>0</v>
      </c>
      <c r="BT219" s="126">
        <f t="shared" si="356"/>
        <v>0</v>
      </c>
      <c r="BU219" s="82">
        <f t="shared" si="357"/>
        <v>1957.5</v>
      </c>
    </row>
    <row r="220" spans="1:73">
      <c r="A220" s="1" t="s">
        <v>429</v>
      </c>
      <c r="U220" s="126">
        <v>430</v>
      </c>
      <c r="X220" s="126">
        <v>3.5</v>
      </c>
      <c r="Y220" s="126">
        <v>437</v>
      </c>
      <c r="Z220" s="126">
        <v>0</v>
      </c>
      <c r="AC220" s="126">
        <v>210.7</v>
      </c>
      <c r="AD220" s="126">
        <v>130</v>
      </c>
      <c r="AE220" s="126">
        <v>546</v>
      </c>
      <c r="AF220" s="126">
        <v>438</v>
      </c>
      <c r="AG220" s="126">
        <v>166</v>
      </c>
      <c r="AI220" s="126">
        <v>0</v>
      </c>
      <c r="AJ220" s="126">
        <v>114</v>
      </c>
      <c r="AK220" s="132">
        <v>10</v>
      </c>
      <c r="AL220" s="126">
        <v>5</v>
      </c>
      <c r="AO220" s="132">
        <v>0</v>
      </c>
      <c r="AP220" s="126">
        <v>0</v>
      </c>
      <c r="AQ220" s="134">
        <v>0</v>
      </c>
      <c r="AR220" s="132">
        <v>0</v>
      </c>
      <c r="AS220" s="134">
        <v>0</v>
      </c>
      <c r="AT220" s="132">
        <v>0</v>
      </c>
      <c r="AU220" s="132">
        <v>0</v>
      </c>
      <c r="AV220" s="83">
        <v>201298</v>
      </c>
      <c r="AW220" s="237">
        <v>43598</v>
      </c>
      <c r="AX220" s="233">
        <f t="shared" si="358"/>
        <v>19</v>
      </c>
      <c r="AY220" s="232" t="s">
        <v>3487</v>
      </c>
      <c r="AZ220" s="233" t="b">
        <f t="shared" si="343"/>
        <v>0</v>
      </c>
      <c r="BA220" s="129"/>
      <c r="BB220" s="129"/>
      <c r="BC220" s="129"/>
      <c r="BD220" s="129"/>
      <c r="BE220" s="82">
        <f t="shared" si="344"/>
        <v>430</v>
      </c>
      <c r="BF220" s="82">
        <f t="shared" si="345"/>
        <v>3.5</v>
      </c>
      <c r="BG220" s="82"/>
      <c r="BH220" s="82">
        <f t="shared" si="346"/>
        <v>210.7</v>
      </c>
      <c r="BI220" s="82">
        <f t="shared" si="347"/>
        <v>130</v>
      </c>
      <c r="BJ220" s="82">
        <f t="shared" si="348"/>
        <v>546</v>
      </c>
      <c r="BK220" s="82">
        <f t="shared" si="349"/>
        <v>438</v>
      </c>
      <c r="BL220" s="82">
        <f t="shared" si="350"/>
        <v>166</v>
      </c>
      <c r="BM220" s="82">
        <f t="shared" si="351"/>
        <v>0</v>
      </c>
      <c r="BN220" s="82">
        <f t="shared" si="352"/>
        <v>114</v>
      </c>
      <c r="BO220" s="82">
        <f t="shared" si="353"/>
        <v>10</v>
      </c>
      <c r="BP220" s="82">
        <f t="shared" si="354"/>
        <v>5</v>
      </c>
      <c r="BQ220" s="82"/>
      <c r="BR220" s="129">
        <f>SUMIF('Audit HD AR - School Level'!$B$6:B1339, "=" &amp; A220,'Audit HD AR - School Level'!$Q$6:Q1339)</f>
        <v>4.0999999999999996</v>
      </c>
      <c r="BS220" s="224">
        <f t="shared" si="355"/>
        <v>0</v>
      </c>
      <c r="BT220" s="126">
        <f t="shared" si="356"/>
        <v>0</v>
      </c>
      <c r="BU220" s="82">
        <f t="shared" si="357"/>
        <v>430</v>
      </c>
    </row>
    <row r="221" spans="1:73">
      <c r="A221" s="1" t="s">
        <v>430</v>
      </c>
      <c r="U221" s="126">
        <v>3717</v>
      </c>
      <c r="X221" s="126">
        <v>36</v>
      </c>
      <c r="Y221" s="126">
        <v>3683.8</v>
      </c>
      <c r="Z221" s="126">
        <v>0</v>
      </c>
      <c r="AC221" s="126">
        <v>532.70000000000005</v>
      </c>
      <c r="AD221" s="126">
        <v>56</v>
      </c>
      <c r="AE221" s="126">
        <v>73.5</v>
      </c>
      <c r="AF221" s="126">
        <v>3753</v>
      </c>
      <c r="AG221" s="126">
        <v>1687</v>
      </c>
      <c r="AI221" s="126">
        <v>0</v>
      </c>
      <c r="AJ221" s="126">
        <v>573</v>
      </c>
      <c r="AK221" s="132">
        <v>103</v>
      </c>
      <c r="AL221" s="126">
        <v>52</v>
      </c>
      <c r="AO221" s="132">
        <v>92</v>
      </c>
      <c r="AP221" s="126">
        <v>4.3</v>
      </c>
      <c r="AQ221" s="134">
        <v>0</v>
      </c>
      <c r="AR221" s="132">
        <v>0</v>
      </c>
      <c r="AS221" s="134">
        <v>0</v>
      </c>
      <c r="AT221" s="132">
        <v>0</v>
      </c>
      <c r="AU221" s="132">
        <v>0</v>
      </c>
      <c r="AV221" s="83">
        <v>578660</v>
      </c>
      <c r="AW221" s="237">
        <v>43598</v>
      </c>
      <c r="AX221" s="233">
        <f t="shared" si="358"/>
        <v>19</v>
      </c>
      <c r="AY221" s="232" t="s">
        <v>3487</v>
      </c>
      <c r="AZ221" s="233" t="b">
        <f t="shared" si="343"/>
        <v>0</v>
      </c>
      <c r="BA221" s="129"/>
      <c r="BB221" s="129"/>
      <c r="BC221" s="129"/>
      <c r="BD221" s="129"/>
      <c r="BE221" s="82">
        <f t="shared" si="344"/>
        <v>3620.7</v>
      </c>
      <c r="BF221" s="82">
        <f t="shared" si="345"/>
        <v>36</v>
      </c>
      <c r="BG221" s="82"/>
      <c r="BH221" s="82">
        <f t="shared" si="346"/>
        <v>532.70000000000005</v>
      </c>
      <c r="BI221" s="82">
        <f t="shared" si="347"/>
        <v>56</v>
      </c>
      <c r="BJ221" s="82">
        <f t="shared" si="348"/>
        <v>73.5</v>
      </c>
      <c r="BK221" s="82">
        <f t="shared" si="349"/>
        <v>3753</v>
      </c>
      <c r="BL221" s="82">
        <f t="shared" si="350"/>
        <v>1687</v>
      </c>
      <c r="BM221" s="82">
        <f t="shared" si="351"/>
        <v>0</v>
      </c>
      <c r="BN221" s="82">
        <f t="shared" si="352"/>
        <v>573</v>
      </c>
      <c r="BO221" s="82">
        <f t="shared" si="353"/>
        <v>103</v>
      </c>
      <c r="BP221" s="82">
        <f t="shared" si="354"/>
        <v>52</v>
      </c>
      <c r="BQ221" s="82"/>
      <c r="BR221" s="129">
        <f>SUMIF('Audit HD AR - School Level'!$B$6:B1340, "=" &amp; A221,'Audit HD AR - School Level'!$Q$6:Q1340)</f>
        <v>113.3</v>
      </c>
      <c r="BS221" s="224">
        <f t="shared" si="355"/>
        <v>0</v>
      </c>
      <c r="BT221" s="126">
        <f t="shared" si="356"/>
        <v>0</v>
      </c>
      <c r="BU221" s="82">
        <f t="shared" si="357"/>
        <v>3620.7</v>
      </c>
    </row>
    <row r="222" spans="1:73">
      <c r="A222" s="1" t="s">
        <v>448</v>
      </c>
      <c r="U222" s="126">
        <v>1055</v>
      </c>
      <c r="X222" s="126">
        <v>0</v>
      </c>
      <c r="Y222" s="126">
        <v>1085</v>
      </c>
      <c r="Z222" s="126">
        <v>0</v>
      </c>
      <c r="AC222" s="126">
        <v>291.2</v>
      </c>
      <c r="AD222" s="126">
        <v>4</v>
      </c>
      <c r="AE222" s="126">
        <v>6.3</v>
      </c>
      <c r="AF222" s="126">
        <v>1055</v>
      </c>
      <c r="AG222" s="126">
        <v>335</v>
      </c>
      <c r="AI222" s="126">
        <v>0</v>
      </c>
      <c r="AJ222" s="126">
        <v>408</v>
      </c>
      <c r="AK222" s="132">
        <v>119</v>
      </c>
      <c r="AL222" s="126">
        <v>133</v>
      </c>
      <c r="AO222" s="132">
        <v>0</v>
      </c>
      <c r="AP222" s="126">
        <v>0</v>
      </c>
      <c r="AQ222" s="134">
        <v>0</v>
      </c>
      <c r="AR222" s="132">
        <v>0</v>
      </c>
      <c r="AS222" s="134">
        <v>0</v>
      </c>
      <c r="AT222" s="132">
        <v>0</v>
      </c>
      <c r="AU222" s="132">
        <v>0</v>
      </c>
      <c r="AV222" s="83">
        <v>810536</v>
      </c>
      <c r="AW222" s="237">
        <v>43598</v>
      </c>
      <c r="AX222" s="233">
        <f t="shared" si="358"/>
        <v>19</v>
      </c>
      <c r="AY222" s="232" t="s">
        <v>3487</v>
      </c>
      <c r="AZ222" s="233" t="b">
        <f t="shared" si="343"/>
        <v>0</v>
      </c>
      <c r="BA222" s="129"/>
      <c r="BB222" s="129"/>
      <c r="BC222" s="129"/>
      <c r="BD222" s="129"/>
      <c r="BE222" s="82">
        <f t="shared" si="344"/>
        <v>1055</v>
      </c>
      <c r="BF222" s="82">
        <f t="shared" si="345"/>
        <v>0</v>
      </c>
      <c r="BG222" s="82"/>
      <c r="BH222" s="82">
        <f t="shared" si="346"/>
        <v>291.2</v>
      </c>
      <c r="BI222" s="82">
        <f t="shared" si="347"/>
        <v>4</v>
      </c>
      <c r="BJ222" s="82">
        <f t="shared" si="348"/>
        <v>6.3</v>
      </c>
      <c r="BK222" s="82">
        <f t="shared" si="349"/>
        <v>1055</v>
      </c>
      <c r="BL222" s="82">
        <f t="shared" si="350"/>
        <v>335</v>
      </c>
      <c r="BM222" s="82">
        <f t="shared" si="351"/>
        <v>0</v>
      </c>
      <c r="BN222" s="82">
        <f t="shared" si="352"/>
        <v>408</v>
      </c>
      <c r="BO222" s="82">
        <f t="shared" si="353"/>
        <v>119</v>
      </c>
      <c r="BP222" s="82">
        <f t="shared" si="354"/>
        <v>133</v>
      </c>
      <c r="BQ222" s="82"/>
      <c r="BR222" s="129">
        <f>SUMIF('Audit HD AR - School Level'!$B$6:B1342, "=" &amp; A222,'Audit HD AR - School Level'!$Q$6:Q1342)</f>
        <v>5.2</v>
      </c>
      <c r="BS222" s="224">
        <f t="shared" si="355"/>
        <v>0</v>
      </c>
      <c r="BT222" s="126">
        <f t="shared" si="356"/>
        <v>0</v>
      </c>
      <c r="BU222" s="82">
        <f t="shared" si="357"/>
        <v>1055</v>
      </c>
    </row>
    <row r="223" spans="1:73">
      <c r="A223" s="1" t="s">
        <v>453</v>
      </c>
      <c r="U223" s="126">
        <v>210.7</v>
      </c>
      <c r="X223" s="126">
        <v>2.5</v>
      </c>
      <c r="Y223" s="126">
        <v>221.5</v>
      </c>
      <c r="Z223" s="126">
        <v>0</v>
      </c>
      <c r="AC223" s="126">
        <v>88.4</v>
      </c>
      <c r="AD223" s="126">
        <v>0</v>
      </c>
      <c r="AE223" s="126">
        <v>0</v>
      </c>
      <c r="AF223" s="126">
        <v>218</v>
      </c>
      <c r="AG223" s="126">
        <v>80</v>
      </c>
      <c r="AI223" s="126">
        <v>0</v>
      </c>
      <c r="AJ223" s="126">
        <v>87</v>
      </c>
      <c r="AK223" s="132">
        <v>10</v>
      </c>
      <c r="AL223" s="126">
        <v>32</v>
      </c>
      <c r="AO223" s="132">
        <v>0</v>
      </c>
      <c r="AP223" s="126">
        <v>0</v>
      </c>
      <c r="AQ223" s="134">
        <v>0</v>
      </c>
      <c r="AR223" s="132">
        <v>0</v>
      </c>
      <c r="AS223" s="134">
        <v>0</v>
      </c>
      <c r="AT223" s="132">
        <v>0</v>
      </c>
      <c r="AU223" s="132">
        <v>0</v>
      </c>
      <c r="AV223" s="83">
        <v>118101</v>
      </c>
      <c r="AW223" s="237">
        <v>43598</v>
      </c>
      <c r="AX223" s="233">
        <f t="shared" si="358"/>
        <v>19</v>
      </c>
      <c r="AY223" s="232" t="s">
        <v>3487</v>
      </c>
      <c r="AZ223" s="233" t="b">
        <f t="shared" si="343"/>
        <v>0</v>
      </c>
      <c r="BA223" s="129"/>
      <c r="BB223" s="129"/>
      <c r="BC223" s="129"/>
      <c r="BD223" s="129"/>
      <c r="BE223" s="82">
        <f t="shared" si="344"/>
        <v>210.7</v>
      </c>
      <c r="BF223" s="82">
        <f t="shared" si="345"/>
        <v>2.5</v>
      </c>
      <c r="BG223" s="82"/>
      <c r="BH223" s="82">
        <f t="shared" si="346"/>
        <v>88.4</v>
      </c>
      <c r="BI223" s="82">
        <f t="shared" si="347"/>
        <v>0</v>
      </c>
      <c r="BJ223" s="82">
        <f t="shared" si="348"/>
        <v>0</v>
      </c>
      <c r="BK223" s="82">
        <f t="shared" si="349"/>
        <v>218</v>
      </c>
      <c r="BL223" s="82">
        <f t="shared" si="350"/>
        <v>80</v>
      </c>
      <c r="BM223" s="82">
        <f t="shared" si="351"/>
        <v>0</v>
      </c>
      <c r="BN223" s="82">
        <f t="shared" si="352"/>
        <v>87</v>
      </c>
      <c r="BO223" s="82">
        <f t="shared" si="353"/>
        <v>10</v>
      </c>
      <c r="BP223" s="82">
        <f t="shared" si="354"/>
        <v>32</v>
      </c>
      <c r="BQ223" s="82"/>
      <c r="BR223" s="129">
        <f>SUMIF('Audit HD AR - School Level'!$B$6:B1343, "=" &amp; A223,'Audit HD AR - School Level'!$Q$6:Q1343)</f>
        <v>1</v>
      </c>
      <c r="BS223" s="224">
        <f t="shared" si="355"/>
        <v>0</v>
      </c>
      <c r="BT223" s="126">
        <f t="shared" si="356"/>
        <v>0</v>
      </c>
      <c r="BU223" s="82">
        <f t="shared" si="357"/>
        <v>210.7</v>
      </c>
    </row>
    <row r="224" spans="1:73">
      <c r="A224" s="1" t="s">
        <v>463</v>
      </c>
      <c r="U224" s="126">
        <v>275.5</v>
      </c>
      <c r="X224" s="126">
        <v>3.5</v>
      </c>
      <c r="Y224" s="126">
        <v>273.2</v>
      </c>
      <c r="Z224" s="126">
        <v>0</v>
      </c>
      <c r="AC224" s="126">
        <v>84.5</v>
      </c>
      <c r="AD224" s="126">
        <v>0</v>
      </c>
      <c r="AE224" s="126">
        <v>0</v>
      </c>
      <c r="AF224" s="126">
        <v>283</v>
      </c>
      <c r="AG224" s="126">
        <v>97</v>
      </c>
      <c r="AI224" s="126">
        <v>0</v>
      </c>
      <c r="AJ224" s="126">
        <v>147</v>
      </c>
      <c r="AK224" s="132">
        <v>2</v>
      </c>
      <c r="AL224" s="126">
        <v>65</v>
      </c>
      <c r="AO224" s="132">
        <v>0</v>
      </c>
      <c r="AP224" s="126">
        <v>0</v>
      </c>
      <c r="AQ224" s="134">
        <v>0</v>
      </c>
      <c r="AR224" s="132">
        <v>0</v>
      </c>
      <c r="AS224" s="134">
        <v>0</v>
      </c>
      <c r="AT224" s="132">
        <v>0</v>
      </c>
      <c r="AU224" s="132">
        <v>0</v>
      </c>
      <c r="AV224" s="83">
        <v>115974</v>
      </c>
      <c r="AW224" s="237">
        <v>43598</v>
      </c>
      <c r="AX224" s="233">
        <f t="shared" si="358"/>
        <v>19</v>
      </c>
      <c r="AY224" s="232" t="s">
        <v>3487</v>
      </c>
      <c r="AZ224" s="233" t="b">
        <f t="shared" si="343"/>
        <v>0</v>
      </c>
      <c r="BA224" s="129"/>
      <c r="BB224" s="129"/>
      <c r="BC224" s="129"/>
      <c r="BD224" s="129"/>
      <c r="BE224" s="82">
        <f t="shared" si="344"/>
        <v>275.5</v>
      </c>
      <c r="BF224" s="82">
        <f t="shared" si="345"/>
        <v>3.5</v>
      </c>
      <c r="BG224" s="82"/>
      <c r="BH224" s="82">
        <f t="shared" si="346"/>
        <v>84.5</v>
      </c>
      <c r="BI224" s="82">
        <f t="shared" si="347"/>
        <v>0</v>
      </c>
      <c r="BJ224" s="82">
        <f t="shared" si="348"/>
        <v>0</v>
      </c>
      <c r="BK224" s="82">
        <f t="shared" si="349"/>
        <v>283</v>
      </c>
      <c r="BL224" s="82">
        <f t="shared" si="350"/>
        <v>97</v>
      </c>
      <c r="BM224" s="82">
        <f t="shared" si="351"/>
        <v>0</v>
      </c>
      <c r="BN224" s="82">
        <f t="shared" si="352"/>
        <v>147</v>
      </c>
      <c r="BO224" s="82">
        <f t="shared" si="353"/>
        <v>2</v>
      </c>
      <c r="BP224" s="82">
        <f t="shared" si="354"/>
        <v>65</v>
      </c>
      <c r="BQ224" s="82"/>
      <c r="BR224" s="129">
        <f>SUMIF('Audit HD AR - School Level'!$B$6:B1345, "=" &amp; A224,'Audit HD AR - School Level'!$Q$6:Q1345)</f>
        <v>1.2</v>
      </c>
      <c r="BS224" s="224">
        <f t="shared" si="355"/>
        <v>0</v>
      </c>
      <c r="BT224" s="126">
        <f t="shared" si="356"/>
        <v>0</v>
      </c>
      <c r="BU224" s="82">
        <f t="shared" si="357"/>
        <v>275.5</v>
      </c>
    </row>
    <row r="225" spans="1:73">
      <c r="A225" s="1" t="s">
        <v>465</v>
      </c>
      <c r="U225" s="126">
        <v>542.5</v>
      </c>
      <c r="X225" s="126">
        <v>8</v>
      </c>
      <c r="Y225" s="126">
        <v>557.5</v>
      </c>
      <c r="Z225" s="126">
        <v>0</v>
      </c>
      <c r="AC225" s="126">
        <v>137.19999999999999</v>
      </c>
      <c r="AD225" s="126">
        <v>244</v>
      </c>
      <c r="AE225" s="126">
        <v>913.1</v>
      </c>
      <c r="AF225" s="126">
        <v>565</v>
      </c>
      <c r="AG225" s="126">
        <v>300</v>
      </c>
      <c r="AI225" s="126">
        <v>20.100000000000001</v>
      </c>
      <c r="AJ225" s="126">
        <v>78</v>
      </c>
      <c r="AK225" s="132">
        <v>2</v>
      </c>
      <c r="AL225" s="126">
        <v>5</v>
      </c>
      <c r="AO225" s="132">
        <v>0</v>
      </c>
      <c r="AP225" s="126">
        <v>0</v>
      </c>
      <c r="AQ225" s="134">
        <v>0</v>
      </c>
      <c r="AR225" s="132">
        <v>0</v>
      </c>
      <c r="AS225" s="134">
        <v>0</v>
      </c>
      <c r="AT225" s="132">
        <v>0</v>
      </c>
      <c r="AU225" s="132">
        <v>0</v>
      </c>
      <c r="AV225" s="83">
        <v>218381</v>
      </c>
      <c r="AW225" s="237">
        <v>43598</v>
      </c>
      <c r="AX225" s="233">
        <f t="shared" si="358"/>
        <v>19</v>
      </c>
      <c r="AY225" s="232" t="s">
        <v>3487</v>
      </c>
      <c r="AZ225" s="233" t="b">
        <f t="shared" si="343"/>
        <v>0</v>
      </c>
      <c r="BA225" s="129"/>
      <c r="BB225" s="129"/>
      <c r="BC225" s="129"/>
      <c r="BD225" s="129"/>
      <c r="BE225" s="82">
        <f t="shared" si="344"/>
        <v>542.5</v>
      </c>
      <c r="BF225" s="82">
        <f t="shared" si="345"/>
        <v>8</v>
      </c>
      <c r="BG225" s="82"/>
      <c r="BH225" s="82">
        <f t="shared" si="346"/>
        <v>137.19999999999999</v>
      </c>
      <c r="BI225" s="82">
        <f t="shared" si="347"/>
        <v>244</v>
      </c>
      <c r="BJ225" s="82">
        <f t="shared" si="348"/>
        <v>913.1</v>
      </c>
      <c r="BK225" s="82">
        <f t="shared" si="349"/>
        <v>565</v>
      </c>
      <c r="BL225" s="82">
        <f t="shared" si="350"/>
        <v>300</v>
      </c>
      <c r="BM225" s="82">
        <f t="shared" si="351"/>
        <v>20.100000000000001</v>
      </c>
      <c r="BN225" s="82">
        <f t="shared" si="352"/>
        <v>78</v>
      </c>
      <c r="BO225" s="82">
        <f t="shared" si="353"/>
        <v>2</v>
      </c>
      <c r="BP225" s="82">
        <f t="shared" si="354"/>
        <v>5</v>
      </c>
      <c r="BQ225" s="82"/>
      <c r="BR225" s="129">
        <f>SUMIF('Audit HD AR - School Level'!$B$6:B1346, "=" &amp; A225,'Audit HD AR - School Level'!$Q$6:Q1346)</f>
        <v>31.5</v>
      </c>
      <c r="BS225" s="224">
        <f t="shared" si="355"/>
        <v>0</v>
      </c>
      <c r="BT225" s="126">
        <f t="shared" si="356"/>
        <v>0</v>
      </c>
      <c r="BU225" s="82">
        <f t="shared" si="357"/>
        <v>542.5</v>
      </c>
    </row>
    <row r="226" spans="1:73">
      <c r="A226" s="1" t="s">
        <v>468</v>
      </c>
      <c r="U226" s="126">
        <v>11820.6</v>
      </c>
      <c r="X226" s="126">
        <v>34</v>
      </c>
      <c r="Y226" s="126">
        <v>10738.8</v>
      </c>
      <c r="Z226" s="126">
        <v>0</v>
      </c>
      <c r="AC226" s="126">
        <v>2371.6999999999998</v>
      </c>
      <c r="AD226" s="126">
        <v>798</v>
      </c>
      <c r="AE226" s="126">
        <v>2323.3000000000002</v>
      </c>
      <c r="AF226" s="126">
        <v>10938</v>
      </c>
      <c r="AG226" s="126">
        <v>3377</v>
      </c>
      <c r="AI226" s="126">
        <v>237.1</v>
      </c>
      <c r="AJ226" s="126">
        <v>2290.5</v>
      </c>
      <c r="AK226" s="132">
        <v>10</v>
      </c>
      <c r="AL226" s="126">
        <v>37</v>
      </c>
      <c r="AO226" s="132">
        <v>953</v>
      </c>
      <c r="AP226" s="126">
        <v>61</v>
      </c>
      <c r="AQ226" s="134">
        <v>36</v>
      </c>
      <c r="AR226" s="132">
        <v>13</v>
      </c>
      <c r="AS226" s="134">
        <v>29</v>
      </c>
      <c r="AT226" s="132">
        <v>37</v>
      </c>
      <c r="AU226" s="132">
        <v>0</v>
      </c>
      <c r="AV226" s="83">
        <v>1858859</v>
      </c>
      <c r="AW226" s="237">
        <v>43598</v>
      </c>
      <c r="AX226" s="233">
        <f t="shared" si="358"/>
        <v>19</v>
      </c>
      <c r="AY226" s="232" t="s">
        <v>3487</v>
      </c>
      <c r="AZ226" s="233" t="b">
        <f t="shared" si="343"/>
        <v>0</v>
      </c>
      <c r="BA226" s="129"/>
      <c r="BB226" s="129"/>
      <c r="BC226" s="129"/>
      <c r="BD226" s="129"/>
      <c r="BE226" s="82">
        <f t="shared" si="344"/>
        <v>10793.6</v>
      </c>
      <c r="BF226" s="82">
        <f t="shared" si="345"/>
        <v>34</v>
      </c>
      <c r="BG226" s="82"/>
      <c r="BH226" s="82">
        <f t="shared" si="346"/>
        <v>2371.6999999999998</v>
      </c>
      <c r="BI226" s="82">
        <f t="shared" si="347"/>
        <v>798</v>
      </c>
      <c r="BJ226" s="82">
        <f t="shared" si="348"/>
        <v>2323.3000000000002</v>
      </c>
      <c r="BK226" s="82">
        <f t="shared" si="349"/>
        <v>10938</v>
      </c>
      <c r="BL226" s="82">
        <f t="shared" si="350"/>
        <v>3377</v>
      </c>
      <c r="BM226" s="82">
        <f t="shared" si="351"/>
        <v>237.1</v>
      </c>
      <c r="BN226" s="82">
        <f t="shared" si="352"/>
        <v>2290.5</v>
      </c>
      <c r="BO226" s="82">
        <f t="shared" si="353"/>
        <v>10</v>
      </c>
      <c r="BP226" s="82">
        <f t="shared" si="354"/>
        <v>37</v>
      </c>
      <c r="BQ226" s="82"/>
      <c r="BR226" s="129">
        <f>SUMIF('Audit HD AR - School Level'!$B$6:B1347, "=" &amp; A226,'Audit HD AR - School Level'!$Q$6:Q1347)</f>
        <v>133.1</v>
      </c>
      <c r="BS226" s="224">
        <f t="shared" si="355"/>
        <v>-4963</v>
      </c>
      <c r="BT226" s="126">
        <f t="shared" si="356"/>
        <v>-4963</v>
      </c>
      <c r="BU226" s="82">
        <f t="shared" si="357"/>
        <v>10793.6</v>
      </c>
    </row>
    <row r="227" spans="1:73">
      <c r="A227" s="1" t="s">
        <v>473</v>
      </c>
      <c r="U227" s="126">
        <v>112</v>
      </c>
      <c r="X227" s="126">
        <v>1.5</v>
      </c>
      <c r="Y227" s="126">
        <v>126</v>
      </c>
      <c r="Z227" s="126">
        <v>0</v>
      </c>
      <c r="AC227" s="126">
        <v>4.2</v>
      </c>
      <c r="AD227" s="126">
        <v>35</v>
      </c>
      <c r="AE227" s="126">
        <v>145.30000000000001</v>
      </c>
      <c r="AF227" s="126">
        <v>117</v>
      </c>
      <c r="AG227" s="126">
        <v>45</v>
      </c>
      <c r="AI227" s="126">
        <v>0</v>
      </c>
      <c r="AJ227" s="126">
        <v>49</v>
      </c>
      <c r="AK227" s="132">
        <v>0</v>
      </c>
      <c r="AL227" s="126">
        <v>0</v>
      </c>
      <c r="AO227" s="132">
        <v>0</v>
      </c>
      <c r="AP227" s="126">
        <v>0</v>
      </c>
      <c r="AQ227" s="134">
        <v>0</v>
      </c>
      <c r="AR227" s="132">
        <v>0</v>
      </c>
      <c r="AS227" s="134">
        <v>0</v>
      </c>
      <c r="AT227" s="132">
        <v>0</v>
      </c>
      <c r="AU227" s="132">
        <v>0</v>
      </c>
      <c r="AV227" s="83">
        <v>52025</v>
      </c>
      <c r="AW227" s="237">
        <v>43598</v>
      </c>
      <c r="AX227" s="233">
        <f t="shared" si="358"/>
        <v>19</v>
      </c>
      <c r="AY227" s="232" t="s">
        <v>3487</v>
      </c>
      <c r="AZ227" s="233" t="b">
        <f t="shared" si="343"/>
        <v>0</v>
      </c>
      <c r="BA227" s="129"/>
      <c r="BB227" s="129"/>
      <c r="BC227" s="129"/>
      <c r="BD227" s="129"/>
      <c r="BE227" s="82">
        <f t="shared" si="344"/>
        <v>112</v>
      </c>
      <c r="BF227" s="82">
        <f t="shared" si="345"/>
        <v>1.5</v>
      </c>
      <c r="BG227" s="82"/>
      <c r="BH227" s="82">
        <f t="shared" si="346"/>
        <v>4.2</v>
      </c>
      <c r="BI227" s="82">
        <f t="shared" si="347"/>
        <v>35</v>
      </c>
      <c r="BJ227" s="82">
        <f t="shared" si="348"/>
        <v>145.30000000000001</v>
      </c>
      <c r="BK227" s="82">
        <f t="shared" si="349"/>
        <v>117</v>
      </c>
      <c r="BL227" s="82">
        <f t="shared" si="350"/>
        <v>45</v>
      </c>
      <c r="BM227" s="82">
        <f t="shared" si="351"/>
        <v>0</v>
      </c>
      <c r="BN227" s="82">
        <f t="shared" si="352"/>
        <v>49</v>
      </c>
      <c r="BO227" s="82">
        <f t="shared" si="353"/>
        <v>0</v>
      </c>
      <c r="BP227" s="82">
        <f t="shared" si="354"/>
        <v>0</v>
      </c>
      <c r="BQ227" s="82"/>
      <c r="BR227" s="129">
        <f>SUMIF('Audit HD AR - School Level'!$B$6:B1350, "=" &amp; A227,'Audit HD AR - School Level'!$Q$6:Q1350)</f>
        <v>3.8</v>
      </c>
      <c r="BS227" s="224">
        <f t="shared" si="355"/>
        <v>0</v>
      </c>
      <c r="BT227" s="126">
        <f t="shared" si="356"/>
        <v>0</v>
      </c>
      <c r="BU227" s="82">
        <f t="shared" si="357"/>
        <v>112</v>
      </c>
    </row>
    <row r="228" spans="1:73">
      <c r="A228" s="1" t="s">
        <v>478</v>
      </c>
      <c r="U228" s="126">
        <v>275</v>
      </c>
      <c r="X228" s="126">
        <v>5.5</v>
      </c>
      <c r="Y228" s="126">
        <v>299.5</v>
      </c>
      <c r="Z228" s="126">
        <v>0</v>
      </c>
      <c r="AC228" s="126">
        <v>116.7</v>
      </c>
      <c r="AD228" s="126">
        <v>121</v>
      </c>
      <c r="AE228" s="126">
        <v>647</v>
      </c>
      <c r="AF228" s="126">
        <v>288</v>
      </c>
      <c r="AG228" s="126">
        <v>140</v>
      </c>
      <c r="AI228" s="126">
        <v>0</v>
      </c>
      <c r="AJ228" s="126">
        <v>55</v>
      </c>
      <c r="AK228" s="132">
        <v>4</v>
      </c>
      <c r="AL228" s="126">
        <v>9</v>
      </c>
      <c r="AO228" s="132">
        <v>0</v>
      </c>
      <c r="AP228" s="126">
        <v>0</v>
      </c>
      <c r="AQ228" s="134">
        <v>0</v>
      </c>
      <c r="AR228" s="132">
        <v>0</v>
      </c>
      <c r="AS228" s="134">
        <v>0</v>
      </c>
      <c r="AT228" s="132">
        <v>0</v>
      </c>
      <c r="AU228" s="132">
        <v>0</v>
      </c>
      <c r="AV228" s="83">
        <v>79460</v>
      </c>
      <c r="AW228" s="237">
        <v>43598</v>
      </c>
      <c r="AX228" s="233">
        <f t="shared" si="358"/>
        <v>19</v>
      </c>
      <c r="AY228" s="232" t="s">
        <v>3487</v>
      </c>
      <c r="AZ228" s="233" t="b">
        <f t="shared" si="343"/>
        <v>0</v>
      </c>
      <c r="BA228" s="129"/>
      <c r="BB228" s="129"/>
      <c r="BC228" s="129"/>
      <c r="BD228" s="129"/>
      <c r="BE228" s="82">
        <f t="shared" si="344"/>
        <v>275</v>
      </c>
      <c r="BF228" s="82">
        <f t="shared" si="345"/>
        <v>5.5</v>
      </c>
      <c r="BG228" s="82"/>
      <c r="BH228" s="82">
        <f t="shared" si="346"/>
        <v>116.7</v>
      </c>
      <c r="BI228" s="82">
        <f t="shared" si="347"/>
        <v>121</v>
      </c>
      <c r="BJ228" s="82">
        <f t="shared" si="348"/>
        <v>647</v>
      </c>
      <c r="BK228" s="82">
        <f t="shared" si="349"/>
        <v>288</v>
      </c>
      <c r="BL228" s="82">
        <f t="shared" si="350"/>
        <v>140</v>
      </c>
      <c r="BM228" s="82">
        <f t="shared" si="351"/>
        <v>0</v>
      </c>
      <c r="BN228" s="82">
        <f t="shared" si="352"/>
        <v>55</v>
      </c>
      <c r="BO228" s="82">
        <f t="shared" si="353"/>
        <v>4</v>
      </c>
      <c r="BP228" s="82">
        <f t="shared" si="354"/>
        <v>9</v>
      </c>
      <c r="BQ228" s="82"/>
      <c r="BR228" s="129">
        <f>SUMIF('Audit HD AR - School Level'!$B$6:B1352, "=" &amp; A228,'Audit HD AR - School Level'!$Q$6:Q1352)</f>
        <v>13.1</v>
      </c>
      <c r="BS228" s="224">
        <f t="shared" si="355"/>
        <v>0</v>
      </c>
      <c r="BT228" s="126">
        <f t="shared" si="356"/>
        <v>0</v>
      </c>
      <c r="BU228" s="82">
        <f t="shared" si="357"/>
        <v>275</v>
      </c>
    </row>
    <row r="229" spans="1:73">
      <c r="A229" s="1" t="s">
        <v>479</v>
      </c>
      <c r="U229" s="126">
        <v>937.7</v>
      </c>
      <c r="X229" s="126">
        <v>10</v>
      </c>
      <c r="Y229" s="126">
        <v>971</v>
      </c>
      <c r="Z229" s="126">
        <v>0</v>
      </c>
      <c r="AC229" s="126">
        <v>278.8</v>
      </c>
      <c r="AD229" s="126">
        <v>7</v>
      </c>
      <c r="AE229" s="126">
        <v>3.6</v>
      </c>
      <c r="AF229" s="126">
        <v>936</v>
      </c>
      <c r="AG229" s="126">
        <v>463</v>
      </c>
      <c r="AI229" s="126">
        <v>0</v>
      </c>
      <c r="AJ229" s="126">
        <v>83</v>
      </c>
      <c r="AK229" s="132">
        <v>15.5</v>
      </c>
      <c r="AL229" s="126">
        <v>3</v>
      </c>
      <c r="AO229" s="132">
        <v>26</v>
      </c>
      <c r="AP229" s="126">
        <v>0.7</v>
      </c>
      <c r="AQ229" s="134">
        <v>15</v>
      </c>
      <c r="AR229" s="132">
        <v>3</v>
      </c>
      <c r="AS229" s="134">
        <v>15.5</v>
      </c>
      <c r="AT229" s="132">
        <v>0</v>
      </c>
      <c r="AU229" s="132">
        <v>0</v>
      </c>
      <c r="AV229" s="83">
        <v>226936</v>
      </c>
      <c r="AW229" s="237">
        <v>43598</v>
      </c>
      <c r="AX229" s="233">
        <f t="shared" si="358"/>
        <v>19</v>
      </c>
      <c r="AY229" s="232" t="s">
        <v>3487</v>
      </c>
      <c r="AZ229" s="233" t="b">
        <f t="shared" si="343"/>
        <v>0</v>
      </c>
      <c r="BA229" s="129"/>
      <c r="BB229" s="129"/>
      <c r="BC229" s="129"/>
      <c r="BD229" s="129"/>
      <c r="BE229" s="82">
        <f t="shared" si="344"/>
        <v>908</v>
      </c>
      <c r="BF229" s="82">
        <f t="shared" si="345"/>
        <v>10</v>
      </c>
      <c r="BG229" s="82"/>
      <c r="BH229" s="82">
        <f t="shared" si="346"/>
        <v>278.8</v>
      </c>
      <c r="BI229" s="82">
        <f t="shared" si="347"/>
        <v>7</v>
      </c>
      <c r="BJ229" s="82">
        <f t="shared" si="348"/>
        <v>3.6</v>
      </c>
      <c r="BK229" s="82">
        <f t="shared" si="349"/>
        <v>936</v>
      </c>
      <c r="BL229" s="82">
        <f t="shared" si="350"/>
        <v>463</v>
      </c>
      <c r="BM229" s="82">
        <f t="shared" si="351"/>
        <v>0</v>
      </c>
      <c r="BN229" s="82">
        <f t="shared" si="352"/>
        <v>83</v>
      </c>
      <c r="BO229" s="82">
        <f t="shared" si="353"/>
        <v>15.5</v>
      </c>
      <c r="BP229" s="82">
        <f t="shared" si="354"/>
        <v>3</v>
      </c>
      <c r="BQ229" s="82"/>
      <c r="BR229" s="129">
        <f>SUMIF('Audit HD AR - School Level'!$B$6:B1353, "=" &amp; A229,'Audit HD AR - School Level'!$Q$6:Q1353)</f>
        <v>43.2</v>
      </c>
      <c r="BS229" s="224">
        <f t="shared" si="355"/>
        <v>355</v>
      </c>
      <c r="BT229" s="126">
        <f t="shared" si="356"/>
        <v>0</v>
      </c>
      <c r="BU229" s="82">
        <f t="shared" si="357"/>
        <v>908</v>
      </c>
    </row>
    <row r="230" spans="1:73">
      <c r="A230" s="1" t="s">
        <v>217</v>
      </c>
      <c r="D230" s="132">
        <v>61</v>
      </c>
      <c r="I230" s="126">
        <v>1</v>
      </c>
      <c r="J230" s="126">
        <v>0.4</v>
      </c>
      <c r="K230" s="126">
        <v>63</v>
      </c>
      <c r="L230" s="132">
        <v>6</v>
      </c>
      <c r="R230" s="132">
        <v>5</v>
      </c>
      <c r="U230" s="126">
        <v>1695.5</v>
      </c>
      <c r="X230" s="126">
        <v>0</v>
      </c>
      <c r="Y230" s="126">
        <v>1823.6</v>
      </c>
      <c r="Z230" s="126">
        <v>0</v>
      </c>
      <c r="AC230" s="126">
        <v>0</v>
      </c>
      <c r="AD230" s="126">
        <v>73</v>
      </c>
      <c r="AE230" s="126">
        <v>46.7</v>
      </c>
      <c r="AF230" s="126">
        <v>1706</v>
      </c>
      <c r="AG230" s="126">
        <v>62</v>
      </c>
      <c r="AI230" s="126">
        <v>0</v>
      </c>
      <c r="AJ230" s="126">
        <v>0</v>
      </c>
      <c r="AK230" s="132">
        <v>467</v>
      </c>
      <c r="AL230" s="126">
        <v>0</v>
      </c>
      <c r="AO230" s="132">
        <v>0</v>
      </c>
      <c r="AP230" s="126">
        <v>0</v>
      </c>
      <c r="AQ230" s="134">
        <v>0</v>
      </c>
      <c r="AR230" s="132">
        <v>0</v>
      </c>
      <c r="AS230" s="134">
        <v>0</v>
      </c>
      <c r="AT230" s="132">
        <v>0</v>
      </c>
      <c r="AU230" s="132">
        <v>0</v>
      </c>
      <c r="AV230" s="83">
        <v>228354</v>
      </c>
      <c r="AW230" s="237">
        <v>43598</v>
      </c>
      <c r="AX230" s="233">
        <f t="shared" si="358"/>
        <v>19</v>
      </c>
      <c r="AY230" s="232" t="s">
        <v>3487</v>
      </c>
      <c r="AZ230" s="233" t="b">
        <f t="shared" si="343"/>
        <v>0</v>
      </c>
      <c r="BA230" s="129"/>
      <c r="BB230" s="129"/>
      <c r="BC230" s="129"/>
      <c r="BD230" s="129"/>
      <c r="BE230" s="82">
        <f t="shared" ref="BE230" si="359">SUM(U230+C230-AO230-AP230-AR230)</f>
        <v>1695.5</v>
      </c>
      <c r="BF230" s="82">
        <f t="shared" ref="BF230" si="360">SUM(X230+F230)</f>
        <v>0</v>
      </c>
      <c r="BG230" s="82"/>
      <c r="BH230" s="82">
        <f t="shared" ref="BH230" si="361">SUM(AC230+H230)</f>
        <v>0</v>
      </c>
      <c r="BI230" s="82">
        <f t="shared" ref="BI230" si="362">SUM(AD230+I230)</f>
        <v>74</v>
      </c>
      <c r="BJ230" s="82">
        <f t="shared" ref="BJ230" si="363">SUM(AE230+J230)</f>
        <v>47.1</v>
      </c>
      <c r="BK230" s="82">
        <f t="shared" ref="BK230" si="364">SUM(AF230+K230)</f>
        <v>1769</v>
      </c>
      <c r="BL230" s="82">
        <f t="shared" ref="BL230" si="365">SUM(AG230+L230)</f>
        <v>68</v>
      </c>
      <c r="BM230" s="82">
        <f t="shared" ref="BM230" si="366">SUM(AI230+M230)</f>
        <v>0</v>
      </c>
      <c r="BN230" s="82">
        <f t="shared" ref="BN230" si="367">SUM(AJ230+Q230)</f>
        <v>0</v>
      </c>
      <c r="BO230" s="82">
        <f t="shared" ref="BO230" si="368">SUM(AK230+R230)</f>
        <v>472</v>
      </c>
      <c r="BP230" s="82">
        <f t="shared" ref="BP230" si="369">SUM(AL230+S230)</f>
        <v>0</v>
      </c>
      <c r="BQ230" s="82"/>
      <c r="BR230" s="129">
        <f>SUMIF('Audit HD AR - School Level'!$B$6:B1354, "=" &amp; A230,'Audit HD AR - School Level'!$Q$6:Q1354)</f>
        <v>0</v>
      </c>
      <c r="BS230" s="224">
        <f t="shared" ref="BS230" si="370">SUM(AS230-AQ230)*$BS$2</f>
        <v>0</v>
      </c>
      <c r="BT230" s="126">
        <f t="shared" ref="BT230" si="371">IF(BS230&lt;0,BS230,0)</f>
        <v>0</v>
      </c>
      <c r="BU230" s="82">
        <f t="shared" ref="BU230" si="372">SUM(U230-AO230-AP230-AR230)</f>
        <v>1695.5</v>
      </c>
    </row>
    <row r="231" spans="1:73">
      <c r="A231" s="1" t="s">
        <v>269</v>
      </c>
      <c r="D231" s="132"/>
      <c r="U231" s="126">
        <v>5779.6</v>
      </c>
      <c r="X231" s="126">
        <v>34</v>
      </c>
      <c r="Y231" s="126">
        <v>5640.6</v>
      </c>
      <c r="Z231" s="126">
        <v>0</v>
      </c>
      <c r="AC231" s="126">
        <v>1498</v>
      </c>
      <c r="AD231" s="126">
        <v>146</v>
      </c>
      <c r="AE231" s="126">
        <v>438.9</v>
      </c>
      <c r="AF231" s="126">
        <v>5984</v>
      </c>
      <c r="AG231" s="126">
        <v>945</v>
      </c>
      <c r="AI231" s="126">
        <v>0</v>
      </c>
      <c r="AJ231" s="126">
        <v>4103</v>
      </c>
      <c r="AK231" s="132">
        <v>1404</v>
      </c>
      <c r="AL231" s="126">
        <v>267</v>
      </c>
      <c r="AO231" s="132">
        <v>29</v>
      </c>
      <c r="AP231" s="126">
        <v>4.8</v>
      </c>
      <c r="AQ231" s="134">
        <v>10</v>
      </c>
      <c r="AR231" s="132">
        <v>0</v>
      </c>
      <c r="AS231" s="134">
        <v>3.5</v>
      </c>
      <c r="AT231" s="132">
        <v>24</v>
      </c>
      <c r="AU231" s="132">
        <v>2</v>
      </c>
      <c r="AV231" s="83">
        <v>2223140</v>
      </c>
      <c r="AW231" s="237">
        <v>43598</v>
      </c>
      <c r="AX231" s="233">
        <f t="shared" si="358"/>
        <v>19</v>
      </c>
      <c r="AY231" s="232" t="s">
        <v>3487</v>
      </c>
      <c r="AZ231" s="233" t="b">
        <f t="shared" si="343"/>
        <v>0</v>
      </c>
      <c r="BA231" s="129"/>
      <c r="BB231" s="129"/>
      <c r="BC231" s="129"/>
      <c r="BD231" s="129"/>
      <c r="BE231" s="82">
        <f t="shared" ref="BE231:BE232" si="373">SUM(U231+C231-AO231-AP231-AR231)</f>
        <v>5745.8</v>
      </c>
      <c r="BF231" s="82">
        <f t="shared" ref="BF231:BF232" si="374">SUM(X231+F231)</f>
        <v>34</v>
      </c>
      <c r="BG231" s="82"/>
      <c r="BH231" s="82">
        <f t="shared" ref="BH231:BH232" si="375">SUM(AC231+H231)</f>
        <v>1498</v>
      </c>
      <c r="BI231" s="82">
        <f t="shared" ref="BI231:BI232" si="376">SUM(AD231+I231)</f>
        <v>146</v>
      </c>
      <c r="BJ231" s="82">
        <f t="shared" ref="BJ231:BJ232" si="377">SUM(AE231+J231)</f>
        <v>438.9</v>
      </c>
      <c r="BK231" s="82">
        <f t="shared" ref="BK231:BK232" si="378">SUM(AF231+K231)</f>
        <v>5984</v>
      </c>
      <c r="BL231" s="82">
        <f t="shared" ref="BL231:BL232" si="379">SUM(AG231+L231)</f>
        <v>945</v>
      </c>
      <c r="BM231" s="82">
        <f t="shared" ref="BM231:BM232" si="380">SUM(AI231+M231)</f>
        <v>0</v>
      </c>
      <c r="BN231" s="82">
        <f t="shared" ref="BN231:BN232" si="381">SUM(AJ231+Q231)</f>
        <v>4103</v>
      </c>
      <c r="BO231" s="82">
        <f t="shared" ref="BO231:BO232" si="382">SUM(AK231+R231)</f>
        <v>1404</v>
      </c>
      <c r="BP231" s="82">
        <f t="shared" ref="BP231:BP232" si="383">SUM(AL231+S231)</f>
        <v>267</v>
      </c>
      <c r="BQ231" s="82"/>
      <c r="BR231" s="129">
        <f>SUMIF('Audit HD AR - School Level'!$B$6:B1357, "=" &amp; A231,'Audit HD AR - School Level'!$Q$6:Q1357)</f>
        <v>0</v>
      </c>
      <c r="BS231" s="224">
        <f t="shared" ref="BS231:BS232" si="384">SUM(AS231-AQ231)*$BS$2</f>
        <v>-4609</v>
      </c>
      <c r="BT231" s="126">
        <f t="shared" ref="BT231:BT232" si="385">IF(BS231&lt;0,BS231,0)</f>
        <v>-4609</v>
      </c>
      <c r="BU231" s="82">
        <f t="shared" ref="BU231:BU232" si="386">SUM(U231-AO231-AP231-AR231)</f>
        <v>5745.8</v>
      </c>
    </row>
    <row r="232" spans="1:73">
      <c r="A232" s="1" t="s">
        <v>358</v>
      </c>
      <c r="D232" s="132"/>
      <c r="U232" s="126">
        <v>208.7</v>
      </c>
      <c r="X232" s="126">
        <v>2</v>
      </c>
      <c r="Y232" s="126">
        <v>199.5</v>
      </c>
      <c r="Z232" s="126">
        <v>0</v>
      </c>
      <c r="AC232" s="126">
        <v>71</v>
      </c>
      <c r="AD232" s="126">
        <v>35</v>
      </c>
      <c r="AE232" s="126">
        <v>151.1</v>
      </c>
      <c r="AF232" s="126">
        <v>189.8</v>
      </c>
      <c r="AG232" s="126">
        <v>38</v>
      </c>
      <c r="AI232" s="126">
        <v>0</v>
      </c>
      <c r="AJ232" s="126">
        <v>69</v>
      </c>
      <c r="AK232" s="132">
        <v>7</v>
      </c>
      <c r="AL232" s="126">
        <v>25</v>
      </c>
      <c r="AO232" s="132">
        <v>3</v>
      </c>
      <c r="AP232" s="126">
        <v>0</v>
      </c>
      <c r="AQ232" s="134">
        <v>15</v>
      </c>
      <c r="AR232" s="132">
        <v>21.2</v>
      </c>
      <c r="AS232" s="134">
        <v>15</v>
      </c>
      <c r="AT232" s="132">
        <v>20</v>
      </c>
      <c r="AU232" s="132">
        <v>0</v>
      </c>
      <c r="AV232" s="83">
        <v>109716</v>
      </c>
      <c r="AW232" s="237">
        <v>43598</v>
      </c>
      <c r="AX232" s="233">
        <f t="shared" si="358"/>
        <v>19</v>
      </c>
      <c r="AY232" s="232" t="s">
        <v>3487</v>
      </c>
      <c r="AZ232" s="233" t="b">
        <f t="shared" si="343"/>
        <v>0</v>
      </c>
      <c r="BA232" s="129"/>
      <c r="BB232" s="129"/>
      <c r="BC232" s="129"/>
      <c r="BD232" s="129"/>
      <c r="BE232" s="82">
        <f t="shared" si="373"/>
        <v>184.5</v>
      </c>
      <c r="BF232" s="82">
        <f t="shared" si="374"/>
        <v>2</v>
      </c>
      <c r="BG232" s="82"/>
      <c r="BH232" s="82">
        <f t="shared" si="375"/>
        <v>71</v>
      </c>
      <c r="BI232" s="82">
        <f t="shared" si="376"/>
        <v>35</v>
      </c>
      <c r="BJ232" s="82">
        <f t="shared" si="377"/>
        <v>151.1</v>
      </c>
      <c r="BK232" s="82">
        <f t="shared" si="378"/>
        <v>189.8</v>
      </c>
      <c r="BL232" s="82">
        <f t="shared" si="379"/>
        <v>38</v>
      </c>
      <c r="BM232" s="82">
        <f t="shared" si="380"/>
        <v>0</v>
      </c>
      <c r="BN232" s="82">
        <f t="shared" si="381"/>
        <v>69</v>
      </c>
      <c r="BO232" s="82">
        <f t="shared" si="382"/>
        <v>7</v>
      </c>
      <c r="BP232" s="82">
        <f t="shared" si="383"/>
        <v>25</v>
      </c>
      <c r="BQ232" s="82"/>
      <c r="BR232" s="129">
        <f>SUMIF('Audit HD AR - School Level'!$B$6:B1360, "=" &amp; A232,'Audit HD AR - School Level'!$Q$6:Q1360)</f>
        <v>0</v>
      </c>
      <c r="BS232" s="224">
        <f t="shared" si="384"/>
        <v>0</v>
      </c>
      <c r="BT232" s="126">
        <f t="shared" si="385"/>
        <v>0</v>
      </c>
      <c r="BU232" s="82">
        <f t="shared" si="386"/>
        <v>184.5</v>
      </c>
    </row>
    <row r="233" spans="1:73">
      <c r="A233" s="1" t="s">
        <v>261</v>
      </c>
      <c r="D233" s="132"/>
      <c r="U233" s="126">
        <v>1192.4000000000001</v>
      </c>
      <c r="X233" s="126">
        <v>11</v>
      </c>
      <c r="Y233" s="126">
        <v>1242</v>
      </c>
      <c r="Z233" s="126">
        <v>0</v>
      </c>
      <c r="AC233" s="126">
        <v>493.5</v>
      </c>
      <c r="AD233" s="126">
        <v>4</v>
      </c>
      <c r="AE233" s="126">
        <v>1</v>
      </c>
      <c r="AF233" s="126">
        <v>1186</v>
      </c>
      <c r="AG233" s="126">
        <v>533</v>
      </c>
      <c r="AI233" s="126">
        <v>0</v>
      </c>
      <c r="AJ233" s="126">
        <v>274</v>
      </c>
      <c r="AK233" s="132">
        <v>14</v>
      </c>
      <c r="AL233" s="126">
        <v>8</v>
      </c>
      <c r="AO233" s="132">
        <v>29</v>
      </c>
      <c r="AP233" s="126">
        <v>5.8</v>
      </c>
      <c r="AQ233" s="134">
        <v>9</v>
      </c>
      <c r="AR233" s="132">
        <v>7</v>
      </c>
      <c r="AS233" s="134">
        <v>7</v>
      </c>
      <c r="AT233" s="132">
        <v>10</v>
      </c>
      <c r="AU233" s="132">
        <v>0</v>
      </c>
      <c r="AV233" s="83">
        <v>273249</v>
      </c>
      <c r="AW233" s="237">
        <v>43600</v>
      </c>
      <c r="AX233" s="233">
        <f t="shared" si="358"/>
        <v>20</v>
      </c>
      <c r="AY233" s="232" t="s">
        <v>3487</v>
      </c>
      <c r="AZ233" s="233" t="b">
        <f t="shared" si="343"/>
        <v>0</v>
      </c>
      <c r="BA233" s="129"/>
      <c r="BB233" s="129"/>
      <c r="BC233" s="129"/>
      <c r="BD233" s="129"/>
      <c r="BE233" s="82">
        <f t="shared" ref="BE233:BE236" si="387">SUM(U233+C233-AO233-AP233-AR233)</f>
        <v>1150.5999999999999</v>
      </c>
      <c r="BF233" s="82">
        <f t="shared" ref="BF233:BF236" si="388">SUM(X233+F233)</f>
        <v>11</v>
      </c>
      <c r="BG233" s="82"/>
      <c r="BH233" s="82">
        <f t="shared" ref="BH233:BH236" si="389">SUM(AC233+H233)</f>
        <v>493.5</v>
      </c>
      <c r="BI233" s="82">
        <f t="shared" ref="BI233:BI236" si="390">SUM(AD233+I233)</f>
        <v>4</v>
      </c>
      <c r="BJ233" s="82">
        <f t="shared" ref="BJ233:BJ236" si="391">SUM(AE233+J233)</f>
        <v>1</v>
      </c>
      <c r="BK233" s="82">
        <f t="shared" ref="BK233:BK236" si="392">SUM(AF233+K233)</f>
        <v>1186</v>
      </c>
      <c r="BL233" s="82">
        <f t="shared" ref="BL233:BL236" si="393">SUM(AG233+L233)</f>
        <v>533</v>
      </c>
      <c r="BM233" s="82">
        <f t="shared" ref="BM233:BM236" si="394">SUM(AI233+M233)</f>
        <v>0</v>
      </c>
      <c r="BN233" s="82">
        <f t="shared" ref="BN233:BN236" si="395">SUM(AJ233+Q233)</f>
        <v>274</v>
      </c>
      <c r="BO233" s="82">
        <f t="shared" ref="BO233:BO236" si="396">SUM(AK233+R233)</f>
        <v>14</v>
      </c>
      <c r="BP233" s="82">
        <f t="shared" ref="BP233:BP236" si="397">SUM(AL233+S233)</f>
        <v>8</v>
      </c>
      <c r="BQ233" s="82"/>
      <c r="BR233" s="129">
        <f>SUMIF('Audit HD AR - School Level'!$B$6:B1369, "=" &amp; A233,'Audit HD AR - School Level'!$Q$6:Q1369)</f>
        <v>37.200000000000003</v>
      </c>
      <c r="BS233" s="224">
        <f t="shared" ref="BS233:BS236" si="398">SUM(AS233-AQ233)*$BS$2</f>
        <v>-1418</v>
      </c>
      <c r="BT233" s="126">
        <f t="shared" ref="BT233:BT236" si="399">IF(BS233&lt;0,BS233,0)</f>
        <v>-1418</v>
      </c>
      <c r="BU233" s="82">
        <f t="shared" ref="BU233:BU236" si="400">SUM(U233-AO233-AP233-AR233)</f>
        <v>1150.5999999999999</v>
      </c>
    </row>
    <row r="234" spans="1:73">
      <c r="A234" s="1" t="s">
        <v>320</v>
      </c>
      <c r="U234" s="126">
        <v>899.3</v>
      </c>
      <c r="X234" s="126">
        <v>10.5</v>
      </c>
      <c r="Y234" s="126">
        <v>917.7</v>
      </c>
      <c r="Z234" s="126">
        <v>0</v>
      </c>
      <c r="AC234" s="126">
        <v>438.7</v>
      </c>
      <c r="AD234" s="126">
        <v>1</v>
      </c>
      <c r="AE234" s="126">
        <v>0</v>
      </c>
      <c r="AF234" s="126">
        <v>916</v>
      </c>
      <c r="AG234" s="126">
        <v>322</v>
      </c>
      <c r="AI234" s="126">
        <v>0</v>
      </c>
      <c r="AJ234" s="126">
        <v>269.2</v>
      </c>
      <c r="AK234" s="132">
        <v>52</v>
      </c>
      <c r="AL234" s="126">
        <v>19</v>
      </c>
      <c r="AO234" s="132">
        <v>21</v>
      </c>
      <c r="AP234" s="126">
        <v>0</v>
      </c>
      <c r="AQ234" s="134">
        <v>50.5</v>
      </c>
      <c r="AR234" s="132">
        <v>24</v>
      </c>
      <c r="AS234" s="134">
        <v>47.5</v>
      </c>
      <c r="AT234" s="132">
        <v>50</v>
      </c>
      <c r="AU234" s="132">
        <v>0</v>
      </c>
      <c r="AV234" s="83">
        <v>381214</v>
      </c>
      <c r="AW234" s="237">
        <v>43600</v>
      </c>
      <c r="AX234" s="233">
        <f t="shared" si="358"/>
        <v>20</v>
      </c>
      <c r="AY234" s="232" t="s">
        <v>3487</v>
      </c>
      <c r="AZ234" s="233" t="b">
        <f t="shared" si="343"/>
        <v>0</v>
      </c>
      <c r="BA234" s="129"/>
      <c r="BB234" s="129"/>
      <c r="BC234" s="129"/>
      <c r="BD234" s="129"/>
      <c r="BE234" s="82">
        <f t="shared" si="387"/>
        <v>854.3</v>
      </c>
      <c r="BF234" s="82">
        <f t="shared" si="388"/>
        <v>10.5</v>
      </c>
      <c r="BG234" s="82"/>
      <c r="BH234" s="82">
        <f t="shared" si="389"/>
        <v>438.7</v>
      </c>
      <c r="BI234" s="82">
        <f t="shared" si="390"/>
        <v>1</v>
      </c>
      <c r="BJ234" s="82">
        <f t="shared" si="391"/>
        <v>0</v>
      </c>
      <c r="BK234" s="82">
        <f t="shared" si="392"/>
        <v>916</v>
      </c>
      <c r="BL234" s="82">
        <f t="shared" si="393"/>
        <v>322</v>
      </c>
      <c r="BM234" s="82">
        <f t="shared" si="394"/>
        <v>0</v>
      </c>
      <c r="BN234" s="82">
        <f t="shared" si="395"/>
        <v>269.2</v>
      </c>
      <c r="BO234" s="82">
        <f t="shared" si="396"/>
        <v>52</v>
      </c>
      <c r="BP234" s="82">
        <f t="shared" si="397"/>
        <v>19</v>
      </c>
      <c r="BQ234" s="82"/>
      <c r="BR234" s="129">
        <f>SUMIF('Audit HD AR - School Level'!$B$6:B1371, "=" &amp; A234,'Audit HD AR - School Level'!$Q$6:Q1371)</f>
        <v>17.600000000000001</v>
      </c>
      <c r="BS234" s="224">
        <f t="shared" si="398"/>
        <v>-2127</v>
      </c>
      <c r="BT234" s="126">
        <f t="shared" si="399"/>
        <v>-2127</v>
      </c>
      <c r="BU234" s="82">
        <f t="shared" si="400"/>
        <v>854.3</v>
      </c>
    </row>
    <row r="235" spans="1:73">
      <c r="A235" s="1" t="s">
        <v>418</v>
      </c>
      <c r="U235" s="126">
        <v>385.5</v>
      </c>
      <c r="X235" s="126">
        <v>2.5</v>
      </c>
      <c r="Y235" s="126">
        <v>412.5</v>
      </c>
      <c r="Z235" s="126">
        <v>0</v>
      </c>
      <c r="AC235" s="126">
        <v>118.8</v>
      </c>
      <c r="AD235" s="126">
        <v>12</v>
      </c>
      <c r="AE235" s="126">
        <v>8.3000000000000007</v>
      </c>
      <c r="AF235" s="126">
        <v>392</v>
      </c>
      <c r="AG235" s="126">
        <v>71</v>
      </c>
      <c r="AI235" s="126">
        <v>0</v>
      </c>
      <c r="AJ235" s="126">
        <v>121</v>
      </c>
      <c r="AK235" s="132">
        <v>4</v>
      </c>
      <c r="AL235" s="126">
        <v>7</v>
      </c>
      <c r="AO235" s="132">
        <v>0</v>
      </c>
      <c r="AP235" s="126">
        <v>0</v>
      </c>
      <c r="AQ235" s="134">
        <v>0</v>
      </c>
      <c r="AR235" s="132">
        <v>0</v>
      </c>
      <c r="AS235" s="134">
        <v>0</v>
      </c>
      <c r="AT235" s="132">
        <v>0</v>
      </c>
      <c r="AU235" s="132">
        <v>0</v>
      </c>
      <c r="AV235" s="83">
        <v>182987</v>
      </c>
      <c r="AW235" s="237">
        <v>43600</v>
      </c>
      <c r="AX235" s="233">
        <f t="shared" si="358"/>
        <v>20</v>
      </c>
      <c r="AY235" s="232" t="s">
        <v>3487</v>
      </c>
      <c r="AZ235" s="233" t="b">
        <f t="shared" si="343"/>
        <v>0</v>
      </c>
      <c r="BA235" s="129"/>
      <c r="BB235" s="129"/>
      <c r="BC235" s="129"/>
      <c r="BD235" s="129"/>
      <c r="BE235" s="82">
        <f t="shared" si="387"/>
        <v>385.5</v>
      </c>
      <c r="BF235" s="82">
        <f t="shared" si="388"/>
        <v>2.5</v>
      </c>
      <c r="BG235" s="82"/>
      <c r="BH235" s="82">
        <f t="shared" si="389"/>
        <v>118.8</v>
      </c>
      <c r="BI235" s="82">
        <f t="shared" si="390"/>
        <v>12</v>
      </c>
      <c r="BJ235" s="82">
        <f t="shared" si="391"/>
        <v>8.3000000000000007</v>
      </c>
      <c r="BK235" s="82">
        <f t="shared" si="392"/>
        <v>392</v>
      </c>
      <c r="BL235" s="82">
        <f t="shared" si="393"/>
        <v>71</v>
      </c>
      <c r="BM235" s="82">
        <f t="shared" si="394"/>
        <v>0</v>
      </c>
      <c r="BN235" s="82">
        <f t="shared" si="395"/>
        <v>121</v>
      </c>
      <c r="BO235" s="82">
        <f t="shared" si="396"/>
        <v>4</v>
      </c>
      <c r="BP235" s="82">
        <f t="shared" si="397"/>
        <v>7</v>
      </c>
      <c r="BQ235" s="82"/>
      <c r="BR235" s="129">
        <f>SUMIF('Audit HD AR - School Level'!$B$6:B1373, "=" &amp; A235,'Audit HD AR - School Level'!$Q$6:Q1373)</f>
        <v>0</v>
      </c>
      <c r="BS235" s="224">
        <f t="shared" si="398"/>
        <v>0</v>
      </c>
      <c r="BT235" s="126">
        <f t="shared" si="399"/>
        <v>0</v>
      </c>
      <c r="BU235" s="82">
        <f t="shared" si="400"/>
        <v>385.5</v>
      </c>
    </row>
    <row r="236" spans="1:73">
      <c r="A236" s="1" t="s">
        <v>456</v>
      </c>
      <c r="U236" s="126">
        <v>234.5</v>
      </c>
      <c r="X236" s="126">
        <v>2</v>
      </c>
      <c r="Y236" s="126">
        <v>238.5</v>
      </c>
      <c r="Z236" s="126">
        <v>0</v>
      </c>
      <c r="AC236" s="126">
        <v>46.4</v>
      </c>
      <c r="AD236" s="126">
        <v>9</v>
      </c>
      <c r="AE236" s="126">
        <v>1.9</v>
      </c>
      <c r="AF236" s="126">
        <v>241</v>
      </c>
      <c r="AG236" s="126">
        <v>84</v>
      </c>
      <c r="AI236" s="126">
        <v>0</v>
      </c>
      <c r="AJ236" s="126">
        <v>38</v>
      </c>
      <c r="AK236" s="132">
        <v>2</v>
      </c>
      <c r="AL236" s="126">
        <v>18</v>
      </c>
      <c r="AO236" s="132">
        <v>0</v>
      </c>
      <c r="AP236" s="126">
        <v>0</v>
      </c>
      <c r="AQ236" s="134">
        <v>0</v>
      </c>
      <c r="AR236" s="132">
        <v>0</v>
      </c>
      <c r="AS236" s="134">
        <v>0</v>
      </c>
      <c r="AT236" s="132">
        <v>0</v>
      </c>
      <c r="AU236" s="132">
        <v>0</v>
      </c>
      <c r="AV236" s="83">
        <v>96448</v>
      </c>
      <c r="AW236" s="237">
        <v>43600</v>
      </c>
      <c r="AX236" s="233">
        <f t="shared" si="358"/>
        <v>20</v>
      </c>
      <c r="AY236" s="232" t="s">
        <v>3487</v>
      </c>
      <c r="AZ236" s="233" t="b">
        <f t="shared" si="343"/>
        <v>0</v>
      </c>
      <c r="BA236" s="129"/>
      <c r="BB236" s="129"/>
      <c r="BC236" s="129"/>
      <c r="BD236" s="129"/>
      <c r="BE236" s="82">
        <f t="shared" si="387"/>
        <v>234.5</v>
      </c>
      <c r="BF236" s="82">
        <f t="shared" si="388"/>
        <v>2</v>
      </c>
      <c r="BG236" s="82"/>
      <c r="BH236" s="82">
        <f t="shared" si="389"/>
        <v>46.4</v>
      </c>
      <c r="BI236" s="82">
        <f t="shared" si="390"/>
        <v>9</v>
      </c>
      <c r="BJ236" s="82">
        <f t="shared" si="391"/>
        <v>1.9</v>
      </c>
      <c r="BK236" s="82">
        <f t="shared" si="392"/>
        <v>241</v>
      </c>
      <c r="BL236" s="82">
        <f t="shared" si="393"/>
        <v>84</v>
      </c>
      <c r="BM236" s="82">
        <f t="shared" si="394"/>
        <v>0</v>
      </c>
      <c r="BN236" s="82">
        <f t="shared" si="395"/>
        <v>38</v>
      </c>
      <c r="BO236" s="82">
        <f t="shared" si="396"/>
        <v>2</v>
      </c>
      <c r="BP236" s="82">
        <f t="shared" si="397"/>
        <v>18</v>
      </c>
      <c r="BQ236" s="82"/>
      <c r="BR236" s="129">
        <f>SUMIF('Audit HD AR - School Level'!$B$6:B1375, "=" &amp; A236,'Audit HD AR - School Level'!$Q$6:Q1375)</f>
        <v>0.8</v>
      </c>
      <c r="BS236" s="224">
        <f t="shared" si="398"/>
        <v>0</v>
      </c>
      <c r="BT236" s="126">
        <f t="shared" si="399"/>
        <v>0</v>
      </c>
      <c r="BU236" s="82">
        <f t="shared" si="400"/>
        <v>234.5</v>
      </c>
    </row>
    <row r="237" spans="1:73">
      <c r="A237" s="1" t="s">
        <v>339</v>
      </c>
      <c r="U237" s="126">
        <v>314.5</v>
      </c>
      <c r="X237" s="126">
        <v>6.5</v>
      </c>
      <c r="Y237" s="126">
        <v>332</v>
      </c>
      <c r="Z237" s="126">
        <v>0</v>
      </c>
      <c r="AC237" s="126">
        <v>78.599999999999994</v>
      </c>
      <c r="AD237" s="126">
        <v>41</v>
      </c>
      <c r="AE237" s="126">
        <v>84.2</v>
      </c>
      <c r="AF237" s="126">
        <v>330</v>
      </c>
      <c r="AG237" s="126">
        <v>133</v>
      </c>
      <c r="AI237" s="126">
        <v>0</v>
      </c>
      <c r="AJ237" s="126">
        <v>58.5</v>
      </c>
      <c r="AK237" s="132">
        <v>0</v>
      </c>
      <c r="AL237" s="126">
        <v>16</v>
      </c>
      <c r="AO237" s="132">
        <v>0</v>
      </c>
      <c r="AP237" s="126">
        <v>0</v>
      </c>
      <c r="AQ237" s="134">
        <v>0</v>
      </c>
      <c r="AR237" s="132">
        <v>0</v>
      </c>
      <c r="AS237" s="134">
        <v>0</v>
      </c>
      <c r="AT237" s="132">
        <v>0</v>
      </c>
      <c r="AU237" s="132">
        <v>0</v>
      </c>
      <c r="AV237" s="83">
        <v>91377</v>
      </c>
      <c r="AW237" s="237">
        <v>43600</v>
      </c>
      <c r="AX237" s="233">
        <f t="shared" si="358"/>
        <v>20</v>
      </c>
      <c r="AY237" s="232" t="s">
        <v>3487</v>
      </c>
      <c r="AZ237" s="233" t="b">
        <f t="shared" si="343"/>
        <v>0</v>
      </c>
      <c r="BA237" s="129"/>
      <c r="BB237" s="129"/>
      <c r="BC237" s="129"/>
      <c r="BD237" s="129"/>
      <c r="BE237" s="82">
        <f t="shared" ref="BE237" si="401">SUM(U237+C237-AO237-AP237-AR237)</f>
        <v>314.5</v>
      </c>
      <c r="BF237" s="82">
        <f t="shared" ref="BF237" si="402">SUM(X237+F237)</f>
        <v>6.5</v>
      </c>
      <c r="BG237" s="82"/>
      <c r="BH237" s="82">
        <f t="shared" ref="BH237" si="403">SUM(AC237+H237)</f>
        <v>78.599999999999994</v>
      </c>
      <c r="BI237" s="82">
        <f t="shared" ref="BI237" si="404">SUM(AD237+I237)</f>
        <v>41</v>
      </c>
      <c r="BJ237" s="82">
        <f t="shared" ref="BJ237" si="405">SUM(AE237+J237)</f>
        <v>84.2</v>
      </c>
      <c r="BK237" s="82">
        <f t="shared" ref="BK237" si="406">SUM(AF237+K237)</f>
        <v>330</v>
      </c>
      <c r="BL237" s="82">
        <f t="shared" ref="BL237" si="407">SUM(AG237+L237)</f>
        <v>133</v>
      </c>
      <c r="BM237" s="82">
        <f t="shared" ref="BM237" si="408">SUM(AI237+M237)</f>
        <v>0</v>
      </c>
      <c r="BN237" s="82">
        <f t="shared" ref="BN237" si="409">SUM(AJ237+Q237)</f>
        <v>58.5</v>
      </c>
      <c r="BO237" s="82">
        <f t="shared" ref="BO237" si="410">SUM(AK237+R237)</f>
        <v>0</v>
      </c>
      <c r="BP237" s="82">
        <f t="shared" ref="BP237" si="411">SUM(AL237+S237)</f>
        <v>16</v>
      </c>
      <c r="BQ237" s="82"/>
      <c r="BR237" s="129">
        <f>SUMIF('Audit HD AR - School Level'!$B$6:B1378, "=" &amp; A237,'Audit HD AR - School Level'!$Q$6:Q1378)</f>
        <v>4.9000000000000004</v>
      </c>
      <c r="BS237" s="224">
        <f t="shared" ref="BS237" si="412">SUM(AS237-AQ237)*$BS$2</f>
        <v>0</v>
      </c>
      <c r="BT237" s="126">
        <f t="shared" ref="BT237" si="413">IF(BS237&lt;0,BS237,0)</f>
        <v>0</v>
      </c>
      <c r="BU237" s="82">
        <f t="shared" ref="BU237" si="414">SUM(U237-AO237-AP237-AR237)</f>
        <v>314.5</v>
      </c>
    </row>
    <row r="238" spans="1:73">
      <c r="A238" s="1" t="s">
        <v>299</v>
      </c>
      <c r="U238" s="126">
        <v>7092.6</v>
      </c>
      <c r="X238" s="126">
        <v>29</v>
      </c>
      <c r="Y238" s="126">
        <v>7176</v>
      </c>
      <c r="Z238" s="126">
        <v>0</v>
      </c>
      <c r="AC238" s="126">
        <v>1784.9</v>
      </c>
      <c r="AD238" s="126">
        <v>701</v>
      </c>
      <c r="AE238" s="126">
        <v>1580.9</v>
      </c>
      <c r="AF238" s="126">
        <v>7180</v>
      </c>
      <c r="AG238" s="126">
        <v>3261</v>
      </c>
      <c r="AI238" s="126">
        <v>1185.9000000000001</v>
      </c>
      <c r="AJ238" s="126">
        <v>1080</v>
      </c>
      <c r="AK238" s="132">
        <v>547</v>
      </c>
      <c r="AL238" s="126">
        <v>11</v>
      </c>
      <c r="AO238" s="132">
        <v>0</v>
      </c>
      <c r="AP238" s="126">
        <v>1.6</v>
      </c>
      <c r="AQ238" s="134">
        <v>95</v>
      </c>
      <c r="AR238" s="132">
        <v>60</v>
      </c>
      <c r="AS238" s="134">
        <v>95.5</v>
      </c>
      <c r="AT238" s="132">
        <v>100</v>
      </c>
      <c r="AU238" s="132">
        <v>1</v>
      </c>
      <c r="AV238" s="83">
        <v>874153</v>
      </c>
      <c r="AW238" s="237">
        <v>43607</v>
      </c>
      <c r="AX238" s="233">
        <f t="shared" si="358"/>
        <v>21</v>
      </c>
      <c r="AY238" s="232" t="s">
        <v>3487</v>
      </c>
      <c r="AZ238" s="233" t="b">
        <f t="shared" si="343"/>
        <v>0</v>
      </c>
      <c r="BA238" s="129"/>
      <c r="BB238" s="129"/>
      <c r="BC238" s="129"/>
      <c r="BD238" s="129"/>
      <c r="BE238" s="82">
        <f t="shared" ref="BE238:BE241" si="415">SUM(U238+C238-AO238-AP238-AR238)</f>
        <v>7031</v>
      </c>
      <c r="BF238" s="82">
        <f t="shared" ref="BF238:BF241" si="416">SUM(X238+F238)</f>
        <v>29</v>
      </c>
      <c r="BG238" s="82"/>
      <c r="BH238" s="82">
        <f t="shared" ref="BH238:BH241" si="417">SUM(AC238+H238)</f>
        <v>1784.9</v>
      </c>
      <c r="BI238" s="82">
        <f t="shared" ref="BI238:BI241" si="418">SUM(AD238+I238)</f>
        <v>701</v>
      </c>
      <c r="BJ238" s="82">
        <f t="shared" ref="BJ238:BJ241" si="419">SUM(AE238+J238)</f>
        <v>1580.9</v>
      </c>
      <c r="BK238" s="82">
        <f t="shared" ref="BK238:BK241" si="420">SUM(AF238+K238)</f>
        <v>7180</v>
      </c>
      <c r="BL238" s="82">
        <f t="shared" ref="BL238:BL241" si="421">SUM(AG238+L238)</f>
        <v>3261</v>
      </c>
      <c r="BM238" s="82">
        <f t="shared" ref="BM238:BM241" si="422">SUM(AI238+M238)</f>
        <v>1185.9000000000001</v>
      </c>
      <c r="BN238" s="82">
        <f t="shared" ref="BN238:BN241" si="423">SUM(AJ238+Q238)</f>
        <v>1080</v>
      </c>
      <c r="BO238" s="82">
        <f t="shared" ref="BO238:BO241" si="424">SUM(AK238+R238)</f>
        <v>547</v>
      </c>
      <c r="BP238" s="82">
        <f t="shared" ref="BP238:BP241" si="425">SUM(AL238+S238)</f>
        <v>11</v>
      </c>
      <c r="BQ238" s="82"/>
      <c r="BR238" s="129">
        <f>SUMIF('Audit HD AR - School Level'!$B$6:B1388, "=" &amp; A238,'Audit HD AR - School Level'!$Q$6:Q1388)</f>
        <v>215.2</v>
      </c>
      <c r="BS238" s="224">
        <f t="shared" ref="BS238:BS241" si="426">SUM(AS238-AQ238)*$BS$2</f>
        <v>355</v>
      </c>
      <c r="BT238" s="126">
        <f t="shared" ref="BT238:BT241" si="427">IF(BS238&lt;0,BS238,0)</f>
        <v>0</v>
      </c>
      <c r="BU238" s="82">
        <f t="shared" ref="BU238:BU241" si="428">SUM(U238-AO238-AP238-AR238)</f>
        <v>7031</v>
      </c>
    </row>
    <row r="239" spans="1:73">
      <c r="A239" s="1" t="s">
        <v>388</v>
      </c>
      <c r="U239" s="126">
        <v>2139</v>
      </c>
      <c r="X239" s="126">
        <v>11.5</v>
      </c>
      <c r="Y239" s="126">
        <v>2170.1999999999998</v>
      </c>
      <c r="Z239" s="126">
        <v>0</v>
      </c>
      <c r="AC239" s="126">
        <v>511.4</v>
      </c>
      <c r="AD239" s="126">
        <v>19</v>
      </c>
      <c r="AE239" s="126">
        <v>30.2</v>
      </c>
      <c r="AF239" s="126">
        <v>2253</v>
      </c>
      <c r="AG239" s="126">
        <v>677</v>
      </c>
      <c r="AI239" s="126">
        <v>0</v>
      </c>
      <c r="AJ239" s="126">
        <v>357.1</v>
      </c>
      <c r="AK239" s="132">
        <v>0</v>
      </c>
      <c r="AL239" s="126">
        <v>25</v>
      </c>
      <c r="AO239" s="132">
        <v>1</v>
      </c>
      <c r="AP239" s="126">
        <v>0</v>
      </c>
      <c r="AQ239" s="134">
        <v>0</v>
      </c>
      <c r="AR239" s="132">
        <v>1</v>
      </c>
      <c r="AS239" s="134">
        <v>0</v>
      </c>
      <c r="AT239" s="132">
        <v>0</v>
      </c>
      <c r="AU239" s="132">
        <v>0</v>
      </c>
      <c r="AV239" s="83">
        <v>247883</v>
      </c>
      <c r="AW239" s="237">
        <v>43607</v>
      </c>
      <c r="AX239" s="233">
        <f t="shared" si="358"/>
        <v>21</v>
      </c>
      <c r="AY239" s="232" t="s">
        <v>3487</v>
      </c>
      <c r="AZ239" s="233" t="b">
        <f t="shared" si="343"/>
        <v>0</v>
      </c>
      <c r="BA239" s="129"/>
      <c r="BB239" s="129"/>
      <c r="BC239" s="129"/>
      <c r="BD239" s="129"/>
      <c r="BE239" s="82">
        <f t="shared" si="415"/>
        <v>2137</v>
      </c>
      <c r="BF239" s="82">
        <f t="shared" si="416"/>
        <v>11.5</v>
      </c>
      <c r="BG239" s="82"/>
      <c r="BH239" s="82">
        <f t="shared" si="417"/>
        <v>511.4</v>
      </c>
      <c r="BI239" s="82">
        <f t="shared" si="418"/>
        <v>19</v>
      </c>
      <c r="BJ239" s="82">
        <f t="shared" si="419"/>
        <v>30.2</v>
      </c>
      <c r="BK239" s="82">
        <f t="shared" si="420"/>
        <v>2253</v>
      </c>
      <c r="BL239" s="82">
        <f t="shared" si="421"/>
        <v>677</v>
      </c>
      <c r="BM239" s="82">
        <f t="shared" si="422"/>
        <v>0</v>
      </c>
      <c r="BN239" s="82">
        <f t="shared" si="423"/>
        <v>357.1</v>
      </c>
      <c r="BO239" s="82">
        <f t="shared" si="424"/>
        <v>0</v>
      </c>
      <c r="BP239" s="82">
        <f t="shared" si="425"/>
        <v>25</v>
      </c>
      <c r="BQ239" s="82"/>
      <c r="BR239" s="129">
        <f>SUMIF('Audit HD AR - School Level'!$B$6:B1389, "=" &amp; A239,'Audit HD AR - School Level'!$Q$6:Q1389)</f>
        <v>13.4</v>
      </c>
      <c r="BS239" s="224">
        <f t="shared" si="426"/>
        <v>0</v>
      </c>
      <c r="BT239" s="126">
        <f t="shared" si="427"/>
        <v>0</v>
      </c>
      <c r="BU239" s="82">
        <f t="shared" si="428"/>
        <v>2137</v>
      </c>
    </row>
    <row r="240" spans="1:73">
      <c r="A240" s="1" t="s">
        <v>392</v>
      </c>
      <c r="U240" s="126">
        <v>852</v>
      </c>
      <c r="X240" s="126">
        <v>0</v>
      </c>
      <c r="Y240" s="126">
        <v>846.5</v>
      </c>
      <c r="Z240" s="126">
        <v>0</v>
      </c>
      <c r="AC240" s="126">
        <v>197.2</v>
      </c>
      <c r="AD240" s="126">
        <v>4</v>
      </c>
      <c r="AE240" s="126">
        <v>0</v>
      </c>
      <c r="AF240" s="126">
        <v>857</v>
      </c>
      <c r="AG240" s="126">
        <v>379</v>
      </c>
      <c r="AI240" s="126">
        <v>0</v>
      </c>
      <c r="AJ240" s="126">
        <v>121</v>
      </c>
      <c r="AK240" s="132">
        <v>1</v>
      </c>
      <c r="AL240" s="126">
        <v>17</v>
      </c>
      <c r="AO240" s="132">
        <v>0</v>
      </c>
      <c r="AP240" s="126">
        <v>0</v>
      </c>
      <c r="AQ240" s="134">
        <v>0</v>
      </c>
      <c r="AR240" s="132">
        <v>0</v>
      </c>
      <c r="AS240" s="134">
        <v>0</v>
      </c>
      <c r="AT240" s="132">
        <v>0</v>
      </c>
      <c r="AU240" s="132">
        <v>0</v>
      </c>
      <c r="AV240" s="83">
        <v>147913</v>
      </c>
      <c r="AW240" s="237">
        <v>43607</v>
      </c>
      <c r="AX240" s="233">
        <f t="shared" si="358"/>
        <v>21</v>
      </c>
      <c r="AY240" s="232" t="s">
        <v>3487</v>
      </c>
      <c r="AZ240" s="233" t="b">
        <f t="shared" si="343"/>
        <v>0</v>
      </c>
      <c r="BA240" s="129"/>
      <c r="BB240" s="129"/>
      <c r="BC240" s="129"/>
      <c r="BD240" s="129"/>
      <c r="BE240" s="82">
        <f t="shared" si="415"/>
        <v>852</v>
      </c>
      <c r="BF240" s="82">
        <f t="shared" si="416"/>
        <v>0</v>
      </c>
      <c r="BG240" s="82"/>
      <c r="BH240" s="82">
        <f t="shared" si="417"/>
        <v>197.2</v>
      </c>
      <c r="BI240" s="82">
        <f t="shared" si="418"/>
        <v>4</v>
      </c>
      <c r="BJ240" s="82">
        <f t="shared" si="419"/>
        <v>0</v>
      </c>
      <c r="BK240" s="82">
        <f t="shared" si="420"/>
        <v>857</v>
      </c>
      <c r="BL240" s="82">
        <f t="shared" si="421"/>
        <v>379</v>
      </c>
      <c r="BM240" s="82">
        <f t="shared" si="422"/>
        <v>0</v>
      </c>
      <c r="BN240" s="82">
        <f t="shared" si="423"/>
        <v>121</v>
      </c>
      <c r="BO240" s="82">
        <f t="shared" si="424"/>
        <v>1</v>
      </c>
      <c r="BP240" s="82">
        <f t="shared" si="425"/>
        <v>17</v>
      </c>
      <c r="BQ240" s="82"/>
      <c r="BR240" s="129">
        <f>SUMIF('Audit HD AR - School Level'!$B$6:B1390, "=" &amp; A240,'Audit HD AR - School Level'!$Q$6:Q1390)</f>
        <v>25.3</v>
      </c>
      <c r="BS240" s="224">
        <f t="shared" si="426"/>
        <v>0</v>
      </c>
      <c r="BT240" s="126">
        <f t="shared" si="427"/>
        <v>0</v>
      </c>
      <c r="BU240" s="82">
        <f t="shared" si="428"/>
        <v>852</v>
      </c>
    </row>
    <row r="241" spans="1:73">
      <c r="A241" s="1" t="s">
        <v>459</v>
      </c>
      <c r="U241" s="126">
        <v>438.2</v>
      </c>
      <c r="X241" s="126">
        <v>6.5</v>
      </c>
      <c r="Y241" s="126">
        <v>470</v>
      </c>
      <c r="Z241" s="126">
        <v>0</v>
      </c>
      <c r="AC241" s="126">
        <v>216.6</v>
      </c>
      <c r="AD241" s="126">
        <v>0</v>
      </c>
      <c r="AE241" s="126">
        <v>0</v>
      </c>
      <c r="AF241" s="126">
        <v>445</v>
      </c>
      <c r="AG241" s="126">
        <v>219</v>
      </c>
      <c r="AI241" s="126">
        <v>0</v>
      </c>
      <c r="AJ241" s="126">
        <v>39</v>
      </c>
      <c r="AK241" s="132">
        <v>285</v>
      </c>
      <c r="AL241" s="126">
        <v>21</v>
      </c>
      <c r="AO241" s="132">
        <v>5</v>
      </c>
      <c r="AP241" s="126">
        <v>0.7</v>
      </c>
      <c r="AQ241" s="134">
        <v>1</v>
      </c>
      <c r="AR241" s="132">
        <v>3</v>
      </c>
      <c r="AS241" s="134">
        <v>1</v>
      </c>
      <c r="AT241" s="132">
        <v>1</v>
      </c>
      <c r="AU241" s="132">
        <v>1</v>
      </c>
      <c r="AV241" s="83">
        <v>225503</v>
      </c>
      <c r="AW241" s="237">
        <v>43607</v>
      </c>
      <c r="AX241" s="233">
        <f t="shared" si="358"/>
        <v>21</v>
      </c>
      <c r="AY241" s="232" t="s">
        <v>3487</v>
      </c>
      <c r="AZ241" s="233" t="b">
        <f t="shared" si="343"/>
        <v>0</v>
      </c>
      <c r="BA241" s="129"/>
      <c r="BB241" s="129"/>
      <c r="BC241" s="129"/>
      <c r="BD241" s="129"/>
      <c r="BE241" s="82">
        <f t="shared" si="415"/>
        <v>429.5</v>
      </c>
      <c r="BF241" s="82">
        <f t="shared" si="416"/>
        <v>6.5</v>
      </c>
      <c r="BG241" s="82"/>
      <c r="BH241" s="82">
        <f t="shared" si="417"/>
        <v>216.6</v>
      </c>
      <c r="BI241" s="82">
        <f t="shared" si="418"/>
        <v>0</v>
      </c>
      <c r="BJ241" s="82">
        <f t="shared" si="419"/>
        <v>0</v>
      </c>
      <c r="BK241" s="82">
        <f t="shared" si="420"/>
        <v>445</v>
      </c>
      <c r="BL241" s="82">
        <f t="shared" si="421"/>
        <v>219</v>
      </c>
      <c r="BM241" s="82">
        <f t="shared" si="422"/>
        <v>0</v>
      </c>
      <c r="BN241" s="82">
        <f t="shared" si="423"/>
        <v>39</v>
      </c>
      <c r="BO241" s="82">
        <f t="shared" si="424"/>
        <v>285</v>
      </c>
      <c r="BP241" s="82">
        <f t="shared" si="425"/>
        <v>21</v>
      </c>
      <c r="BQ241" s="82"/>
      <c r="BR241" s="129">
        <f>SUMIF('Audit HD AR - School Level'!$B$6:B1391, "=" &amp; A241,'Audit HD AR - School Level'!$Q$6:Q1391)</f>
        <v>19.600000000000001</v>
      </c>
      <c r="BS241" s="224">
        <f t="shared" si="426"/>
        <v>0</v>
      </c>
      <c r="BT241" s="126">
        <f t="shared" si="427"/>
        <v>0</v>
      </c>
      <c r="BU241" s="82">
        <f t="shared" si="428"/>
        <v>429.5</v>
      </c>
    </row>
    <row r="242" spans="1:73">
      <c r="A242" s="1" t="s">
        <v>287</v>
      </c>
      <c r="U242" s="126">
        <v>511.5</v>
      </c>
      <c r="X242" s="126">
        <v>4</v>
      </c>
      <c r="Y242" s="126">
        <v>542.6</v>
      </c>
      <c r="Z242" s="126">
        <v>0</v>
      </c>
      <c r="AC242" s="126">
        <v>227.9</v>
      </c>
      <c r="AD242" s="126">
        <v>1</v>
      </c>
      <c r="AE242" s="126">
        <v>0.5</v>
      </c>
      <c r="AF242" s="126">
        <v>512</v>
      </c>
      <c r="AG242" s="126">
        <v>236</v>
      </c>
      <c r="AI242" s="126">
        <v>0</v>
      </c>
      <c r="AJ242" s="126">
        <v>357</v>
      </c>
      <c r="AK242" s="132">
        <v>18</v>
      </c>
      <c r="AL242" s="126">
        <v>60</v>
      </c>
      <c r="AO242" s="132">
        <v>7</v>
      </c>
      <c r="AP242" s="126">
        <v>0.9</v>
      </c>
      <c r="AQ242" s="134">
        <v>1</v>
      </c>
      <c r="AR242" s="132">
        <v>4</v>
      </c>
      <c r="AS242" s="134">
        <v>2.5</v>
      </c>
      <c r="AT242" s="132">
        <v>0</v>
      </c>
      <c r="AU242" s="132">
        <v>0</v>
      </c>
      <c r="AV242" s="83">
        <v>326507</v>
      </c>
      <c r="AW242" s="237">
        <v>43609</v>
      </c>
      <c r="AX242" s="233">
        <f t="shared" si="358"/>
        <v>22</v>
      </c>
      <c r="AY242" s="232" t="s">
        <v>3487</v>
      </c>
      <c r="AZ242" s="233" t="b">
        <f t="shared" si="343"/>
        <v>0</v>
      </c>
      <c r="BA242" s="129"/>
      <c r="BB242" s="129"/>
      <c r="BC242" s="129"/>
      <c r="BD242" s="129"/>
      <c r="BE242" s="82">
        <f t="shared" ref="BE242:BE245" si="429">SUM(U242+C242-AO242-AP242-AR242)</f>
        <v>499.6</v>
      </c>
      <c r="BF242" s="82">
        <f t="shared" ref="BF242:BF245" si="430">SUM(X242+F242)</f>
        <v>4</v>
      </c>
      <c r="BG242" s="82"/>
      <c r="BH242" s="82">
        <f t="shared" ref="BH242:BH245" si="431">SUM(AC242+H242)</f>
        <v>227.9</v>
      </c>
      <c r="BI242" s="82">
        <f t="shared" ref="BI242:BI245" si="432">SUM(AD242+I242)</f>
        <v>1</v>
      </c>
      <c r="BJ242" s="82">
        <f t="shared" ref="BJ242:BJ245" si="433">SUM(AE242+J242)</f>
        <v>0.5</v>
      </c>
      <c r="BK242" s="82">
        <f t="shared" ref="BK242:BK245" si="434">SUM(AF242+K242)</f>
        <v>512</v>
      </c>
      <c r="BL242" s="82">
        <f t="shared" ref="BL242:BL245" si="435">SUM(AG242+L242)</f>
        <v>236</v>
      </c>
      <c r="BM242" s="82">
        <f t="shared" ref="BM242:BM245" si="436">SUM(AI242+M242)</f>
        <v>0</v>
      </c>
      <c r="BN242" s="82">
        <f t="shared" ref="BN242:BN245" si="437">SUM(AJ242+Q242)</f>
        <v>357</v>
      </c>
      <c r="BO242" s="82">
        <f t="shared" ref="BO242:BO245" si="438">SUM(AK242+R242)</f>
        <v>18</v>
      </c>
      <c r="BP242" s="82">
        <f t="shared" ref="BP242:BP245" si="439">SUM(AL242+S242)</f>
        <v>60</v>
      </c>
      <c r="BQ242" s="82"/>
      <c r="BR242" s="129">
        <f>SUMIF('Audit HD AR - School Level'!$B$6:B1392, "=" &amp; A242,'Audit HD AR - School Level'!$Q$6:Q1392)</f>
        <v>18.5</v>
      </c>
      <c r="BS242" s="224">
        <f t="shared" ref="BS242:BS245" si="440">SUM(AS242-AQ242)*$BS$2</f>
        <v>1064</v>
      </c>
      <c r="BT242" s="126">
        <f t="shared" ref="BT242:BT245" si="441">IF(BS242&lt;0,BS242,0)</f>
        <v>0</v>
      </c>
      <c r="BU242" s="82">
        <f t="shared" ref="BU242:BU245" si="442">SUM(U242-AO242-AP242-AR242)</f>
        <v>499.6</v>
      </c>
    </row>
    <row r="243" spans="1:73">
      <c r="A243" s="1" t="s">
        <v>363</v>
      </c>
      <c r="U243" s="126">
        <v>483.5</v>
      </c>
      <c r="X243" s="126">
        <v>4</v>
      </c>
      <c r="Y243" s="126">
        <v>505.6</v>
      </c>
      <c r="Z243" s="126">
        <v>0</v>
      </c>
      <c r="AC243" s="126">
        <v>143.30000000000001</v>
      </c>
      <c r="AD243" s="126">
        <v>2</v>
      </c>
      <c r="AE243" s="126">
        <v>0</v>
      </c>
      <c r="AF243" s="126">
        <v>495</v>
      </c>
      <c r="AG243" s="126">
        <v>139</v>
      </c>
      <c r="AI243" s="126">
        <v>0</v>
      </c>
      <c r="AJ243" s="126">
        <v>95</v>
      </c>
      <c r="AK243" s="132">
        <v>41.5</v>
      </c>
      <c r="AL243" s="126">
        <v>42</v>
      </c>
      <c r="AO243" s="132">
        <v>0</v>
      </c>
      <c r="AP243" s="126">
        <v>0</v>
      </c>
      <c r="AQ243" s="134">
        <v>0</v>
      </c>
      <c r="AR243" s="132">
        <v>0</v>
      </c>
      <c r="AS243" s="134">
        <v>0</v>
      </c>
      <c r="AT243" s="132">
        <v>0</v>
      </c>
      <c r="AU243" s="132">
        <v>0</v>
      </c>
      <c r="AV243" s="83">
        <v>95421</v>
      </c>
      <c r="AW243" s="237">
        <v>43609</v>
      </c>
      <c r="AX243" s="233">
        <f t="shared" si="358"/>
        <v>22</v>
      </c>
      <c r="AY243" s="232" t="s">
        <v>3487</v>
      </c>
      <c r="AZ243" s="233" t="b">
        <f t="shared" si="343"/>
        <v>0</v>
      </c>
      <c r="BA243" s="129"/>
      <c r="BB243" s="129"/>
      <c r="BC243" s="129"/>
      <c r="BD243" s="129"/>
      <c r="BE243" s="82">
        <f t="shared" si="429"/>
        <v>483.5</v>
      </c>
      <c r="BF243" s="82">
        <f t="shared" si="430"/>
        <v>4</v>
      </c>
      <c r="BG243" s="82"/>
      <c r="BH243" s="82">
        <f t="shared" si="431"/>
        <v>143.30000000000001</v>
      </c>
      <c r="BI243" s="82">
        <f t="shared" si="432"/>
        <v>2</v>
      </c>
      <c r="BJ243" s="82">
        <f t="shared" si="433"/>
        <v>0</v>
      </c>
      <c r="BK243" s="82">
        <f t="shared" si="434"/>
        <v>495</v>
      </c>
      <c r="BL243" s="82">
        <f t="shared" si="435"/>
        <v>139</v>
      </c>
      <c r="BM243" s="82">
        <f t="shared" si="436"/>
        <v>0</v>
      </c>
      <c r="BN243" s="82">
        <f t="shared" si="437"/>
        <v>95</v>
      </c>
      <c r="BO243" s="82">
        <f t="shared" si="438"/>
        <v>41.5</v>
      </c>
      <c r="BP243" s="82">
        <f t="shared" si="439"/>
        <v>42</v>
      </c>
      <c r="BQ243" s="82"/>
      <c r="BR243" s="129">
        <f>SUMIF('Audit HD AR - School Level'!$B$6:B1393, "=" &amp; A243,'Audit HD AR - School Level'!$Q$6:Q1393)</f>
        <v>0</v>
      </c>
      <c r="BS243" s="224">
        <f t="shared" si="440"/>
        <v>0</v>
      </c>
      <c r="BT243" s="126">
        <f t="shared" si="441"/>
        <v>0</v>
      </c>
      <c r="BU243" s="82">
        <f t="shared" si="442"/>
        <v>483.5</v>
      </c>
    </row>
    <row r="244" spans="1:73">
      <c r="A244" s="1" t="s">
        <v>382</v>
      </c>
      <c r="U244" s="126">
        <v>652.4</v>
      </c>
      <c r="X244" s="126">
        <v>5</v>
      </c>
      <c r="Y244" s="126">
        <v>680.8</v>
      </c>
      <c r="Z244" s="126">
        <v>0</v>
      </c>
      <c r="AC244" s="126">
        <v>151.80000000000001</v>
      </c>
      <c r="AD244" s="126">
        <v>6</v>
      </c>
      <c r="AE244" s="126">
        <v>1</v>
      </c>
      <c r="AF244" s="126">
        <v>658</v>
      </c>
      <c r="AG244" s="126">
        <v>172</v>
      </c>
      <c r="AI244" s="126">
        <v>0</v>
      </c>
      <c r="AJ244" s="126">
        <v>183.5</v>
      </c>
      <c r="AK244" s="132">
        <v>111</v>
      </c>
      <c r="AL244" s="126">
        <v>18</v>
      </c>
      <c r="AO244" s="132">
        <v>4</v>
      </c>
      <c r="AP244" s="126">
        <v>0</v>
      </c>
      <c r="AQ244" s="134">
        <v>19.5</v>
      </c>
      <c r="AR244" s="132">
        <v>5</v>
      </c>
      <c r="AS244" s="134">
        <v>18.5</v>
      </c>
      <c r="AT244" s="132">
        <v>19</v>
      </c>
      <c r="AU244" s="132">
        <v>0</v>
      </c>
      <c r="AV244" s="83">
        <v>173431</v>
      </c>
      <c r="AW244" s="237">
        <v>43609</v>
      </c>
      <c r="AX244" s="233">
        <f t="shared" si="358"/>
        <v>22</v>
      </c>
      <c r="AY244" s="232" t="s">
        <v>3487</v>
      </c>
      <c r="AZ244" s="233" t="b">
        <f t="shared" si="343"/>
        <v>0</v>
      </c>
      <c r="BA244" s="129"/>
      <c r="BB244" s="129"/>
      <c r="BC244" s="129"/>
      <c r="BD244" s="129"/>
      <c r="BE244" s="82">
        <f t="shared" si="429"/>
        <v>643.4</v>
      </c>
      <c r="BF244" s="82">
        <f t="shared" si="430"/>
        <v>5</v>
      </c>
      <c r="BG244" s="82"/>
      <c r="BH244" s="82">
        <f t="shared" si="431"/>
        <v>151.80000000000001</v>
      </c>
      <c r="BI244" s="82">
        <f t="shared" si="432"/>
        <v>6</v>
      </c>
      <c r="BJ244" s="82">
        <f t="shared" si="433"/>
        <v>1</v>
      </c>
      <c r="BK244" s="82">
        <f t="shared" si="434"/>
        <v>658</v>
      </c>
      <c r="BL244" s="82">
        <f t="shared" si="435"/>
        <v>172</v>
      </c>
      <c r="BM244" s="82">
        <f t="shared" si="436"/>
        <v>0</v>
      </c>
      <c r="BN244" s="82">
        <f t="shared" si="437"/>
        <v>183.5</v>
      </c>
      <c r="BO244" s="82">
        <f t="shared" si="438"/>
        <v>111</v>
      </c>
      <c r="BP244" s="82">
        <f t="shared" si="439"/>
        <v>18</v>
      </c>
      <c r="BQ244" s="82"/>
      <c r="BR244" s="129">
        <f>SUMIF('Audit HD AR - School Level'!$B$6:B1394, "=" &amp; A244,'Audit HD AR - School Level'!$Q$6:Q1394)</f>
        <v>0</v>
      </c>
      <c r="BS244" s="224">
        <f t="shared" si="440"/>
        <v>-709</v>
      </c>
      <c r="BT244" s="126">
        <f t="shared" si="441"/>
        <v>-709</v>
      </c>
      <c r="BU244" s="82">
        <f t="shared" si="442"/>
        <v>643.4</v>
      </c>
    </row>
    <row r="245" spans="1:73">
      <c r="A245" s="1" t="s">
        <v>470</v>
      </c>
      <c r="U245" s="126">
        <v>808.4</v>
      </c>
      <c r="X245" s="126">
        <v>6.5</v>
      </c>
      <c r="Y245" s="126">
        <v>831.5</v>
      </c>
      <c r="Z245" s="126">
        <v>0</v>
      </c>
      <c r="AC245" s="126">
        <v>265.60000000000002</v>
      </c>
      <c r="AD245" s="126">
        <v>1</v>
      </c>
      <c r="AE245" s="126">
        <v>0</v>
      </c>
      <c r="AF245" s="126">
        <v>827</v>
      </c>
      <c r="AG245" s="126">
        <v>391</v>
      </c>
      <c r="AI245" s="126">
        <v>0</v>
      </c>
      <c r="AJ245" s="126">
        <v>24</v>
      </c>
      <c r="AK245" s="132">
        <v>150</v>
      </c>
      <c r="AL245" s="126">
        <v>4</v>
      </c>
      <c r="AO245" s="132">
        <v>0</v>
      </c>
      <c r="AP245" s="126">
        <v>0</v>
      </c>
      <c r="AQ245" s="134">
        <v>4.5</v>
      </c>
      <c r="AR245" s="132">
        <v>1</v>
      </c>
      <c r="AS245" s="134">
        <v>4</v>
      </c>
      <c r="AT245" s="132">
        <v>3</v>
      </c>
      <c r="AU245" s="132">
        <v>0</v>
      </c>
      <c r="AV245" s="83">
        <v>103330</v>
      </c>
      <c r="AW245" s="237">
        <v>43609</v>
      </c>
      <c r="AX245" s="233">
        <f t="shared" si="358"/>
        <v>22</v>
      </c>
      <c r="AY245" s="232" t="s">
        <v>3487</v>
      </c>
      <c r="AZ245" s="233" t="b">
        <f t="shared" si="343"/>
        <v>0</v>
      </c>
      <c r="BA245" s="129"/>
      <c r="BB245" s="129"/>
      <c r="BC245" s="129"/>
      <c r="BD245" s="129"/>
      <c r="BE245" s="82">
        <f t="shared" si="429"/>
        <v>807.4</v>
      </c>
      <c r="BF245" s="82">
        <f t="shared" si="430"/>
        <v>6.5</v>
      </c>
      <c r="BG245" s="82"/>
      <c r="BH245" s="82">
        <f t="shared" si="431"/>
        <v>265.60000000000002</v>
      </c>
      <c r="BI245" s="82">
        <f t="shared" si="432"/>
        <v>1</v>
      </c>
      <c r="BJ245" s="82">
        <f t="shared" si="433"/>
        <v>0</v>
      </c>
      <c r="BK245" s="82">
        <f t="shared" si="434"/>
        <v>827</v>
      </c>
      <c r="BL245" s="82">
        <f t="shared" si="435"/>
        <v>391</v>
      </c>
      <c r="BM245" s="82">
        <f t="shared" si="436"/>
        <v>0</v>
      </c>
      <c r="BN245" s="82">
        <f t="shared" si="437"/>
        <v>24</v>
      </c>
      <c r="BO245" s="82">
        <f t="shared" si="438"/>
        <v>150</v>
      </c>
      <c r="BP245" s="82">
        <f t="shared" si="439"/>
        <v>4</v>
      </c>
      <c r="BQ245" s="82"/>
      <c r="BR245" s="129">
        <f>SUMIF('Audit HD AR - School Level'!$B$6:B1395, "=" &amp; A245,'Audit HD AR - School Level'!$Q$6:Q1395)</f>
        <v>32.1</v>
      </c>
      <c r="BS245" s="224">
        <f t="shared" si="440"/>
        <v>-355</v>
      </c>
      <c r="BT245" s="126">
        <f t="shared" si="441"/>
        <v>-355</v>
      </c>
      <c r="BU245" s="82">
        <f t="shared" si="442"/>
        <v>807.4</v>
      </c>
    </row>
    <row r="246" spans="1:73">
      <c r="A246" s="1" t="s">
        <v>402</v>
      </c>
      <c r="U246" s="126">
        <v>2384.6</v>
      </c>
      <c r="X246" s="126">
        <v>12</v>
      </c>
      <c r="Y246" s="126">
        <v>2372.6</v>
      </c>
      <c r="Z246" s="126">
        <v>0</v>
      </c>
      <c r="AC246" s="126">
        <v>683.4</v>
      </c>
      <c r="AD246" s="126">
        <v>57</v>
      </c>
      <c r="AE246" s="126">
        <v>102.6</v>
      </c>
      <c r="AF246" s="126">
        <v>2402</v>
      </c>
      <c r="AG246" s="126">
        <v>738</v>
      </c>
      <c r="AI246" s="126">
        <v>0</v>
      </c>
      <c r="AJ246" s="126">
        <v>155</v>
      </c>
      <c r="AK246" s="132">
        <v>9</v>
      </c>
      <c r="AL246" s="126">
        <v>5</v>
      </c>
      <c r="AO246" s="132">
        <v>5</v>
      </c>
      <c r="AP246" s="126">
        <v>0</v>
      </c>
      <c r="AQ246" s="134">
        <v>0</v>
      </c>
      <c r="AR246" s="132">
        <v>25</v>
      </c>
      <c r="AS246" s="134">
        <v>0</v>
      </c>
      <c r="AT246" s="132">
        <v>31</v>
      </c>
      <c r="AU246" s="132">
        <v>1</v>
      </c>
      <c r="AV246" s="83">
        <v>192242</v>
      </c>
      <c r="AW246" s="237">
        <v>43609</v>
      </c>
      <c r="AX246" s="233">
        <f t="shared" si="358"/>
        <v>22</v>
      </c>
      <c r="AY246" s="232" t="s">
        <v>3487</v>
      </c>
      <c r="AZ246" s="233" t="b">
        <f t="shared" si="343"/>
        <v>0</v>
      </c>
      <c r="BA246" s="129"/>
      <c r="BB246" s="129"/>
      <c r="BC246" s="129"/>
      <c r="BD246" s="129"/>
      <c r="BE246" s="82">
        <f t="shared" ref="BE246" si="443">SUM(U246+C246-AO246-AP246-AR246)</f>
        <v>2354.6</v>
      </c>
      <c r="BF246" s="82">
        <f t="shared" ref="BF246" si="444">SUM(X246+F246)</f>
        <v>12</v>
      </c>
      <c r="BG246" s="82"/>
      <c r="BH246" s="82">
        <f t="shared" ref="BH246" si="445">SUM(AC246+H246)</f>
        <v>683.4</v>
      </c>
      <c r="BI246" s="82">
        <f t="shared" ref="BI246" si="446">SUM(AD246+I246)</f>
        <v>57</v>
      </c>
      <c r="BJ246" s="82">
        <f t="shared" ref="BJ246" si="447">SUM(AE246+J246)</f>
        <v>102.6</v>
      </c>
      <c r="BK246" s="82">
        <f t="shared" ref="BK246" si="448">SUM(AF246+K246)</f>
        <v>2402</v>
      </c>
      <c r="BL246" s="82">
        <f t="shared" ref="BL246" si="449">SUM(AG246+L246)</f>
        <v>738</v>
      </c>
      <c r="BM246" s="82">
        <f t="shared" ref="BM246" si="450">SUM(AI246+M246)</f>
        <v>0</v>
      </c>
      <c r="BN246" s="82">
        <f t="shared" ref="BN246" si="451">SUM(AJ246+Q246)</f>
        <v>155</v>
      </c>
      <c r="BO246" s="82">
        <f t="shared" ref="BO246" si="452">SUM(AK246+R246)</f>
        <v>9</v>
      </c>
      <c r="BP246" s="82">
        <f t="shared" ref="BP246" si="453">SUM(AL246+S246)</f>
        <v>5</v>
      </c>
      <c r="BQ246" s="82"/>
      <c r="BR246" s="129">
        <f>SUMIF('Audit HD AR - School Level'!$B$6:B1396, "=" &amp; A246,'Audit HD AR - School Level'!$Q$6:Q1396)</f>
        <v>15.3</v>
      </c>
      <c r="BS246" s="224">
        <f t="shared" ref="BS246" si="454">SUM(AS246-AQ246)*$BS$2</f>
        <v>0</v>
      </c>
      <c r="BT246" s="126">
        <f t="shared" ref="BT246" si="455">IF(BS246&lt;0,BS246,0)</f>
        <v>0</v>
      </c>
      <c r="BU246" s="82">
        <f t="shared" ref="BU246" si="456">SUM(U246-AO246-AP246-AR246)</f>
        <v>2354.6</v>
      </c>
    </row>
    <row r="247" spans="1:73">
      <c r="A247" s="1" t="s">
        <v>308</v>
      </c>
      <c r="D247" s="132">
        <v>2</v>
      </c>
      <c r="K247" s="126">
        <v>2</v>
      </c>
      <c r="L247" s="132"/>
      <c r="Q247" s="132"/>
      <c r="R247" s="132"/>
      <c r="U247" s="126">
        <v>124</v>
      </c>
      <c r="X247" s="126">
        <v>0</v>
      </c>
      <c r="Y247" s="126">
        <v>142.5</v>
      </c>
      <c r="Z247" s="126">
        <v>6</v>
      </c>
      <c r="AC247" s="126">
        <v>28.7</v>
      </c>
      <c r="AD247" s="126">
        <v>0</v>
      </c>
      <c r="AE247" s="126">
        <v>0</v>
      </c>
      <c r="AF247" s="126">
        <v>115</v>
      </c>
      <c r="AG247" s="126">
        <v>37</v>
      </c>
      <c r="AI247" s="126">
        <v>0</v>
      </c>
      <c r="AJ247" s="126">
        <v>25</v>
      </c>
      <c r="AK247" s="132">
        <v>2</v>
      </c>
      <c r="AL247" s="126">
        <v>37</v>
      </c>
      <c r="AO247" s="132">
        <v>11</v>
      </c>
      <c r="AP247" s="126">
        <v>0</v>
      </c>
      <c r="AQ247" s="134">
        <v>0</v>
      </c>
      <c r="AR247" s="132">
        <v>0</v>
      </c>
      <c r="AS247" s="134">
        <v>0</v>
      </c>
      <c r="AT247" s="132">
        <v>0</v>
      </c>
      <c r="AU247" s="132">
        <v>0</v>
      </c>
      <c r="AV247" s="83">
        <v>55435</v>
      </c>
      <c r="AW247" s="237">
        <v>43613</v>
      </c>
      <c r="AX247" s="233">
        <f t="shared" si="358"/>
        <v>23</v>
      </c>
      <c r="AY247" s="232" t="s">
        <v>3487</v>
      </c>
      <c r="AZ247" s="233" t="b">
        <f t="shared" si="343"/>
        <v>0</v>
      </c>
      <c r="BA247" s="129"/>
      <c r="BB247" s="129"/>
      <c r="BC247" s="129"/>
      <c r="BD247" s="129"/>
      <c r="BE247" s="82">
        <f t="shared" ref="BE247" si="457">SUM(U247+C247-AO247-AP247-AR247)</f>
        <v>113</v>
      </c>
      <c r="BF247" s="82">
        <f t="shared" ref="BF247" si="458">SUM(X247+F247)</f>
        <v>0</v>
      </c>
      <c r="BG247" s="82"/>
      <c r="BH247" s="82">
        <f t="shared" ref="BH247" si="459">SUM(AC247+H247)</f>
        <v>28.7</v>
      </c>
      <c r="BI247" s="82">
        <f t="shared" ref="BI247" si="460">SUM(AD247+I247)</f>
        <v>0</v>
      </c>
      <c r="BJ247" s="82">
        <f t="shared" ref="BJ247" si="461">SUM(AE247+J247)</f>
        <v>0</v>
      </c>
      <c r="BK247" s="82">
        <f t="shared" ref="BK247" si="462">SUM(AF247+K247)</f>
        <v>117</v>
      </c>
      <c r="BL247" s="82">
        <f t="shared" ref="BL247" si="463">SUM(AG247+L247)</f>
        <v>37</v>
      </c>
      <c r="BM247" s="82">
        <f t="shared" ref="BM247" si="464">SUM(AI247+M247)</f>
        <v>0</v>
      </c>
      <c r="BN247" s="82">
        <f t="shared" ref="BN247" si="465">SUM(AJ247+Q247)</f>
        <v>25</v>
      </c>
      <c r="BO247" s="82">
        <f t="shared" ref="BO247" si="466">SUM(AK247+R247)</f>
        <v>2</v>
      </c>
      <c r="BP247" s="82">
        <f t="shared" ref="BP247" si="467">SUM(AL247+S247)</f>
        <v>37</v>
      </c>
      <c r="BQ247" s="82"/>
      <c r="BR247" s="129">
        <f>SUMIF('Audit HD AR - School Level'!$B$6:B1400, "=" &amp; A247,'Audit HD AR - School Level'!$Q$6:Q1400)</f>
        <v>0.6</v>
      </c>
      <c r="BS247" s="224">
        <f t="shared" ref="BS247" si="468">SUM(AS247-AQ247)*$BS$2</f>
        <v>0</v>
      </c>
      <c r="BT247" s="126">
        <f t="shared" ref="BT247" si="469">IF(BS247&lt;0,BS247,0)</f>
        <v>0</v>
      </c>
      <c r="BU247" s="82">
        <f t="shared" ref="BU247" si="470">SUM(U247-AO247-AP247-AR247)</f>
        <v>113</v>
      </c>
    </row>
    <row r="248" spans="1:73">
      <c r="A248" s="1" t="s">
        <v>460</v>
      </c>
      <c r="L248" s="132"/>
      <c r="Q248" s="132"/>
      <c r="U248" s="126">
        <v>3087.3</v>
      </c>
      <c r="X248" s="126">
        <v>20</v>
      </c>
      <c r="Y248" s="126">
        <v>2989.6</v>
      </c>
      <c r="Z248" s="126">
        <v>0</v>
      </c>
      <c r="AC248" s="126">
        <v>704.8</v>
      </c>
      <c r="AD248" s="126">
        <v>189</v>
      </c>
      <c r="AE248" s="126">
        <v>560.29999999999995</v>
      </c>
      <c r="AF248" s="126">
        <v>3114</v>
      </c>
      <c r="AG248" s="126">
        <v>966</v>
      </c>
      <c r="AI248" s="126">
        <v>0</v>
      </c>
      <c r="AJ248" s="126">
        <v>677</v>
      </c>
      <c r="AK248" s="132">
        <v>16</v>
      </c>
      <c r="AL248" s="126">
        <v>2</v>
      </c>
      <c r="AO248" s="132">
        <v>31</v>
      </c>
      <c r="AP248" s="126">
        <v>0</v>
      </c>
      <c r="AQ248" s="134">
        <v>26</v>
      </c>
      <c r="AR248" s="132">
        <v>27</v>
      </c>
      <c r="AS248" s="134">
        <v>24.75</v>
      </c>
      <c r="AT248" s="132">
        <v>36</v>
      </c>
      <c r="AU248" s="132">
        <v>4</v>
      </c>
      <c r="AV248" s="83">
        <v>593310</v>
      </c>
      <c r="AW248" s="237">
        <v>43613</v>
      </c>
      <c r="AX248" s="233">
        <f t="shared" si="358"/>
        <v>23</v>
      </c>
      <c r="AY248" s="232" t="s">
        <v>3487</v>
      </c>
      <c r="AZ248" s="233" t="b">
        <f t="shared" si="343"/>
        <v>0</v>
      </c>
      <c r="BA248" s="129"/>
      <c r="BB248" s="129"/>
      <c r="BC248" s="129"/>
      <c r="BD248" s="129"/>
      <c r="BE248" s="82">
        <f t="shared" ref="BE248" si="471">SUM(U248+C248-AO248-AP248-AR248)</f>
        <v>3029.3</v>
      </c>
      <c r="BF248" s="82">
        <f t="shared" ref="BF248" si="472">SUM(X248+F248)</f>
        <v>20</v>
      </c>
      <c r="BG248" s="82"/>
      <c r="BH248" s="82">
        <f t="shared" ref="BH248" si="473">SUM(AC248+H248)</f>
        <v>704.8</v>
      </c>
      <c r="BI248" s="82">
        <f t="shared" ref="BI248" si="474">SUM(AD248+I248)</f>
        <v>189</v>
      </c>
      <c r="BJ248" s="82">
        <f t="shared" ref="BJ248" si="475">SUM(AE248+J248)</f>
        <v>560.29999999999995</v>
      </c>
      <c r="BK248" s="82">
        <f t="shared" ref="BK248" si="476">SUM(AF248+K248)</f>
        <v>3114</v>
      </c>
      <c r="BL248" s="82">
        <f t="shared" ref="BL248" si="477">SUM(AG248+L248)</f>
        <v>966</v>
      </c>
      <c r="BM248" s="82">
        <f t="shared" ref="BM248" si="478">SUM(AI248+M248)</f>
        <v>0</v>
      </c>
      <c r="BN248" s="82">
        <f t="shared" ref="BN248" si="479">SUM(AJ248+Q248)</f>
        <v>677</v>
      </c>
      <c r="BO248" s="82">
        <f t="shared" ref="BO248" si="480">SUM(AK248+R248)</f>
        <v>16</v>
      </c>
      <c r="BP248" s="82">
        <f t="shared" ref="BP248" si="481">SUM(AL248+S248)</f>
        <v>2</v>
      </c>
      <c r="BQ248" s="82"/>
      <c r="BR248" s="129">
        <f>SUMIF('Audit HD AR - School Level'!$B$6:B1403, "=" &amp; A248,'Audit HD AR - School Level'!$Q$6:Q1403)</f>
        <v>14.1</v>
      </c>
      <c r="BS248" s="224">
        <f t="shared" ref="BS248" si="482">SUM(AS248-AQ248)*$BS$2</f>
        <v>-886</v>
      </c>
      <c r="BT248" s="126">
        <f t="shared" ref="BT248" si="483">IF(BS248&lt;0,BS248,0)</f>
        <v>-886</v>
      </c>
      <c r="BU248" s="82">
        <f t="shared" ref="BU248" si="484">SUM(U248-AO248-AP248-AR248)</f>
        <v>3029.3</v>
      </c>
    </row>
    <row r="249" spans="1:73">
      <c r="A249" s="1" t="s">
        <v>439</v>
      </c>
      <c r="D249" s="132">
        <v>6</v>
      </c>
      <c r="K249" s="126">
        <v>6</v>
      </c>
      <c r="L249" s="132">
        <v>3</v>
      </c>
      <c r="Q249" s="132">
        <v>3</v>
      </c>
      <c r="U249" s="126">
        <v>315</v>
      </c>
      <c r="X249" s="126">
        <v>0</v>
      </c>
      <c r="Y249" s="126">
        <v>316</v>
      </c>
      <c r="Z249" s="126">
        <v>0</v>
      </c>
      <c r="AC249" s="126">
        <v>86.2</v>
      </c>
      <c r="AD249" s="126">
        <v>0</v>
      </c>
      <c r="AE249" s="126">
        <v>0</v>
      </c>
      <c r="AF249" s="126">
        <v>322</v>
      </c>
      <c r="AG249" s="126">
        <v>103</v>
      </c>
      <c r="AI249" s="126">
        <v>24.8</v>
      </c>
      <c r="AJ249" s="126">
        <v>110</v>
      </c>
      <c r="AK249" s="132">
        <v>35</v>
      </c>
      <c r="AL249" s="126">
        <v>7</v>
      </c>
      <c r="AO249" s="132">
        <v>1</v>
      </c>
      <c r="AP249" s="126">
        <v>0</v>
      </c>
      <c r="AQ249" s="134">
        <v>0</v>
      </c>
      <c r="AR249" s="132">
        <v>0</v>
      </c>
      <c r="AS249" s="134">
        <v>0</v>
      </c>
      <c r="AT249" s="132">
        <v>0</v>
      </c>
      <c r="AU249" s="132">
        <v>0</v>
      </c>
      <c r="AV249" s="83">
        <v>125645</v>
      </c>
      <c r="AW249" s="237">
        <v>43613</v>
      </c>
      <c r="AX249" s="233">
        <f t="shared" si="358"/>
        <v>23</v>
      </c>
      <c r="AY249" s="232" t="s">
        <v>3487</v>
      </c>
      <c r="AZ249" s="233" t="b">
        <f t="shared" si="343"/>
        <v>0</v>
      </c>
      <c r="BA249" s="129"/>
      <c r="BB249" s="129"/>
      <c r="BC249" s="129"/>
      <c r="BD249" s="129"/>
      <c r="BE249" s="82">
        <f t="shared" ref="BE249" si="485">SUM(U249+C249-AO249-AP249-AR249)</f>
        <v>314</v>
      </c>
      <c r="BF249" s="82">
        <f t="shared" ref="BF249" si="486">SUM(X249+F249)</f>
        <v>0</v>
      </c>
      <c r="BG249" s="82"/>
      <c r="BH249" s="82">
        <f t="shared" ref="BH249" si="487">SUM(AC249+H249)</f>
        <v>86.2</v>
      </c>
      <c r="BI249" s="82">
        <f t="shared" ref="BI249" si="488">SUM(AD249+I249)</f>
        <v>0</v>
      </c>
      <c r="BJ249" s="82">
        <f t="shared" ref="BJ249" si="489">SUM(AE249+J249)</f>
        <v>0</v>
      </c>
      <c r="BK249" s="82">
        <f t="shared" ref="BK249" si="490">SUM(AF249+K249)</f>
        <v>328</v>
      </c>
      <c r="BL249" s="82">
        <f t="shared" ref="BL249" si="491">SUM(AG249+L249)</f>
        <v>106</v>
      </c>
      <c r="BM249" s="82">
        <f t="shared" ref="BM249" si="492">SUM(AI249+M249)</f>
        <v>24.8</v>
      </c>
      <c r="BN249" s="82">
        <f t="shared" ref="BN249" si="493">SUM(AJ249+Q249)</f>
        <v>113</v>
      </c>
      <c r="BO249" s="82">
        <f t="shared" ref="BO249" si="494">SUM(AK249+R249)</f>
        <v>35</v>
      </c>
      <c r="BP249" s="82">
        <f t="shared" ref="BP249" si="495">SUM(AL249+S249)</f>
        <v>7</v>
      </c>
      <c r="BQ249" s="82"/>
      <c r="BR249" s="129">
        <f>SUMIF('Audit HD AR - School Level'!$B$6:B1404, "=" &amp; A249,'Audit HD AR - School Level'!$Q$6:Q1404)</f>
        <v>0.4</v>
      </c>
      <c r="BS249" s="224">
        <f t="shared" ref="BS249" si="496">SUM(AS249-AQ249)*$BS$2</f>
        <v>0</v>
      </c>
      <c r="BT249" s="126">
        <f t="shared" ref="BT249" si="497">IF(BS249&lt;0,BS249,0)</f>
        <v>0</v>
      </c>
      <c r="BU249" s="82">
        <f t="shared" ref="BU249" si="498">SUM(U249-AO249-AP249-AR249)</f>
        <v>314</v>
      </c>
    </row>
    <row r="250" spans="1:73">
      <c r="A250" s="1" t="s">
        <v>446</v>
      </c>
      <c r="U250" s="126">
        <v>2781.6</v>
      </c>
      <c r="X250" s="126">
        <v>35</v>
      </c>
      <c r="Y250" s="126">
        <v>2834</v>
      </c>
      <c r="Z250" s="126">
        <v>0</v>
      </c>
      <c r="AC250" s="126">
        <v>765.2</v>
      </c>
      <c r="AD250" s="126">
        <v>471</v>
      </c>
      <c r="AE250" s="126">
        <v>1526.2</v>
      </c>
      <c r="AF250" s="126">
        <v>2898</v>
      </c>
      <c r="AG250" s="126">
        <v>1527</v>
      </c>
      <c r="AI250" s="126">
        <v>0</v>
      </c>
      <c r="AJ250" s="126">
        <v>737</v>
      </c>
      <c r="AK250" s="132">
        <v>6</v>
      </c>
      <c r="AL250" s="126">
        <v>10</v>
      </c>
      <c r="AO250" s="132">
        <v>0</v>
      </c>
      <c r="AP250" s="126">
        <v>0</v>
      </c>
      <c r="AQ250" s="134">
        <v>0</v>
      </c>
      <c r="AR250" s="132">
        <v>0</v>
      </c>
      <c r="AS250" s="134">
        <v>0</v>
      </c>
      <c r="AT250" s="132">
        <v>0</v>
      </c>
      <c r="AU250" s="132">
        <v>0</v>
      </c>
      <c r="AV250" s="83">
        <v>802143</v>
      </c>
      <c r="AW250" s="237">
        <v>43613</v>
      </c>
      <c r="AX250" s="233">
        <f t="shared" si="358"/>
        <v>23</v>
      </c>
      <c r="AY250" s="232" t="s">
        <v>3487</v>
      </c>
      <c r="AZ250" s="233" t="b">
        <f t="shared" si="343"/>
        <v>0</v>
      </c>
      <c r="BA250" s="129"/>
      <c r="BB250" s="129"/>
      <c r="BC250" s="129"/>
      <c r="BD250" s="129"/>
      <c r="BE250" s="82">
        <f t="shared" ref="BE250" si="499">SUM(U250+C250-AO250-AP250-AR250)</f>
        <v>2781.6</v>
      </c>
      <c r="BF250" s="82">
        <f t="shared" ref="BF250" si="500">SUM(X250+F250)</f>
        <v>35</v>
      </c>
      <c r="BG250" s="82"/>
      <c r="BH250" s="82">
        <f t="shared" ref="BH250" si="501">SUM(AC250+H250)</f>
        <v>765.2</v>
      </c>
      <c r="BI250" s="82">
        <f t="shared" ref="BI250" si="502">SUM(AD250+I250)</f>
        <v>471</v>
      </c>
      <c r="BJ250" s="82">
        <f t="shared" ref="BJ250" si="503">SUM(AE250+J250)</f>
        <v>1526.2</v>
      </c>
      <c r="BK250" s="82">
        <f t="shared" ref="BK250" si="504">SUM(AF250+K250)</f>
        <v>2898</v>
      </c>
      <c r="BL250" s="82">
        <f t="shared" ref="BL250" si="505">SUM(AG250+L250)</f>
        <v>1527</v>
      </c>
      <c r="BM250" s="82">
        <f t="shared" ref="BM250" si="506">SUM(AI250+M250)</f>
        <v>0</v>
      </c>
      <c r="BN250" s="82">
        <f t="shared" ref="BN250" si="507">SUM(AJ250+Q250)</f>
        <v>737</v>
      </c>
      <c r="BO250" s="82">
        <f t="shared" ref="BO250" si="508">SUM(AK250+R250)</f>
        <v>6</v>
      </c>
      <c r="BP250" s="82">
        <f t="shared" ref="BP250" si="509">SUM(AL250+S250)</f>
        <v>10</v>
      </c>
      <c r="BQ250" s="82"/>
      <c r="BR250" s="129">
        <f>SUMIF('Audit HD AR - School Level'!$B$6:B1405, "=" &amp; A250,'Audit HD AR - School Level'!$Q$6:Q1405)</f>
        <v>141.6</v>
      </c>
      <c r="BS250" s="224">
        <f t="shared" ref="BS250" si="510">SUM(AS250-AQ250)*$BS$2</f>
        <v>0</v>
      </c>
      <c r="BT250" s="126">
        <f t="shared" ref="BT250" si="511">IF(BS250&lt;0,BS250,0)</f>
        <v>0</v>
      </c>
      <c r="BU250" s="82">
        <f t="shared" ref="BU250" si="512">SUM(U250-AO250-AP250-AR250)</f>
        <v>2781.6</v>
      </c>
    </row>
    <row r="251" spans="1:73">
      <c r="A251" s="1" t="s">
        <v>216</v>
      </c>
      <c r="U251" s="126">
        <v>492.9</v>
      </c>
      <c r="X251" s="126">
        <v>4.5</v>
      </c>
      <c r="Y251" s="126">
        <v>509.2</v>
      </c>
      <c r="Z251" s="126">
        <v>0</v>
      </c>
      <c r="AC251" s="126">
        <v>89.8</v>
      </c>
      <c r="AD251" s="126">
        <v>25</v>
      </c>
      <c r="AE251" s="126">
        <v>35.1</v>
      </c>
      <c r="AF251" s="126">
        <v>506</v>
      </c>
      <c r="AG251" s="126">
        <v>130</v>
      </c>
      <c r="AI251" s="126">
        <v>0</v>
      </c>
      <c r="AJ251" s="126">
        <v>349</v>
      </c>
      <c r="AK251" s="132">
        <v>2</v>
      </c>
      <c r="AL251" s="126">
        <v>2</v>
      </c>
      <c r="AO251" s="132">
        <v>0</v>
      </c>
      <c r="AP251" s="126">
        <v>0</v>
      </c>
      <c r="AQ251" s="134">
        <v>0</v>
      </c>
      <c r="AR251" s="132">
        <v>0</v>
      </c>
      <c r="AS251" s="134">
        <v>0</v>
      </c>
      <c r="AT251" s="132">
        <v>0</v>
      </c>
      <c r="AU251" s="132">
        <v>0</v>
      </c>
      <c r="AV251" s="83">
        <v>220901</v>
      </c>
      <c r="AW251" s="237">
        <v>43614</v>
      </c>
      <c r="AX251" s="233">
        <f t="shared" si="358"/>
        <v>24</v>
      </c>
      <c r="AY251" s="232" t="s">
        <v>3487</v>
      </c>
      <c r="AZ251" s="233" t="b">
        <f t="shared" si="343"/>
        <v>0</v>
      </c>
      <c r="BA251" s="129"/>
      <c r="BB251" s="129"/>
      <c r="BC251" s="129"/>
      <c r="BD251" s="129"/>
      <c r="BE251" s="82">
        <f t="shared" ref="BE251:BE284" si="513">SUM(U251+C251-AO251-AP251-AR251)</f>
        <v>492.9</v>
      </c>
      <c r="BF251" s="82">
        <f t="shared" ref="BF251:BF287" si="514">SUM(X251+F251)</f>
        <v>4.5</v>
      </c>
      <c r="BG251" s="82"/>
      <c r="BH251" s="82">
        <f t="shared" ref="BH251:BH287" si="515">SUM(AC251+H251)</f>
        <v>89.8</v>
      </c>
      <c r="BI251" s="82">
        <f t="shared" ref="BI251:BI287" si="516">SUM(AD251+I251)</f>
        <v>25</v>
      </c>
      <c r="BJ251" s="82">
        <f t="shared" ref="BJ251:BJ284" si="517">SUM(AE251+J251)</f>
        <v>35.1</v>
      </c>
      <c r="BK251" s="82">
        <f t="shared" ref="BK251:BK284" si="518">SUM(AF251+K251)</f>
        <v>506</v>
      </c>
      <c r="BL251" s="82">
        <f t="shared" ref="BL251:BL284" si="519">SUM(AG251+L251)</f>
        <v>130</v>
      </c>
      <c r="BM251" s="82">
        <f t="shared" ref="BM251:BM284" si="520">SUM(AI251+M251)</f>
        <v>0</v>
      </c>
      <c r="BN251" s="82">
        <f t="shared" ref="BN251:BN284" si="521">SUM(AJ251+Q251)</f>
        <v>349</v>
      </c>
      <c r="BO251" s="82">
        <f t="shared" ref="BO251:BO284" si="522">SUM(AK251+R251)</f>
        <v>2</v>
      </c>
      <c r="BP251" s="82">
        <f t="shared" ref="BP251:BP284" si="523">SUM(AL251+S251)</f>
        <v>2</v>
      </c>
      <c r="BQ251" s="82"/>
      <c r="BR251" s="129">
        <f>SUMIF('Audit HD AR - School Level'!$B$6:B1406, "=" &amp; A251,'Audit HD AR - School Level'!$Q$6:Q1406)</f>
        <v>0</v>
      </c>
      <c r="BS251" s="224">
        <f t="shared" ref="BS251:BS284" si="524">SUM(AS251-AQ251)*$BS$2</f>
        <v>0</v>
      </c>
      <c r="BT251" s="126">
        <f t="shared" ref="BT251:BT284" si="525">IF(BS251&lt;0,BS251,0)</f>
        <v>0</v>
      </c>
      <c r="BU251" s="82">
        <f t="shared" ref="BU251:BU284" si="526">SUM(U251-AO251-AP251-AR251)</f>
        <v>492.9</v>
      </c>
    </row>
    <row r="252" spans="1:73">
      <c r="A252" s="1" t="s">
        <v>235</v>
      </c>
      <c r="U252" s="126">
        <v>22357.5</v>
      </c>
      <c r="X252" s="126">
        <v>0</v>
      </c>
      <c r="Y252" s="126">
        <v>22315.9</v>
      </c>
      <c r="Z252" s="126">
        <v>0</v>
      </c>
      <c r="AC252" s="126">
        <v>5231</v>
      </c>
      <c r="AD252" s="126">
        <v>510</v>
      </c>
      <c r="AE252" s="126">
        <v>1018.8</v>
      </c>
      <c r="AF252" s="126">
        <v>22559</v>
      </c>
      <c r="AG252" s="126">
        <v>1070</v>
      </c>
      <c r="AI252" s="126">
        <v>636.70000000000005</v>
      </c>
      <c r="AJ252" s="126">
        <v>4595</v>
      </c>
      <c r="AK252" s="132">
        <v>115</v>
      </c>
      <c r="AL252" s="126">
        <v>24</v>
      </c>
      <c r="AO252" s="132">
        <v>0</v>
      </c>
      <c r="AP252" s="126">
        <v>28.3</v>
      </c>
      <c r="AQ252" s="134">
        <v>0</v>
      </c>
      <c r="AR252" s="132">
        <v>0</v>
      </c>
      <c r="AS252" s="134">
        <v>0</v>
      </c>
      <c r="AT252" s="132">
        <v>0</v>
      </c>
      <c r="AU252" s="132">
        <v>0</v>
      </c>
      <c r="AV252" s="83">
        <v>2125152</v>
      </c>
      <c r="AW252" s="237">
        <v>43616</v>
      </c>
      <c r="AX252" s="233">
        <f t="shared" si="358"/>
        <v>25</v>
      </c>
      <c r="AY252" s="232" t="s">
        <v>3487</v>
      </c>
      <c r="AZ252" s="233" t="b">
        <f t="shared" si="343"/>
        <v>0</v>
      </c>
      <c r="BA252" s="129"/>
      <c r="BB252" s="129"/>
      <c r="BC252" s="129"/>
      <c r="BD252" s="129"/>
      <c r="BE252" s="82">
        <f t="shared" si="513"/>
        <v>22329.200000000001</v>
      </c>
      <c r="BF252" s="82">
        <f t="shared" si="514"/>
        <v>0</v>
      </c>
      <c r="BG252" s="82"/>
      <c r="BH252" s="82">
        <f t="shared" si="515"/>
        <v>5231</v>
      </c>
      <c r="BI252" s="82">
        <f t="shared" si="516"/>
        <v>510</v>
      </c>
      <c r="BJ252" s="82">
        <f t="shared" si="517"/>
        <v>1018.8</v>
      </c>
      <c r="BK252" s="82">
        <f t="shared" si="518"/>
        <v>22559</v>
      </c>
      <c r="BL252" s="82">
        <f t="shared" si="519"/>
        <v>1070</v>
      </c>
      <c r="BM252" s="82">
        <f t="shared" si="520"/>
        <v>636.70000000000005</v>
      </c>
      <c r="BN252" s="82">
        <f t="shared" si="521"/>
        <v>4595</v>
      </c>
      <c r="BO252" s="82">
        <f t="shared" si="522"/>
        <v>115</v>
      </c>
      <c r="BP252" s="82">
        <f t="shared" si="523"/>
        <v>24</v>
      </c>
      <c r="BQ252" s="82"/>
      <c r="BR252" s="129">
        <f>SUMIF('Audit HD AR - School Level'!$B$6:B1407, "=" &amp; A252,'Audit HD AR - School Level'!$Q$6:Q1407)</f>
        <v>0</v>
      </c>
      <c r="BS252" s="224">
        <f t="shared" si="524"/>
        <v>0</v>
      </c>
      <c r="BT252" s="126">
        <f t="shared" si="525"/>
        <v>0</v>
      </c>
      <c r="BU252" s="82">
        <f t="shared" si="526"/>
        <v>22329.200000000001</v>
      </c>
    </row>
    <row r="253" spans="1:73">
      <c r="A253" s="1" t="s">
        <v>254</v>
      </c>
      <c r="U253" s="126">
        <v>2986.7</v>
      </c>
      <c r="X253" s="126">
        <v>40</v>
      </c>
      <c r="Y253" s="126">
        <v>3015.8</v>
      </c>
      <c r="Z253" s="126">
        <v>0</v>
      </c>
      <c r="AC253" s="126">
        <v>333.3</v>
      </c>
      <c r="AD253" s="126">
        <v>248</v>
      </c>
      <c r="AE253" s="126">
        <v>977</v>
      </c>
      <c r="AF253" s="126">
        <v>3048</v>
      </c>
      <c r="AG253" s="126">
        <v>1626</v>
      </c>
      <c r="AI253" s="126">
        <v>0</v>
      </c>
      <c r="AJ253" s="126">
        <v>434.1</v>
      </c>
      <c r="AK253" s="132">
        <v>949</v>
      </c>
      <c r="AL253" s="126">
        <v>79</v>
      </c>
      <c r="AO253" s="132">
        <v>44</v>
      </c>
      <c r="AP253" s="126">
        <v>4.4000000000000004</v>
      </c>
      <c r="AQ253" s="134">
        <v>46</v>
      </c>
      <c r="AR253" s="132">
        <v>27</v>
      </c>
      <c r="AS253" s="134">
        <v>46</v>
      </c>
      <c r="AT253" s="132">
        <v>45</v>
      </c>
      <c r="AU253" s="132">
        <v>0</v>
      </c>
      <c r="AV253" s="83">
        <v>681199</v>
      </c>
      <c r="AW253" s="237">
        <v>43616</v>
      </c>
      <c r="AX253" s="233">
        <f t="shared" si="358"/>
        <v>25</v>
      </c>
      <c r="AY253" s="232" t="s">
        <v>3487</v>
      </c>
      <c r="AZ253" s="233" t="b">
        <f t="shared" si="343"/>
        <v>0</v>
      </c>
      <c r="BA253" s="129"/>
      <c r="BB253" s="129"/>
      <c r="BC253" s="129"/>
      <c r="BD253" s="129"/>
      <c r="BE253" s="82">
        <f t="shared" si="513"/>
        <v>2911.3</v>
      </c>
      <c r="BF253" s="82">
        <f t="shared" si="514"/>
        <v>40</v>
      </c>
      <c r="BG253" s="82"/>
      <c r="BH253" s="82">
        <f t="shared" si="515"/>
        <v>333.3</v>
      </c>
      <c r="BI253" s="82">
        <f t="shared" si="516"/>
        <v>248</v>
      </c>
      <c r="BJ253" s="82">
        <f t="shared" si="517"/>
        <v>977</v>
      </c>
      <c r="BK253" s="82">
        <f t="shared" si="518"/>
        <v>3048</v>
      </c>
      <c r="BL253" s="82">
        <f t="shared" si="519"/>
        <v>1626</v>
      </c>
      <c r="BM253" s="82">
        <f t="shared" si="520"/>
        <v>0</v>
      </c>
      <c r="BN253" s="82">
        <f t="shared" si="521"/>
        <v>434.1</v>
      </c>
      <c r="BO253" s="82">
        <f t="shared" si="522"/>
        <v>949</v>
      </c>
      <c r="BP253" s="82">
        <f t="shared" si="523"/>
        <v>79</v>
      </c>
      <c r="BQ253" s="82"/>
      <c r="BR253" s="129">
        <f>SUMIF('Audit HD AR - School Level'!$B$6:B1409, "=" &amp; A253,'Audit HD AR - School Level'!$Q$6:Q1409)</f>
        <v>161.80000000000001</v>
      </c>
      <c r="BS253" s="224">
        <f t="shared" si="524"/>
        <v>0</v>
      </c>
      <c r="BT253" s="126">
        <f t="shared" si="525"/>
        <v>0</v>
      </c>
      <c r="BU253" s="82">
        <f t="shared" si="526"/>
        <v>2911.3</v>
      </c>
    </row>
    <row r="254" spans="1:73">
      <c r="A254" s="1" t="s">
        <v>267</v>
      </c>
      <c r="U254" s="126">
        <v>1785.5</v>
      </c>
      <c r="X254" s="126">
        <v>16</v>
      </c>
      <c r="Y254" s="126">
        <v>1752.8</v>
      </c>
      <c r="Z254" s="126">
        <v>0</v>
      </c>
      <c r="AC254" s="126">
        <v>464.8</v>
      </c>
      <c r="AD254" s="126">
        <v>11</v>
      </c>
      <c r="AE254" s="126">
        <v>9.1</v>
      </c>
      <c r="AF254" s="126">
        <v>1836</v>
      </c>
      <c r="AG254" s="126">
        <v>523</v>
      </c>
      <c r="AI254" s="126">
        <v>0</v>
      </c>
      <c r="AJ254" s="126">
        <v>420</v>
      </c>
      <c r="AK254" s="132">
        <v>58</v>
      </c>
      <c r="AL254" s="126">
        <v>19</v>
      </c>
      <c r="AO254" s="132">
        <v>0</v>
      </c>
      <c r="AP254" s="126">
        <v>0</v>
      </c>
      <c r="AQ254" s="134">
        <v>0</v>
      </c>
      <c r="AR254" s="132">
        <v>0</v>
      </c>
      <c r="AS254" s="134">
        <v>0</v>
      </c>
      <c r="AT254" s="132">
        <v>0</v>
      </c>
      <c r="AU254" s="132">
        <v>0</v>
      </c>
      <c r="AV254" s="83">
        <v>287509</v>
      </c>
      <c r="AW254" s="237">
        <v>43616</v>
      </c>
      <c r="AX254" s="233">
        <f t="shared" si="358"/>
        <v>25</v>
      </c>
      <c r="AY254" s="232" t="s">
        <v>3487</v>
      </c>
      <c r="AZ254" s="233" t="b">
        <f t="shared" si="343"/>
        <v>0</v>
      </c>
      <c r="BA254" s="129"/>
      <c r="BB254" s="129"/>
      <c r="BC254" s="129"/>
      <c r="BD254" s="129"/>
      <c r="BE254" s="82">
        <f t="shared" si="513"/>
        <v>1785.5</v>
      </c>
      <c r="BF254" s="82">
        <f t="shared" si="514"/>
        <v>16</v>
      </c>
      <c r="BG254" s="82"/>
      <c r="BH254" s="82">
        <f t="shared" si="515"/>
        <v>464.8</v>
      </c>
      <c r="BI254" s="82">
        <f t="shared" si="516"/>
        <v>11</v>
      </c>
      <c r="BJ254" s="82">
        <f t="shared" si="517"/>
        <v>9.1</v>
      </c>
      <c r="BK254" s="82">
        <f t="shared" si="518"/>
        <v>1836</v>
      </c>
      <c r="BL254" s="82">
        <f t="shared" si="519"/>
        <v>523</v>
      </c>
      <c r="BM254" s="82">
        <f t="shared" si="520"/>
        <v>0</v>
      </c>
      <c r="BN254" s="82">
        <f t="shared" si="521"/>
        <v>420</v>
      </c>
      <c r="BO254" s="82">
        <f t="shared" si="522"/>
        <v>58</v>
      </c>
      <c r="BP254" s="82">
        <f t="shared" si="523"/>
        <v>19</v>
      </c>
      <c r="BQ254" s="82"/>
      <c r="BR254" s="129">
        <f>SUMIF('Audit HD AR - School Level'!$B$6:B1410, "=" &amp; A254,'Audit HD AR - School Level'!$Q$6:Q1410)</f>
        <v>0</v>
      </c>
      <c r="BS254" s="224">
        <f t="shared" si="524"/>
        <v>0</v>
      </c>
      <c r="BT254" s="126">
        <f t="shared" si="525"/>
        <v>0</v>
      </c>
      <c r="BU254" s="82">
        <f t="shared" si="526"/>
        <v>1785.5</v>
      </c>
    </row>
    <row r="255" spans="1:73">
      <c r="A255" s="1" t="s">
        <v>273</v>
      </c>
      <c r="U255" s="126">
        <v>88.5</v>
      </c>
      <c r="X255" s="126">
        <v>3.5</v>
      </c>
      <c r="Y255" s="126">
        <v>99.6</v>
      </c>
      <c r="Z255" s="126">
        <v>0</v>
      </c>
      <c r="AC255" s="126">
        <v>4.7</v>
      </c>
      <c r="AD255" s="126">
        <v>0</v>
      </c>
      <c r="AE255" s="126">
        <v>0</v>
      </c>
      <c r="AF255" s="126">
        <v>97</v>
      </c>
      <c r="AG255" s="126">
        <v>28</v>
      </c>
      <c r="AI255" s="126">
        <v>0</v>
      </c>
      <c r="AJ255" s="126">
        <v>62</v>
      </c>
      <c r="AK255" s="132">
        <v>0</v>
      </c>
      <c r="AL255" s="126">
        <v>3</v>
      </c>
      <c r="AO255" s="132">
        <v>0</v>
      </c>
      <c r="AP255" s="126">
        <v>0</v>
      </c>
      <c r="AQ255" s="134">
        <v>0</v>
      </c>
      <c r="AR255" s="132">
        <v>0</v>
      </c>
      <c r="AS255" s="134">
        <v>0</v>
      </c>
      <c r="AT255" s="132">
        <v>0</v>
      </c>
      <c r="AU255" s="132">
        <v>0</v>
      </c>
      <c r="AV255" s="83">
        <v>93343</v>
      </c>
      <c r="AW255" s="237">
        <v>43616</v>
      </c>
      <c r="AX255" s="233">
        <f t="shared" si="358"/>
        <v>25</v>
      </c>
      <c r="AY255" s="232" t="s">
        <v>3487</v>
      </c>
      <c r="AZ255" s="233" t="b">
        <f t="shared" si="343"/>
        <v>0</v>
      </c>
      <c r="BA255" s="129"/>
      <c r="BB255" s="129"/>
      <c r="BC255" s="129"/>
      <c r="BD255" s="129"/>
      <c r="BE255" s="82">
        <f t="shared" si="513"/>
        <v>88.5</v>
      </c>
      <c r="BF255" s="82">
        <f t="shared" si="514"/>
        <v>3.5</v>
      </c>
      <c r="BG255" s="82"/>
      <c r="BH255" s="82">
        <f t="shared" si="515"/>
        <v>4.7</v>
      </c>
      <c r="BI255" s="82">
        <f t="shared" si="516"/>
        <v>0</v>
      </c>
      <c r="BJ255" s="82">
        <f t="shared" si="517"/>
        <v>0</v>
      </c>
      <c r="BK255" s="82">
        <f t="shared" si="518"/>
        <v>97</v>
      </c>
      <c r="BL255" s="82">
        <f t="shared" si="519"/>
        <v>28</v>
      </c>
      <c r="BM255" s="82">
        <f t="shared" si="520"/>
        <v>0</v>
      </c>
      <c r="BN255" s="82">
        <f t="shared" si="521"/>
        <v>62</v>
      </c>
      <c r="BO255" s="82">
        <f t="shared" si="522"/>
        <v>0</v>
      </c>
      <c r="BP255" s="82">
        <f t="shared" si="523"/>
        <v>3</v>
      </c>
      <c r="BQ255" s="82"/>
      <c r="BR255" s="129">
        <f>SUMIF('Audit HD AR - School Level'!$B$6:B1411, "=" &amp; A255,'Audit HD AR - School Level'!$Q$6:Q1411)</f>
        <v>0</v>
      </c>
      <c r="BS255" s="224">
        <f t="shared" si="524"/>
        <v>0</v>
      </c>
      <c r="BT255" s="126">
        <f t="shared" si="525"/>
        <v>0</v>
      </c>
      <c r="BU255" s="82">
        <f t="shared" si="526"/>
        <v>88.5</v>
      </c>
    </row>
    <row r="256" spans="1:73">
      <c r="A256" s="1" t="s">
        <v>289</v>
      </c>
      <c r="U256" s="126">
        <v>2352.3000000000002</v>
      </c>
      <c r="X256" s="126">
        <v>15.5</v>
      </c>
      <c r="Y256" s="126">
        <v>2412.4</v>
      </c>
      <c r="Z256" s="126">
        <v>0</v>
      </c>
      <c r="AC256" s="126">
        <v>833.6</v>
      </c>
      <c r="AD256" s="126">
        <v>20</v>
      </c>
      <c r="AE256" s="126">
        <v>14.1</v>
      </c>
      <c r="AF256" s="126">
        <v>2390</v>
      </c>
      <c r="AG256" s="126">
        <v>946</v>
      </c>
      <c r="AI256" s="126">
        <v>524.6</v>
      </c>
      <c r="AJ256" s="126">
        <v>109</v>
      </c>
      <c r="AK256" s="132">
        <v>11</v>
      </c>
      <c r="AL256" s="126">
        <v>1</v>
      </c>
      <c r="AO256" s="132">
        <v>14</v>
      </c>
      <c r="AP256" s="126">
        <v>3.8</v>
      </c>
      <c r="AQ256" s="134">
        <v>0</v>
      </c>
      <c r="AR256" s="132">
        <v>0</v>
      </c>
      <c r="AS256" s="134">
        <v>0</v>
      </c>
      <c r="AT256" s="132">
        <v>0</v>
      </c>
      <c r="AU256" s="132">
        <v>0</v>
      </c>
      <c r="AV256" s="83">
        <v>337412</v>
      </c>
      <c r="AW256" s="237">
        <v>43616</v>
      </c>
      <c r="AX256" s="233">
        <f t="shared" si="358"/>
        <v>25</v>
      </c>
      <c r="AY256" s="232" t="s">
        <v>3487</v>
      </c>
      <c r="AZ256" s="233" t="b">
        <f t="shared" si="343"/>
        <v>0</v>
      </c>
      <c r="BA256" s="129"/>
      <c r="BB256" s="129"/>
      <c r="BC256" s="129"/>
      <c r="BD256" s="129"/>
      <c r="BE256" s="82">
        <f t="shared" si="513"/>
        <v>2334.5</v>
      </c>
      <c r="BF256" s="82">
        <f t="shared" si="514"/>
        <v>15.5</v>
      </c>
      <c r="BG256" s="82"/>
      <c r="BH256" s="82">
        <f t="shared" si="515"/>
        <v>833.6</v>
      </c>
      <c r="BI256" s="82">
        <f t="shared" si="516"/>
        <v>20</v>
      </c>
      <c r="BJ256" s="82">
        <f t="shared" si="517"/>
        <v>14.1</v>
      </c>
      <c r="BK256" s="82">
        <f t="shared" si="518"/>
        <v>2390</v>
      </c>
      <c r="BL256" s="82">
        <f t="shared" si="519"/>
        <v>946</v>
      </c>
      <c r="BM256" s="82">
        <f t="shared" si="520"/>
        <v>524.6</v>
      </c>
      <c r="BN256" s="82">
        <f t="shared" si="521"/>
        <v>109</v>
      </c>
      <c r="BO256" s="82">
        <f t="shared" si="522"/>
        <v>11</v>
      </c>
      <c r="BP256" s="82">
        <f t="shared" si="523"/>
        <v>1</v>
      </c>
      <c r="BQ256" s="82"/>
      <c r="BR256" s="129">
        <f>SUMIF('Audit HD AR - School Level'!$B$6:B1412, "=" &amp; A256,'Audit HD AR - School Level'!$Q$6:Q1412)</f>
        <v>45.3</v>
      </c>
      <c r="BS256" s="224">
        <f t="shared" si="524"/>
        <v>0</v>
      </c>
      <c r="BT256" s="126">
        <f t="shared" si="525"/>
        <v>0</v>
      </c>
      <c r="BU256" s="82">
        <f t="shared" si="526"/>
        <v>2334.5</v>
      </c>
    </row>
    <row r="257" spans="1:73">
      <c r="A257" s="1" t="s">
        <v>291</v>
      </c>
      <c r="U257" s="126">
        <v>103.5</v>
      </c>
      <c r="X257" s="126">
        <v>0</v>
      </c>
      <c r="Y257" s="126">
        <v>112</v>
      </c>
      <c r="Z257" s="126">
        <v>0</v>
      </c>
      <c r="AC257" s="126">
        <v>9.8000000000000007</v>
      </c>
      <c r="AD257" s="126">
        <v>0</v>
      </c>
      <c r="AE257" s="126">
        <v>0</v>
      </c>
      <c r="AF257" s="126">
        <v>105</v>
      </c>
      <c r="AG257" s="126">
        <v>33</v>
      </c>
      <c r="AI257" s="126">
        <v>0</v>
      </c>
      <c r="AJ257" s="126">
        <v>57</v>
      </c>
      <c r="AK257" s="132">
        <v>1</v>
      </c>
      <c r="AL257" s="126">
        <v>2</v>
      </c>
      <c r="AO257" s="132">
        <v>0</v>
      </c>
      <c r="AP257" s="126">
        <v>0</v>
      </c>
      <c r="AQ257" s="134">
        <v>0</v>
      </c>
      <c r="AR257" s="132">
        <v>0</v>
      </c>
      <c r="AS257" s="134">
        <v>0</v>
      </c>
      <c r="AT257" s="132">
        <v>0</v>
      </c>
      <c r="AU257" s="132">
        <v>0</v>
      </c>
      <c r="AV257" s="83">
        <v>91740</v>
      </c>
      <c r="AW257" s="237">
        <v>43616</v>
      </c>
      <c r="AX257" s="233">
        <f t="shared" si="358"/>
        <v>25</v>
      </c>
      <c r="AY257" s="232" t="s">
        <v>3487</v>
      </c>
      <c r="AZ257" s="233" t="b">
        <f t="shared" si="343"/>
        <v>0</v>
      </c>
      <c r="BA257" s="129"/>
      <c r="BB257" s="129"/>
      <c r="BC257" s="129"/>
      <c r="BD257" s="129"/>
      <c r="BE257" s="82">
        <f t="shared" si="513"/>
        <v>103.5</v>
      </c>
      <c r="BF257" s="82">
        <f t="shared" si="514"/>
        <v>0</v>
      </c>
      <c r="BG257" s="82"/>
      <c r="BH257" s="82">
        <f t="shared" si="515"/>
        <v>9.8000000000000007</v>
      </c>
      <c r="BI257" s="82">
        <f t="shared" si="516"/>
        <v>0</v>
      </c>
      <c r="BJ257" s="82">
        <f t="shared" si="517"/>
        <v>0</v>
      </c>
      <c r="BK257" s="82">
        <f t="shared" si="518"/>
        <v>105</v>
      </c>
      <c r="BL257" s="82">
        <f t="shared" si="519"/>
        <v>33</v>
      </c>
      <c r="BM257" s="82">
        <f t="shared" si="520"/>
        <v>0</v>
      </c>
      <c r="BN257" s="82">
        <f t="shared" si="521"/>
        <v>57</v>
      </c>
      <c r="BO257" s="82">
        <f t="shared" si="522"/>
        <v>1</v>
      </c>
      <c r="BP257" s="82">
        <f t="shared" si="523"/>
        <v>2</v>
      </c>
      <c r="BQ257" s="82"/>
      <c r="BR257" s="129">
        <f>SUMIF('Audit HD AR - School Level'!$B$6:B1413, "=" &amp; A257,'Audit HD AR - School Level'!$Q$6:Q1413)</f>
        <v>1.1000000000000001</v>
      </c>
      <c r="BS257" s="224">
        <f t="shared" si="524"/>
        <v>0</v>
      </c>
      <c r="BT257" s="126">
        <f t="shared" si="525"/>
        <v>0</v>
      </c>
      <c r="BU257" s="82">
        <f t="shared" si="526"/>
        <v>103.5</v>
      </c>
    </row>
    <row r="258" spans="1:73">
      <c r="A258" s="1" t="s">
        <v>300</v>
      </c>
      <c r="U258" s="126">
        <v>687.5</v>
      </c>
      <c r="X258" s="126">
        <v>0</v>
      </c>
      <c r="Y258" s="126">
        <v>691</v>
      </c>
      <c r="Z258" s="126">
        <v>0</v>
      </c>
      <c r="AC258" s="126">
        <v>280.60000000000002</v>
      </c>
      <c r="AD258" s="126">
        <v>0</v>
      </c>
      <c r="AE258" s="126">
        <v>0</v>
      </c>
      <c r="AF258" s="126">
        <v>688</v>
      </c>
      <c r="AG258" s="126">
        <v>134</v>
      </c>
      <c r="AI258" s="126">
        <v>0</v>
      </c>
      <c r="AJ258" s="126">
        <v>451</v>
      </c>
      <c r="AK258" s="132">
        <v>13</v>
      </c>
      <c r="AL258" s="126">
        <v>126</v>
      </c>
      <c r="AO258" s="132">
        <v>0</v>
      </c>
      <c r="AP258" s="126">
        <v>0</v>
      </c>
      <c r="AQ258" s="134">
        <v>0</v>
      </c>
      <c r="AR258" s="132">
        <v>0</v>
      </c>
      <c r="AS258" s="134">
        <v>0</v>
      </c>
      <c r="AT258" s="132">
        <v>0</v>
      </c>
      <c r="AU258" s="132">
        <v>0</v>
      </c>
      <c r="AV258" s="83">
        <v>346262</v>
      </c>
      <c r="AW258" s="237">
        <v>43616</v>
      </c>
      <c r="AX258" s="233">
        <f t="shared" si="358"/>
        <v>25</v>
      </c>
      <c r="AY258" s="232" t="s">
        <v>3487</v>
      </c>
      <c r="AZ258" s="233" t="b">
        <f t="shared" ref="AZ258:AZ289" si="527">COUNTIF(A:A,A258)&gt;1</f>
        <v>0</v>
      </c>
      <c r="BA258" s="129"/>
      <c r="BB258" s="129"/>
      <c r="BC258" s="129"/>
      <c r="BD258" s="129"/>
      <c r="BE258" s="82">
        <f t="shared" si="513"/>
        <v>687.5</v>
      </c>
      <c r="BF258" s="82">
        <f t="shared" si="514"/>
        <v>0</v>
      </c>
      <c r="BG258" s="82"/>
      <c r="BH258" s="82">
        <f t="shared" si="515"/>
        <v>280.60000000000002</v>
      </c>
      <c r="BI258" s="82">
        <f t="shared" si="516"/>
        <v>0</v>
      </c>
      <c r="BJ258" s="82">
        <f t="shared" si="517"/>
        <v>0</v>
      </c>
      <c r="BK258" s="82">
        <f t="shared" si="518"/>
        <v>688</v>
      </c>
      <c r="BL258" s="82">
        <f t="shared" si="519"/>
        <v>134</v>
      </c>
      <c r="BM258" s="82">
        <f t="shared" si="520"/>
        <v>0</v>
      </c>
      <c r="BN258" s="82">
        <f t="shared" si="521"/>
        <v>451</v>
      </c>
      <c r="BO258" s="82">
        <f t="shared" si="522"/>
        <v>13</v>
      </c>
      <c r="BP258" s="82">
        <f t="shared" si="523"/>
        <v>126</v>
      </c>
      <c r="BQ258" s="82"/>
      <c r="BR258" s="129">
        <f>SUMIF('Audit HD AR - School Level'!$B$6:B1414, "=" &amp; A258,'Audit HD AR - School Level'!$Q$6:Q1414)</f>
        <v>0</v>
      </c>
      <c r="BS258" s="224">
        <f t="shared" si="524"/>
        <v>0</v>
      </c>
      <c r="BT258" s="126">
        <f t="shared" si="525"/>
        <v>0</v>
      </c>
      <c r="BU258" s="82">
        <f t="shared" si="526"/>
        <v>687.5</v>
      </c>
    </row>
    <row r="259" spans="1:73">
      <c r="A259" s="1" t="s">
        <v>306</v>
      </c>
      <c r="U259" s="126">
        <v>790</v>
      </c>
      <c r="X259" s="126">
        <v>14</v>
      </c>
      <c r="Y259" s="126">
        <v>826.5</v>
      </c>
      <c r="Z259" s="126">
        <v>0</v>
      </c>
      <c r="AC259" s="126">
        <v>528.79999999999995</v>
      </c>
      <c r="AD259" s="126">
        <v>33</v>
      </c>
      <c r="AE259" s="126">
        <v>122.4</v>
      </c>
      <c r="AF259" s="126">
        <v>768</v>
      </c>
      <c r="AG259" s="126">
        <v>236</v>
      </c>
      <c r="AI259" s="126">
        <v>179</v>
      </c>
      <c r="AJ259" s="126">
        <v>405</v>
      </c>
      <c r="AK259" s="132">
        <v>263</v>
      </c>
      <c r="AL259" s="126">
        <v>17</v>
      </c>
      <c r="AO259" s="132">
        <v>43</v>
      </c>
      <c r="AP259" s="126">
        <v>0</v>
      </c>
      <c r="AQ259" s="134">
        <v>56.5</v>
      </c>
      <c r="AR259" s="132">
        <v>10</v>
      </c>
      <c r="AS259" s="134">
        <v>56.5</v>
      </c>
      <c r="AT259" s="132">
        <v>36</v>
      </c>
      <c r="AU259" s="132">
        <v>0</v>
      </c>
      <c r="AV259" s="83">
        <v>236013</v>
      </c>
      <c r="AW259" s="237">
        <v>43616</v>
      </c>
      <c r="AX259" s="233">
        <f t="shared" si="358"/>
        <v>25</v>
      </c>
      <c r="AY259" s="232" t="s">
        <v>3487</v>
      </c>
      <c r="AZ259" s="233" t="b">
        <f t="shared" si="527"/>
        <v>0</v>
      </c>
      <c r="BA259" s="129"/>
      <c r="BB259" s="129"/>
      <c r="BC259" s="129"/>
      <c r="BD259" s="129"/>
      <c r="BE259" s="82">
        <f t="shared" si="513"/>
        <v>737</v>
      </c>
      <c r="BF259" s="82">
        <f t="shared" si="514"/>
        <v>14</v>
      </c>
      <c r="BG259" s="82"/>
      <c r="BH259" s="82">
        <f t="shared" si="515"/>
        <v>528.79999999999995</v>
      </c>
      <c r="BI259" s="82">
        <f t="shared" si="516"/>
        <v>33</v>
      </c>
      <c r="BJ259" s="82">
        <f t="shared" si="517"/>
        <v>122.4</v>
      </c>
      <c r="BK259" s="82">
        <f t="shared" si="518"/>
        <v>768</v>
      </c>
      <c r="BL259" s="82">
        <f t="shared" si="519"/>
        <v>236</v>
      </c>
      <c r="BM259" s="82">
        <f t="shared" si="520"/>
        <v>179</v>
      </c>
      <c r="BN259" s="82">
        <f t="shared" si="521"/>
        <v>405</v>
      </c>
      <c r="BO259" s="82">
        <f t="shared" si="522"/>
        <v>263</v>
      </c>
      <c r="BP259" s="82">
        <f t="shared" si="523"/>
        <v>17</v>
      </c>
      <c r="BQ259" s="82"/>
      <c r="BR259" s="129">
        <f>SUMIF('Audit HD AR - School Level'!$B$6:B1415, "=" &amp; A259,'Audit HD AR - School Level'!$Q$6:Q1415)</f>
        <v>0.9</v>
      </c>
      <c r="BS259" s="224">
        <f t="shared" si="524"/>
        <v>0</v>
      </c>
      <c r="BT259" s="126">
        <f t="shared" si="525"/>
        <v>0</v>
      </c>
      <c r="BU259" s="82">
        <f t="shared" si="526"/>
        <v>737</v>
      </c>
    </row>
    <row r="260" spans="1:73">
      <c r="A260" s="1" t="s">
        <v>307</v>
      </c>
      <c r="U260" s="126">
        <v>2231.5</v>
      </c>
      <c r="X260" s="126">
        <v>15.5</v>
      </c>
      <c r="Y260" s="126">
        <v>2288</v>
      </c>
      <c r="Z260" s="126">
        <v>0</v>
      </c>
      <c r="AC260" s="126">
        <v>715.8</v>
      </c>
      <c r="AD260" s="126">
        <v>25</v>
      </c>
      <c r="AE260" s="126">
        <v>40.200000000000003</v>
      </c>
      <c r="AF260" s="126">
        <v>2285</v>
      </c>
      <c r="AG260" s="126">
        <v>598</v>
      </c>
      <c r="AI260" s="126">
        <v>0</v>
      </c>
      <c r="AJ260" s="126">
        <v>1054</v>
      </c>
      <c r="AK260" s="132">
        <v>760</v>
      </c>
      <c r="AL260" s="126">
        <v>16</v>
      </c>
      <c r="AO260" s="132">
        <v>0</v>
      </c>
      <c r="AP260" s="126">
        <v>0</v>
      </c>
      <c r="AQ260" s="134">
        <v>0</v>
      </c>
      <c r="AR260" s="132">
        <v>0</v>
      </c>
      <c r="AS260" s="134">
        <v>0</v>
      </c>
      <c r="AT260" s="132">
        <v>0</v>
      </c>
      <c r="AU260" s="132">
        <v>0</v>
      </c>
      <c r="AV260" s="83">
        <v>717458</v>
      </c>
      <c r="AW260" s="237">
        <v>43616</v>
      </c>
      <c r="AX260" s="233">
        <f t="shared" si="358"/>
        <v>25</v>
      </c>
      <c r="AY260" s="232" t="s">
        <v>3487</v>
      </c>
      <c r="AZ260" s="233" t="b">
        <f t="shared" si="527"/>
        <v>0</v>
      </c>
      <c r="BA260" s="129"/>
      <c r="BB260" s="129"/>
      <c r="BC260" s="129"/>
      <c r="BD260" s="129"/>
      <c r="BE260" s="82">
        <f t="shared" si="513"/>
        <v>2231.5</v>
      </c>
      <c r="BF260" s="82">
        <f t="shared" si="514"/>
        <v>15.5</v>
      </c>
      <c r="BG260" s="82"/>
      <c r="BH260" s="82">
        <f t="shared" si="515"/>
        <v>715.8</v>
      </c>
      <c r="BI260" s="82">
        <f t="shared" si="516"/>
        <v>25</v>
      </c>
      <c r="BJ260" s="82">
        <f t="shared" si="517"/>
        <v>40.200000000000003</v>
      </c>
      <c r="BK260" s="82">
        <f t="shared" si="518"/>
        <v>2285</v>
      </c>
      <c r="BL260" s="82">
        <f t="shared" si="519"/>
        <v>598</v>
      </c>
      <c r="BM260" s="82">
        <f t="shared" si="520"/>
        <v>0</v>
      </c>
      <c r="BN260" s="82">
        <f t="shared" si="521"/>
        <v>1054</v>
      </c>
      <c r="BO260" s="82">
        <f t="shared" si="522"/>
        <v>760</v>
      </c>
      <c r="BP260" s="82">
        <f t="shared" si="523"/>
        <v>16</v>
      </c>
      <c r="BQ260" s="82"/>
      <c r="BR260" s="129">
        <f>SUMIF('Audit HD AR - School Level'!$B$6:B1416, "=" &amp; A260,'Audit HD AR - School Level'!$Q$6:Q1416)</f>
        <v>0.4</v>
      </c>
      <c r="BS260" s="224">
        <f t="shared" si="524"/>
        <v>0</v>
      </c>
      <c r="BT260" s="126">
        <f t="shared" si="525"/>
        <v>0</v>
      </c>
      <c r="BU260" s="82">
        <f t="shared" si="526"/>
        <v>2231.5</v>
      </c>
    </row>
    <row r="261" spans="1:73">
      <c r="A261" s="1" t="s">
        <v>310</v>
      </c>
      <c r="U261" s="126">
        <v>177</v>
      </c>
      <c r="X261" s="126">
        <v>1.5</v>
      </c>
      <c r="Y261" s="126">
        <v>180</v>
      </c>
      <c r="Z261" s="126">
        <v>0</v>
      </c>
      <c r="AC261" s="126">
        <v>13.2</v>
      </c>
      <c r="AD261" s="126">
        <v>27</v>
      </c>
      <c r="AE261" s="126">
        <v>61.7</v>
      </c>
      <c r="AF261" s="126">
        <v>183</v>
      </c>
      <c r="AG261" s="126">
        <v>102</v>
      </c>
      <c r="AI261" s="126">
        <v>0</v>
      </c>
      <c r="AJ261" s="126">
        <v>71.5</v>
      </c>
      <c r="AK261" s="132">
        <v>2.5</v>
      </c>
      <c r="AL261" s="126">
        <v>35.5</v>
      </c>
      <c r="AO261" s="132">
        <v>0</v>
      </c>
      <c r="AP261" s="126">
        <v>0</v>
      </c>
      <c r="AQ261" s="134">
        <v>0</v>
      </c>
      <c r="AR261" s="132">
        <v>0</v>
      </c>
      <c r="AS261" s="134">
        <v>0</v>
      </c>
      <c r="AT261" s="132">
        <v>0</v>
      </c>
      <c r="AU261" s="132">
        <v>0</v>
      </c>
      <c r="AV261" s="83">
        <v>140960</v>
      </c>
      <c r="AW261" s="237">
        <v>43616</v>
      </c>
      <c r="AX261" s="233">
        <f t="shared" ref="AX261:AX289" si="528">IF(AW261=AW260,AX260,AX260+1)</f>
        <v>25</v>
      </c>
      <c r="AY261" s="232" t="s">
        <v>3487</v>
      </c>
      <c r="AZ261" s="233" t="b">
        <f t="shared" si="527"/>
        <v>0</v>
      </c>
      <c r="BA261" s="129"/>
      <c r="BB261" s="129"/>
      <c r="BC261" s="129"/>
      <c r="BD261" s="129"/>
      <c r="BE261" s="82">
        <f t="shared" si="513"/>
        <v>177</v>
      </c>
      <c r="BF261" s="82">
        <f t="shared" si="514"/>
        <v>1.5</v>
      </c>
      <c r="BG261" s="82"/>
      <c r="BH261" s="82">
        <f t="shared" si="515"/>
        <v>13.2</v>
      </c>
      <c r="BI261" s="82">
        <f t="shared" si="516"/>
        <v>27</v>
      </c>
      <c r="BJ261" s="82">
        <f t="shared" si="517"/>
        <v>61.7</v>
      </c>
      <c r="BK261" s="82">
        <f t="shared" si="518"/>
        <v>183</v>
      </c>
      <c r="BL261" s="82">
        <f t="shared" si="519"/>
        <v>102</v>
      </c>
      <c r="BM261" s="82">
        <f t="shared" si="520"/>
        <v>0</v>
      </c>
      <c r="BN261" s="82">
        <f t="shared" si="521"/>
        <v>71.5</v>
      </c>
      <c r="BO261" s="82">
        <f t="shared" si="522"/>
        <v>2.5</v>
      </c>
      <c r="BP261" s="82">
        <f t="shared" si="523"/>
        <v>35.5</v>
      </c>
      <c r="BQ261" s="82"/>
      <c r="BR261" s="129">
        <f>SUMIF('Audit HD AR - School Level'!$B$6:B1417, "=" &amp; A261,'Audit HD AR - School Level'!$Q$6:Q1417)</f>
        <v>8.9</v>
      </c>
      <c r="BS261" s="224">
        <f t="shared" si="524"/>
        <v>0</v>
      </c>
      <c r="BT261" s="126">
        <f t="shared" si="525"/>
        <v>0</v>
      </c>
      <c r="BU261" s="82">
        <f t="shared" si="526"/>
        <v>177</v>
      </c>
    </row>
    <row r="262" spans="1:73">
      <c r="A262" s="1" t="s">
        <v>313</v>
      </c>
      <c r="U262" s="126">
        <v>293.5</v>
      </c>
      <c r="X262" s="126">
        <v>10.5</v>
      </c>
      <c r="Y262" s="126">
        <v>308</v>
      </c>
      <c r="Z262" s="126">
        <v>0</v>
      </c>
      <c r="AC262" s="126">
        <v>52</v>
      </c>
      <c r="AD262" s="126">
        <v>0</v>
      </c>
      <c r="AE262" s="126">
        <v>0</v>
      </c>
      <c r="AF262" s="126">
        <v>316</v>
      </c>
      <c r="AG262" s="126">
        <v>95</v>
      </c>
      <c r="AI262" s="126">
        <v>0</v>
      </c>
      <c r="AJ262" s="126">
        <v>131</v>
      </c>
      <c r="AK262" s="132">
        <v>22</v>
      </c>
      <c r="AL262" s="126">
        <v>9</v>
      </c>
      <c r="AO262" s="132">
        <v>0</v>
      </c>
      <c r="AP262" s="126">
        <v>0</v>
      </c>
      <c r="AQ262" s="134">
        <v>0</v>
      </c>
      <c r="AR262" s="132">
        <v>0</v>
      </c>
      <c r="AS262" s="134">
        <v>0</v>
      </c>
      <c r="AT262" s="132">
        <v>0</v>
      </c>
      <c r="AU262" s="132">
        <v>0</v>
      </c>
      <c r="AV262" s="83">
        <v>146661</v>
      </c>
      <c r="AW262" s="237">
        <v>43616</v>
      </c>
      <c r="AX262" s="233">
        <f t="shared" si="528"/>
        <v>25</v>
      </c>
      <c r="AY262" s="232" t="s">
        <v>3487</v>
      </c>
      <c r="AZ262" s="233" t="b">
        <f t="shared" si="527"/>
        <v>0</v>
      </c>
      <c r="BA262" s="129"/>
      <c r="BB262" s="129"/>
      <c r="BC262" s="129"/>
      <c r="BD262" s="129"/>
      <c r="BE262" s="82">
        <f t="shared" si="513"/>
        <v>293.5</v>
      </c>
      <c r="BF262" s="82">
        <f t="shared" si="514"/>
        <v>10.5</v>
      </c>
      <c r="BG262" s="82"/>
      <c r="BH262" s="82">
        <f t="shared" si="515"/>
        <v>52</v>
      </c>
      <c r="BI262" s="82">
        <f t="shared" si="516"/>
        <v>0</v>
      </c>
      <c r="BJ262" s="82">
        <f t="shared" si="517"/>
        <v>0</v>
      </c>
      <c r="BK262" s="82">
        <f t="shared" si="518"/>
        <v>316</v>
      </c>
      <c r="BL262" s="82">
        <f t="shared" si="519"/>
        <v>95</v>
      </c>
      <c r="BM262" s="82">
        <f t="shared" si="520"/>
        <v>0</v>
      </c>
      <c r="BN262" s="82">
        <f t="shared" si="521"/>
        <v>131</v>
      </c>
      <c r="BO262" s="82">
        <f t="shared" si="522"/>
        <v>22</v>
      </c>
      <c r="BP262" s="82">
        <f t="shared" si="523"/>
        <v>9</v>
      </c>
      <c r="BQ262" s="82"/>
      <c r="BR262" s="129">
        <f>SUMIF('Audit HD AR - School Level'!$B$6:B1418, "=" &amp; A262,'Audit HD AR - School Level'!$Q$6:Q1418)</f>
        <v>0</v>
      </c>
      <c r="BS262" s="224">
        <f t="shared" si="524"/>
        <v>0</v>
      </c>
      <c r="BT262" s="126">
        <f t="shared" si="525"/>
        <v>0</v>
      </c>
      <c r="BU262" s="82">
        <f t="shared" si="526"/>
        <v>293.5</v>
      </c>
    </row>
    <row r="263" spans="1:73">
      <c r="A263" s="1" t="s">
        <v>326</v>
      </c>
      <c r="U263" s="126">
        <v>805</v>
      </c>
      <c r="X263" s="126">
        <v>8</v>
      </c>
      <c r="Y263" s="126">
        <v>839.6</v>
      </c>
      <c r="Z263" s="126">
        <v>0</v>
      </c>
      <c r="AC263" s="126">
        <v>214</v>
      </c>
      <c r="AD263" s="126">
        <v>0</v>
      </c>
      <c r="AE263" s="126">
        <v>0</v>
      </c>
      <c r="AF263" s="126">
        <v>832</v>
      </c>
      <c r="AG263" s="126">
        <v>327</v>
      </c>
      <c r="AI263" s="126">
        <v>0</v>
      </c>
      <c r="AJ263" s="126">
        <v>570.5</v>
      </c>
      <c r="AK263" s="132">
        <v>68.5</v>
      </c>
      <c r="AL263" s="126">
        <v>12</v>
      </c>
      <c r="AO263" s="132">
        <v>0</v>
      </c>
      <c r="AP263" s="126">
        <v>0</v>
      </c>
      <c r="AQ263" s="134">
        <v>0</v>
      </c>
      <c r="AR263" s="132">
        <v>0</v>
      </c>
      <c r="AS263" s="134">
        <v>0</v>
      </c>
      <c r="AT263" s="132">
        <v>0</v>
      </c>
      <c r="AU263" s="132">
        <v>0</v>
      </c>
      <c r="AV263" s="83">
        <v>442643</v>
      </c>
      <c r="AW263" s="237">
        <v>43616</v>
      </c>
      <c r="AX263" s="233">
        <f t="shared" si="528"/>
        <v>25</v>
      </c>
      <c r="AY263" s="232" t="s">
        <v>3487</v>
      </c>
      <c r="AZ263" s="233" t="b">
        <f t="shared" si="527"/>
        <v>0</v>
      </c>
      <c r="BA263" s="129"/>
      <c r="BB263" s="129"/>
      <c r="BC263" s="129"/>
      <c r="BD263" s="129"/>
      <c r="BE263" s="82">
        <f t="shared" si="513"/>
        <v>805</v>
      </c>
      <c r="BF263" s="82">
        <f t="shared" si="514"/>
        <v>8</v>
      </c>
      <c r="BG263" s="82"/>
      <c r="BH263" s="82">
        <f t="shared" si="515"/>
        <v>214</v>
      </c>
      <c r="BI263" s="82">
        <f t="shared" si="516"/>
        <v>0</v>
      </c>
      <c r="BJ263" s="82">
        <f t="shared" si="517"/>
        <v>0</v>
      </c>
      <c r="BK263" s="82">
        <f t="shared" si="518"/>
        <v>832</v>
      </c>
      <c r="BL263" s="82">
        <f t="shared" si="519"/>
        <v>327</v>
      </c>
      <c r="BM263" s="82">
        <f t="shared" si="520"/>
        <v>0</v>
      </c>
      <c r="BN263" s="82">
        <f t="shared" si="521"/>
        <v>570.5</v>
      </c>
      <c r="BO263" s="82">
        <f t="shared" si="522"/>
        <v>68.5</v>
      </c>
      <c r="BP263" s="82">
        <f t="shared" si="523"/>
        <v>12</v>
      </c>
      <c r="BQ263" s="82"/>
      <c r="BR263" s="129">
        <f>SUMIF('Audit HD AR - School Level'!$B$6:B1419, "=" &amp; A263,'Audit HD AR - School Level'!$Q$6:Q1419)</f>
        <v>12.2</v>
      </c>
      <c r="BS263" s="224">
        <f t="shared" si="524"/>
        <v>0</v>
      </c>
      <c r="BT263" s="126">
        <f t="shared" si="525"/>
        <v>0</v>
      </c>
      <c r="BU263" s="82">
        <f t="shared" si="526"/>
        <v>805</v>
      </c>
    </row>
    <row r="264" spans="1:73">
      <c r="A264" s="1" t="s">
        <v>346</v>
      </c>
      <c r="U264" s="126">
        <v>439.1</v>
      </c>
      <c r="X264" s="126">
        <v>1.5</v>
      </c>
      <c r="Y264" s="126">
        <v>370.4</v>
      </c>
      <c r="Z264" s="126">
        <v>0</v>
      </c>
      <c r="AC264" s="126">
        <v>123.9</v>
      </c>
      <c r="AD264" s="126">
        <v>2</v>
      </c>
      <c r="AE264" s="126">
        <v>0.3</v>
      </c>
      <c r="AF264" s="126">
        <v>390</v>
      </c>
      <c r="AG264" s="126">
        <v>121</v>
      </c>
      <c r="AI264" s="126">
        <v>0</v>
      </c>
      <c r="AJ264" s="126">
        <v>69.7</v>
      </c>
      <c r="AK264" s="132">
        <v>8.5</v>
      </c>
      <c r="AL264" s="126">
        <v>13</v>
      </c>
      <c r="AO264" s="132">
        <v>49</v>
      </c>
      <c r="AP264" s="126">
        <v>3.2</v>
      </c>
      <c r="AQ264" s="134">
        <v>100</v>
      </c>
      <c r="AR264" s="132">
        <v>11</v>
      </c>
      <c r="AS264" s="134">
        <v>104.75</v>
      </c>
      <c r="AT264" s="132">
        <v>100</v>
      </c>
      <c r="AU264" s="132">
        <v>0</v>
      </c>
      <c r="AV264" s="83">
        <v>116068</v>
      </c>
      <c r="AW264" s="237">
        <v>43616</v>
      </c>
      <c r="AX264" s="233">
        <f t="shared" si="528"/>
        <v>25</v>
      </c>
      <c r="AY264" s="232" t="s">
        <v>3487</v>
      </c>
      <c r="AZ264" s="233" t="b">
        <f t="shared" si="527"/>
        <v>0</v>
      </c>
      <c r="BA264" s="129"/>
      <c r="BB264" s="129"/>
      <c r="BC264" s="129"/>
      <c r="BD264" s="129"/>
      <c r="BE264" s="82">
        <f t="shared" si="513"/>
        <v>375.9</v>
      </c>
      <c r="BF264" s="82">
        <f t="shared" si="514"/>
        <v>1.5</v>
      </c>
      <c r="BG264" s="82"/>
      <c r="BH264" s="82">
        <f t="shared" si="515"/>
        <v>123.9</v>
      </c>
      <c r="BI264" s="82">
        <f t="shared" si="516"/>
        <v>2</v>
      </c>
      <c r="BJ264" s="82">
        <f t="shared" si="517"/>
        <v>0.3</v>
      </c>
      <c r="BK264" s="82">
        <f t="shared" si="518"/>
        <v>390</v>
      </c>
      <c r="BL264" s="82">
        <f t="shared" si="519"/>
        <v>121</v>
      </c>
      <c r="BM264" s="82">
        <f t="shared" si="520"/>
        <v>0</v>
      </c>
      <c r="BN264" s="82">
        <f t="shared" si="521"/>
        <v>69.7</v>
      </c>
      <c r="BO264" s="82">
        <f t="shared" si="522"/>
        <v>8.5</v>
      </c>
      <c r="BP264" s="82">
        <f t="shared" si="523"/>
        <v>13</v>
      </c>
      <c r="BQ264" s="82"/>
      <c r="BR264" s="129">
        <f>SUMIF('Audit HD AR - School Level'!$B$6:B1420, "=" &amp; A264,'Audit HD AR - School Level'!$Q$6:Q1420)</f>
        <v>4.7</v>
      </c>
      <c r="BS264" s="224">
        <f t="shared" si="524"/>
        <v>3368</v>
      </c>
      <c r="BT264" s="126">
        <f t="shared" si="525"/>
        <v>0</v>
      </c>
      <c r="BU264" s="82">
        <f t="shared" si="526"/>
        <v>375.9</v>
      </c>
    </row>
    <row r="265" spans="1:73">
      <c r="A265" s="1" t="s">
        <v>356</v>
      </c>
      <c r="U265" s="126">
        <v>1936.4</v>
      </c>
      <c r="X265" s="126">
        <v>0</v>
      </c>
      <c r="Y265" s="126">
        <v>2029</v>
      </c>
      <c r="Z265" s="126">
        <v>0</v>
      </c>
      <c r="AC265" s="126">
        <v>545.6</v>
      </c>
      <c r="AD265" s="126">
        <v>17</v>
      </c>
      <c r="AE265" s="126">
        <v>17.2</v>
      </c>
      <c r="AF265" s="126">
        <v>1952</v>
      </c>
      <c r="AG265" s="126">
        <v>570</v>
      </c>
      <c r="AI265" s="126">
        <v>0</v>
      </c>
      <c r="AJ265" s="126">
        <v>755.4</v>
      </c>
      <c r="AK265" s="132">
        <v>33.4</v>
      </c>
      <c r="AL265" s="126">
        <v>71.3</v>
      </c>
      <c r="AO265" s="132">
        <v>3</v>
      </c>
      <c r="AP265" s="126">
        <v>0</v>
      </c>
      <c r="AQ265" s="134">
        <v>0</v>
      </c>
      <c r="AR265" s="132">
        <v>0</v>
      </c>
      <c r="AS265" s="134">
        <v>0</v>
      </c>
      <c r="AT265" s="132">
        <v>0</v>
      </c>
      <c r="AU265" s="132">
        <v>0</v>
      </c>
      <c r="AV265" s="83">
        <v>638002</v>
      </c>
      <c r="AW265" s="237">
        <v>43616</v>
      </c>
      <c r="AX265" s="233">
        <f t="shared" si="528"/>
        <v>25</v>
      </c>
      <c r="AY265" s="232" t="s">
        <v>3487</v>
      </c>
      <c r="AZ265" s="233" t="b">
        <f t="shared" si="527"/>
        <v>0</v>
      </c>
      <c r="BA265" s="129"/>
      <c r="BB265" s="129"/>
      <c r="BC265" s="129"/>
      <c r="BD265" s="129"/>
      <c r="BE265" s="82">
        <f t="shared" si="513"/>
        <v>1933.4</v>
      </c>
      <c r="BF265" s="82">
        <f t="shared" si="514"/>
        <v>0</v>
      </c>
      <c r="BG265" s="82"/>
      <c r="BH265" s="82">
        <f t="shared" si="515"/>
        <v>545.6</v>
      </c>
      <c r="BI265" s="82">
        <f t="shared" si="516"/>
        <v>17</v>
      </c>
      <c r="BJ265" s="82">
        <f t="shared" si="517"/>
        <v>17.2</v>
      </c>
      <c r="BK265" s="82">
        <f t="shared" si="518"/>
        <v>1952</v>
      </c>
      <c r="BL265" s="82">
        <f t="shared" si="519"/>
        <v>570</v>
      </c>
      <c r="BM265" s="82">
        <f t="shared" si="520"/>
        <v>0</v>
      </c>
      <c r="BN265" s="82">
        <f t="shared" si="521"/>
        <v>755.4</v>
      </c>
      <c r="BO265" s="82">
        <f t="shared" si="522"/>
        <v>33.4</v>
      </c>
      <c r="BP265" s="82">
        <f t="shared" si="523"/>
        <v>71.3</v>
      </c>
      <c r="BQ265" s="82"/>
      <c r="BR265" s="129">
        <f>SUMIF('Audit HD AR - School Level'!$B$6:B1421, "=" &amp; A265,'Audit HD AR - School Level'!$Q$6:Q1421)</f>
        <v>0</v>
      </c>
      <c r="BS265" s="224">
        <f t="shared" si="524"/>
        <v>0</v>
      </c>
      <c r="BT265" s="126">
        <f t="shared" si="525"/>
        <v>0</v>
      </c>
      <c r="BU265" s="82">
        <f t="shared" si="526"/>
        <v>1933.4</v>
      </c>
    </row>
    <row r="266" spans="1:73">
      <c r="A266" s="1" t="s">
        <v>359</v>
      </c>
      <c r="U266" s="126">
        <v>696.5</v>
      </c>
      <c r="X266" s="126">
        <v>8</v>
      </c>
      <c r="Y266" s="126">
        <v>712.6</v>
      </c>
      <c r="Z266" s="126">
        <v>0</v>
      </c>
      <c r="AC266" s="126">
        <v>69.599999999999994</v>
      </c>
      <c r="AD266" s="126">
        <v>0</v>
      </c>
      <c r="AE266" s="126">
        <v>0</v>
      </c>
      <c r="AF266" s="126">
        <v>717</v>
      </c>
      <c r="AG266" s="126">
        <v>78</v>
      </c>
      <c r="AI266" s="126">
        <v>0</v>
      </c>
      <c r="AJ266" s="126">
        <v>282</v>
      </c>
      <c r="AK266" s="132">
        <v>71</v>
      </c>
      <c r="AL266" s="126">
        <v>7</v>
      </c>
      <c r="AO266" s="132">
        <v>0</v>
      </c>
      <c r="AP266" s="126">
        <v>0</v>
      </c>
      <c r="AQ266" s="134">
        <v>0</v>
      </c>
      <c r="AR266" s="132">
        <v>2</v>
      </c>
      <c r="AS266" s="134">
        <v>1</v>
      </c>
      <c r="AT266" s="132">
        <v>0</v>
      </c>
      <c r="AU266" s="132">
        <v>0</v>
      </c>
      <c r="AV266" s="83">
        <v>169884</v>
      </c>
      <c r="AW266" s="237">
        <v>43616</v>
      </c>
      <c r="AX266" s="233">
        <f t="shared" si="528"/>
        <v>25</v>
      </c>
      <c r="AY266" s="232" t="s">
        <v>3487</v>
      </c>
      <c r="AZ266" s="233" t="b">
        <f t="shared" si="527"/>
        <v>0</v>
      </c>
      <c r="BA266" s="129"/>
      <c r="BB266" s="129"/>
      <c r="BC266" s="129"/>
      <c r="BD266" s="129"/>
      <c r="BE266" s="82">
        <f t="shared" si="513"/>
        <v>694.5</v>
      </c>
      <c r="BF266" s="82">
        <f t="shared" si="514"/>
        <v>8</v>
      </c>
      <c r="BG266" s="82"/>
      <c r="BH266" s="82">
        <f t="shared" si="515"/>
        <v>69.599999999999994</v>
      </c>
      <c r="BI266" s="82">
        <f t="shared" si="516"/>
        <v>0</v>
      </c>
      <c r="BJ266" s="82">
        <f t="shared" si="517"/>
        <v>0</v>
      </c>
      <c r="BK266" s="82">
        <f t="shared" si="518"/>
        <v>717</v>
      </c>
      <c r="BL266" s="82">
        <f t="shared" si="519"/>
        <v>78</v>
      </c>
      <c r="BM266" s="82">
        <f t="shared" si="520"/>
        <v>0</v>
      </c>
      <c r="BN266" s="82">
        <f t="shared" si="521"/>
        <v>282</v>
      </c>
      <c r="BO266" s="82">
        <f t="shared" si="522"/>
        <v>71</v>
      </c>
      <c r="BP266" s="82">
        <f t="shared" si="523"/>
        <v>7</v>
      </c>
      <c r="BQ266" s="82"/>
      <c r="BR266" s="129">
        <f>SUMIF('Audit HD AR - School Level'!$B$6:B1422, "=" &amp; A266,'Audit HD AR - School Level'!$Q$6:Q1422)</f>
        <v>0</v>
      </c>
      <c r="BS266" s="224">
        <f t="shared" si="524"/>
        <v>709</v>
      </c>
      <c r="BT266" s="126">
        <f t="shared" si="525"/>
        <v>0</v>
      </c>
      <c r="BU266" s="82">
        <f t="shared" si="526"/>
        <v>694.5</v>
      </c>
    </row>
    <row r="267" spans="1:73">
      <c r="A267" s="1" t="s">
        <v>370</v>
      </c>
      <c r="D267" s="132">
        <v>46</v>
      </c>
      <c r="H267" s="126">
        <v>0.9</v>
      </c>
      <c r="I267" s="126">
        <v>1</v>
      </c>
      <c r="J267" s="126">
        <v>0.5</v>
      </c>
      <c r="K267" s="126">
        <v>47</v>
      </c>
      <c r="L267" s="132">
        <v>13</v>
      </c>
      <c r="N267" s="132">
        <v>22</v>
      </c>
      <c r="O267" s="132">
        <v>2</v>
      </c>
      <c r="Q267" s="132">
        <v>22</v>
      </c>
      <c r="U267" s="126">
        <v>6603.4</v>
      </c>
      <c r="X267" s="126">
        <v>20.5</v>
      </c>
      <c r="Y267" s="126">
        <v>6400.1</v>
      </c>
      <c r="Z267" s="126">
        <v>0</v>
      </c>
      <c r="AC267" s="126">
        <v>796.3</v>
      </c>
      <c r="AD267" s="126">
        <v>411</v>
      </c>
      <c r="AE267" s="126">
        <v>1365.3</v>
      </c>
      <c r="AF267" s="126">
        <v>6547</v>
      </c>
      <c r="AG267" s="126">
        <v>2039</v>
      </c>
      <c r="AI267" s="126">
        <v>0</v>
      </c>
      <c r="AJ267" s="126">
        <v>2637</v>
      </c>
      <c r="AK267" s="132">
        <v>488</v>
      </c>
      <c r="AL267" s="126">
        <v>3</v>
      </c>
      <c r="AO267" s="132">
        <v>162</v>
      </c>
      <c r="AP267" s="126">
        <v>0</v>
      </c>
      <c r="AQ267" s="134">
        <v>2.5</v>
      </c>
      <c r="AR267" s="132">
        <v>5</v>
      </c>
      <c r="AS267" s="134">
        <v>2.5</v>
      </c>
      <c r="AT267" s="132">
        <v>0</v>
      </c>
      <c r="AU267" s="132">
        <v>0</v>
      </c>
      <c r="AV267" s="83">
        <v>1873100</v>
      </c>
      <c r="AW267" s="237">
        <v>43616</v>
      </c>
      <c r="AX267" s="233">
        <f t="shared" si="528"/>
        <v>25</v>
      </c>
      <c r="AY267" s="232" t="s">
        <v>3487</v>
      </c>
      <c r="AZ267" s="233" t="b">
        <f t="shared" si="527"/>
        <v>0</v>
      </c>
      <c r="BA267" s="129"/>
      <c r="BB267" s="129"/>
      <c r="BC267" s="129"/>
      <c r="BD267" s="129"/>
      <c r="BE267" s="82">
        <f t="shared" si="513"/>
        <v>6436.4</v>
      </c>
      <c r="BF267" s="82">
        <f t="shared" si="514"/>
        <v>20.5</v>
      </c>
      <c r="BG267" s="82"/>
      <c r="BH267" s="82">
        <f t="shared" si="515"/>
        <v>797.2</v>
      </c>
      <c r="BI267" s="82">
        <f t="shared" si="516"/>
        <v>412</v>
      </c>
      <c r="BJ267" s="82">
        <f t="shared" si="517"/>
        <v>1365.8</v>
      </c>
      <c r="BK267" s="82">
        <f t="shared" si="518"/>
        <v>6594</v>
      </c>
      <c r="BL267" s="82">
        <f t="shared" si="519"/>
        <v>2052</v>
      </c>
      <c r="BM267" s="82">
        <f t="shared" si="520"/>
        <v>0</v>
      </c>
      <c r="BN267" s="82">
        <f t="shared" si="521"/>
        <v>2659</v>
      </c>
      <c r="BO267" s="82">
        <f t="shared" si="522"/>
        <v>488</v>
      </c>
      <c r="BP267" s="82">
        <f t="shared" si="523"/>
        <v>3</v>
      </c>
      <c r="BQ267" s="82"/>
      <c r="BR267" s="129">
        <f>SUMIF('Audit HD AR - School Level'!$B$6:B1423, "=" &amp; A267,'Audit HD AR - School Level'!$Q$6:Q1423)</f>
        <v>63.9</v>
      </c>
      <c r="BS267" s="224">
        <f t="shared" si="524"/>
        <v>0</v>
      </c>
      <c r="BT267" s="126">
        <f t="shared" si="525"/>
        <v>0</v>
      </c>
      <c r="BU267" s="82">
        <f t="shared" si="526"/>
        <v>6436.4</v>
      </c>
    </row>
    <row r="268" spans="1:73">
      <c r="A268" s="1" t="s">
        <v>372</v>
      </c>
      <c r="U268" s="126">
        <v>6271.2</v>
      </c>
      <c r="X268" s="126">
        <v>24</v>
      </c>
      <c r="Y268" s="126">
        <v>5261.9</v>
      </c>
      <c r="Z268" s="126">
        <v>0</v>
      </c>
      <c r="AC268" s="126">
        <v>755.7</v>
      </c>
      <c r="AD268" s="126">
        <v>159</v>
      </c>
      <c r="AE268" s="126">
        <v>370.8</v>
      </c>
      <c r="AF268" s="126">
        <v>5466</v>
      </c>
      <c r="AG268" s="126">
        <v>644</v>
      </c>
      <c r="AI268" s="126">
        <v>0</v>
      </c>
      <c r="AJ268" s="126">
        <v>1698</v>
      </c>
      <c r="AK268" s="132">
        <v>3493</v>
      </c>
      <c r="AL268" s="126">
        <v>12</v>
      </c>
      <c r="AO268" s="132">
        <v>402</v>
      </c>
      <c r="AP268" s="126">
        <v>494.2</v>
      </c>
      <c r="AQ268" s="134">
        <v>24</v>
      </c>
      <c r="AR268" s="132">
        <v>11</v>
      </c>
      <c r="AS268" s="134">
        <v>21.5</v>
      </c>
      <c r="AT268" s="132">
        <v>22</v>
      </c>
      <c r="AU268" s="132">
        <v>0</v>
      </c>
      <c r="AV268" s="83">
        <v>1348493</v>
      </c>
      <c r="AW268" s="237">
        <v>43616</v>
      </c>
      <c r="AX268" s="233">
        <f t="shared" si="528"/>
        <v>25</v>
      </c>
      <c r="AY268" s="232" t="s">
        <v>3487</v>
      </c>
      <c r="AZ268" s="233" t="b">
        <f t="shared" si="527"/>
        <v>0</v>
      </c>
      <c r="BA268" s="129"/>
      <c r="BB268" s="129"/>
      <c r="BC268" s="129"/>
      <c r="BD268" s="129"/>
      <c r="BE268" s="82">
        <f t="shared" si="513"/>
        <v>5364</v>
      </c>
      <c r="BF268" s="82">
        <f t="shared" si="514"/>
        <v>24</v>
      </c>
      <c r="BG268" s="82"/>
      <c r="BH268" s="82">
        <f t="shared" si="515"/>
        <v>755.7</v>
      </c>
      <c r="BI268" s="82">
        <f t="shared" si="516"/>
        <v>159</v>
      </c>
      <c r="BJ268" s="82">
        <f t="shared" si="517"/>
        <v>370.8</v>
      </c>
      <c r="BK268" s="82">
        <f t="shared" si="518"/>
        <v>5466</v>
      </c>
      <c r="BL268" s="82">
        <f t="shared" si="519"/>
        <v>644</v>
      </c>
      <c r="BM268" s="82">
        <f t="shared" si="520"/>
        <v>0</v>
      </c>
      <c r="BN268" s="82">
        <f t="shared" si="521"/>
        <v>1698</v>
      </c>
      <c r="BO268" s="82">
        <f t="shared" si="522"/>
        <v>3493</v>
      </c>
      <c r="BP268" s="82">
        <f t="shared" si="523"/>
        <v>12</v>
      </c>
      <c r="BQ268" s="82"/>
      <c r="BR268" s="129">
        <f>SUMIF('Audit HD AR - School Level'!$B$6:B1424, "=" &amp; A268,'Audit HD AR - School Level'!$Q$6:Q1424)</f>
        <v>0</v>
      </c>
      <c r="BS268" s="224">
        <f t="shared" si="524"/>
        <v>-1773</v>
      </c>
      <c r="BT268" s="126">
        <f t="shared" si="525"/>
        <v>-1773</v>
      </c>
      <c r="BU268" s="82">
        <f t="shared" si="526"/>
        <v>5364</v>
      </c>
    </row>
    <row r="269" spans="1:73">
      <c r="A269" s="1" t="s">
        <v>379</v>
      </c>
      <c r="U269" s="126">
        <v>322.5</v>
      </c>
      <c r="X269" s="126">
        <v>4.5</v>
      </c>
      <c r="Y269" s="126">
        <v>318.5</v>
      </c>
      <c r="Z269" s="126">
        <v>0</v>
      </c>
      <c r="AC269" s="126">
        <v>71.7</v>
      </c>
      <c r="AD269" s="126">
        <v>0</v>
      </c>
      <c r="AE269" s="126">
        <v>0</v>
      </c>
      <c r="AF269" s="126">
        <v>333</v>
      </c>
      <c r="AG269" s="126">
        <v>138</v>
      </c>
      <c r="AI269" s="126">
        <v>0</v>
      </c>
      <c r="AJ269" s="126">
        <v>79</v>
      </c>
      <c r="AK269" s="132">
        <v>2</v>
      </c>
      <c r="AL269" s="126">
        <v>29</v>
      </c>
      <c r="AO269" s="132">
        <v>0</v>
      </c>
      <c r="AP269" s="126">
        <v>0</v>
      </c>
      <c r="AQ269" s="134">
        <v>0</v>
      </c>
      <c r="AR269" s="132">
        <v>0</v>
      </c>
      <c r="AS269" s="134">
        <v>0</v>
      </c>
      <c r="AT269" s="132">
        <v>0</v>
      </c>
      <c r="AU269" s="132">
        <v>0</v>
      </c>
      <c r="AV269" s="83">
        <v>99539</v>
      </c>
      <c r="AW269" s="237">
        <v>43616</v>
      </c>
      <c r="AX269" s="233">
        <f t="shared" si="528"/>
        <v>25</v>
      </c>
      <c r="AY269" s="232" t="s">
        <v>3487</v>
      </c>
      <c r="AZ269" s="233" t="b">
        <f t="shared" si="527"/>
        <v>0</v>
      </c>
      <c r="BA269" s="129"/>
      <c r="BB269" s="129"/>
      <c r="BC269" s="129"/>
      <c r="BD269" s="129"/>
      <c r="BE269" s="82">
        <f t="shared" si="513"/>
        <v>322.5</v>
      </c>
      <c r="BF269" s="82">
        <f t="shared" si="514"/>
        <v>4.5</v>
      </c>
      <c r="BG269" s="82"/>
      <c r="BH269" s="82">
        <f t="shared" si="515"/>
        <v>71.7</v>
      </c>
      <c r="BI269" s="82">
        <f t="shared" si="516"/>
        <v>0</v>
      </c>
      <c r="BJ269" s="82">
        <f t="shared" si="517"/>
        <v>0</v>
      </c>
      <c r="BK269" s="82">
        <f t="shared" si="518"/>
        <v>333</v>
      </c>
      <c r="BL269" s="82">
        <f t="shared" si="519"/>
        <v>138</v>
      </c>
      <c r="BM269" s="82">
        <f t="shared" si="520"/>
        <v>0</v>
      </c>
      <c r="BN269" s="82">
        <f t="shared" si="521"/>
        <v>79</v>
      </c>
      <c r="BO269" s="82">
        <f t="shared" si="522"/>
        <v>2</v>
      </c>
      <c r="BP269" s="82">
        <f t="shared" si="523"/>
        <v>29</v>
      </c>
      <c r="BQ269" s="82"/>
      <c r="BR269" s="129">
        <f>SUMIF('Audit HD AR - School Level'!$B$6:B1425, "=" &amp; A269,'Audit HD AR - School Level'!$Q$6:Q1425)</f>
        <v>6.9</v>
      </c>
      <c r="BS269" s="224">
        <f t="shared" si="524"/>
        <v>0</v>
      </c>
      <c r="BT269" s="126">
        <f t="shared" si="525"/>
        <v>0</v>
      </c>
      <c r="BU269" s="82">
        <f t="shared" si="526"/>
        <v>322.5</v>
      </c>
    </row>
    <row r="270" spans="1:73">
      <c r="A270" s="1" t="s">
        <v>386</v>
      </c>
      <c r="U270" s="126">
        <v>1046</v>
      </c>
      <c r="X270" s="126">
        <v>6</v>
      </c>
      <c r="Y270" s="126">
        <v>866.3</v>
      </c>
      <c r="Z270" s="126">
        <v>0</v>
      </c>
      <c r="AC270" s="126">
        <v>276.8</v>
      </c>
      <c r="AD270" s="126">
        <v>2</v>
      </c>
      <c r="AE270" s="126">
        <v>3.9</v>
      </c>
      <c r="AF270" s="126">
        <v>829</v>
      </c>
      <c r="AG270" s="126">
        <v>183</v>
      </c>
      <c r="AI270" s="126">
        <v>0</v>
      </c>
      <c r="AJ270" s="126">
        <v>274.5</v>
      </c>
      <c r="AK270" s="132">
        <v>32.5</v>
      </c>
      <c r="AL270" s="126">
        <v>24.5</v>
      </c>
      <c r="AO270" s="132">
        <v>70</v>
      </c>
      <c r="AP270" s="126">
        <v>144.1</v>
      </c>
      <c r="AQ270" s="134">
        <v>39</v>
      </c>
      <c r="AR270" s="132">
        <v>22</v>
      </c>
      <c r="AS270" s="134">
        <v>35</v>
      </c>
      <c r="AT270" s="132">
        <v>0</v>
      </c>
      <c r="AU270" s="132">
        <v>0</v>
      </c>
      <c r="AV270" s="83">
        <v>403011</v>
      </c>
      <c r="AW270" s="237">
        <v>43616</v>
      </c>
      <c r="AX270" s="233">
        <f t="shared" si="528"/>
        <v>25</v>
      </c>
      <c r="AY270" s="232" t="s">
        <v>3487</v>
      </c>
      <c r="AZ270" s="233" t="b">
        <f t="shared" si="527"/>
        <v>0</v>
      </c>
      <c r="BA270" s="129"/>
      <c r="BB270" s="129"/>
      <c r="BC270" s="129"/>
      <c r="BD270" s="129"/>
      <c r="BE270" s="82">
        <f t="shared" si="513"/>
        <v>809.9</v>
      </c>
      <c r="BF270" s="82">
        <f t="shared" si="514"/>
        <v>6</v>
      </c>
      <c r="BG270" s="82"/>
      <c r="BH270" s="82">
        <f t="shared" si="515"/>
        <v>276.8</v>
      </c>
      <c r="BI270" s="82">
        <f t="shared" si="516"/>
        <v>2</v>
      </c>
      <c r="BJ270" s="82">
        <f t="shared" si="517"/>
        <v>3.9</v>
      </c>
      <c r="BK270" s="82">
        <f t="shared" si="518"/>
        <v>829</v>
      </c>
      <c r="BL270" s="82">
        <f t="shared" si="519"/>
        <v>183</v>
      </c>
      <c r="BM270" s="82">
        <f t="shared" si="520"/>
        <v>0</v>
      </c>
      <c r="BN270" s="82">
        <f t="shared" si="521"/>
        <v>274.5</v>
      </c>
      <c r="BO270" s="82">
        <f t="shared" si="522"/>
        <v>32.5</v>
      </c>
      <c r="BP270" s="82">
        <f t="shared" si="523"/>
        <v>24.5</v>
      </c>
      <c r="BQ270" s="82"/>
      <c r="BR270" s="129">
        <f>SUMIF('Audit HD AR - School Level'!$B$6:B1426, "=" &amp; A270,'Audit HD AR - School Level'!$Q$6:Q1426)</f>
        <v>0</v>
      </c>
      <c r="BS270" s="224">
        <f t="shared" si="524"/>
        <v>-2836</v>
      </c>
      <c r="BT270" s="126">
        <f t="shared" si="525"/>
        <v>-2836</v>
      </c>
      <c r="BU270" s="82">
        <f t="shared" si="526"/>
        <v>809.9</v>
      </c>
    </row>
    <row r="271" spans="1:73">
      <c r="A271" s="1" t="s">
        <v>391</v>
      </c>
      <c r="U271" s="126">
        <v>768.6</v>
      </c>
      <c r="X271" s="126">
        <v>10.5</v>
      </c>
      <c r="Y271" s="126">
        <v>809.2</v>
      </c>
      <c r="Z271" s="126">
        <v>0</v>
      </c>
      <c r="AC271" s="126">
        <v>239.8</v>
      </c>
      <c r="AD271" s="126">
        <v>159</v>
      </c>
      <c r="AE271" s="126">
        <v>447.7</v>
      </c>
      <c r="AF271" s="126">
        <v>805</v>
      </c>
      <c r="AG271" s="126">
        <v>484</v>
      </c>
      <c r="AI271" s="126">
        <v>14</v>
      </c>
      <c r="AJ271" s="126">
        <v>44</v>
      </c>
      <c r="AK271" s="132">
        <v>7</v>
      </c>
      <c r="AL271" s="126">
        <v>35</v>
      </c>
      <c r="AO271" s="132">
        <v>0</v>
      </c>
      <c r="AP271" s="126">
        <v>0</v>
      </c>
      <c r="AQ271" s="134">
        <v>0</v>
      </c>
      <c r="AR271" s="132">
        <v>0</v>
      </c>
      <c r="AS271" s="134">
        <v>0</v>
      </c>
      <c r="AT271" s="132">
        <v>0</v>
      </c>
      <c r="AU271" s="132">
        <v>0</v>
      </c>
      <c r="AV271" s="83">
        <v>68819</v>
      </c>
      <c r="AW271" s="237">
        <v>43616</v>
      </c>
      <c r="AX271" s="233">
        <f t="shared" si="528"/>
        <v>25</v>
      </c>
      <c r="AY271" s="232" t="s">
        <v>3487</v>
      </c>
      <c r="AZ271" s="233" t="b">
        <f t="shared" si="527"/>
        <v>0</v>
      </c>
      <c r="BA271" s="129"/>
      <c r="BB271" s="129"/>
      <c r="BC271" s="129"/>
      <c r="BD271" s="129"/>
      <c r="BE271" s="82">
        <f t="shared" si="513"/>
        <v>768.6</v>
      </c>
      <c r="BF271" s="82">
        <f t="shared" si="514"/>
        <v>10.5</v>
      </c>
      <c r="BG271" s="82"/>
      <c r="BH271" s="82">
        <f t="shared" si="515"/>
        <v>239.8</v>
      </c>
      <c r="BI271" s="82">
        <f t="shared" si="516"/>
        <v>159</v>
      </c>
      <c r="BJ271" s="82">
        <f t="shared" si="517"/>
        <v>447.7</v>
      </c>
      <c r="BK271" s="82">
        <f t="shared" si="518"/>
        <v>805</v>
      </c>
      <c r="BL271" s="82">
        <f t="shared" si="519"/>
        <v>484</v>
      </c>
      <c r="BM271" s="82">
        <f t="shared" si="520"/>
        <v>14</v>
      </c>
      <c r="BN271" s="82">
        <f t="shared" si="521"/>
        <v>44</v>
      </c>
      <c r="BO271" s="82">
        <f t="shared" si="522"/>
        <v>7</v>
      </c>
      <c r="BP271" s="82">
        <f t="shared" si="523"/>
        <v>35</v>
      </c>
      <c r="BQ271" s="82"/>
      <c r="BR271" s="129">
        <f>SUMIF('Audit HD AR - School Level'!$B$6:B1427, "=" &amp; A271,'Audit HD AR - School Level'!$Q$6:Q1427)</f>
        <v>50.8</v>
      </c>
      <c r="BS271" s="224">
        <f t="shared" si="524"/>
        <v>0</v>
      </c>
      <c r="BT271" s="126">
        <f t="shared" si="525"/>
        <v>0</v>
      </c>
      <c r="BU271" s="82">
        <f t="shared" si="526"/>
        <v>768.6</v>
      </c>
    </row>
    <row r="272" spans="1:73">
      <c r="A272" s="1" t="s">
        <v>398</v>
      </c>
      <c r="U272" s="126">
        <v>1825.5</v>
      </c>
      <c r="X272" s="126">
        <v>20</v>
      </c>
      <c r="Y272" s="126">
        <v>1832</v>
      </c>
      <c r="Z272" s="126">
        <v>0</v>
      </c>
      <c r="AC272" s="126">
        <v>559.29999999999995</v>
      </c>
      <c r="AD272" s="126">
        <v>43</v>
      </c>
      <c r="AE272" s="126">
        <v>72</v>
      </c>
      <c r="AF272" s="126">
        <v>1883.8</v>
      </c>
      <c r="AG272" s="126">
        <v>956</v>
      </c>
      <c r="AI272" s="126">
        <v>0</v>
      </c>
      <c r="AJ272" s="126">
        <v>592</v>
      </c>
      <c r="AK272" s="132">
        <v>1089</v>
      </c>
      <c r="AL272" s="126">
        <v>18</v>
      </c>
      <c r="AO272" s="132">
        <v>1</v>
      </c>
      <c r="AP272" s="126">
        <v>0.8</v>
      </c>
      <c r="AQ272" s="134">
        <v>2</v>
      </c>
      <c r="AR272" s="132">
        <v>1.2</v>
      </c>
      <c r="AS272" s="134">
        <v>1</v>
      </c>
      <c r="AT272" s="132">
        <v>0</v>
      </c>
      <c r="AU272" s="132">
        <v>0</v>
      </c>
      <c r="AV272" s="83">
        <v>382294</v>
      </c>
      <c r="AW272" s="237">
        <v>43616</v>
      </c>
      <c r="AX272" s="233">
        <f t="shared" si="528"/>
        <v>25</v>
      </c>
      <c r="AY272" s="232" t="s">
        <v>3487</v>
      </c>
      <c r="AZ272" s="233" t="b">
        <f t="shared" si="527"/>
        <v>0</v>
      </c>
      <c r="BA272" s="129"/>
      <c r="BB272" s="129"/>
      <c r="BC272" s="129"/>
      <c r="BD272" s="129"/>
      <c r="BE272" s="82">
        <f t="shared" si="513"/>
        <v>1822.5</v>
      </c>
      <c r="BF272" s="82">
        <f t="shared" si="514"/>
        <v>20</v>
      </c>
      <c r="BG272" s="82"/>
      <c r="BH272" s="82">
        <f t="shared" si="515"/>
        <v>559.29999999999995</v>
      </c>
      <c r="BI272" s="82">
        <f t="shared" si="516"/>
        <v>43</v>
      </c>
      <c r="BJ272" s="82">
        <f t="shared" si="517"/>
        <v>72</v>
      </c>
      <c r="BK272" s="82">
        <f t="shared" si="518"/>
        <v>1883.8</v>
      </c>
      <c r="BL272" s="82">
        <f t="shared" si="519"/>
        <v>956</v>
      </c>
      <c r="BM272" s="82">
        <f t="shared" si="520"/>
        <v>0</v>
      </c>
      <c r="BN272" s="82">
        <f t="shared" si="521"/>
        <v>592</v>
      </c>
      <c r="BO272" s="82">
        <f t="shared" si="522"/>
        <v>1089</v>
      </c>
      <c r="BP272" s="82">
        <f t="shared" si="523"/>
        <v>18</v>
      </c>
      <c r="BQ272" s="82"/>
      <c r="BR272" s="129">
        <f>SUMIF('Audit HD AR - School Level'!$B$6:B1429, "=" &amp; A272,'Audit HD AR - School Level'!$Q$6:Q1429)</f>
        <v>87.4</v>
      </c>
      <c r="BS272" s="224">
        <f t="shared" si="524"/>
        <v>-709</v>
      </c>
      <c r="BT272" s="126">
        <f t="shared" si="525"/>
        <v>-709</v>
      </c>
      <c r="BU272" s="82">
        <f t="shared" si="526"/>
        <v>1822.5</v>
      </c>
    </row>
    <row r="273" spans="1:73">
      <c r="A273" s="1" t="s">
        <v>406</v>
      </c>
      <c r="U273" s="126">
        <v>442.8</v>
      </c>
      <c r="X273" s="126">
        <v>0</v>
      </c>
      <c r="Y273" s="126">
        <v>242.5</v>
      </c>
      <c r="Z273" s="126">
        <v>0</v>
      </c>
      <c r="AC273" s="126">
        <v>77</v>
      </c>
      <c r="AD273" s="126">
        <v>0</v>
      </c>
      <c r="AE273" s="126">
        <v>0</v>
      </c>
      <c r="AF273" s="126">
        <v>255</v>
      </c>
      <c r="AG273" s="126">
        <v>68</v>
      </c>
      <c r="AI273" s="126">
        <v>0</v>
      </c>
      <c r="AJ273" s="126">
        <v>93</v>
      </c>
      <c r="AK273" s="132">
        <v>1</v>
      </c>
      <c r="AL273" s="126">
        <v>24</v>
      </c>
      <c r="AO273" s="132">
        <v>127</v>
      </c>
      <c r="AP273" s="126">
        <v>2.8</v>
      </c>
      <c r="AQ273" s="134">
        <v>97</v>
      </c>
      <c r="AR273" s="132">
        <v>61</v>
      </c>
      <c r="AS273" s="134">
        <v>116</v>
      </c>
      <c r="AT273" s="132">
        <v>0</v>
      </c>
      <c r="AU273" s="132">
        <v>0</v>
      </c>
      <c r="AV273" s="83">
        <v>171078</v>
      </c>
      <c r="AW273" s="237">
        <v>43616</v>
      </c>
      <c r="AX273" s="233">
        <f t="shared" si="528"/>
        <v>25</v>
      </c>
      <c r="AY273" s="232" t="s">
        <v>3487</v>
      </c>
      <c r="AZ273" s="233" t="b">
        <f t="shared" si="527"/>
        <v>0</v>
      </c>
      <c r="BA273" s="129"/>
      <c r="BB273" s="129"/>
      <c r="BC273" s="129"/>
      <c r="BD273" s="129"/>
      <c r="BE273" s="82">
        <f t="shared" si="513"/>
        <v>252</v>
      </c>
      <c r="BF273" s="82">
        <f t="shared" si="514"/>
        <v>0</v>
      </c>
      <c r="BG273" s="82"/>
      <c r="BH273" s="82">
        <f t="shared" si="515"/>
        <v>77</v>
      </c>
      <c r="BI273" s="82">
        <f t="shared" si="516"/>
        <v>0</v>
      </c>
      <c r="BJ273" s="82">
        <f t="shared" si="517"/>
        <v>0</v>
      </c>
      <c r="BK273" s="82">
        <f t="shared" si="518"/>
        <v>255</v>
      </c>
      <c r="BL273" s="82">
        <f t="shared" si="519"/>
        <v>68</v>
      </c>
      <c r="BM273" s="82">
        <f t="shared" si="520"/>
        <v>0</v>
      </c>
      <c r="BN273" s="82">
        <f t="shared" si="521"/>
        <v>93</v>
      </c>
      <c r="BO273" s="82">
        <f t="shared" si="522"/>
        <v>1</v>
      </c>
      <c r="BP273" s="82">
        <f t="shared" si="523"/>
        <v>24</v>
      </c>
      <c r="BQ273" s="82"/>
      <c r="BR273" s="129">
        <f>SUMIF('Audit HD AR - School Level'!$B$6:B1430, "=" &amp; A273,'Audit HD AR - School Level'!$Q$6:Q1430)</f>
        <v>0</v>
      </c>
      <c r="BS273" s="224">
        <f t="shared" si="524"/>
        <v>13471</v>
      </c>
      <c r="BT273" s="126">
        <f t="shared" si="525"/>
        <v>0</v>
      </c>
      <c r="BU273" s="82">
        <f t="shared" si="526"/>
        <v>252</v>
      </c>
    </row>
    <row r="274" spans="1:73">
      <c r="A274" s="1" t="s">
        <v>415</v>
      </c>
      <c r="U274" s="126">
        <v>1501</v>
      </c>
      <c r="X274" s="126">
        <v>0</v>
      </c>
      <c r="Y274" s="126">
        <v>1541.2</v>
      </c>
      <c r="Z274" s="126">
        <v>0</v>
      </c>
      <c r="AC274" s="126">
        <v>531.29999999999995</v>
      </c>
      <c r="AD274" s="126">
        <v>29</v>
      </c>
      <c r="AE274" s="126">
        <v>60.4</v>
      </c>
      <c r="AF274" s="126">
        <v>1562</v>
      </c>
      <c r="AG274" s="126">
        <v>527</v>
      </c>
      <c r="AI274" s="126">
        <v>12.3</v>
      </c>
      <c r="AJ274" s="126">
        <v>237</v>
      </c>
      <c r="AK274" s="132">
        <v>1073.7</v>
      </c>
      <c r="AL274" s="126">
        <v>179.7</v>
      </c>
      <c r="AO274" s="132">
        <v>7</v>
      </c>
      <c r="AP274" s="126">
        <v>3.1</v>
      </c>
      <c r="AQ274" s="134">
        <v>14</v>
      </c>
      <c r="AR274" s="132">
        <v>9</v>
      </c>
      <c r="AS274" s="134">
        <v>13.5</v>
      </c>
      <c r="AT274" s="132">
        <v>14</v>
      </c>
      <c r="AU274" s="132">
        <v>0</v>
      </c>
      <c r="AV274" s="83">
        <v>350700</v>
      </c>
      <c r="AW274" s="237">
        <v>43616</v>
      </c>
      <c r="AX274" s="233">
        <f t="shared" si="528"/>
        <v>25</v>
      </c>
      <c r="AY274" s="232" t="s">
        <v>3487</v>
      </c>
      <c r="AZ274" s="233" t="b">
        <f t="shared" si="527"/>
        <v>0</v>
      </c>
      <c r="BA274" s="129"/>
      <c r="BB274" s="129"/>
      <c r="BC274" s="129"/>
      <c r="BD274" s="129"/>
      <c r="BE274" s="82">
        <f t="shared" si="513"/>
        <v>1481.9</v>
      </c>
      <c r="BF274" s="82">
        <f t="shared" si="514"/>
        <v>0</v>
      </c>
      <c r="BG274" s="82"/>
      <c r="BH274" s="82">
        <f t="shared" si="515"/>
        <v>531.29999999999995</v>
      </c>
      <c r="BI274" s="82">
        <f t="shared" si="516"/>
        <v>29</v>
      </c>
      <c r="BJ274" s="82">
        <f t="shared" si="517"/>
        <v>60.4</v>
      </c>
      <c r="BK274" s="82">
        <f t="shared" si="518"/>
        <v>1562</v>
      </c>
      <c r="BL274" s="82">
        <f t="shared" si="519"/>
        <v>527</v>
      </c>
      <c r="BM274" s="82">
        <f t="shared" si="520"/>
        <v>12.3</v>
      </c>
      <c r="BN274" s="82">
        <f t="shared" si="521"/>
        <v>237</v>
      </c>
      <c r="BO274" s="82">
        <f t="shared" si="522"/>
        <v>1073.7</v>
      </c>
      <c r="BP274" s="82">
        <f t="shared" si="523"/>
        <v>179.7</v>
      </c>
      <c r="BQ274" s="82"/>
      <c r="BR274" s="129">
        <f>SUMIF('Audit HD AR - School Level'!$B$6:B1431, "=" &amp; A274,'Audit HD AR - School Level'!$Q$6:Q1431)</f>
        <v>9.4</v>
      </c>
      <c r="BS274" s="224">
        <f t="shared" si="524"/>
        <v>-355</v>
      </c>
      <c r="BT274" s="126">
        <f t="shared" si="525"/>
        <v>-355</v>
      </c>
      <c r="BU274" s="82">
        <f t="shared" si="526"/>
        <v>1481.9</v>
      </c>
    </row>
    <row r="275" spans="1:73">
      <c r="A275" s="1" t="s">
        <v>417</v>
      </c>
      <c r="U275" s="126">
        <v>6175.3</v>
      </c>
      <c r="X275" s="126">
        <v>35.5</v>
      </c>
      <c r="Y275" s="126">
        <v>6250.8</v>
      </c>
      <c r="Z275" s="126">
        <v>0</v>
      </c>
      <c r="AC275" s="126">
        <v>1003.6</v>
      </c>
      <c r="AD275" s="126">
        <v>138</v>
      </c>
      <c r="AE275" s="126">
        <v>139.9</v>
      </c>
      <c r="AF275" s="126">
        <v>6266.1</v>
      </c>
      <c r="AG275" s="126">
        <v>1502</v>
      </c>
      <c r="AI275" s="126">
        <v>0</v>
      </c>
      <c r="AJ275" s="126">
        <v>3280</v>
      </c>
      <c r="AK275" s="132">
        <v>2182</v>
      </c>
      <c r="AL275" s="126">
        <v>17</v>
      </c>
      <c r="AO275" s="132">
        <v>4</v>
      </c>
      <c r="AP275" s="126">
        <v>0</v>
      </c>
      <c r="AQ275" s="134">
        <v>5.5</v>
      </c>
      <c r="AR275" s="132">
        <v>11.9</v>
      </c>
      <c r="AS275" s="134">
        <v>5.5</v>
      </c>
      <c r="AT275" s="132">
        <v>0</v>
      </c>
      <c r="AU275" s="132">
        <v>2</v>
      </c>
      <c r="AV275" s="83">
        <v>1619638</v>
      </c>
      <c r="AW275" s="237">
        <v>43616</v>
      </c>
      <c r="AX275" s="233">
        <f t="shared" si="528"/>
        <v>25</v>
      </c>
      <c r="AY275" s="232" t="s">
        <v>3487</v>
      </c>
      <c r="AZ275" s="233" t="b">
        <f t="shared" si="527"/>
        <v>0</v>
      </c>
      <c r="BA275" s="129"/>
      <c r="BB275" s="129"/>
      <c r="BC275" s="129"/>
      <c r="BD275" s="129"/>
      <c r="BE275" s="82">
        <f t="shared" si="513"/>
        <v>6159.4</v>
      </c>
      <c r="BF275" s="82">
        <f t="shared" si="514"/>
        <v>35.5</v>
      </c>
      <c r="BG275" s="82"/>
      <c r="BH275" s="82">
        <f t="shared" si="515"/>
        <v>1003.6</v>
      </c>
      <c r="BI275" s="82">
        <f t="shared" si="516"/>
        <v>138</v>
      </c>
      <c r="BJ275" s="82">
        <f t="shared" si="517"/>
        <v>139.9</v>
      </c>
      <c r="BK275" s="82">
        <f t="shared" si="518"/>
        <v>6266.1</v>
      </c>
      <c r="BL275" s="82">
        <f t="shared" si="519"/>
        <v>1502</v>
      </c>
      <c r="BM275" s="82">
        <f t="shared" si="520"/>
        <v>0</v>
      </c>
      <c r="BN275" s="82">
        <f t="shared" si="521"/>
        <v>3280</v>
      </c>
      <c r="BO275" s="82">
        <f t="shared" si="522"/>
        <v>2182</v>
      </c>
      <c r="BP275" s="82">
        <f t="shared" si="523"/>
        <v>17</v>
      </c>
      <c r="BQ275" s="82"/>
      <c r="BR275" s="129">
        <f>SUMIF('Audit HD AR - School Level'!$B$6:B1432, "=" &amp; A275,'Audit HD AR - School Level'!$Q$6:Q1432)</f>
        <v>44.4</v>
      </c>
      <c r="BS275" s="224">
        <f t="shared" si="524"/>
        <v>0</v>
      </c>
      <c r="BT275" s="126">
        <f t="shared" si="525"/>
        <v>0</v>
      </c>
      <c r="BU275" s="82">
        <f t="shared" si="526"/>
        <v>6159.4</v>
      </c>
    </row>
    <row r="276" spans="1:73">
      <c r="A276" s="1" t="s">
        <v>421</v>
      </c>
      <c r="U276" s="126">
        <v>6715.6</v>
      </c>
      <c r="X276" s="126">
        <v>120</v>
      </c>
      <c r="Y276" s="126">
        <v>6876.8</v>
      </c>
      <c r="Z276" s="126">
        <v>0</v>
      </c>
      <c r="AC276" s="126">
        <v>2163.4</v>
      </c>
      <c r="AD276" s="126">
        <v>3479</v>
      </c>
      <c r="AE276" s="126">
        <v>12616</v>
      </c>
      <c r="AF276" s="126">
        <v>6988</v>
      </c>
      <c r="AG276" s="126">
        <v>4720</v>
      </c>
      <c r="AI276" s="126">
        <v>1498.4</v>
      </c>
      <c r="AJ276" s="126">
        <v>2672</v>
      </c>
      <c r="AK276" s="132">
        <v>2350</v>
      </c>
      <c r="AL276" s="126">
        <v>49</v>
      </c>
      <c r="AO276" s="132">
        <v>2</v>
      </c>
      <c r="AP276" s="126">
        <v>0.6</v>
      </c>
      <c r="AQ276" s="134">
        <v>53</v>
      </c>
      <c r="AR276" s="132">
        <v>44</v>
      </c>
      <c r="AS276" s="134">
        <v>53.5</v>
      </c>
      <c r="AT276" s="132">
        <v>120</v>
      </c>
      <c r="AU276" s="132">
        <v>0</v>
      </c>
      <c r="AV276" s="83">
        <v>1368247</v>
      </c>
      <c r="AW276" s="237">
        <v>43616</v>
      </c>
      <c r="AX276" s="233">
        <f t="shared" si="528"/>
        <v>25</v>
      </c>
      <c r="AY276" s="232" t="s">
        <v>3487</v>
      </c>
      <c r="AZ276" s="233" t="b">
        <f t="shared" si="527"/>
        <v>0</v>
      </c>
      <c r="BA276" s="129"/>
      <c r="BB276" s="129"/>
      <c r="BC276" s="129"/>
      <c r="BD276" s="129"/>
      <c r="BE276" s="82">
        <f t="shared" si="513"/>
        <v>6669</v>
      </c>
      <c r="BF276" s="82">
        <f t="shared" si="514"/>
        <v>120</v>
      </c>
      <c r="BG276" s="82"/>
      <c r="BH276" s="82">
        <f t="shared" si="515"/>
        <v>2163.4</v>
      </c>
      <c r="BI276" s="82">
        <f t="shared" si="516"/>
        <v>3479</v>
      </c>
      <c r="BJ276" s="82">
        <f t="shared" si="517"/>
        <v>12616</v>
      </c>
      <c r="BK276" s="82">
        <f t="shared" si="518"/>
        <v>6988</v>
      </c>
      <c r="BL276" s="82">
        <f t="shared" si="519"/>
        <v>4720</v>
      </c>
      <c r="BM276" s="82">
        <f t="shared" si="520"/>
        <v>1498.4</v>
      </c>
      <c r="BN276" s="82">
        <f t="shared" si="521"/>
        <v>2672</v>
      </c>
      <c r="BO276" s="82">
        <f t="shared" si="522"/>
        <v>2350</v>
      </c>
      <c r="BP276" s="82">
        <f t="shared" si="523"/>
        <v>49</v>
      </c>
      <c r="BQ276" s="82"/>
      <c r="BR276" s="129">
        <f>SUMIF('Audit HD AR - School Level'!$B$6:B1433, "=" &amp; A276,'Audit HD AR - School Level'!$Q$6:Q1433)</f>
        <v>495.6</v>
      </c>
      <c r="BS276" s="224">
        <f t="shared" si="524"/>
        <v>355</v>
      </c>
      <c r="BT276" s="126">
        <f t="shared" si="525"/>
        <v>0</v>
      </c>
      <c r="BU276" s="82">
        <f t="shared" si="526"/>
        <v>6669</v>
      </c>
    </row>
    <row r="277" spans="1:73">
      <c r="A277" s="1" t="s">
        <v>428</v>
      </c>
      <c r="U277" s="126">
        <v>3508.7</v>
      </c>
      <c r="X277" s="126">
        <v>20</v>
      </c>
      <c r="Y277" s="126">
        <v>3510.7</v>
      </c>
      <c r="Z277" s="126">
        <v>0</v>
      </c>
      <c r="AC277" s="126">
        <v>466.7</v>
      </c>
      <c r="AD277" s="126">
        <v>98</v>
      </c>
      <c r="AE277" s="126">
        <v>214.8</v>
      </c>
      <c r="AF277" s="126">
        <v>3484.8</v>
      </c>
      <c r="AG277" s="126">
        <v>957</v>
      </c>
      <c r="AI277" s="126">
        <v>0</v>
      </c>
      <c r="AJ277" s="126">
        <v>2502</v>
      </c>
      <c r="AK277" s="132">
        <v>712</v>
      </c>
      <c r="AL277" s="126">
        <v>266</v>
      </c>
      <c r="AO277" s="132">
        <v>12</v>
      </c>
      <c r="AP277" s="126">
        <v>0</v>
      </c>
      <c r="AQ277" s="134">
        <v>37.5</v>
      </c>
      <c r="AR277" s="132">
        <v>76.2</v>
      </c>
      <c r="AS277" s="134">
        <v>40</v>
      </c>
      <c r="AT277" s="132">
        <v>0</v>
      </c>
      <c r="AU277" s="132">
        <v>1</v>
      </c>
      <c r="AV277" s="83">
        <v>1509573</v>
      </c>
      <c r="AW277" s="237">
        <v>43616</v>
      </c>
      <c r="AX277" s="233">
        <f t="shared" si="528"/>
        <v>25</v>
      </c>
      <c r="AY277" s="232" t="s">
        <v>3487</v>
      </c>
      <c r="AZ277" s="233" t="b">
        <f t="shared" si="527"/>
        <v>0</v>
      </c>
      <c r="BA277" s="129"/>
      <c r="BB277" s="129"/>
      <c r="BC277" s="129"/>
      <c r="BD277" s="129"/>
      <c r="BE277" s="82">
        <f t="shared" si="513"/>
        <v>3420.5</v>
      </c>
      <c r="BF277" s="82">
        <f t="shared" si="514"/>
        <v>20</v>
      </c>
      <c r="BG277" s="82"/>
      <c r="BH277" s="82">
        <f t="shared" si="515"/>
        <v>466.7</v>
      </c>
      <c r="BI277" s="82">
        <f t="shared" si="516"/>
        <v>98</v>
      </c>
      <c r="BJ277" s="82">
        <f t="shared" si="517"/>
        <v>214.8</v>
      </c>
      <c r="BK277" s="82">
        <f t="shared" si="518"/>
        <v>3484.8</v>
      </c>
      <c r="BL277" s="82">
        <f t="shared" si="519"/>
        <v>957</v>
      </c>
      <c r="BM277" s="82">
        <f t="shared" si="520"/>
        <v>0</v>
      </c>
      <c r="BN277" s="82">
        <f t="shared" si="521"/>
        <v>2502</v>
      </c>
      <c r="BO277" s="82">
        <f t="shared" si="522"/>
        <v>712</v>
      </c>
      <c r="BP277" s="82">
        <f t="shared" si="523"/>
        <v>266</v>
      </c>
      <c r="BQ277" s="82"/>
      <c r="BR277" s="129">
        <f>SUMIF('Audit HD AR - School Level'!$B$6:B1434, "=" &amp; A277,'Audit HD AR - School Level'!$Q$6:Q1434)</f>
        <v>6.3</v>
      </c>
      <c r="BS277" s="224">
        <f t="shared" si="524"/>
        <v>1773</v>
      </c>
      <c r="BT277" s="126">
        <f t="shared" si="525"/>
        <v>0</v>
      </c>
      <c r="BU277" s="82">
        <f t="shared" si="526"/>
        <v>3420.5</v>
      </c>
    </row>
    <row r="278" spans="1:73">
      <c r="A278" s="1" t="s">
        <v>433</v>
      </c>
      <c r="U278" s="126">
        <v>7175</v>
      </c>
      <c r="X278" s="126">
        <v>95</v>
      </c>
      <c r="Y278" s="126">
        <v>7431.6</v>
      </c>
      <c r="Z278" s="126">
        <v>0</v>
      </c>
      <c r="AC278" s="126">
        <v>1495.5</v>
      </c>
      <c r="AD278" s="126">
        <v>2826</v>
      </c>
      <c r="AE278" s="126">
        <v>8003.5</v>
      </c>
      <c r="AF278" s="126">
        <v>7406</v>
      </c>
      <c r="AG278" s="126">
        <v>3999</v>
      </c>
      <c r="AI278" s="126">
        <v>0</v>
      </c>
      <c r="AJ278" s="126">
        <v>2313</v>
      </c>
      <c r="AK278" s="132">
        <v>1054</v>
      </c>
      <c r="AL278" s="126">
        <v>2</v>
      </c>
      <c r="AO278" s="132">
        <v>49</v>
      </c>
      <c r="AP278" s="126">
        <v>0.8</v>
      </c>
      <c r="AQ278" s="134">
        <v>53</v>
      </c>
      <c r="AR278" s="132">
        <v>0</v>
      </c>
      <c r="AS278" s="134">
        <v>46</v>
      </c>
      <c r="AT278" s="132">
        <v>55</v>
      </c>
      <c r="AU278" s="132">
        <v>0</v>
      </c>
      <c r="AV278" s="83">
        <v>1869573</v>
      </c>
      <c r="AW278" s="237">
        <v>43616</v>
      </c>
      <c r="AX278" s="233">
        <f t="shared" si="528"/>
        <v>25</v>
      </c>
      <c r="AY278" s="232" t="s">
        <v>3487</v>
      </c>
      <c r="AZ278" s="233" t="b">
        <f t="shared" si="527"/>
        <v>0</v>
      </c>
      <c r="BA278" s="129"/>
      <c r="BB278" s="129"/>
      <c r="BC278" s="129"/>
      <c r="BD278" s="129"/>
      <c r="BE278" s="82">
        <f t="shared" si="513"/>
        <v>7125.2</v>
      </c>
      <c r="BF278" s="82">
        <f t="shared" si="514"/>
        <v>95</v>
      </c>
      <c r="BG278" s="82"/>
      <c r="BH278" s="82">
        <f t="shared" si="515"/>
        <v>1495.5</v>
      </c>
      <c r="BI278" s="82">
        <f t="shared" si="516"/>
        <v>2826</v>
      </c>
      <c r="BJ278" s="82">
        <f t="shared" si="517"/>
        <v>8003.5</v>
      </c>
      <c r="BK278" s="82">
        <f t="shared" si="518"/>
        <v>7406</v>
      </c>
      <c r="BL278" s="82">
        <f t="shared" si="519"/>
        <v>3999</v>
      </c>
      <c r="BM278" s="82">
        <f t="shared" si="520"/>
        <v>0</v>
      </c>
      <c r="BN278" s="82">
        <f t="shared" si="521"/>
        <v>2313</v>
      </c>
      <c r="BO278" s="82">
        <f t="shared" si="522"/>
        <v>1054</v>
      </c>
      <c r="BP278" s="82">
        <f t="shared" si="523"/>
        <v>2</v>
      </c>
      <c r="BQ278" s="82"/>
      <c r="BR278" s="129">
        <f>SUMIF('Audit HD AR - School Level'!$B$6:B1435, "=" &amp; A278,'Audit HD AR - School Level'!$Q$6:Q1435)</f>
        <v>381.2</v>
      </c>
      <c r="BS278" s="224">
        <f t="shared" si="524"/>
        <v>-4963</v>
      </c>
      <c r="BT278" s="126">
        <f t="shared" si="525"/>
        <v>-4963</v>
      </c>
      <c r="BU278" s="82">
        <f t="shared" si="526"/>
        <v>7125.2</v>
      </c>
    </row>
    <row r="279" spans="1:73">
      <c r="A279" s="1" t="s">
        <v>434</v>
      </c>
      <c r="U279" s="126">
        <v>2698.9</v>
      </c>
      <c r="X279" s="126">
        <v>0</v>
      </c>
      <c r="Y279" s="126">
        <v>2409.3000000000002</v>
      </c>
      <c r="Z279" s="126">
        <v>0</v>
      </c>
      <c r="AC279" s="126">
        <v>731.2</v>
      </c>
      <c r="AD279" s="126">
        <v>37</v>
      </c>
      <c r="AE279" s="126">
        <v>36.799999999999997</v>
      </c>
      <c r="AF279" s="126">
        <v>2520.3000000000002</v>
      </c>
      <c r="AG279" s="126">
        <v>269</v>
      </c>
      <c r="AI279" s="126">
        <v>118.1</v>
      </c>
      <c r="AJ279" s="126">
        <v>1355</v>
      </c>
      <c r="AK279" s="132">
        <v>1011</v>
      </c>
      <c r="AL279" s="126">
        <v>2</v>
      </c>
      <c r="AO279" s="132">
        <v>158</v>
      </c>
      <c r="AP279" s="126">
        <v>6.2</v>
      </c>
      <c r="AQ279" s="134">
        <v>36</v>
      </c>
      <c r="AR279" s="132">
        <v>34.700000000000003</v>
      </c>
      <c r="AS279" s="134">
        <v>15</v>
      </c>
      <c r="AT279" s="132">
        <v>0</v>
      </c>
      <c r="AU279" s="132">
        <v>1</v>
      </c>
      <c r="AV279" s="83">
        <v>1560972</v>
      </c>
      <c r="AW279" s="237">
        <v>43616</v>
      </c>
      <c r="AX279" s="233">
        <f t="shared" si="528"/>
        <v>25</v>
      </c>
      <c r="AY279" s="232" t="s">
        <v>3487</v>
      </c>
      <c r="AZ279" s="233" t="b">
        <f t="shared" si="527"/>
        <v>0</v>
      </c>
      <c r="BA279" s="129"/>
      <c r="BB279" s="129"/>
      <c r="BC279" s="129"/>
      <c r="BD279" s="129"/>
      <c r="BE279" s="82">
        <f t="shared" si="513"/>
        <v>2500</v>
      </c>
      <c r="BF279" s="82">
        <f t="shared" si="514"/>
        <v>0</v>
      </c>
      <c r="BG279" s="82"/>
      <c r="BH279" s="82">
        <f t="shared" si="515"/>
        <v>731.2</v>
      </c>
      <c r="BI279" s="82">
        <f t="shared" si="516"/>
        <v>37</v>
      </c>
      <c r="BJ279" s="82">
        <f t="shared" si="517"/>
        <v>36.799999999999997</v>
      </c>
      <c r="BK279" s="82">
        <f t="shared" si="518"/>
        <v>2520.3000000000002</v>
      </c>
      <c r="BL279" s="82">
        <f t="shared" si="519"/>
        <v>269</v>
      </c>
      <c r="BM279" s="82">
        <f t="shared" si="520"/>
        <v>118.1</v>
      </c>
      <c r="BN279" s="82">
        <f t="shared" si="521"/>
        <v>1355</v>
      </c>
      <c r="BO279" s="82">
        <f t="shared" si="522"/>
        <v>1011</v>
      </c>
      <c r="BP279" s="82">
        <f t="shared" si="523"/>
        <v>2</v>
      </c>
      <c r="BQ279" s="82"/>
      <c r="BR279" s="129">
        <f>SUMIF('Audit HD AR - School Level'!$B$6:B1436, "=" &amp; A279,'Audit HD AR - School Level'!$Q$6:Q1436)</f>
        <v>0</v>
      </c>
      <c r="BS279" s="224">
        <f t="shared" si="524"/>
        <v>-14889</v>
      </c>
      <c r="BT279" s="126">
        <f t="shared" si="525"/>
        <v>-14889</v>
      </c>
      <c r="BU279" s="82">
        <f t="shared" si="526"/>
        <v>2500</v>
      </c>
    </row>
    <row r="280" spans="1:73">
      <c r="A280" s="1" t="s">
        <v>444</v>
      </c>
      <c r="U280" s="126">
        <v>52</v>
      </c>
      <c r="X280" s="126">
        <v>0</v>
      </c>
      <c r="Y280" s="126">
        <v>67</v>
      </c>
      <c r="Z280" s="126">
        <v>0</v>
      </c>
      <c r="AC280" s="126">
        <v>0</v>
      </c>
      <c r="AD280" s="126">
        <v>10</v>
      </c>
      <c r="AE280" s="126">
        <v>7.8</v>
      </c>
      <c r="AF280" s="126">
        <v>52</v>
      </c>
      <c r="AG280" s="126">
        <v>35</v>
      </c>
      <c r="AI280" s="126">
        <v>0</v>
      </c>
      <c r="AJ280" s="126">
        <v>2</v>
      </c>
      <c r="AK280" s="132">
        <v>0</v>
      </c>
      <c r="AL280" s="126">
        <v>4</v>
      </c>
      <c r="AO280" s="132">
        <v>0</v>
      </c>
      <c r="AP280" s="126">
        <v>0</v>
      </c>
      <c r="AQ280" s="134">
        <v>0</v>
      </c>
      <c r="AR280" s="132">
        <v>0</v>
      </c>
      <c r="AS280" s="134">
        <v>0</v>
      </c>
      <c r="AT280" s="132">
        <v>0</v>
      </c>
      <c r="AU280" s="132">
        <v>0</v>
      </c>
      <c r="AV280" s="83">
        <v>18202</v>
      </c>
      <c r="AW280" s="237">
        <v>43616</v>
      </c>
      <c r="AX280" s="233">
        <f t="shared" si="528"/>
        <v>25</v>
      </c>
      <c r="AY280" s="232" t="s">
        <v>3487</v>
      </c>
      <c r="AZ280" s="233" t="b">
        <f t="shared" si="527"/>
        <v>0</v>
      </c>
      <c r="BA280" s="129"/>
      <c r="BB280" s="129"/>
      <c r="BC280" s="129"/>
      <c r="BD280" s="129"/>
      <c r="BE280" s="82">
        <f t="shared" si="513"/>
        <v>52</v>
      </c>
      <c r="BF280" s="82">
        <f t="shared" si="514"/>
        <v>0</v>
      </c>
      <c r="BG280" s="82"/>
      <c r="BH280" s="82">
        <f t="shared" si="515"/>
        <v>0</v>
      </c>
      <c r="BI280" s="82">
        <f t="shared" si="516"/>
        <v>10</v>
      </c>
      <c r="BJ280" s="82">
        <f t="shared" si="517"/>
        <v>7.8</v>
      </c>
      <c r="BK280" s="82">
        <f t="shared" si="518"/>
        <v>52</v>
      </c>
      <c r="BL280" s="82">
        <f t="shared" si="519"/>
        <v>35</v>
      </c>
      <c r="BM280" s="82">
        <f t="shared" si="520"/>
        <v>0</v>
      </c>
      <c r="BN280" s="82">
        <f t="shared" si="521"/>
        <v>2</v>
      </c>
      <c r="BO280" s="82">
        <f t="shared" si="522"/>
        <v>0</v>
      </c>
      <c r="BP280" s="82">
        <f t="shared" si="523"/>
        <v>4</v>
      </c>
      <c r="BQ280" s="82"/>
      <c r="BR280" s="129">
        <f>SUMIF('Audit HD AR - School Level'!$B$6:B1437, "=" &amp; A280,'Audit HD AR - School Level'!$Q$6:Q1437)</f>
        <v>3.7</v>
      </c>
      <c r="BS280" s="224">
        <f t="shared" si="524"/>
        <v>0</v>
      </c>
      <c r="BT280" s="126">
        <f t="shared" si="525"/>
        <v>0</v>
      </c>
      <c r="BU280" s="82">
        <f t="shared" si="526"/>
        <v>52</v>
      </c>
    </row>
    <row r="281" spans="1:73">
      <c r="A281" s="1" t="s">
        <v>462</v>
      </c>
      <c r="U281" s="126">
        <v>1727.5</v>
      </c>
      <c r="X281" s="126">
        <v>7</v>
      </c>
      <c r="Y281" s="126">
        <v>1704.4</v>
      </c>
      <c r="Z281" s="126">
        <v>0</v>
      </c>
      <c r="AC281" s="126">
        <v>485.8</v>
      </c>
      <c r="AD281" s="126">
        <v>12</v>
      </c>
      <c r="AE281" s="126">
        <v>20.9</v>
      </c>
      <c r="AF281" s="126">
        <v>1750</v>
      </c>
      <c r="AG281" s="126">
        <v>395</v>
      </c>
      <c r="AI281" s="126">
        <v>0</v>
      </c>
      <c r="AJ281" s="126">
        <v>182</v>
      </c>
      <c r="AK281" s="132">
        <v>49</v>
      </c>
      <c r="AL281" s="126">
        <v>1</v>
      </c>
      <c r="AO281" s="132">
        <v>13</v>
      </c>
      <c r="AP281" s="126">
        <v>3</v>
      </c>
      <c r="AQ281" s="134">
        <v>17</v>
      </c>
      <c r="AR281" s="132">
        <v>0</v>
      </c>
      <c r="AS281" s="134">
        <v>16</v>
      </c>
      <c r="AT281" s="132">
        <v>17</v>
      </c>
      <c r="AU281" s="132">
        <v>0</v>
      </c>
      <c r="AV281" s="83">
        <v>267500</v>
      </c>
      <c r="AW281" s="237">
        <v>43616</v>
      </c>
      <c r="AX281" s="233">
        <f t="shared" si="528"/>
        <v>25</v>
      </c>
      <c r="AY281" s="232" t="s">
        <v>3487</v>
      </c>
      <c r="AZ281" s="233" t="b">
        <f t="shared" si="527"/>
        <v>0</v>
      </c>
      <c r="BA281" s="129"/>
      <c r="BB281" s="129"/>
      <c r="BC281" s="129"/>
      <c r="BD281" s="129"/>
      <c r="BE281" s="82">
        <f t="shared" si="513"/>
        <v>1711.5</v>
      </c>
      <c r="BF281" s="82">
        <f t="shared" si="514"/>
        <v>7</v>
      </c>
      <c r="BG281" s="82"/>
      <c r="BH281" s="82">
        <f t="shared" si="515"/>
        <v>485.8</v>
      </c>
      <c r="BI281" s="82">
        <f t="shared" si="516"/>
        <v>12</v>
      </c>
      <c r="BJ281" s="82">
        <f t="shared" si="517"/>
        <v>20.9</v>
      </c>
      <c r="BK281" s="82">
        <f t="shared" si="518"/>
        <v>1750</v>
      </c>
      <c r="BL281" s="82">
        <f t="shared" si="519"/>
        <v>395</v>
      </c>
      <c r="BM281" s="82">
        <f t="shared" si="520"/>
        <v>0</v>
      </c>
      <c r="BN281" s="82">
        <f t="shared" si="521"/>
        <v>182</v>
      </c>
      <c r="BO281" s="82">
        <f t="shared" si="522"/>
        <v>49</v>
      </c>
      <c r="BP281" s="82">
        <f t="shared" si="523"/>
        <v>1</v>
      </c>
      <c r="BQ281" s="82"/>
      <c r="BR281" s="129">
        <f>SUMIF('Audit HD AR - School Level'!$B$6:B1439, "=" &amp; A281,'Audit HD AR - School Level'!$Q$6:Q1439)</f>
        <v>0</v>
      </c>
      <c r="BS281" s="224">
        <f t="shared" si="524"/>
        <v>-709</v>
      </c>
      <c r="BT281" s="126">
        <f t="shared" si="525"/>
        <v>-709</v>
      </c>
      <c r="BU281" s="82">
        <f t="shared" si="526"/>
        <v>1711.5</v>
      </c>
    </row>
    <row r="282" spans="1:73">
      <c r="A282" s="1" t="s">
        <v>471</v>
      </c>
      <c r="U282" s="126">
        <v>21622</v>
      </c>
      <c r="X282" s="126">
        <v>405</v>
      </c>
      <c r="Y282" s="126">
        <v>21654.7</v>
      </c>
      <c r="Z282" s="126">
        <v>0</v>
      </c>
      <c r="AC282" s="126">
        <v>4584.5</v>
      </c>
      <c r="AD282" s="126">
        <v>7976</v>
      </c>
      <c r="AE282" s="126">
        <v>23376.2</v>
      </c>
      <c r="AF282" s="126">
        <v>22684</v>
      </c>
      <c r="AG282" s="126">
        <v>15271</v>
      </c>
      <c r="AI282" s="126">
        <v>0</v>
      </c>
      <c r="AJ282" s="126">
        <v>3769</v>
      </c>
      <c r="AK282" s="132">
        <v>7705</v>
      </c>
      <c r="AL282" s="126">
        <v>3</v>
      </c>
      <c r="AO282" s="132">
        <v>78</v>
      </c>
      <c r="AP282" s="126">
        <v>16.2</v>
      </c>
      <c r="AQ282" s="134">
        <v>252</v>
      </c>
      <c r="AR282" s="132">
        <v>106</v>
      </c>
      <c r="AS282" s="134">
        <v>261.5</v>
      </c>
      <c r="AT282" s="132">
        <v>0</v>
      </c>
      <c r="AU282" s="132">
        <v>0</v>
      </c>
      <c r="AV282" s="83">
        <v>11744756</v>
      </c>
      <c r="AW282" s="237">
        <v>43616</v>
      </c>
      <c r="AX282" s="233">
        <f t="shared" si="528"/>
        <v>25</v>
      </c>
      <c r="AY282" s="232" t="s">
        <v>3487</v>
      </c>
      <c r="AZ282" s="233" t="b">
        <f t="shared" si="527"/>
        <v>0</v>
      </c>
      <c r="BA282" s="129"/>
      <c r="BB282" s="129"/>
      <c r="BC282" s="129"/>
      <c r="BD282" s="129"/>
      <c r="BE282" s="82">
        <f t="shared" si="513"/>
        <v>21421.8</v>
      </c>
      <c r="BF282" s="82">
        <f t="shared" si="514"/>
        <v>405</v>
      </c>
      <c r="BG282" s="82"/>
      <c r="BH282" s="82">
        <f t="shared" si="515"/>
        <v>4584.5</v>
      </c>
      <c r="BI282" s="82">
        <f t="shared" si="516"/>
        <v>7976</v>
      </c>
      <c r="BJ282" s="82">
        <f t="shared" si="517"/>
        <v>23376.2</v>
      </c>
      <c r="BK282" s="82">
        <f t="shared" si="518"/>
        <v>22684</v>
      </c>
      <c r="BL282" s="82">
        <f t="shared" si="519"/>
        <v>15271</v>
      </c>
      <c r="BM282" s="82">
        <f t="shared" si="520"/>
        <v>0</v>
      </c>
      <c r="BN282" s="82">
        <f t="shared" si="521"/>
        <v>3769</v>
      </c>
      <c r="BO282" s="82">
        <f t="shared" si="522"/>
        <v>7705</v>
      </c>
      <c r="BP282" s="82">
        <f t="shared" si="523"/>
        <v>3</v>
      </c>
      <c r="BQ282" s="82"/>
      <c r="BR282" s="129">
        <f>SUMIF('Audit HD AR - School Level'!$B$6:B1440, "=" &amp; A282,'Audit HD AR - School Level'!$Q$6:Q1440)</f>
        <v>1505.6</v>
      </c>
      <c r="BS282" s="224">
        <f t="shared" si="524"/>
        <v>6736</v>
      </c>
      <c r="BT282" s="126">
        <f t="shared" si="525"/>
        <v>0</v>
      </c>
      <c r="BU282" s="82">
        <f t="shared" si="526"/>
        <v>21421.8</v>
      </c>
    </row>
    <row r="283" spans="1:73">
      <c r="A283" s="1" t="s">
        <v>476</v>
      </c>
      <c r="U283" s="126">
        <v>381</v>
      </c>
      <c r="X283" s="126">
        <v>7.5</v>
      </c>
      <c r="Y283" s="126">
        <v>423</v>
      </c>
      <c r="Z283" s="126">
        <v>0</v>
      </c>
      <c r="AC283" s="126">
        <v>245.1</v>
      </c>
      <c r="AD283" s="126">
        <v>0</v>
      </c>
      <c r="AE283" s="126">
        <v>0</v>
      </c>
      <c r="AF283" s="126">
        <v>397</v>
      </c>
      <c r="AG283" s="126">
        <v>168</v>
      </c>
      <c r="AI283" s="126">
        <v>0</v>
      </c>
      <c r="AJ283" s="126">
        <v>32</v>
      </c>
      <c r="AK283" s="132">
        <v>62</v>
      </c>
      <c r="AL283" s="126">
        <v>86</v>
      </c>
      <c r="AO283" s="132">
        <v>0</v>
      </c>
      <c r="AP283" s="126">
        <v>0</v>
      </c>
      <c r="AQ283" s="134">
        <v>2</v>
      </c>
      <c r="AR283" s="132">
        <v>0</v>
      </c>
      <c r="AS283" s="134">
        <v>0</v>
      </c>
      <c r="AT283" s="132">
        <v>10</v>
      </c>
      <c r="AU283" s="132">
        <v>0</v>
      </c>
      <c r="AV283" s="83">
        <v>77773</v>
      </c>
      <c r="AW283" s="237">
        <v>43616</v>
      </c>
      <c r="AX283" s="233">
        <f t="shared" si="528"/>
        <v>25</v>
      </c>
      <c r="AY283" s="232" t="s">
        <v>3487</v>
      </c>
      <c r="AZ283" s="233" t="b">
        <f t="shared" si="527"/>
        <v>0</v>
      </c>
      <c r="BA283" s="129"/>
      <c r="BB283" s="129"/>
      <c r="BC283" s="129"/>
      <c r="BD283" s="129"/>
      <c r="BE283" s="82">
        <f t="shared" si="513"/>
        <v>381</v>
      </c>
      <c r="BF283" s="82">
        <f t="shared" si="514"/>
        <v>7.5</v>
      </c>
      <c r="BG283" s="82"/>
      <c r="BH283" s="82">
        <f t="shared" si="515"/>
        <v>245.1</v>
      </c>
      <c r="BI283" s="82">
        <f t="shared" si="516"/>
        <v>0</v>
      </c>
      <c r="BJ283" s="82">
        <f t="shared" si="517"/>
        <v>0</v>
      </c>
      <c r="BK283" s="82">
        <f t="shared" si="518"/>
        <v>397</v>
      </c>
      <c r="BL283" s="82">
        <f t="shared" si="519"/>
        <v>168</v>
      </c>
      <c r="BM283" s="82">
        <f t="shared" si="520"/>
        <v>0</v>
      </c>
      <c r="BN283" s="82">
        <f t="shared" si="521"/>
        <v>32</v>
      </c>
      <c r="BO283" s="82">
        <f t="shared" si="522"/>
        <v>62</v>
      </c>
      <c r="BP283" s="82">
        <f t="shared" si="523"/>
        <v>86</v>
      </c>
      <c r="BQ283" s="82"/>
      <c r="BR283" s="129">
        <f>SUMIF('Audit HD AR - School Level'!$B$6:B1441, "=" &amp; A283,'Audit HD AR - School Level'!$Q$6:Q1441)</f>
        <v>10.1</v>
      </c>
      <c r="BS283" s="224">
        <f t="shared" si="524"/>
        <v>-1418</v>
      </c>
      <c r="BT283" s="126">
        <f t="shared" si="525"/>
        <v>-1418</v>
      </c>
      <c r="BU283" s="82">
        <f t="shared" si="526"/>
        <v>381</v>
      </c>
    </row>
    <row r="284" spans="1:73">
      <c r="A284" s="1" t="s">
        <v>477</v>
      </c>
      <c r="U284" s="126">
        <v>1488.1</v>
      </c>
      <c r="X284" s="126">
        <v>15.5</v>
      </c>
      <c r="Y284" s="126">
        <v>1562.1</v>
      </c>
      <c r="Z284" s="126">
        <v>0</v>
      </c>
      <c r="AC284" s="126">
        <v>363.7</v>
      </c>
      <c r="AD284" s="126">
        <v>0</v>
      </c>
      <c r="AE284" s="126">
        <v>0</v>
      </c>
      <c r="AF284" s="126">
        <v>1540</v>
      </c>
      <c r="AG284" s="126">
        <v>721</v>
      </c>
      <c r="AI284" s="126">
        <v>0</v>
      </c>
      <c r="AJ284" s="126">
        <v>585.5</v>
      </c>
      <c r="AK284" s="132">
        <v>106.5</v>
      </c>
      <c r="AL284" s="126">
        <v>477</v>
      </c>
      <c r="AO284" s="132">
        <v>0</v>
      </c>
      <c r="AP284" s="126">
        <v>0</v>
      </c>
      <c r="AQ284" s="134">
        <v>0</v>
      </c>
      <c r="AR284" s="132">
        <v>0</v>
      </c>
      <c r="AS284" s="134">
        <v>0</v>
      </c>
      <c r="AT284" s="132">
        <v>0</v>
      </c>
      <c r="AU284" s="132">
        <v>1</v>
      </c>
      <c r="AV284" s="83">
        <v>829733</v>
      </c>
      <c r="AW284" s="237">
        <v>43616</v>
      </c>
      <c r="AX284" s="233">
        <f t="shared" si="528"/>
        <v>25</v>
      </c>
      <c r="AY284" s="232" t="s">
        <v>3487</v>
      </c>
      <c r="AZ284" s="233" t="b">
        <f t="shared" si="527"/>
        <v>0</v>
      </c>
      <c r="BA284" s="129"/>
      <c r="BB284" s="129"/>
      <c r="BC284" s="129"/>
      <c r="BD284" s="129"/>
      <c r="BE284" s="82">
        <f t="shared" si="513"/>
        <v>1488.1</v>
      </c>
      <c r="BF284" s="82">
        <f t="shared" si="514"/>
        <v>15.5</v>
      </c>
      <c r="BG284" s="82"/>
      <c r="BH284" s="82">
        <f t="shared" si="515"/>
        <v>363.7</v>
      </c>
      <c r="BI284" s="82">
        <f t="shared" si="516"/>
        <v>0</v>
      </c>
      <c r="BJ284" s="82">
        <f t="shared" si="517"/>
        <v>0</v>
      </c>
      <c r="BK284" s="82">
        <f t="shared" si="518"/>
        <v>1540</v>
      </c>
      <c r="BL284" s="82">
        <f t="shared" si="519"/>
        <v>721</v>
      </c>
      <c r="BM284" s="82">
        <f t="shared" si="520"/>
        <v>0</v>
      </c>
      <c r="BN284" s="82">
        <f t="shared" si="521"/>
        <v>585.5</v>
      </c>
      <c r="BO284" s="82">
        <f t="shared" si="522"/>
        <v>106.5</v>
      </c>
      <c r="BP284" s="82">
        <f t="shared" si="523"/>
        <v>477</v>
      </c>
      <c r="BQ284" s="82"/>
      <c r="BR284" s="129">
        <f>SUMIF('Audit HD AR - School Level'!$B$6:B1442, "=" &amp; A284,'Audit HD AR - School Level'!$Q$6:Q1442)</f>
        <v>58.3</v>
      </c>
      <c r="BS284" s="224">
        <f t="shared" si="524"/>
        <v>0</v>
      </c>
      <c r="BT284" s="126">
        <f t="shared" si="525"/>
        <v>0</v>
      </c>
      <c r="BU284" s="82">
        <f t="shared" si="526"/>
        <v>1488.1</v>
      </c>
    </row>
    <row r="285" spans="1:73">
      <c r="A285" s="1" t="s">
        <v>264</v>
      </c>
      <c r="D285" s="132">
        <v>34</v>
      </c>
      <c r="H285" s="126">
        <v>2.2000000000000002</v>
      </c>
      <c r="I285" s="126">
        <v>3</v>
      </c>
      <c r="J285" s="126">
        <v>1.4</v>
      </c>
      <c r="K285" s="126">
        <v>36</v>
      </c>
      <c r="L285" s="132">
        <v>11</v>
      </c>
      <c r="Q285" s="132">
        <v>3</v>
      </c>
      <c r="U285" s="126">
        <v>6865</v>
      </c>
      <c r="X285" s="126">
        <v>27.5</v>
      </c>
      <c r="Y285" s="126">
        <v>6844.4</v>
      </c>
      <c r="Z285" s="126">
        <v>0</v>
      </c>
      <c r="AC285" s="126">
        <v>1398.6</v>
      </c>
      <c r="AD285" s="126">
        <v>613</v>
      </c>
      <c r="AE285" s="126">
        <v>1564.2</v>
      </c>
      <c r="AF285" s="126">
        <v>7256</v>
      </c>
      <c r="AG285" s="126">
        <v>2369</v>
      </c>
      <c r="AI285" s="126">
        <v>0</v>
      </c>
      <c r="AJ285" s="126">
        <v>1601</v>
      </c>
      <c r="AK285" s="132">
        <v>1</v>
      </c>
      <c r="AL285" s="126">
        <v>7</v>
      </c>
      <c r="AO285" s="132">
        <v>5</v>
      </c>
      <c r="AP285" s="126">
        <v>2.2000000000000002</v>
      </c>
      <c r="AQ285" s="134">
        <v>0</v>
      </c>
      <c r="AR285" s="132">
        <v>0</v>
      </c>
      <c r="AS285" s="134">
        <v>0</v>
      </c>
      <c r="AT285" s="132">
        <v>0</v>
      </c>
      <c r="AU285" s="132">
        <v>1</v>
      </c>
      <c r="AV285" s="83">
        <v>860816</v>
      </c>
      <c r="AW285" s="237">
        <v>43621</v>
      </c>
      <c r="AX285" s="233">
        <f t="shared" si="528"/>
        <v>26</v>
      </c>
      <c r="AY285" s="232" t="s">
        <v>3487</v>
      </c>
      <c r="AZ285" s="233" t="b">
        <f t="shared" si="527"/>
        <v>0</v>
      </c>
      <c r="BA285" s="129"/>
      <c r="BB285" s="129"/>
      <c r="BC285" s="129"/>
      <c r="BD285" s="129"/>
      <c r="BE285" s="82">
        <f t="shared" ref="BE285:BE287" si="529">SUM(U285+C285-AO285-AP285-AR285)</f>
        <v>6857.8</v>
      </c>
      <c r="BF285" s="82">
        <f t="shared" si="514"/>
        <v>27.5</v>
      </c>
      <c r="BG285" s="82"/>
      <c r="BH285" s="82">
        <f t="shared" si="515"/>
        <v>1400.8</v>
      </c>
      <c r="BI285" s="82">
        <f t="shared" si="516"/>
        <v>616</v>
      </c>
      <c r="BJ285" s="82">
        <f t="shared" ref="BJ285:BJ287" si="530">SUM(AE285+J285)</f>
        <v>1565.6</v>
      </c>
      <c r="BK285" s="82">
        <f t="shared" ref="BK285:BK287" si="531">SUM(AF285+K285)</f>
        <v>7292</v>
      </c>
      <c r="BL285" s="82">
        <f t="shared" ref="BL285:BL287" si="532">SUM(AG285+L285)</f>
        <v>2380</v>
      </c>
      <c r="BM285" s="82">
        <f t="shared" ref="BM285:BM287" si="533">SUM(AI285+M285)</f>
        <v>0</v>
      </c>
      <c r="BN285" s="82">
        <f t="shared" ref="BN285:BN287" si="534">SUM(AJ285+Q285)</f>
        <v>1604</v>
      </c>
      <c r="BO285" s="82">
        <f t="shared" ref="BO285:BO287" si="535">SUM(AK285+R285)</f>
        <v>1</v>
      </c>
      <c r="BP285" s="82">
        <f t="shared" ref="BP285:BP287" si="536">SUM(AL285+S285)</f>
        <v>7</v>
      </c>
      <c r="BQ285" s="82"/>
      <c r="BR285" s="129">
        <f>SUMIF('Audit HD AR - School Level'!$B$6:B1443, "=" &amp; A285,'Audit HD AR - School Level'!$Q$6:Q1443)</f>
        <v>56.7</v>
      </c>
      <c r="BS285" s="224">
        <f t="shared" ref="BS285:BS287" si="537">SUM(AS285-AQ285)*$BS$2</f>
        <v>0</v>
      </c>
      <c r="BT285" s="126">
        <f t="shared" ref="BT285:BT287" si="538">IF(BS285&lt;0,BS285,0)</f>
        <v>0</v>
      </c>
      <c r="BU285" s="82">
        <f t="shared" ref="BU285:BU287" si="539">SUM(U285-AO285-AP285-AR285)</f>
        <v>6857.8</v>
      </c>
    </row>
    <row r="286" spans="1:73">
      <c r="A286" s="1" t="s">
        <v>395</v>
      </c>
      <c r="U286" s="126">
        <v>594</v>
      </c>
      <c r="X286" s="126">
        <v>2.5</v>
      </c>
      <c r="Y286" s="126">
        <v>572</v>
      </c>
      <c r="Z286" s="126">
        <v>0</v>
      </c>
      <c r="AC286" s="126">
        <v>300</v>
      </c>
      <c r="AD286" s="126">
        <v>12</v>
      </c>
      <c r="AE286" s="126">
        <v>16.100000000000001</v>
      </c>
      <c r="AF286" s="126">
        <v>589</v>
      </c>
      <c r="AG286" s="126">
        <v>158</v>
      </c>
      <c r="AI286" s="126">
        <v>0</v>
      </c>
      <c r="AJ286" s="126">
        <v>140</v>
      </c>
      <c r="AK286" s="132">
        <v>25</v>
      </c>
      <c r="AL286" s="126">
        <v>9</v>
      </c>
      <c r="AO286" s="132">
        <v>7</v>
      </c>
      <c r="AP286" s="126">
        <v>0</v>
      </c>
      <c r="AQ286" s="134">
        <v>1</v>
      </c>
      <c r="AR286" s="132">
        <v>6</v>
      </c>
      <c r="AS286" s="134">
        <v>1</v>
      </c>
      <c r="AT286" s="132">
        <v>4</v>
      </c>
      <c r="AU286" s="132">
        <v>0</v>
      </c>
      <c r="AV286" s="83">
        <v>165885</v>
      </c>
      <c r="AW286" s="237">
        <v>43621</v>
      </c>
      <c r="AX286" s="233">
        <f t="shared" si="528"/>
        <v>26</v>
      </c>
      <c r="AY286" s="232" t="s">
        <v>3487</v>
      </c>
      <c r="AZ286" s="233" t="b">
        <f t="shared" si="527"/>
        <v>0</v>
      </c>
      <c r="BA286" s="129"/>
      <c r="BB286" s="129"/>
      <c r="BC286" s="129"/>
      <c r="BD286" s="129"/>
      <c r="BE286" s="82">
        <f t="shared" si="529"/>
        <v>581</v>
      </c>
      <c r="BF286" s="82">
        <f t="shared" si="514"/>
        <v>2.5</v>
      </c>
      <c r="BG286" s="82"/>
      <c r="BH286" s="82">
        <f t="shared" si="515"/>
        <v>300</v>
      </c>
      <c r="BI286" s="82">
        <f t="shared" si="516"/>
        <v>12</v>
      </c>
      <c r="BJ286" s="82">
        <f t="shared" si="530"/>
        <v>16.100000000000001</v>
      </c>
      <c r="BK286" s="82">
        <f t="shared" si="531"/>
        <v>589</v>
      </c>
      <c r="BL286" s="82">
        <f t="shared" si="532"/>
        <v>158</v>
      </c>
      <c r="BM286" s="82">
        <f t="shared" si="533"/>
        <v>0</v>
      </c>
      <c r="BN286" s="82">
        <f t="shared" si="534"/>
        <v>140</v>
      </c>
      <c r="BO286" s="82">
        <f t="shared" si="535"/>
        <v>25</v>
      </c>
      <c r="BP286" s="82">
        <f t="shared" si="536"/>
        <v>9</v>
      </c>
      <c r="BQ286" s="82"/>
      <c r="BR286" s="129">
        <f>SUMIF('Audit HD AR - School Level'!$B$6:B1444, "=" &amp; A286,'Audit HD AR - School Level'!$Q$6:Q1444)</f>
        <v>0</v>
      </c>
      <c r="BS286" s="224">
        <f t="shared" si="537"/>
        <v>0</v>
      </c>
      <c r="BT286" s="126">
        <f t="shared" si="538"/>
        <v>0</v>
      </c>
      <c r="BU286" s="82">
        <f t="shared" si="539"/>
        <v>581</v>
      </c>
    </row>
    <row r="287" spans="1:73">
      <c r="A287" s="1" t="s">
        <v>450</v>
      </c>
      <c r="D287" s="132">
        <v>315.8</v>
      </c>
      <c r="H287" s="126">
        <v>8.6</v>
      </c>
      <c r="I287" s="126">
        <v>21</v>
      </c>
      <c r="J287" s="126">
        <v>52.1</v>
      </c>
      <c r="K287" s="126">
        <v>340</v>
      </c>
      <c r="L287" s="132">
        <v>97</v>
      </c>
      <c r="N287" s="132">
        <v>61</v>
      </c>
      <c r="Q287" s="132">
        <v>61</v>
      </c>
      <c r="U287" s="126">
        <v>7048.3</v>
      </c>
      <c r="X287" s="126">
        <v>57.5</v>
      </c>
      <c r="Y287" s="126">
        <v>7962.7</v>
      </c>
      <c r="Z287" s="126">
        <v>0</v>
      </c>
      <c r="AC287" s="126">
        <v>729.7</v>
      </c>
      <c r="AD287" s="126">
        <v>578</v>
      </c>
      <c r="AE287" s="126">
        <v>1662.6</v>
      </c>
      <c r="AF287" s="126">
        <v>7218</v>
      </c>
      <c r="AG287" s="126">
        <v>2749</v>
      </c>
      <c r="AI287" s="126">
        <v>0</v>
      </c>
      <c r="AJ287" s="126">
        <v>1633</v>
      </c>
      <c r="AK287" s="132">
        <v>1</v>
      </c>
      <c r="AL287" s="126">
        <v>0</v>
      </c>
      <c r="AO287" s="132">
        <v>3</v>
      </c>
      <c r="AP287" s="126">
        <v>1.8</v>
      </c>
      <c r="AQ287" s="134">
        <v>65</v>
      </c>
      <c r="AR287" s="132">
        <v>55</v>
      </c>
      <c r="AS287" s="134">
        <v>47.5</v>
      </c>
      <c r="AT287" s="132">
        <v>80</v>
      </c>
      <c r="AU287" s="132">
        <v>1</v>
      </c>
      <c r="AV287" s="83">
        <v>1326982</v>
      </c>
      <c r="AW287" s="237">
        <v>43621</v>
      </c>
      <c r="AX287" s="233">
        <f t="shared" si="528"/>
        <v>26</v>
      </c>
      <c r="AY287" s="232" t="s">
        <v>3487</v>
      </c>
      <c r="AZ287" s="233" t="b">
        <f t="shared" si="527"/>
        <v>0</v>
      </c>
      <c r="BA287" s="129"/>
      <c r="BB287" s="129"/>
      <c r="BC287" s="129"/>
      <c r="BD287" s="129"/>
      <c r="BE287" s="82">
        <f t="shared" si="529"/>
        <v>6988.5</v>
      </c>
      <c r="BF287" s="82">
        <f t="shared" si="514"/>
        <v>57.5</v>
      </c>
      <c r="BG287" s="82"/>
      <c r="BH287" s="82">
        <f t="shared" si="515"/>
        <v>738.3</v>
      </c>
      <c r="BI287" s="82">
        <f t="shared" si="516"/>
        <v>599</v>
      </c>
      <c r="BJ287" s="82">
        <f t="shared" si="530"/>
        <v>1714.7</v>
      </c>
      <c r="BK287" s="82">
        <f t="shared" si="531"/>
        <v>7558</v>
      </c>
      <c r="BL287" s="82">
        <f t="shared" si="532"/>
        <v>2846</v>
      </c>
      <c r="BM287" s="82">
        <f t="shared" si="533"/>
        <v>0</v>
      </c>
      <c r="BN287" s="82">
        <f t="shared" si="534"/>
        <v>1694</v>
      </c>
      <c r="BO287" s="82">
        <f t="shared" si="535"/>
        <v>1</v>
      </c>
      <c r="BP287" s="82">
        <f t="shared" si="536"/>
        <v>0</v>
      </c>
      <c r="BQ287" s="82"/>
      <c r="BR287" s="129">
        <f>SUMIF('Audit HD AR - School Level'!$B$6:B1445, "=" &amp; A287,'Audit HD AR - School Level'!$Q$6:Q1445)</f>
        <v>115.1</v>
      </c>
      <c r="BS287" s="224">
        <f t="shared" si="537"/>
        <v>-12408</v>
      </c>
      <c r="BT287" s="126">
        <f t="shared" si="538"/>
        <v>-12408</v>
      </c>
      <c r="BU287" s="82">
        <f t="shared" si="539"/>
        <v>6988.5</v>
      </c>
    </row>
    <row r="288" spans="1:73">
      <c r="A288" s="1" t="s">
        <v>472</v>
      </c>
      <c r="U288" s="126">
        <v>12768.3</v>
      </c>
      <c r="X288" s="126">
        <v>160</v>
      </c>
      <c r="Y288" s="126">
        <v>13412</v>
      </c>
      <c r="Z288" s="126">
        <v>0</v>
      </c>
      <c r="AC288" s="126">
        <v>2582.3000000000002</v>
      </c>
      <c r="AD288" s="126">
        <v>1750</v>
      </c>
      <c r="AE288" s="126">
        <v>2799.5</v>
      </c>
      <c r="AF288" s="126">
        <v>13226.5</v>
      </c>
      <c r="AG288" s="126">
        <v>8207</v>
      </c>
      <c r="AI288" s="126">
        <v>762.1</v>
      </c>
      <c r="AJ288" s="126">
        <v>1069</v>
      </c>
      <c r="AK288" s="132">
        <v>2780</v>
      </c>
      <c r="AL288" s="126">
        <v>5</v>
      </c>
      <c r="AO288" s="132">
        <v>21</v>
      </c>
      <c r="AP288" s="126">
        <v>8.6999999999999993</v>
      </c>
      <c r="AQ288" s="134">
        <v>230.25</v>
      </c>
      <c r="AR288" s="132">
        <v>8.5</v>
      </c>
      <c r="AS288" s="134">
        <v>3</v>
      </c>
      <c r="AT288" s="132">
        <v>100</v>
      </c>
      <c r="AU288" s="132">
        <v>0</v>
      </c>
      <c r="AV288" s="83">
        <v>2724756</v>
      </c>
      <c r="AW288" s="237">
        <v>43621</v>
      </c>
      <c r="AX288" s="233">
        <f t="shared" si="528"/>
        <v>26</v>
      </c>
      <c r="AY288" s="232" t="s">
        <v>3487</v>
      </c>
      <c r="AZ288" s="233" t="b">
        <f t="shared" si="527"/>
        <v>0</v>
      </c>
      <c r="BA288" s="129"/>
      <c r="BB288" s="129"/>
      <c r="BC288" s="129"/>
      <c r="BD288" s="129"/>
      <c r="BE288" s="82">
        <f t="shared" ref="BE288" si="540">SUM(U288+C288-AO288-AP288-AR288)</f>
        <v>12730.1</v>
      </c>
      <c r="BF288" s="82">
        <f t="shared" ref="BF288" si="541">SUM(X288+F288)</f>
        <v>160</v>
      </c>
      <c r="BG288" s="82"/>
      <c r="BH288" s="82">
        <f t="shared" ref="BH288" si="542">SUM(AC288+H288)</f>
        <v>2582.3000000000002</v>
      </c>
      <c r="BI288" s="82">
        <f t="shared" ref="BI288" si="543">SUM(AD288+I288)</f>
        <v>1750</v>
      </c>
      <c r="BJ288" s="82">
        <f t="shared" ref="BJ288" si="544">SUM(AE288+J288)</f>
        <v>2799.5</v>
      </c>
      <c r="BK288" s="82">
        <f t="shared" ref="BK288" si="545">SUM(AF288+K288)</f>
        <v>13226.5</v>
      </c>
      <c r="BL288" s="82">
        <f t="shared" ref="BL288" si="546">SUM(AG288+L288)</f>
        <v>8207</v>
      </c>
      <c r="BM288" s="82">
        <f t="shared" ref="BM288" si="547">SUM(AI288+M288)</f>
        <v>762.1</v>
      </c>
      <c r="BN288" s="82">
        <f t="shared" ref="BN288" si="548">SUM(AJ288+Q288)</f>
        <v>1069</v>
      </c>
      <c r="BO288" s="82">
        <f t="shared" ref="BO288" si="549">SUM(AK288+R288)</f>
        <v>2780</v>
      </c>
      <c r="BP288" s="82">
        <f t="shared" ref="BP288" si="550">SUM(AL288+S288)</f>
        <v>5</v>
      </c>
      <c r="BQ288" s="82"/>
      <c r="BR288" s="129">
        <f>SUMIF('Audit HD AR - School Level'!$B$6:B1446, "=" &amp; A288,'Audit HD AR - School Level'!$Q$6:Q1446)</f>
        <v>841.1</v>
      </c>
      <c r="BS288" s="224">
        <f t="shared" ref="BS288" si="551">SUM(AS288-AQ288)*$BS$2</f>
        <v>-161120</v>
      </c>
      <c r="BT288" s="126">
        <f t="shared" ref="BT288" si="552">IF(BS288&lt;0,BS288,0)</f>
        <v>-161120</v>
      </c>
      <c r="BU288" s="82">
        <f t="shared" ref="BU288" si="553">SUM(U288-AO288-AP288-AR288)</f>
        <v>12730.1</v>
      </c>
    </row>
    <row r="289" spans="1:73">
      <c r="A289" s="1" t="s">
        <v>236</v>
      </c>
      <c r="U289" s="126">
        <v>4222.8999999999996</v>
      </c>
      <c r="X289" s="126">
        <v>7.5</v>
      </c>
      <c r="Y289" s="126">
        <v>2890.4</v>
      </c>
      <c r="Z289" s="126">
        <v>0</v>
      </c>
      <c r="AC289" s="126">
        <v>471</v>
      </c>
      <c r="AD289" s="126">
        <v>36</v>
      </c>
      <c r="AE289" s="126">
        <v>31</v>
      </c>
      <c r="AF289" s="126">
        <v>3114</v>
      </c>
      <c r="AG289" s="126">
        <v>374</v>
      </c>
      <c r="AI289" s="126">
        <v>0</v>
      </c>
      <c r="AJ289" s="126">
        <v>1397</v>
      </c>
      <c r="AK289" s="132">
        <v>456</v>
      </c>
      <c r="AL289" s="126">
        <v>160</v>
      </c>
      <c r="AO289" s="132">
        <v>1110</v>
      </c>
      <c r="AP289" s="126">
        <v>28.5</v>
      </c>
      <c r="AQ289" s="134">
        <v>207.5</v>
      </c>
      <c r="AR289" s="132">
        <v>11</v>
      </c>
      <c r="AS289" s="134">
        <v>200</v>
      </c>
      <c r="AT289" s="132">
        <v>207.5</v>
      </c>
      <c r="AU289" s="132">
        <v>1</v>
      </c>
      <c r="AV289" s="83">
        <v>1495675</v>
      </c>
      <c r="AW289" s="237">
        <v>43627</v>
      </c>
      <c r="AX289" s="233">
        <f t="shared" si="528"/>
        <v>27</v>
      </c>
      <c r="AY289" s="232" t="s">
        <v>3487</v>
      </c>
      <c r="AZ289" s="233" t="b">
        <f t="shared" si="527"/>
        <v>0</v>
      </c>
      <c r="BA289" s="129"/>
      <c r="BB289" s="129"/>
      <c r="BC289" s="129"/>
      <c r="BD289" s="129"/>
      <c r="BE289" s="82">
        <f t="shared" ref="BE289" si="554">SUM(U289+C289-AO289-AP289-AR289)</f>
        <v>3073.4</v>
      </c>
      <c r="BF289" s="82">
        <f t="shared" ref="BF289" si="555">SUM(X289+F289)</f>
        <v>7.5</v>
      </c>
      <c r="BG289" s="82"/>
      <c r="BH289" s="82">
        <f t="shared" ref="BH289" si="556">SUM(AC289+H289)</f>
        <v>471</v>
      </c>
      <c r="BI289" s="82">
        <f t="shared" ref="BI289" si="557">SUM(AD289+I289)</f>
        <v>36</v>
      </c>
      <c r="BJ289" s="82">
        <f t="shared" ref="BJ289" si="558">SUM(AE289+J289)</f>
        <v>31</v>
      </c>
      <c r="BK289" s="82">
        <f t="shared" ref="BK289" si="559">SUM(AF289+K289)</f>
        <v>3114</v>
      </c>
      <c r="BL289" s="82">
        <f t="shared" ref="BL289" si="560">SUM(AG289+L289)</f>
        <v>374</v>
      </c>
      <c r="BM289" s="82">
        <f t="shared" ref="BM289" si="561">SUM(AI289+M289)</f>
        <v>0</v>
      </c>
      <c r="BN289" s="82">
        <f t="shared" ref="BN289" si="562">SUM(AJ289+Q289)</f>
        <v>1397</v>
      </c>
      <c r="BO289" s="82">
        <f t="shared" ref="BO289" si="563">SUM(AK289+R289)</f>
        <v>456</v>
      </c>
      <c r="BP289" s="82">
        <f t="shared" ref="BP289" si="564">SUM(AL289+S289)</f>
        <v>160</v>
      </c>
      <c r="BQ289" s="82"/>
      <c r="BR289" s="129">
        <f>SUMIF('Audit HD AR - School Level'!$B$6:B1447, "=" &amp; A289,'Audit HD AR - School Level'!$Q$6:Q1447)</f>
        <v>0</v>
      </c>
      <c r="BS289" s="224">
        <f t="shared" ref="BS289" si="565">SUM(AS289-AQ289)*$BS$2</f>
        <v>-5318</v>
      </c>
      <c r="BT289" s="126">
        <f t="shared" ref="BT289" si="566">IF(BS289&lt;0,BS289,0)</f>
        <v>-5318</v>
      </c>
      <c r="BU289" s="82">
        <f t="shared" ref="BU289" si="567">SUM(U289-AO289-AP289-AR289)</f>
        <v>3073.4</v>
      </c>
    </row>
    <row r="290" spans="1:73">
      <c r="AK290" s="132"/>
      <c r="AO290" s="132"/>
      <c r="AQ290" s="134"/>
      <c r="AR290" s="132"/>
      <c r="AS290" s="134"/>
      <c r="AT290" s="132"/>
      <c r="AU290" s="132"/>
      <c r="AV290" s="83"/>
    </row>
    <row r="291" spans="1:73">
      <c r="AK291" s="132"/>
      <c r="AO291" s="132"/>
      <c r="AQ291" s="134"/>
      <c r="AR291" s="132"/>
      <c r="AS291" s="134"/>
      <c r="AT291" s="132"/>
      <c r="AU291" s="132"/>
      <c r="AV291" s="83"/>
    </row>
    <row r="292" spans="1:73">
      <c r="AK292" s="132"/>
      <c r="AO292" s="132"/>
      <c r="AQ292" s="134"/>
      <c r="AR292" s="132"/>
      <c r="AS292" s="134"/>
      <c r="AT292" s="132"/>
      <c r="AU292" s="132"/>
      <c r="AV292" s="83"/>
    </row>
    <row r="293" spans="1:73">
      <c r="AK293" s="132"/>
      <c r="AO293" s="132"/>
      <c r="AQ293" s="134"/>
      <c r="AR293" s="132"/>
      <c r="AS293" s="134"/>
      <c r="AT293" s="132"/>
      <c r="AU293" s="132"/>
      <c r="AV293" s="83"/>
    </row>
    <row r="294" spans="1:73">
      <c r="AK294" s="132"/>
      <c r="AO294" s="132"/>
      <c r="AQ294" s="134"/>
      <c r="AR294" s="132"/>
      <c r="AS294" s="134"/>
      <c r="AT294" s="132"/>
      <c r="AU294" s="132"/>
      <c r="AV294" s="83"/>
    </row>
    <row r="295" spans="1:73">
      <c r="AK295" s="132"/>
      <c r="AO295" s="132"/>
      <c r="AQ295" s="134"/>
      <c r="AR295" s="132"/>
      <c r="AS295" s="134"/>
      <c r="AT295" s="132"/>
      <c r="AU295" s="132"/>
      <c r="AV295" s="83"/>
    </row>
    <row r="296" spans="1:73">
      <c r="AK296" s="132"/>
      <c r="AO296" s="132"/>
      <c r="AQ296" s="134"/>
      <c r="AR296" s="132"/>
      <c r="AS296" s="134"/>
      <c r="AT296" s="132"/>
      <c r="AU296" s="132"/>
      <c r="AV296" s="83"/>
    </row>
    <row r="297" spans="1:73">
      <c r="AK297" s="132"/>
      <c r="AO297" s="132"/>
      <c r="AQ297" s="134"/>
      <c r="AR297" s="132"/>
      <c r="AS297" s="134"/>
      <c r="AT297" s="132"/>
      <c r="AU297" s="132"/>
      <c r="AV297" s="83"/>
    </row>
    <row r="298" spans="1:73">
      <c r="AK298" s="132"/>
      <c r="AO298" s="132"/>
      <c r="AQ298" s="134"/>
      <c r="AR298" s="132"/>
      <c r="AS298" s="134"/>
      <c r="AT298" s="132"/>
      <c r="AU298" s="132"/>
      <c r="AV298" s="83"/>
    </row>
    <row r="299" spans="1:73">
      <c r="AK299" s="132"/>
      <c r="AO299" s="132"/>
      <c r="AQ299" s="134"/>
      <c r="AR299" s="132"/>
      <c r="AS299" s="134"/>
      <c r="AT299" s="132"/>
      <c r="AU299" s="132"/>
      <c r="AV299" s="83"/>
    </row>
    <row r="300" spans="1:73">
      <c r="AK300" s="132"/>
      <c r="AO300" s="132"/>
      <c r="AQ300" s="134"/>
      <c r="AR300" s="132"/>
      <c r="AS300" s="134"/>
      <c r="AT300" s="132"/>
      <c r="AU300" s="132"/>
      <c r="AV300" s="83"/>
    </row>
    <row r="301" spans="1:73">
      <c r="AK301" s="132"/>
      <c r="AO301" s="132"/>
      <c r="AQ301" s="134"/>
      <c r="AR301" s="132"/>
      <c r="AS301" s="134"/>
      <c r="AT301" s="132"/>
      <c r="AU301" s="132"/>
      <c r="AV301" s="83"/>
    </row>
    <row r="302" spans="1:73">
      <c r="AK302" s="132"/>
      <c r="AO302" s="132"/>
      <c r="AQ302" s="134"/>
      <c r="AR302" s="132"/>
      <c r="AS302" s="134"/>
      <c r="AT302" s="132"/>
      <c r="AU302" s="132"/>
      <c r="AV302" s="83"/>
    </row>
    <row r="303" spans="1:73">
      <c r="AK303" s="132"/>
      <c r="AO303" s="132"/>
      <c r="AQ303" s="134"/>
      <c r="AR303" s="132"/>
      <c r="AS303" s="134"/>
      <c r="AT303" s="132"/>
      <c r="AU303" s="132"/>
      <c r="AV303" s="83"/>
    </row>
    <row r="304" spans="1:73">
      <c r="AK304" s="132"/>
      <c r="AO304" s="132"/>
      <c r="AQ304" s="134"/>
      <c r="AR304" s="132"/>
      <c r="AS304" s="134"/>
      <c r="AT304" s="132"/>
      <c r="AU304" s="132"/>
      <c r="AV304" s="83"/>
    </row>
    <row r="305" spans="37:48">
      <c r="AK305" s="132"/>
      <c r="AO305" s="132"/>
      <c r="AQ305" s="134"/>
      <c r="AR305" s="132"/>
      <c r="AS305" s="134"/>
      <c r="AT305" s="132"/>
      <c r="AU305" s="132"/>
      <c r="AV305" s="83"/>
    </row>
    <row r="306" spans="37:48">
      <c r="AK306" s="132"/>
      <c r="AO306" s="132"/>
      <c r="AQ306" s="134"/>
      <c r="AR306" s="132"/>
      <c r="AS306" s="134"/>
      <c r="AT306" s="132"/>
      <c r="AU306" s="132"/>
      <c r="AV306" s="83"/>
    </row>
    <row r="307" spans="37:48">
      <c r="AK307" s="132"/>
      <c r="AO307" s="132"/>
      <c r="AQ307" s="134"/>
      <c r="AR307" s="132"/>
      <c r="AS307" s="134"/>
      <c r="AT307" s="132"/>
      <c r="AU307" s="132"/>
      <c r="AV307" s="83"/>
    </row>
    <row r="308" spans="37:48">
      <c r="AK308" s="132"/>
      <c r="AO308" s="132"/>
      <c r="AQ308" s="134"/>
      <c r="AR308" s="132"/>
      <c r="AS308" s="134"/>
      <c r="AT308" s="132"/>
      <c r="AU308" s="132"/>
      <c r="AV308" s="83"/>
    </row>
    <row r="309" spans="37:48">
      <c r="AK309" s="132"/>
      <c r="AO309" s="132"/>
      <c r="AQ309" s="134"/>
      <c r="AR309" s="132"/>
      <c r="AS309" s="134"/>
      <c r="AT309" s="132"/>
      <c r="AU309" s="132"/>
      <c r="AV309" s="83"/>
    </row>
    <row r="310" spans="37:48">
      <c r="AK310" s="132"/>
      <c r="AO310" s="132"/>
      <c r="AQ310" s="134"/>
      <c r="AR310" s="132"/>
      <c r="AS310" s="134"/>
      <c r="AT310" s="132"/>
      <c r="AU310" s="132"/>
      <c r="AV310" s="83"/>
    </row>
    <row r="311" spans="37:48">
      <c r="AK311" s="132"/>
      <c r="AO311" s="132"/>
      <c r="AQ311" s="134"/>
      <c r="AR311" s="132"/>
      <c r="AS311" s="134"/>
      <c r="AT311" s="132"/>
      <c r="AU311" s="132"/>
      <c r="AV311" s="83"/>
    </row>
    <row r="312" spans="37:48">
      <c r="AK312" s="132"/>
      <c r="AO312" s="132"/>
      <c r="AQ312" s="134"/>
      <c r="AR312" s="132"/>
      <c r="AS312" s="134"/>
      <c r="AT312" s="132"/>
      <c r="AU312" s="132"/>
      <c r="AV312" s="83"/>
    </row>
    <row r="313" spans="37:48">
      <c r="AK313" s="132"/>
      <c r="AO313" s="132"/>
      <c r="AQ313" s="134"/>
      <c r="AR313" s="132"/>
      <c r="AS313" s="134"/>
      <c r="AT313" s="132"/>
      <c r="AU313" s="132"/>
      <c r="AV313" s="83"/>
    </row>
    <row r="314" spans="37:48">
      <c r="AK314" s="132"/>
      <c r="AO314" s="132"/>
      <c r="AQ314" s="134"/>
      <c r="AR314" s="132"/>
      <c r="AS314" s="134"/>
      <c r="AT314" s="132"/>
      <c r="AU314" s="132"/>
      <c r="AV314" s="83"/>
    </row>
    <row r="315" spans="37:48">
      <c r="AK315" s="132"/>
      <c r="AO315" s="132"/>
      <c r="AQ315" s="134"/>
      <c r="AR315" s="132"/>
      <c r="AS315" s="134"/>
      <c r="AT315" s="132"/>
      <c r="AU315" s="132"/>
      <c r="AV315" s="83"/>
    </row>
    <row r="316" spans="37:48">
      <c r="AK316" s="132"/>
      <c r="AO316" s="132"/>
      <c r="AQ316" s="134"/>
      <c r="AR316" s="132"/>
      <c r="AS316" s="134"/>
      <c r="AT316" s="132"/>
      <c r="AU316" s="132"/>
      <c r="AV316" s="83"/>
    </row>
    <row r="317" spans="37:48">
      <c r="AK317" s="132"/>
      <c r="AO317" s="132"/>
      <c r="AQ317" s="134"/>
      <c r="AR317" s="132"/>
      <c r="AS317" s="134"/>
      <c r="AT317" s="132"/>
      <c r="AU317" s="132"/>
      <c r="AV317" s="83"/>
    </row>
    <row r="318" spans="37:48">
      <c r="AK318" s="132"/>
      <c r="AO318" s="132"/>
      <c r="AQ318" s="134"/>
      <c r="AR318" s="132"/>
      <c r="AS318" s="134"/>
      <c r="AT318" s="132"/>
      <c r="AU318" s="132"/>
      <c r="AV318" s="83"/>
    </row>
    <row r="319" spans="37:48">
      <c r="AK319" s="132"/>
      <c r="AO319" s="132"/>
      <c r="AQ319" s="134"/>
      <c r="AR319" s="132"/>
      <c r="AS319" s="134"/>
      <c r="AT319" s="132"/>
      <c r="AU319" s="132"/>
      <c r="AV319" s="83"/>
    </row>
    <row r="320" spans="37:48">
      <c r="AK320" s="132"/>
      <c r="AO320" s="132"/>
      <c r="AQ320" s="134"/>
      <c r="AR320" s="132"/>
      <c r="AS320" s="134"/>
      <c r="AT320" s="132"/>
      <c r="AU320" s="132"/>
      <c r="AV320" s="83"/>
    </row>
    <row r="321" spans="37:48">
      <c r="AK321" s="132"/>
      <c r="AO321" s="132"/>
      <c r="AQ321" s="134"/>
      <c r="AR321" s="132"/>
      <c r="AS321" s="134"/>
      <c r="AT321" s="132"/>
      <c r="AU321" s="132"/>
      <c r="AV321" s="83"/>
    </row>
    <row r="322" spans="37:48">
      <c r="AK322" s="132"/>
      <c r="AO322" s="132"/>
      <c r="AQ322" s="134"/>
      <c r="AR322" s="132"/>
      <c r="AS322" s="134"/>
      <c r="AT322" s="132"/>
      <c r="AU322" s="132"/>
      <c r="AV322" s="83"/>
    </row>
    <row r="323" spans="37:48">
      <c r="AK323" s="132"/>
      <c r="AO323" s="132"/>
      <c r="AQ323" s="134"/>
      <c r="AR323" s="132"/>
      <c r="AS323" s="134"/>
      <c r="AT323" s="132"/>
      <c r="AU323" s="132"/>
      <c r="AV323" s="83"/>
    </row>
    <row r="324" spans="37:48">
      <c r="AK324" s="132"/>
      <c r="AO324" s="132"/>
      <c r="AQ324" s="134"/>
      <c r="AR324" s="132"/>
      <c r="AS324" s="134"/>
      <c r="AT324" s="132"/>
      <c r="AU324" s="132"/>
      <c r="AV324" s="83"/>
    </row>
    <row r="325" spans="37:48">
      <c r="AK325" s="132"/>
      <c r="AO325" s="132"/>
      <c r="AQ325" s="134"/>
      <c r="AR325" s="132"/>
      <c r="AS325" s="134"/>
      <c r="AT325" s="132"/>
      <c r="AU325" s="132"/>
      <c r="AV325" s="83"/>
    </row>
    <row r="326" spans="37:48">
      <c r="AK326" s="132"/>
      <c r="AO326" s="132"/>
      <c r="AQ326" s="134"/>
      <c r="AR326" s="132"/>
      <c r="AS326" s="134"/>
      <c r="AT326" s="132"/>
      <c r="AU326" s="132"/>
      <c r="AV326" s="83"/>
    </row>
    <row r="327" spans="37:48">
      <c r="AK327" s="132"/>
      <c r="AO327" s="132"/>
      <c r="AQ327" s="134"/>
      <c r="AR327" s="132"/>
      <c r="AS327" s="134"/>
      <c r="AT327" s="132"/>
      <c r="AU327" s="132"/>
      <c r="AV327" s="83"/>
    </row>
    <row r="328" spans="37:48">
      <c r="AK328" s="132"/>
      <c r="AO328" s="132"/>
      <c r="AQ328" s="134"/>
      <c r="AR328" s="132"/>
      <c r="AS328" s="134"/>
      <c r="AT328" s="132"/>
      <c r="AU328" s="132"/>
      <c r="AV328" s="83"/>
    </row>
    <row r="329" spans="37:48">
      <c r="AK329" s="132"/>
      <c r="AO329" s="132"/>
      <c r="AQ329" s="134"/>
      <c r="AR329" s="132"/>
      <c r="AS329" s="134"/>
      <c r="AT329" s="132"/>
      <c r="AU329" s="132"/>
      <c r="AV329" s="83"/>
    </row>
    <row r="330" spans="37:48">
      <c r="AK330" s="132"/>
      <c r="AO330" s="132"/>
      <c r="AQ330" s="134"/>
      <c r="AR330" s="132"/>
      <c r="AS330" s="134"/>
      <c r="AT330" s="132"/>
      <c r="AU330" s="132"/>
      <c r="AV330" s="83"/>
    </row>
    <row r="331" spans="37:48">
      <c r="AK331" s="132"/>
      <c r="AO331" s="132"/>
      <c r="AQ331" s="134"/>
      <c r="AR331" s="132"/>
      <c r="AS331" s="134"/>
      <c r="AT331" s="132"/>
      <c r="AU331" s="132"/>
      <c r="AV331" s="83"/>
    </row>
    <row r="332" spans="37:48">
      <c r="AK332" s="132"/>
      <c r="AO332" s="132"/>
      <c r="AQ332" s="134"/>
      <c r="AR332" s="132"/>
      <c r="AS332" s="134"/>
      <c r="AT332" s="132"/>
      <c r="AU332" s="132"/>
      <c r="AV332" s="83"/>
    </row>
    <row r="333" spans="37:48">
      <c r="AK333" s="132"/>
      <c r="AO333" s="132"/>
      <c r="AQ333" s="134"/>
      <c r="AR333" s="132"/>
      <c r="AS333" s="134"/>
      <c r="AT333" s="132"/>
      <c r="AU333" s="132"/>
      <c r="AV333" s="83"/>
    </row>
    <row r="334" spans="37:48">
      <c r="AK334" s="132"/>
      <c r="AO334" s="132"/>
      <c r="AQ334" s="134"/>
      <c r="AR334" s="132"/>
      <c r="AS334" s="134"/>
      <c r="AT334" s="132"/>
      <c r="AU334" s="132"/>
      <c r="AV334" s="83"/>
    </row>
    <row r="335" spans="37:48">
      <c r="AK335" s="132"/>
      <c r="AO335" s="132"/>
      <c r="AQ335" s="134"/>
      <c r="AR335" s="132"/>
      <c r="AS335" s="134"/>
      <c r="AT335" s="132"/>
      <c r="AU335" s="132"/>
      <c r="AV335" s="83"/>
    </row>
    <row r="336" spans="37:48">
      <c r="AK336" s="132"/>
      <c r="AO336" s="132"/>
      <c r="AQ336" s="134"/>
      <c r="AR336" s="132"/>
      <c r="AS336" s="134"/>
      <c r="AT336" s="132"/>
      <c r="AU336" s="132"/>
      <c r="AV336" s="83"/>
    </row>
    <row r="337" spans="37:48">
      <c r="AK337" s="132"/>
      <c r="AO337" s="132"/>
      <c r="AQ337" s="134"/>
      <c r="AR337" s="132"/>
      <c r="AS337" s="134"/>
      <c r="AT337" s="132"/>
      <c r="AU337" s="132"/>
      <c r="AV337" s="83"/>
    </row>
    <row r="338" spans="37:48">
      <c r="AK338" s="132"/>
      <c r="AO338" s="132"/>
      <c r="AQ338" s="134"/>
      <c r="AR338" s="132"/>
      <c r="AS338" s="134"/>
      <c r="AT338" s="132"/>
      <c r="AU338" s="132"/>
      <c r="AV338" s="83"/>
    </row>
    <row r="339" spans="37:48">
      <c r="AK339" s="132"/>
      <c r="AO339" s="132"/>
      <c r="AQ339" s="134"/>
      <c r="AR339" s="132"/>
      <c r="AS339" s="134"/>
      <c r="AT339" s="132"/>
      <c r="AU339" s="132"/>
      <c r="AV339" s="83"/>
    </row>
    <row r="340" spans="37:48">
      <c r="AK340" s="132"/>
      <c r="AO340" s="132"/>
      <c r="AQ340" s="134"/>
      <c r="AR340" s="132"/>
      <c r="AS340" s="134"/>
      <c r="AT340" s="132"/>
      <c r="AU340" s="132"/>
      <c r="AV340" s="83"/>
    </row>
    <row r="341" spans="37:48">
      <c r="AK341" s="132"/>
      <c r="AO341" s="132"/>
      <c r="AQ341" s="134"/>
      <c r="AR341" s="132"/>
      <c r="AS341" s="134"/>
      <c r="AT341" s="132"/>
      <c r="AU341" s="132"/>
      <c r="AV341" s="83"/>
    </row>
    <row r="342" spans="37:48">
      <c r="AK342" s="132"/>
      <c r="AO342" s="132"/>
      <c r="AQ342" s="134"/>
      <c r="AR342" s="132"/>
      <c r="AS342" s="134"/>
      <c r="AT342" s="132"/>
      <c r="AU342" s="132"/>
      <c r="AV342" s="83"/>
    </row>
    <row r="343" spans="37:48">
      <c r="AK343" s="132"/>
      <c r="AO343" s="132"/>
      <c r="AQ343" s="134"/>
      <c r="AR343" s="132"/>
      <c r="AS343" s="134"/>
      <c r="AT343" s="132"/>
      <c r="AU343" s="132"/>
      <c r="AV343" s="83"/>
    </row>
    <row r="344" spans="37:48">
      <c r="AK344" s="132"/>
      <c r="AO344" s="132"/>
      <c r="AQ344" s="134"/>
      <c r="AR344" s="132"/>
      <c r="AS344" s="134"/>
      <c r="AT344" s="132"/>
      <c r="AU344" s="132"/>
      <c r="AV344" s="83"/>
    </row>
    <row r="345" spans="37:48">
      <c r="AK345" s="132"/>
      <c r="AO345" s="132"/>
      <c r="AQ345" s="134"/>
      <c r="AR345" s="132"/>
      <c r="AS345" s="134"/>
      <c r="AT345" s="132"/>
      <c r="AU345" s="132"/>
      <c r="AV345" s="83"/>
    </row>
    <row r="346" spans="37:48">
      <c r="AK346" s="132"/>
      <c r="AO346" s="132"/>
      <c r="AQ346" s="134"/>
      <c r="AR346" s="132"/>
      <c r="AS346" s="134"/>
      <c r="AT346" s="132"/>
      <c r="AU346" s="132"/>
      <c r="AV346" s="83"/>
    </row>
    <row r="347" spans="37:48">
      <c r="AK347" s="132"/>
      <c r="AO347" s="132"/>
      <c r="AQ347" s="134"/>
      <c r="AR347" s="132"/>
      <c r="AS347" s="134"/>
      <c r="AT347" s="132"/>
      <c r="AU347" s="132"/>
      <c r="AV347" s="83"/>
    </row>
    <row r="348" spans="37:48">
      <c r="AK348" s="132"/>
      <c r="AO348" s="132"/>
      <c r="AQ348" s="134"/>
      <c r="AR348" s="132"/>
      <c r="AS348" s="134"/>
      <c r="AT348" s="132"/>
      <c r="AU348" s="132"/>
      <c r="AV348" s="83"/>
    </row>
    <row r="349" spans="37:48">
      <c r="AK349" s="132"/>
      <c r="AO349" s="132"/>
      <c r="AQ349" s="134"/>
      <c r="AR349" s="132"/>
      <c r="AS349" s="134"/>
      <c r="AT349" s="132"/>
      <c r="AU349" s="132"/>
      <c r="AV349" s="83"/>
    </row>
    <row r="350" spans="37:48">
      <c r="AK350" s="132"/>
      <c r="AO350" s="132"/>
      <c r="AQ350" s="134"/>
      <c r="AR350" s="132"/>
      <c r="AS350" s="134"/>
      <c r="AT350" s="132"/>
      <c r="AU350" s="132"/>
      <c r="AV350" s="83"/>
    </row>
    <row r="351" spans="37:48">
      <c r="AK351" s="132"/>
      <c r="AO351" s="132"/>
      <c r="AQ351" s="134"/>
      <c r="AR351" s="132"/>
      <c r="AS351" s="134"/>
      <c r="AT351" s="132"/>
      <c r="AU351" s="132"/>
      <c r="AV351" s="83"/>
    </row>
    <row r="352" spans="37:48">
      <c r="AK352" s="132"/>
      <c r="AO352" s="132"/>
      <c r="AQ352" s="134"/>
      <c r="AR352" s="132"/>
      <c r="AS352" s="134"/>
      <c r="AT352" s="132"/>
      <c r="AU352" s="132"/>
      <c r="AV352" s="83"/>
    </row>
    <row r="353" spans="37:48">
      <c r="AK353" s="132"/>
      <c r="AO353" s="132"/>
      <c r="AQ353" s="134"/>
      <c r="AR353" s="132"/>
      <c r="AS353" s="134"/>
      <c r="AT353" s="132"/>
      <c r="AU353" s="132"/>
      <c r="AV353" s="83"/>
    </row>
    <row r="354" spans="37:48">
      <c r="AK354" s="132"/>
      <c r="AO354" s="132"/>
      <c r="AQ354" s="134"/>
      <c r="AR354" s="132"/>
      <c r="AS354" s="134"/>
      <c r="AT354" s="132"/>
      <c r="AU354" s="132"/>
      <c r="AV354" s="83"/>
    </row>
    <row r="355" spans="37:48">
      <c r="AK355" s="132"/>
      <c r="AO355" s="132"/>
      <c r="AQ355" s="134"/>
      <c r="AR355" s="132"/>
      <c r="AS355" s="134"/>
      <c r="AT355" s="132"/>
      <c r="AU355" s="132"/>
      <c r="AV355" s="83"/>
    </row>
    <row r="356" spans="37:48">
      <c r="AK356" s="132"/>
      <c r="AO356" s="132"/>
      <c r="AQ356" s="134"/>
      <c r="AR356" s="132"/>
      <c r="AS356" s="134"/>
      <c r="AT356" s="132"/>
      <c r="AU356" s="132"/>
      <c r="AV356" s="83"/>
    </row>
    <row r="357" spans="37:48">
      <c r="AK357" s="132"/>
      <c r="AO357" s="132"/>
      <c r="AQ357" s="134"/>
      <c r="AR357" s="132"/>
      <c r="AS357" s="134"/>
      <c r="AT357" s="132"/>
      <c r="AU357" s="132"/>
      <c r="AV357" s="83"/>
    </row>
    <row r="358" spans="37:48">
      <c r="AK358" s="132"/>
      <c r="AO358" s="132"/>
      <c r="AQ358" s="134"/>
      <c r="AR358" s="132"/>
      <c r="AS358" s="134"/>
      <c r="AT358" s="132"/>
      <c r="AU358" s="132"/>
      <c r="AV358" s="83"/>
    </row>
    <row r="359" spans="37:48">
      <c r="AK359" s="132"/>
      <c r="AO359" s="132"/>
      <c r="AQ359" s="134"/>
      <c r="AR359" s="132"/>
      <c r="AS359" s="134"/>
      <c r="AT359" s="132"/>
      <c r="AU359" s="132"/>
      <c r="AV359" s="83"/>
    </row>
    <row r="360" spans="37:48">
      <c r="AK360" s="132"/>
      <c r="AO360" s="132"/>
      <c r="AQ360" s="134"/>
      <c r="AR360" s="132"/>
      <c r="AS360" s="134"/>
      <c r="AT360" s="132"/>
      <c r="AU360" s="132"/>
      <c r="AV360" s="83"/>
    </row>
    <row r="361" spans="37:48">
      <c r="AK361" s="132"/>
      <c r="AO361" s="132"/>
      <c r="AQ361" s="134"/>
      <c r="AR361" s="132"/>
      <c r="AS361" s="134"/>
      <c r="AT361" s="132"/>
      <c r="AU361" s="132"/>
      <c r="AV361" s="83"/>
    </row>
    <row r="362" spans="37:48">
      <c r="AK362" s="132"/>
      <c r="AO362" s="132"/>
      <c r="AQ362" s="134"/>
      <c r="AR362" s="132"/>
      <c r="AS362" s="134"/>
      <c r="AT362" s="132"/>
      <c r="AU362" s="132"/>
      <c r="AV362" s="83"/>
    </row>
    <row r="363" spans="37:48">
      <c r="AK363" s="132"/>
      <c r="AO363" s="132"/>
      <c r="AQ363" s="134"/>
      <c r="AR363" s="132"/>
      <c r="AS363" s="134"/>
      <c r="AT363" s="132"/>
      <c r="AU363" s="132"/>
      <c r="AV363" s="83"/>
    </row>
    <row r="364" spans="37:48">
      <c r="AK364" s="132"/>
      <c r="AO364" s="132"/>
      <c r="AQ364" s="134"/>
      <c r="AR364" s="132"/>
      <c r="AS364" s="134"/>
      <c r="AT364" s="132"/>
      <c r="AU364" s="132"/>
      <c r="AV364" s="83"/>
    </row>
    <row r="365" spans="37:48">
      <c r="AK365" s="132"/>
      <c r="AO365" s="132"/>
      <c r="AQ365" s="134"/>
      <c r="AR365" s="132"/>
      <c r="AS365" s="134"/>
      <c r="AT365" s="132"/>
      <c r="AU365" s="132"/>
      <c r="AV365" s="83"/>
    </row>
    <row r="366" spans="37:48">
      <c r="AK366" s="132"/>
      <c r="AO366" s="132"/>
      <c r="AQ366" s="134"/>
      <c r="AR366" s="132"/>
      <c r="AS366" s="134"/>
      <c r="AT366" s="132"/>
      <c r="AU366" s="132"/>
      <c r="AV366" s="83"/>
    </row>
    <row r="367" spans="37:48">
      <c r="AK367" s="132"/>
      <c r="AO367" s="132"/>
      <c r="AQ367" s="134"/>
      <c r="AR367" s="132"/>
      <c r="AS367" s="134"/>
      <c r="AT367" s="132"/>
      <c r="AU367" s="132"/>
      <c r="AV367" s="83"/>
    </row>
    <row r="368" spans="37:48">
      <c r="AK368" s="132"/>
      <c r="AO368" s="132"/>
      <c r="AQ368" s="134"/>
      <c r="AR368" s="132"/>
      <c r="AS368" s="134"/>
      <c r="AT368" s="132"/>
      <c r="AU368" s="132"/>
      <c r="AV368" s="83"/>
    </row>
    <row r="369" spans="37:48">
      <c r="AK369" s="132"/>
      <c r="AO369" s="132"/>
      <c r="AQ369" s="134"/>
      <c r="AR369" s="132"/>
      <c r="AS369" s="134"/>
      <c r="AT369" s="132"/>
      <c r="AU369" s="132"/>
      <c r="AV369" s="83"/>
    </row>
    <row r="370" spans="37:48">
      <c r="AK370" s="132"/>
      <c r="AO370" s="132"/>
      <c r="AQ370" s="134"/>
      <c r="AR370" s="132"/>
      <c r="AS370" s="134"/>
      <c r="AT370" s="132"/>
      <c r="AU370" s="132"/>
      <c r="AV370" s="83"/>
    </row>
    <row r="371" spans="37:48">
      <c r="AK371" s="132"/>
      <c r="AO371" s="132"/>
      <c r="AQ371" s="134"/>
      <c r="AR371" s="132"/>
      <c r="AS371" s="134"/>
      <c r="AT371" s="132"/>
      <c r="AU371" s="132"/>
      <c r="AV371" s="83"/>
    </row>
    <row r="372" spans="37:48">
      <c r="AK372" s="132"/>
      <c r="AO372" s="132"/>
      <c r="AQ372" s="134"/>
      <c r="AR372" s="132"/>
      <c r="AS372" s="134"/>
      <c r="AT372" s="132"/>
      <c r="AU372" s="132"/>
      <c r="AV372" s="83"/>
    </row>
    <row r="373" spans="37:48">
      <c r="AK373" s="132"/>
      <c r="AO373" s="132"/>
      <c r="AQ373" s="134"/>
      <c r="AR373" s="132"/>
      <c r="AS373" s="134"/>
      <c r="AT373" s="132"/>
      <c r="AU373" s="132"/>
      <c r="AV373" s="83"/>
    </row>
    <row r="374" spans="37:48">
      <c r="AK374" s="132"/>
      <c r="AO374" s="132"/>
      <c r="AQ374" s="134"/>
      <c r="AR374" s="132"/>
      <c r="AS374" s="134"/>
      <c r="AT374" s="132"/>
      <c r="AU374" s="132"/>
      <c r="AV374" s="83"/>
    </row>
    <row r="375" spans="37:48">
      <c r="AK375" s="132"/>
      <c r="AO375" s="132"/>
      <c r="AQ375" s="134"/>
      <c r="AR375" s="132"/>
      <c r="AS375" s="134"/>
      <c r="AT375" s="132"/>
      <c r="AU375" s="132"/>
      <c r="AV375" s="83"/>
    </row>
    <row r="376" spans="37:48">
      <c r="AK376" s="132"/>
      <c r="AO376" s="132"/>
      <c r="AQ376" s="134"/>
      <c r="AR376" s="132"/>
      <c r="AS376" s="134"/>
      <c r="AT376" s="132"/>
      <c r="AU376" s="132"/>
      <c r="AV376" s="83"/>
    </row>
    <row r="377" spans="37:48">
      <c r="AK377" s="132"/>
      <c r="AO377" s="132"/>
      <c r="AQ377" s="134"/>
      <c r="AR377" s="132"/>
      <c r="AS377" s="134"/>
      <c r="AT377" s="132"/>
      <c r="AU377" s="132"/>
      <c r="AV377" s="83"/>
    </row>
    <row r="378" spans="37:48">
      <c r="AK378" s="132"/>
      <c r="AO378" s="132"/>
      <c r="AQ378" s="134"/>
      <c r="AR378" s="132"/>
      <c r="AS378" s="134"/>
      <c r="AT378" s="132"/>
      <c r="AU378" s="132"/>
      <c r="AV378" s="83"/>
    </row>
    <row r="379" spans="37:48">
      <c r="AK379" s="132"/>
      <c r="AO379" s="132"/>
      <c r="AQ379" s="134"/>
      <c r="AR379" s="132"/>
      <c r="AS379" s="134"/>
      <c r="AT379" s="132"/>
      <c r="AU379" s="132"/>
      <c r="AV379" s="83"/>
    </row>
    <row r="380" spans="37:48">
      <c r="AK380" s="132"/>
      <c r="AO380" s="132"/>
      <c r="AQ380" s="134"/>
      <c r="AR380" s="132"/>
      <c r="AS380" s="134"/>
      <c r="AT380" s="132"/>
      <c r="AU380" s="132"/>
      <c r="AV380" s="83"/>
    </row>
    <row r="381" spans="37:48">
      <c r="AK381" s="132"/>
      <c r="AO381" s="132"/>
      <c r="AQ381" s="134"/>
      <c r="AR381" s="132"/>
      <c r="AS381" s="134"/>
      <c r="AT381" s="132"/>
      <c r="AU381" s="132"/>
      <c r="AV381" s="83"/>
    </row>
    <row r="382" spans="37:48">
      <c r="AK382" s="132"/>
      <c r="AO382" s="132"/>
      <c r="AQ382" s="134"/>
      <c r="AR382" s="132"/>
      <c r="AS382" s="134"/>
      <c r="AT382" s="132"/>
      <c r="AU382" s="132"/>
      <c r="AV382" s="83"/>
    </row>
    <row r="383" spans="37:48">
      <c r="AK383" s="132"/>
      <c r="AO383" s="132"/>
      <c r="AQ383" s="134"/>
      <c r="AR383" s="132"/>
      <c r="AS383" s="134"/>
      <c r="AT383" s="132"/>
      <c r="AU383" s="132"/>
      <c r="AV383" s="83"/>
    </row>
    <row r="384" spans="37:48">
      <c r="AK384" s="132"/>
      <c r="AO384" s="132"/>
      <c r="AQ384" s="134"/>
      <c r="AR384" s="132"/>
      <c r="AS384" s="134"/>
      <c r="AT384" s="132"/>
      <c r="AU384" s="132"/>
      <c r="AV384" s="83"/>
    </row>
    <row r="385" spans="37:48">
      <c r="AK385" s="132"/>
      <c r="AO385" s="132"/>
      <c r="AQ385" s="134"/>
      <c r="AR385" s="132"/>
      <c r="AS385" s="134"/>
      <c r="AT385" s="132"/>
      <c r="AU385" s="132"/>
      <c r="AV385" s="83"/>
    </row>
    <row r="386" spans="37:48">
      <c r="AK386" s="132"/>
      <c r="AO386" s="132"/>
      <c r="AQ386" s="134"/>
      <c r="AR386" s="132"/>
      <c r="AS386" s="134"/>
      <c r="AT386" s="132"/>
      <c r="AU386" s="132"/>
      <c r="AV386" s="83"/>
    </row>
    <row r="387" spans="37:48">
      <c r="AK387" s="132"/>
      <c r="AO387" s="132"/>
      <c r="AQ387" s="134"/>
      <c r="AR387" s="132"/>
      <c r="AS387" s="134"/>
      <c r="AT387" s="132"/>
      <c r="AU387" s="132"/>
      <c r="AV387" s="83"/>
    </row>
    <row r="388" spans="37:48">
      <c r="AK388" s="132"/>
      <c r="AO388" s="132"/>
      <c r="AQ388" s="134"/>
      <c r="AR388" s="132"/>
      <c r="AS388" s="134"/>
      <c r="AT388" s="132"/>
      <c r="AU388" s="132"/>
      <c r="AV388" s="83"/>
    </row>
    <row r="389" spans="37:48">
      <c r="AK389" s="132"/>
      <c r="AO389" s="132"/>
      <c r="AQ389" s="134"/>
      <c r="AR389" s="132"/>
      <c r="AS389" s="134"/>
      <c r="AT389" s="132"/>
      <c r="AU389" s="132"/>
      <c r="AV389" s="83"/>
    </row>
    <row r="390" spans="37:48">
      <c r="AK390" s="132"/>
      <c r="AO390" s="132"/>
      <c r="AQ390" s="134"/>
      <c r="AR390" s="132"/>
      <c r="AS390" s="134"/>
      <c r="AT390" s="132"/>
      <c r="AU390" s="132"/>
      <c r="AV390" s="83"/>
    </row>
    <row r="391" spans="37:48">
      <c r="AK391" s="132"/>
      <c r="AO391" s="132"/>
      <c r="AQ391" s="134"/>
      <c r="AR391" s="132"/>
      <c r="AS391" s="134"/>
      <c r="AT391" s="132"/>
      <c r="AU391" s="132"/>
      <c r="AV391" s="83"/>
    </row>
    <row r="392" spans="37:48">
      <c r="AK392" s="132"/>
      <c r="AO392" s="132"/>
      <c r="AQ392" s="134"/>
      <c r="AR392" s="132"/>
      <c r="AS392" s="134"/>
      <c r="AT392" s="132"/>
      <c r="AU392" s="132"/>
      <c r="AV392" s="83"/>
    </row>
    <row r="393" spans="37:48">
      <c r="AK393" s="132"/>
      <c r="AO393" s="132"/>
      <c r="AQ393" s="134"/>
      <c r="AR393" s="132"/>
      <c r="AS393" s="134"/>
      <c r="AT393" s="132"/>
      <c r="AU393" s="132"/>
      <c r="AV393" s="83"/>
    </row>
    <row r="394" spans="37:48">
      <c r="AK394" s="132"/>
      <c r="AO394" s="132"/>
      <c r="AQ394" s="134"/>
      <c r="AR394" s="132"/>
      <c r="AS394" s="134"/>
      <c r="AT394" s="132"/>
      <c r="AU394" s="132"/>
      <c r="AV394" s="83"/>
    </row>
    <row r="395" spans="37:48">
      <c r="AK395" s="132"/>
      <c r="AO395" s="132"/>
      <c r="AQ395" s="134"/>
      <c r="AR395" s="132"/>
      <c r="AS395" s="134"/>
      <c r="AT395" s="132"/>
      <c r="AU395" s="132"/>
      <c r="AV395" s="83"/>
    </row>
    <row r="396" spans="37:48">
      <c r="AK396" s="132"/>
      <c r="AO396" s="132"/>
      <c r="AQ396" s="134"/>
      <c r="AR396" s="132"/>
      <c r="AS396" s="134"/>
      <c r="AT396" s="132"/>
      <c r="AU396" s="132"/>
      <c r="AV396" s="83"/>
    </row>
    <row r="397" spans="37:48">
      <c r="AK397" s="132"/>
      <c r="AO397" s="132"/>
      <c r="AQ397" s="134"/>
      <c r="AR397" s="132"/>
      <c r="AS397" s="134"/>
      <c r="AT397" s="132"/>
      <c r="AU397" s="132"/>
      <c r="AV397" s="83"/>
    </row>
    <row r="398" spans="37:48">
      <c r="AK398" s="132"/>
      <c r="AO398" s="132"/>
      <c r="AQ398" s="134"/>
      <c r="AR398" s="132"/>
      <c r="AS398" s="134"/>
      <c r="AT398" s="132"/>
      <c r="AU398" s="132"/>
      <c r="AV398" s="83"/>
    </row>
    <row r="399" spans="37:48">
      <c r="AK399" s="132"/>
      <c r="AO399" s="132"/>
      <c r="AQ399" s="134"/>
      <c r="AR399" s="132"/>
      <c r="AS399" s="134"/>
      <c r="AT399" s="132"/>
      <c r="AU399" s="132"/>
      <c r="AV399" s="83"/>
    </row>
    <row r="400" spans="37:48">
      <c r="AK400" s="132"/>
      <c r="AO400" s="132"/>
      <c r="AQ400" s="134"/>
      <c r="AR400" s="132"/>
      <c r="AS400" s="134"/>
      <c r="AT400" s="132"/>
      <c r="AU400" s="132"/>
      <c r="AV400" s="83"/>
    </row>
    <row r="401" spans="37:48">
      <c r="AK401" s="132"/>
      <c r="AO401" s="132"/>
      <c r="AQ401" s="134"/>
      <c r="AR401" s="132"/>
      <c r="AS401" s="134"/>
      <c r="AT401" s="132"/>
      <c r="AU401" s="132"/>
      <c r="AV401" s="83"/>
    </row>
    <row r="402" spans="37:48">
      <c r="AK402" s="132"/>
      <c r="AO402" s="132"/>
      <c r="AQ402" s="134"/>
      <c r="AR402" s="132"/>
      <c r="AS402" s="134"/>
      <c r="AT402" s="132"/>
      <c r="AU402" s="132"/>
      <c r="AV402" s="83"/>
    </row>
    <row r="403" spans="37:48">
      <c r="AK403" s="132"/>
      <c r="AO403" s="132"/>
      <c r="AQ403" s="134"/>
      <c r="AR403" s="132"/>
      <c r="AS403" s="134"/>
      <c r="AT403" s="132"/>
      <c r="AU403" s="132"/>
      <c r="AV403" s="83"/>
    </row>
    <row r="404" spans="37:48">
      <c r="AK404" s="132"/>
      <c r="AO404" s="132"/>
      <c r="AQ404" s="134"/>
      <c r="AR404" s="132"/>
      <c r="AS404" s="134"/>
      <c r="AT404" s="132"/>
      <c r="AU404" s="132"/>
      <c r="AV404" s="83"/>
    </row>
    <row r="405" spans="37:48">
      <c r="AK405" s="132"/>
      <c r="AO405" s="132"/>
      <c r="AQ405" s="134"/>
      <c r="AR405" s="132"/>
      <c r="AS405" s="134"/>
      <c r="AT405" s="132"/>
      <c r="AU405" s="132"/>
      <c r="AV405" s="83"/>
    </row>
    <row r="406" spans="37:48">
      <c r="AK406" s="132"/>
      <c r="AO406" s="132"/>
      <c r="AQ406" s="134"/>
      <c r="AR406" s="132"/>
      <c r="AS406" s="134"/>
      <c r="AT406" s="132"/>
      <c r="AU406" s="132"/>
      <c r="AV406" s="83"/>
    </row>
    <row r="407" spans="37:48">
      <c r="AK407" s="132"/>
      <c r="AO407" s="132"/>
      <c r="AQ407" s="134"/>
      <c r="AR407" s="132"/>
      <c r="AS407" s="134"/>
      <c r="AT407" s="132"/>
      <c r="AU407" s="132"/>
      <c r="AV407" s="83"/>
    </row>
    <row r="408" spans="37:48">
      <c r="AK408" s="132"/>
      <c r="AO408" s="132"/>
      <c r="AQ408" s="134"/>
      <c r="AR408" s="132"/>
      <c r="AS408" s="134"/>
      <c r="AT408" s="132"/>
      <c r="AU408" s="132"/>
      <c r="AV408" s="83"/>
    </row>
    <row r="409" spans="37:48">
      <c r="AK409" s="132"/>
      <c r="AO409" s="132"/>
      <c r="AQ409" s="134"/>
      <c r="AR409" s="132"/>
      <c r="AS409" s="134"/>
      <c r="AT409" s="132"/>
      <c r="AU409" s="132"/>
      <c r="AV409" s="83"/>
    </row>
    <row r="410" spans="37:48">
      <c r="AK410" s="132"/>
      <c r="AO410" s="132"/>
      <c r="AQ410" s="134"/>
      <c r="AR410" s="132"/>
      <c r="AS410" s="134"/>
      <c r="AT410" s="132"/>
      <c r="AU410" s="132"/>
      <c r="AV410" s="83"/>
    </row>
    <row r="411" spans="37:48">
      <c r="AK411" s="132"/>
      <c r="AO411" s="132"/>
      <c r="AQ411" s="134"/>
      <c r="AR411" s="132"/>
      <c r="AS411" s="134"/>
      <c r="AT411" s="132"/>
      <c r="AU411" s="132"/>
      <c r="AV411" s="83"/>
    </row>
    <row r="412" spans="37:48">
      <c r="AK412" s="132"/>
      <c r="AO412" s="132"/>
      <c r="AQ412" s="134"/>
      <c r="AR412" s="132"/>
      <c r="AS412" s="134"/>
      <c r="AT412" s="132"/>
      <c r="AU412" s="132"/>
      <c r="AV412" s="83"/>
    </row>
    <row r="413" spans="37:48">
      <c r="AK413" s="132"/>
      <c r="AO413" s="132"/>
      <c r="AQ413" s="134"/>
      <c r="AR413" s="132"/>
      <c r="AS413" s="134"/>
      <c r="AT413" s="132"/>
      <c r="AU413" s="132"/>
      <c r="AV413" s="83"/>
    </row>
    <row r="414" spans="37:48">
      <c r="AK414" s="132"/>
      <c r="AO414" s="132"/>
      <c r="AQ414" s="134"/>
      <c r="AR414" s="132"/>
      <c r="AS414" s="134"/>
      <c r="AT414" s="132"/>
      <c r="AU414" s="132"/>
      <c r="AV414" s="83"/>
    </row>
    <row r="415" spans="37:48">
      <c r="AK415" s="132"/>
      <c r="AO415" s="132"/>
      <c r="AQ415" s="134"/>
      <c r="AR415" s="132"/>
      <c r="AS415" s="134"/>
      <c r="AT415" s="132"/>
      <c r="AU415" s="132"/>
      <c r="AV415" s="83"/>
    </row>
    <row r="416" spans="37:48">
      <c r="AK416" s="132"/>
      <c r="AO416" s="132"/>
      <c r="AQ416" s="134"/>
      <c r="AR416" s="132"/>
      <c r="AS416" s="134"/>
      <c r="AT416" s="132"/>
      <c r="AU416" s="132"/>
      <c r="AV416" s="83"/>
    </row>
    <row r="417" spans="37:48">
      <c r="AK417" s="132"/>
      <c r="AO417" s="132"/>
      <c r="AQ417" s="134"/>
      <c r="AR417" s="132"/>
      <c r="AS417" s="134"/>
      <c r="AT417" s="132"/>
      <c r="AU417" s="132"/>
      <c r="AV417" s="83"/>
    </row>
    <row r="418" spans="37:48">
      <c r="AK418" s="132"/>
      <c r="AO418" s="132"/>
      <c r="AQ418" s="134"/>
      <c r="AR418" s="132"/>
      <c r="AS418" s="134"/>
      <c r="AT418" s="132"/>
      <c r="AU418" s="132"/>
      <c r="AV418" s="83"/>
    </row>
    <row r="419" spans="37:48">
      <c r="AK419" s="132"/>
      <c r="AO419" s="132"/>
      <c r="AQ419" s="134"/>
      <c r="AR419" s="132"/>
      <c r="AS419" s="134"/>
      <c r="AT419" s="132"/>
      <c r="AU419" s="132"/>
      <c r="AV419" s="83"/>
    </row>
    <row r="420" spans="37:48">
      <c r="AK420" s="132"/>
      <c r="AO420" s="132"/>
      <c r="AQ420" s="134"/>
      <c r="AR420" s="132"/>
      <c r="AS420" s="134"/>
      <c r="AT420" s="132"/>
      <c r="AU420" s="132"/>
      <c r="AV420" s="83"/>
    </row>
    <row r="421" spans="37:48">
      <c r="AK421" s="132"/>
      <c r="AO421" s="132"/>
      <c r="AQ421" s="134"/>
      <c r="AR421" s="132"/>
      <c r="AS421" s="134"/>
      <c r="AT421" s="132"/>
      <c r="AU421" s="132"/>
      <c r="AV421" s="83"/>
    </row>
    <row r="422" spans="37:48">
      <c r="AK422" s="132"/>
      <c r="AO422" s="132"/>
      <c r="AQ422" s="134"/>
      <c r="AR422" s="132"/>
      <c r="AS422" s="134"/>
      <c r="AT422" s="132"/>
      <c r="AU422" s="132"/>
      <c r="AV422" s="83"/>
    </row>
    <row r="423" spans="37:48">
      <c r="AK423" s="132"/>
      <c r="AO423" s="132"/>
      <c r="AQ423" s="134"/>
      <c r="AR423" s="132"/>
      <c r="AS423" s="134"/>
      <c r="AT423" s="132"/>
      <c r="AU423" s="132"/>
      <c r="AV423" s="83"/>
    </row>
    <row r="424" spans="37:48">
      <c r="AK424" s="132"/>
      <c r="AO424" s="132"/>
      <c r="AQ424" s="134"/>
      <c r="AR424" s="132"/>
      <c r="AS424" s="134"/>
      <c r="AT424" s="132"/>
      <c r="AU424" s="132"/>
      <c r="AV424" s="83"/>
    </row>
    <row r="425" spans="37:48">
      <c r="AK425" s="132"/>
      <c r="AO425" s="132"/>
      <c r="AQ425" s="134"/>
      <c r="AR425" s="132"/>
      <c r="AS425" s="134"/>
      <c r="AT425" s="132"/>
      <c r="AU425" s="132"/>
      <c r="AV425" s="83"/>
    </row>
    <row r="426" spans="37:48">
      <c r="AK426" s="132"/>
      <c r="AO426" s="132"/>
      <c r="AQ426" s="134"/>
      <c r="AR426" s="132"/>
      <c r="AS426" s="134"/>
      <c r="AT426" s="132"/>
      <c r="AU426" s="132"/>
      <c r="AV426" s="83"/>
    </row>
    <row r="427" spans="37:48">
      <c r="AK427" s="132"/>
      <c r="AO427" s="132"/>
      <c r="AQ427" s="134"/>
      <c r="AR427" s="132"/>
      <c r="AS427" s="134"/>
      <c r="AT427" s="132"/>
      <c r="AU427" s="132"/>
      <c r="AV427" s="83"/>
    </row>
    <row r="428" spans="37:48">
      <c r="AK428" s="132"/>
      <c r="AO428" s="132"/>
      <c r="AQ428" s="134"/>
      <c r="AR428" s="132"/>
      <c r="AS428" s="134"/>
      <c r="AT428" s="132"/>
      <c r="AU428" s="132"/>
      <c r="AV428" s="83"/>
    </row>
    <row r="429" spans="37:48">
      <c r="AK429" s="132"/>
      <c r="AO429" s="132"/>
      <c r="AQ429" s="134"/>
      <c r="AR429" s="132"/>
      <c r="AS429" s="134"/>
      <c r="AT429" s="132"/>
      <c r="AU429" s="132"/>
      <c r="AV429" s="83"/>
    </row>
    <row r="430" spans="37:48">
      <c r="AK430" s="132"/>
      <c r="AO430" s="132"/>
      <c r="AQ430" s="134"/>
      <c r="AR430" s="132"/>
      <c r="AS430" s="134"/>
      <c r="AT430" s="132"/>
      <c r="AU430" s="132"/>
      <c r="AV430" s="83"/>
    </row>
    <row r="431" spans="37:48">
      <c r="AK431" s="132"/>
      <c r="AO431" s="132"/>
      <c r="AQ431" s="134"/>
      <c r="AR431" s="132"/>
      <c r="AS431" s="134"/>
      <c r="AT431" s="132"/>
      <c r="AU431" s="132"/>
      <c r="AV431" s="83"/>
    </row>
    <row r="432" spans="37:48">
      <c r="AK432" s="132"/>
      <c r="AO432" s="132"/>
      <c r="AQ432" s="134"/>
      <c r="AR432" s="132"/>
      <c r="AS432" s="134"/>
      <c r="AT432" s="132"/>
      <c r="AU432" s="132"/>
      <c r="AV432" s="83"/>
    </row>
    <row r="433" spans="37:48">
      <c r="AK433" s="132"/>
      <c r="AO433" s="132"/>
      <c r="AQ433" s="134"/>
      <c r="AR433" s="132"/>
      <c r="AS433" s="134"/>
      <c r="AT433" s="132"/>
      <c r="AU433" s="132"/>
      <c r="AV433" s="83"/>
    </row>
    <row r="434" spans="37:48">
      <c r="AK434" s="132"/>
      <c r="AO434" s="132"/>
      <c r="AQ434" s="134"/>
      <c r="AR434" s="132"/>
      <c r="AS434" s="134"/>
      <c r="AT434" s="132"/>
      <c r="AU434" s="132"/>
      <c r="AV434" s="83"/>
    </row>
    <row r="435" spans="37:48">
      <c r="AK435" s="132"/>
      <c r="AO435" s="132"/>
      <c r="AQ435" s="134"/>
      <c r="AR435" s="132"/>
      <c r="AS435" s="134"/>
      <c r="AT435" s="132"/>
      <c r="AU435" s="132"/>
      <c r="AV435" s="83"/>
    </row>
    <row r="436" spans="37:48">
      <c r="AK436" s="132"/>
      <c r="AO436" s="132"/>
      <c r="AQ436" s="134"/>
      <c r="AR436" s="132"/>
      <c r="AS436" s="134"/>
      <c r="AT436" s="132"/>
      <c r="AU436" s="132"/>
      <c r="AV436" s="83"/>
    </row>
    <row r="437" spans="37:48">
      <c r="AK437" s="132"/>
      <c r="AO437" s="132"/>
      <c r="AQ437" s="134"/>
      <c r="AR437" s="132"/>
      <c r="AS437" s="134"/>
      <c r="AT437" s="132"/>
      <c r="AU437" s="132"/>
      <c r="AV437" s="83"/>
    </row>
    <row r="438" spans="37:48">
      <c r="AK438" s="132"/>
      <c r="AO438" s="132"/>
      <c r="AQ438" s="134"/>
      <c r="AR438" s="132"/>
      <c r="AS438" s="134"/>
      <c r="AT438" s="132"/>
      <c r="AU438" s="132"/>
      <c r="AV438" s="83"/>
    </row>
    <row r="439" spans="37:48">
      <c r="AK439" s="132"/>
      <c r="AO439" s="132"/>
      <c r="AQ439" s="134"/>
      <c r="AR439" s="132"/>
      <c r="AS439" s="134"/>
      <c r="AT439" s="132"/>
      <c r="AU439" s="132"/>
      <c r="AV439" s="83"/>
    </row>
    <row r="440" spans="37:48">
      <c r="AK440" s="132"/>
      <c r="AO440" s="132"/>
      <c r="AQ440" s="134"/>
      <c r="AR440" s="132"/>
      <c r="AS440" s="134"/>
      <c r="AT440" s="132"/>
      <c r="AU440" s="132"/>
      <c r="AV440" s="83"/>
    </row>
    <row r="441" spans="37:48">
      <c r="AK441" s="132"/>
      <c r="AO441" s="132"/>
      <c r="AQ441" s="134"/>
      <c r="AR441" s="132"/>
      <c r="AS441" s="134"/>
      <c r="AT441" s="132"/>
      <c r="AU441" s="132"/>
      <c r="AV441" s="83"/>
    </row>
    <row r="442" spans="37:48">
      <c r="AK442" s="132"/>
      <c r="AO442" s="132"/>
      <c r="AQ442" s="134"/>
      <c r="AR442" s="132"/>
      <c r="AS442" s="134"/>
      <c r="AT442" s="132"/>
      <c r="AU442" s="132"/>
      <c r="AV442" s="83"/>
    </row>
    <row r="443" spans="37:48">
      <c r="AK443" s="132"/>
      <c r="AO443" s="132"/>
      <c r="AQ443" s="134"/>
      <c r="AR443" s="132"/>
      <c r="AS443" s="134"/>
      <c r="AT443" s="132"/>
      <c r="AU443" s="132"/>
      <c r="AV443" s="83"/>
    </row>
    <row r="444" spans="37:48">
      <c r="AK444" s="132"/>
      <c r="AO444" s="132"/>
      <c r="AQ444" s="134"/>
      <c r="AR444" s="132"/>
      <c r="AS444" s="134"/>
      <c r="AT444" s="132"/>
      <c r="AU444" s="132"/>
      <c r="AV444" s="83"/>
    </row>
    <row r="445" spans="37:48">
      <c r="AK445" s="132"/>
      <c r="AO445" s="132"/>
      <c r="AQ445" s="134"/>
      <c r="AR445" s="132"/>
      <c r="AS445" s="134"/>
      <c r="AT445" s="132"/>
      <c r="AU445" s="132"/>
      <c r="AV445" s="83"/>
    </row>
    <row r="446" spans="37:48">
      <c r="AK446" s="132"/>
      <c r="AO446" s="132"/>
      <c r="AQ446" s="134"/>
      <c r="AR446" s="132"/>
      <c r="AS446" s="134"/>
      <c r="AT446" s="132"/>
      <c r="AU446" s="132"/>
      <c r="AV446" s="83"/>
    </row>
    <row r="447" spans="37:48">
      <c r="AK447" s="132"/>
      <c r="AO447" s="132"/>
      <c r="AQ447" s="134"/>
      <c r="AR447" s="132"/>
      <c r="AS447" s="134"/>
      <c r="AT447" s="132"/>
      <c r="AU447" s="132"/>
      <c r="AV447" s="83"/>
    </row>
    <row r="448" spans="37:48">
      <c r="AK448" s="132"/>
      <c r="AO448" s="132"/>
      <c r="AR448" s="132"/>
      <c r="AS448" s="134"/>
      <c r="AT448" s="132"/>
      <c r="AU448" s="132"/>
      <c r="AV448" s="83"/>
    </row>
    <row r="449" spans="37:48">
      <c r="AK449" s="132"/>
      <c r="AO449" s="132"/>
      <c r="AR449" s="132"/>
      <c r="AS449" s="134"/>
      <c r="AT449" s="132"/>
      <c r="AU449" s="132"/>
      <c r="AV449" s="83"/>
    </row>
    <row r="450" spans="37:48">
      <c r="AK450" s="132"/>
      <c r="AO450" s="132"/>
      <c r="AR450" s="132"/>
      <c r="AS450" s="134"/>
      <c r="AT450" s="132"/>
      <c r="AU450" s="132"/>
      <c r="AV450" s="83"/>
    </row>
    <row r="451" spans="37:48">
      <c r="AK451" s="132"/>
      <c r="AO451" s="132"/>
      <c r="AR451" s="132"/>
      <c r="AS451" s="134"/>
      <c r="AT451" s="132"/>
      <c r="AU451" s="132"/>
      <c r="AV451" s="83"/>
    </row>
    <row r="452" spans="37:48">
      <c r="AK452" s="132"/>
      <c r="AO452" s="132"/>
      <c r="AR452" s="132"/>
      <c r="AS452" s="134"/>
      <c r="AT452" s="132"/>
      <c r="AU452" s="132"/>
      <c r="AV452" s="83"/>
    </row>
    <row r="453" spans="37:48">
      <c r="AK453" s="132"/>
      <c r="AO453" s="132"/>
      <c r="AR453" s="132"/>
      <c r="AS453" s="134"/>
      <c r="AT453" s="132"/>
      <c r="AU453" s="132"/>
      <c r="AV453" s="83"/>
    </row>
    <row r="454" spans="37:48">
      <c r="AK454" s="132"/>
      <c r="AO454" s="132"/>
      <c r="AR454" s="132"/>
      <c r="AS454" s="134"/>
      <c r="AT454" s="132"/>
      <c r="AU454" s="132"/>
      <c r="AV454" s="83"/>
    </row>
    <row r="455" spans="37:48">
      <c r="AK455" s="132"/>
      <c r="AO455" s="132"/>
      <c r="AR455" s="132"/>
      <c r="AS455" s="134"/>
      <c r="AT455" s="132"/>
      <c r="AU455" s="132"/>
      <c r="AV455" s="83"/>
    </row>
    <row r="456" spans="37:48">
      <c r="AK456" s="132"/>
      <c r="AO456" s="132"/>
      <c r="AR456" s="132"/>
      <c r="AS456" s="134"/>
      <c r="AT456" s="132"/>
      <c r="AU456" s="132"/>
      <c r="AV456" s="83"/>
    </row>
    <row r="457" spans="37:48">
      <c r="AK457" s="132"/>
      <c r="AO457" s="132"/>
      <c r="AR457" s="132"/>
      <c r="AS457" s="134"/>
      <c r="AT457" s="132"/>
      <c r="AU457" s="132"/>
      <c r="AV457" s="83"/>
    </row>
    <row r="458" spans="37:48">
      <c r="AK458" s="132"/>
      <c r="AO458" s="132"/>
      <c r="AR458" s="132"/>
      <c r="AS458" s="134"/>
      <c r="AT458" s="132"/>
      <c r="AU458" s="132"/>
      <c r="AV458" s="83"/>
    </row>
    <row r="459" spans="37:48">
      <c r="AK459" s="132"/>
      <c r="AO459" s="132"/>
      <c r="AR459" s="132"/>
      <c r="AS459" s="134"/>
      <c r="AT459" s="132"/>
      <c r="AU459" s="132"/>
      <c r="AV459" s="83"/>
    </row>
    <row r="460" spans="37:48">
      <c r="AK460" s="132"/>
      <c r="AO460" s="132"/>
      <c r="AR460" s="132"/>
      <c r="AS460" s="134"/>
      <c r="AT460" s="132"/>
      <c r="AU460" s="132"/>
      <c r="AV460" s="83"/>
    </row>
    <row r="461" spans="37:48">
      <c r="AK461" s="132"/>
      <c r="AO461" s="132"/>
      <c r="AR461" s="132"/>
      <c r="AS461" s="134"/>
      <c r="AT461" s="132"/>
      <c r="AU461" s="132"/>
      <c r="AV461" s="83"/>
    </row>
    <row r="462" spans="37:48">
      <c r="AK462" s="132"/>
      <c r="AO462" s="132"/>
      <c r="AR462" s="132"/>
      <c r="AS462" s="134"/>
      <c r="AT462" s="132"/>
      <c r="AU462" s="132"/>
      <c r="AV462" s="83"/>
    </row>
    <row r="463" spans="37:48">
      <c r="AK463" s="132"/>
      <c r="AO463" s="132"/>
      <c r="AR463" s="132"/>
      <c r="AS463" s="134"/>
      <c r="AT463" s="132"/>
      <c r="AU463" s="132"/>
      <c r="AV463" s="83"/>
    </row>
    <row r="464" spans="37:48">
      <c r="AK464" s="132"/>
      <c r="AO464" s="132"/>
      <c r="AR464" s="132"/>
      <c r="AS464" s="134"/>
      <c r="AT464" s="132"/>
      <c r="AU464" s="132"/>
      <c r="AV464" s="83"/>
    </row>
    <row r="465" spans="37:48">
      <c r="AK465" s="132"/>
      <c r="AO465" s="132"/>
      <c r="AR465" s="132"/>
      <c r="AS465" s="134"/>
      <c r="AT465" s="132"/>
      <c r="AU465" s="132"/>
      <c r="AV465" s="83"/>
    </row>
    <row r="466" spans="37:48">
      <c r="AK466" s="132"/>
      <c r="AO466" s="132"/>
      <c r="AR466" s="132"/>
      <c r="AS466" s="134"/>
      <c r="AT466" s="132"/>
      <c r="AU466" s="132"/>
      <c r="AV466" s="83"/>
    </row>
    <row r="467" spans="37:48">
      <c r="AK467" s="132"/>
      <c r="AO467" s="132"/>
      <c r="AR467" s="132"/>
      <c r="AS467" s="134"/>
      <c r="AT467" s="132"/>
      <c r="AU467" s="132"/>
      <c r="AV467" s="83"/>
    </row>
    <row r="468" spans="37:48">
      <c r="AK468" s="132"/>
      <c r="AO468" s="132"/>
      <c r="AR468" s="132"/>
      <c r="AS468" s="134"/>
      <c r="AT468" s="132"/>
      <c r="AU468" s="132"/>
      <c r="AV468" s="83"/>
    </row>
    <row r="469" spans="37:48">
      <c r="AK469" s="132"/>
      <c r="AO469" s="132"/>
      <c r="AR469" s="132"/>
      <c r="AS469" s="134"/>
      <c r="AT469" s="132"/>
      <c r="AU469" s="132"/>
      <c r="AV469" s="83"/>
    </row>
    <row r="470" spans="37:48">
      <c r="AK470" s="132"/>
      <c r="AO470" s="132"/>
      <c r="AR470" s="132"/>
      <c r="AS470" s="134"/>
      <c r="AT470" s="132"/>
      <c r="AU470" s="132"/>
      <c r="AV470" s="83"/>
    </row>
    <row r="471" spans="37:48">
      <c r="AK471" s="132"/>
      <c r="AO471" s="132"/>
      <c r="AR471" s="132"/>
      <c r="AS471" s="134"/>
      <c r="AT471" s="132"/>
      <c r="AU471" s="132"/>
      <c r="AV471" s="83"/>
    </row>
    <row r="472" spans="37:48">
      <c r="AK472" s="132"/>
      <c r="AO472" s="132"/>
      <c r="AR472" s="132"/>
      <c r="AS472" s="134"/>
      <c r="AT472" s="132"/>
      <c r="AU472" s="132"/>
      <c r="AV472" s="83"/>
    </row>
    <row r="473" spans="37:48">
      <c r="AK473" s="132"/>
      <c r="AO473" s="132"/>
      <c r="AR473" s="132"/>
      <c r="AS473" s="134"/>
      <c r="AT473" s="132"/>
      <c r="AU473" s="132"/>
      <c r="AV473" s="83"/>
    </row>
    <row r="474" spans="37:48">
      <c r="AK474" s="132"/>
      <c r="AO474" s="132"/>
      <c r="AR474" s="132"/>
      <c r="AS474" s="134"/>
      <c r="AT474" s="132"/>
      <c r="AU474" s="132"/>
      <c r="AV474" s="83"/>
    </row>
    <row r="475" spans="37:48">
      <c r="AK475" s="132"/>
      <c r="AO475" s="132"/>
      <c r="AR475" s="132"/>
      <c r="AS475" s="134"/>
      <c r="AT475" s="132"/>
      <c r="AU475" s="132"/>
      <c r="AV475" s="83"/>
    </row>
    <row r="476" spans="37:48">
      <c r="AK476" s="132"/>
      <c r="AO476" s="132"/>
      <c r="AR476" s="132"/>
      <c r="AS476" s="134"/>
      <c r="AT476" s="132"/>
      <c r="AU476" s="132"/>
      <c r="AV476" s="83"/>
    </row>
    <row r="477" spans="37:48">
      <c r="AK477" s="132"/>
      <c r="AO477" s="132"/>
      <c r="AR477" s="132"/>
      <c r="AS477" s="134"/>
      <c r="AT477" s="132"/>
      <c r="AU477" s="132"/>
      <c r="AV477" s="83"/>
    </row>
    <row r="478" spans="37:48">
      <c r="AK478" s="132"/>
      <c r="AO478" s="132"/>
      <c r="AR478" s="132"/>
      <c r="AS478" s="134"/>
      <c r="AT478" s="132"/>
      <c r="AU478" s="132"/>
      <c r="AV478" s="83"/>
    </row>
    <row r="479" spans="37:48">
      <c r="AK479" s="132"/>
      <c r="AO479" s="132"/>
      <c r="AR479" s="132"/>
      <c r="AS479" s="134"/>
      <c r="AT479" s="132"/>
      <c r="AU479" s="132"/>
      <c r="AV479" s="83"/>
    </row>
    <row r="480" spans="37:48">
      <c r="AK480" s="132"/>
      <c r="AO480" s="132"/>
      <c r="AR480" s="132"/>
      <c r="AS480" s="134"/>
      <c r="AT480" s="132"/>
      <c r="AU480" s="132"/>
      <c r="AV480" s="83"/>
    </row>
    <row r="481" spans="37:48">
      <c r="AK481" s="132"/>
      <c r="AR481" s="132"/>
      <c r="AS481" s="134"/>
      <c r="AT481" s="132"/>
      <c r="AU481" s="132"/>
      <c r="AV481" s="83"/>
    </row>
    <row r="482" spans="37:48">
      <c r="AK482" s="132"/>
      <c r="AR482" s="132"/>
      <c r="AT482" s="132"/>
      <c r="AU482" s="132"/>
      <c r="AV482" s="83"/>
    </row>
    <row r="483" spans="37:48">
      <c r="AK483" s="132"/>
      <c r="AR483" s="132"/>
      <c r="AT483" s="132"/>
      <c r="AU483" s="132"/>
      <c r="AV483" s="83"/>
    </row>
    <row r="484" spans="37:48">
      <c r="AK484" s="132"/>
      <c r="AR484" s="132"/>
      <c r="AU484" s="132"/>
      <c r="AV484" s="83"/>
    </row>
    <row r="485" spans="37:48">
      <c r="AK485" s="132"/>
      <c r="AU485" s="132"/>
      <c r="AV485" s="83"/>
    </row>
    <row r="486" spans="37:48">
      <c r="AK486" s="132"/>
      <c r="AU486" s="132"/>
      <c r="AV486" s="83"/>
    </row>
    <row r="487" spans="37:48">
      <c r="AK487" s="132"/>
      <c r="AU487" s="132"/>
      <c r="AV487" s="83"/>
    </row>
    <row r="488" spans="37:48">
      <c r="AK488" s="132"/>
      <c r="AU488" s="132"/>
    </row>
    <row r="489" spans="37:48">
      <c r="AU489" s="132"/>
    </row>
  </sheetData>
  <autoFilter ref="A3:CG289"/>
  <printOptions headings="1"/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W1309"/>
  <sheetViews>
    <sheetView workbookViewId="0">
      <pane ySplit="4" topLeftCell="A5" activePane="bottomLeft" state="frozen"/>
      <selection pane="bottomLeft" activeCell="A1033" sqref="A1033:XFD1038"/>
    </sheetView>
  </sheetViews>
  <sheetFormatPr defaultRowHeight="12.75"/>
  <cols>
    <col min="1" max="3" width="10.42578125" style="126" customWidth="1"/>
    <col min="4" max="4" width="26.5703125" style="126" customWidth="1"/>
    <col min="5" max="5" width="10.5703125" style="126" customWidth="1"/>
    <col min="6" max="8" width="9.42578125" style="126" bestFit="1" customWidth="1"/>
    <col min="9" max="11" width="9.42578125" style="126" customWidth="1"/>
    <col min="12" max="12" width="11.42578125" style="126" customWidth="1"/>
    <col min="13" max="13" width="14" style="126" bestFit="1" customWidth="1"/>
    <col min="14" max="14" width="13.85546875" style="126" bestFit="1" customWidth="1"/>
    <col min="15" max="15" width="9.5703125" style="126" bestFit="1" customWidth="1"/>
    <col min="16" max="16" width="14.140625" style="126" bestFit="1" customWidth="1"/>
    <col min="17" max="17" width="10.85546875" style="126" bestFit="1" customWidth="1"/>
    <col min="18" max="18" width="10.85546875" style="126" customWidth="1"/>
    <col min="19" max="16384" width="9.140625" style="126"/>
  </cols>
  <sheetData>
    <row r="1" spans="1:23">
      <c r="A1" s="102"/>
      <c r="B1" s="102"/>
      <c r="N1" s="173" t="s">
        <v>3576</v>
      </c>
      <c r="O1" s="173" t="s">
        <v>3416</v>
      </c>
      <c r="P1" s="173" t="s">
        <v>3417</v>
      </c>
      <c r="Q1" s="173" t="s">
        <v>3576</v>
      </c>
    </row>
    <row r="2" spans="1:23">
      <c r="A2" s="239"/>
      <c r="B2" s="239"/>
      <c r="E2" s="172">
        <v>43363</v>
      </c>
      <c r="F2" s="172">
        <v>43516</v>
      </c>
      <c r="G2" s="172">
        <v>43363</v>
      </c>
      <c r="H2" s="172">
        <v>43516</v>
      </c>
      <c r="I2" s="278" t="s">
        <v>184</v>
      </c>
      <c r="J2" s="278" t="s">
        <v>184</v>
      </c>
      <c r="K2" s="278" t="s">
        <v>184</v>
      </c>
      <c r="L2" s="173" t="s">
        <v>3576</v>
      </c>
      <c r="M2" s="173" t="s">
        <v>3576</v>
      </c>
      <c r="N2" s="176" t="s">
        <v>818</v>
      </c>
      <c r="O2" s="176" t="s">
        <v>3418</v>
      </c>
      <c r="P2" s="176" t="s">
        <v>3418</v>
      </c>
      <c r="Q2" s="176" t="s">
        <v>3418</v>
      </c>
    </row>
    <row r="3" spans="1:23" ht="48.75" customHeight="1" thickBot="1">
      <c r="A3" s="85" t="s">
        <v>171</v>
      </c>
      <c r="B3" s="85" t="s">
        <v>171</v>
      </c>
      <c r="C3" s="85" t="s">
        <v>893</v>
      </c>
      <c r="D3" s="85" t="s">
        <v>892</v>
      </c>
      <c r="E3" s="174" t="s">
        <v>3414</v>
      </c>
      <c r="F3" s="174" t="s">
        <v>3414</v>
      </c>
      <c r="G3" s="174" t="s">
        <v>3419</v>
      </c>
      <c r="H3" s="174" t="s">
        <v>3419</v>
      </c>
      <c r="I3" s="279" t="s">
        <v>3632</v>
      </c>
      <c r="J3" s="280" t="s">
        <v>3633</v>
      </c>
      <c r="K3" s="280" t="s">
        <v>3634</v>
      </c>
      <c r="L3" s="295" t="s">
        <v>3415</v>
      </c>
      <c r="M3" s="295" t="s">
        <v>3420</v>
      </c>
      <c r="N3" s="175" t="s">
        <v>3419</v>
      </c>
      <c r="O3" s="175" t="s">
        <v>3421</v>
      </c>
      <c r="P3" s="175" t="s">
        <v>3421</v>
      </c>
      <c r="Q3" s="175" t="s">
        <v>813</v>
      </c>
    </row>
    <row r="4" spans="1:23">
      <c r="A4" s="92"/>
      <c r="B4" s="92"/>
      <c r="C4" s="92"/>
      <c r="D4" s="92"/>
      <c r="E4" s="101" t="s">
        <v>804</v>
      </c>
      <c r="F4" s="169">
        <f>SUM(F5:F5)</f>
        <v>0</v>
      </c>
      <c r="G4" s="169">
        <f>SUM(G5:G5)</f>
        <v>0</v>
      </c>
      <c r="H4" s="169">
        <f>SUM(H5:H5)</f>
        <v>0</v>
      </c>
      <c r="I4" s="169"/>
      <c r="J4" s="169"/>
      <c r="K4" s="169"/>
      <c r="L4" s="169"/>
      <c r="M4" s="169">
        <f>SUM(M5:M5)</f>
        <v>0</v>
      </c>
      <c r="N4" s="169">
        <f>SUM(N5:N5)</f>
        <v>0</v>
      </c>
      <c r="O4" s="225">
        <f>SUM(O5:O5)</f>
        <v>0</v>
      </c>
      <c r="P4" s="138">
        <f>SUM(P5:P5)</f>
        <v>0</v>
      </c>
      <c r="Q4" s="138">
        <f>SUM(Q5:Q5)</f>
        <v>0</v>
      </c>
      <c r="R4" s="231"/>
    </row>
    <row r="5" spans="1:23" ht="12.75" customHeight="1">
      <c r="A5" s="226" t="s">
        <v>3486</v>
      </c>
      <c r="D5" s="239"/>
      <c r="E5" s="239"/>
      <c r="F5" s="239"/>
      <c r="G5" s="239"/>
      <c r="H5" s="239"/>
      <c r="I5" s="277"/>
      <c r="J5" s="277"/>
      <c r="K5" s="277"/>
      <c r="L5" s="227" t="s">
        <v>3486</v>
      </c>
      <c r="M5" s="228" t="s">
        <v>3486</v>
      </c>
      <c r="N5" s="171">
        <f>IF(ISERROR(M5/L5),0,M5/L5)</f>
        <v>0</v>
      </c>
      <c r="O5" s="132">
        <f>IF(AND((N5-35%)&gt;0,N5&lt;50%),M5*(N5-35%)*0.7,0)</f>
        <v>0</v>
      </c>
      <c r="P5" s="177">
        <f>IF(N5&gt;=50%,M5*10.5%,0)</f>
        <v>0</v>
      </c>
      <c r="Q5" s="177">
        <f>MAX(O5,P5)</f>
        <v>0</v>
      </c>
      <c r="R5" s="177"/>
      <c r="S5" s="233" t="b">
        <f t="shared" ref="S5:S68" si="0">COUNTIF(C:C,C5)&gt;1</f>
        <v>0</v>
      </c>
      <c r="T5" s="129"/>
      <c r="U5" s="87"/>
      <c r="V5" s="129"/>
      <c r="W5" s="129"/>
    </row>
    <row r="6" spans="1:23">
      <c r="A6" s="126" t="s">
        <v>3648</v>
      </c>
      <c r="B6" s="126" t="str">
        <f t="shared" ref="B6:B12" si="1">LEFT(A6,5)</f>
        <v>D0109</v>
      </c>
      <c r="C6" s="126">
        <v>2972</v>
      </c>
      <c r="D6" s="126" t="s">
        <v>927</v>
      </c>
      <c r="E6" s="126">
        <v>257</v>
      </c>
      <c r="F6" s="126">
        <v>0</v>
      </c>
      <c r="G6" s="126">
        <v>98</v>
      </c>
      <c r="H6" s="126">
        <v>0</v>
      </c>
      <c r="I6" s="126">
        <v>38.130000000000003</v>
      </c>
      <c r="J6" s="126">
        <v>0</v>
      </c>
      <c r="K6" s="126">
        <v>2.1</v>
      </c>
      <c r="L6" s="126">
        <f>SUM(E6:F6)</f>
        <v>257</v>
      </c>
      <c r="M6" s="126">
        <f>SUM(G6:H6)</f>
        <v>98</v>
      </c>
      <c r="N6" s="171">
        <f t="shared" ref="N6:N12" si="2">IF(ISERROR(M6/L6),0,M6/L6)</f>
        <v>0.38129999999999997</v>
      </c>
      <c r="O6" s="132">
        <f t="shared" ref="O6:O12" si="3">IF(AND((N6-35%)&gt;0,N6&lt;50%),M6*(N6-35%)*0.7,0)</f>
        <v>2.1</v>
      </c>
      <c r="P6" s="177">
        <f t="shared" ref="P6:P12" si="4">IF(N6&gt;=50%,M6*10.5%,0)</f>
        <v>0</v>
      </c>
      <c r="Q6" s="177">
        <f t="shared" ref="Q6:Q12" si="5">MAX(O6,P6)</f>
        <v>2.1</v>
      </c>
      <c r="S6" s="233" t="b">
        <f t="shared" si="0"/>
        <v>0</v>
      </c>
    </row>
    <row r="7" spans="1:23">
      <c r="A7" s="126" t="s">
        <v>3648</v>
      </c>
      <c r="B7" s="126" t="str">
        <f t="shared" si="1"/>
        <v>D0109</v>
      </c>
      <c r="C7" s="126">
        <v>3070</v>
      </c>
      <c r="D7" s="126" t="s">
        <v>929</v>
      </c>
      <c r="E7" s="126">
        <v>265</v>
      </c>
      <c r="F7" s="126">
        <v>0</v>
      </c>
      <c r="G7" s="126">
        <v>88</v>
      </c>
      <c r="H7" s="126">
        <v>0</v>
      </c>
      <c r="I7" s="126">
        <v>33.21</v>
      </c>
      <c r="J7" s="126">
        <v>0</v>
      </c>
      <c r="K7" s="126">
        <v>0</v>
      </c>
      <c r="L7" s="126">
        <f t="shared" ref="L7:L11" si="6">SUM(E7:F7)</f>
        <v>265</v>
      </c>
      <c r="M7" s="126">
        <f t="shared" ref="M7:M11" si="7">SUM(G7:H7)</f>
        <v>88</v>
      </c>
      <c r="N7" s="171">
        <f t="shared" si="2"/>
        <v>0.33210000000000001</v>
      </c>
      <c r="O7" s="132">
        <f t="shared" si="3"/>
        <v>0</v>
      </c>
      <c r="P7" s="177">
        <f t="shared" si="4"/>
        <v>0</v>
      </c>
      <c r="Q7" s="177">
        <f t="shared" si="5"/>
        <v>0</v>
      </c>
      <c r="S7" s="233" t="b">
        <f t="shared" si="0"/>
        <v>0</v>
      </c>
    </row>
    <row r="8" spans="1:23">
      <c r="A8" s="126" t="s">
        <v>3650</v>
      </c>
      <c r="B8" s="126" t="str">
        <f t="shared" si="1"/>
        <v>D0115</v>
      </c>
      <c r="C8" s="126">
        <v>280</v>
      </c>
      <c r="D8" s="126" t="s">
        <v>975</v>
      </c>
      <c r="E8" s="126">
        <v>406</v>
      </c>
      <c r="F8" s="126">
        <v>0</v>
      </c>
      <c r="G8" s="126">
        <v>86</v>
      </c>
      <c r="H8" s="126">
        <v>0</v>
      </c>
      <c r="I8" s="126">
        <v>21.18</v>
      </c>
      <c r="J8" s="126">
        <v>0</v>
      </c>
      <c r="K8" s="126">
        <v>0</v>
      </c>
      <c r="L8" s="126">
        <f t="shared" si="6"/>
        <v>406</v>
      </c>
      <c r="M8" s="126">
        <f t="shared" si="7"/>
        <v>86</v>
      </c>
      <c r="N8" s="171">
        <f t="shared" si="2"/>
        <v>0.21179999999999999</v>
      </c>
      <c r="O8" s="132">
        <f t="shared" si="3"/>
        <v>0</v>
      </c>
      <c r="P8" s="177">
        <f t="shared" si="4"/>
        <v>0</v>
      </c>
      <c r="Q8" s="177">
        <f t="shared" si="5"/>
        <v>0</v>
      </c>
      <c r="S8" s="233" t="b">
        <f t="shared" si="0"/>
        <v>0</v>
      </c>
    </row>
    <row r="9" spans="1:23">
      <c r="A9" s="126" t="s">
        <v>3650</v>
      </c>
      <c r="B9" s="126" t="str">
        <f t="shared" si="1"/>
        <v>D0115</v>
      </c>
      <c r="C9" s="126">
        <v>281</v>
      </c>
      <c r="D9" s="126" t="s">
        <v>977</v>
      </c>
      <c r="E9" s="126">
        <v>203</v>
      </c>
      <c r="F9" s="126">
        <v>0</v>
      </c>
      <c r="G9" s="126">
        <v>28</v>
      </c>
      <c r="H9" s="126">
        <v>0</v>
      </c>
      <c r="I9" s="126">
        <v>13.79</v>
      </c>
      <c r="J9" s="126">
        <v>0</v>
      </c>
      <c r="K9" s="126">
        <v>0</v>
      </c>
      <c r="L9" s="126">
        <f t="shared" si="6"/>
        <v>203</v>
      </c>
      <c r="M9" s="126">
        <f t="shared" si="7"/>
        <v>28</v>
      </c>
      <c r="N9" s="171">
        <f t="shared" si="2"/>
        <v>0.13789999999999999</v>
      </c>
      <c r="O9" s="132">
        <f t="shared" si="3"/>
        <v>0</v>
      </c>
      <c r="P9" s="177">
        <f t="shared" si="4"/>
        <v>0</v>
      </c>
      <c r="Q9" s="177">
        <f t="shared" si="5"/>
        <v>0</v>
      </c>
      <c r="S9" s="233" t="b">
        <f t="shared" si="0"/>
        <v>0</v>
      </c>
    </row>
    <row r="10" spans="1:23">
      <c r="A10" s="126" t="s">
        <v>3651</v>
      </c>
      <c r="B10" s="126" t="str">
        <f t="shared" si="1"/>
        <v>D0357</v>
      </c>
      <c r="C10" s="126">
        <v>4362</v>
      </c>
      <c r="D10" s="126" t="s">
        <v>2235</v>
      </c>
      <c r="E10" s="126">
        <v>246</v>
      </c>
      <c r="F10" s="126">
        <v>0</v>
      </c>
      <c r="G10" s="126">
        <v>97</v>
      </c>
      <c r="H10" s="126">
        <v>0</v>
      </c>
      <c r="I10" s="126">
        <v>39.43</v>
      </c>
      <c r="J10" s="126">
        <v>0</v>
      </c>
      <c r="K10" s="126">
        <v>3</v>
      </c>
      <c r="L10" s="126">
        <f t="shared" si="6"/>
        <v>246</v>
      </c>
      <c r="M10" s="126">
        <f t="shared" si="7"/>
        <v>97</v>
      </c>
      <c r="N10" s="171">
        <f t="shared" si="2"/>
        <v>0.39429999999999998</v>
      </c>
      <c r="O10" s="132">
        <f t="shared" si="3"/>
        <v>3</v>
      </c>
      <c r="P10" s="177">
        <f t="shared" si="4"/>
        <v>0</v>
      </c>
      <c r="Q10" s="177">
        <f t="shared" si="5"/>
        <v>3</v>
      </c>
      <c r="S10" s="233" t="b">
        <f t="shared" si="0"/>
        <v>0</v>
      </c>
    </row>
    <row r="11" spans="1:23">
      <c r="A11" s="126" t="s">
        <v>3651</v>
      </c>
      <c r="B11" s="126" t="str">
        <f t="shared" si="1"/>
        <v>D0357</v>
      </c>
      <c r="C11" s="126">
        <v>4363</v>
      </c>
      <c r="D11" s="126" t="s">
        <v>2237</v>
      </c>
      <c r="E11" s="126">
        <v>173</v>
      </c>
      <c r="F11" s="126">
        <v>0</v>
      </c>
      <c r="G11" s="126">
        <v>63</v>
      </c>
      <c r="H11" s="126">
        <v>0</v>
      </c>
      <c r="I11" s="126">
        <v>36.42</v>
      </c>
      <c r="J11" s="126">
        <v>0</v>
      </c>
      <c r="K11" s="126">
        <v>0.6</v>
      </c>
      <c r="L11" s="126">
        <f t="shared" si="6"/>
        <v>173</v>
      </c>
      <c r="M11" s="126">
        <f t="shared" si="7"/>
        <v>63</v>
      </c>
      <c r="N11" s="171">
        <f t="shared" si="2"/>
        <v>0.36420000000000002</v>
      </c>
      <c r="O11" s="132">
        <f t="shared" si="3"/>
        <v>0.6</v>
      </c>
      <c r="P11" s="177">
        <f t="shared" si="4"/>
        <v>0</v>
      </c>
      <c r="Q11" s="177">
        <f t="shared" si="5"/>
        <v>0.6</v>
      </c>
      <c r="S11" s="233" t="b">
        <f t="shared" si="0"/>
        <v>0</v>
      </c>
    </row>
    <row r="12" spans="1:23">
      <c r="A12" s="126" t="s">
        <v>3651</v>
      </c>
      <c r="B12" s="126" t="str">
        <f t="shared" si="1"/>
        <v>D0357</v>
      </c>
      <c r="C12" s="126">
        <v>4364</v>
      </c>
      <c r="D12" s="126" t="s">
        <v>2239</v>
      </c>
      <c r="E12" s="126">
        <v>182</v>
      </c>
      <c r="F12" s="126">
        <v>0</v>
      </c>
      <c r="G12" s="126">
        <v>42</v>
      </c>
      <c r="H12" s="126">
        <v>0</v>
      </c>
      <c r="I12" s="126">
        <v>23.08</v>
      </c>
      <c r="J12" s="126">
        <v>0</v>
      </c>
      <c r="K12" s="126">
        <v>0</v>
      </c>
      <c r="L12" s="126">
        <f t="shared" ref="L12" si="8">SUM(E12:F12)</f>
        <v>182</v>
      </c>
      <c r="M12" s="126">
        <f t="shared" ref="M12" si="9">SUM(G12:H12)</f>
        <v>42</v>
      </c>
      <c r="N12" s="171">
        <f t="shared" si="2"/>
        <v>0.23080000000000001</v>
      </c>
      <c r="O12" s="132">
        <f t="shared" si="3"/>
        <v>0</v>
      </c>
      <c r="P12" s="177">
        <f t="shared" si="4"/>
        <v>0</v>
      </c>
      <c r="Q12" s="177">
        <f t="shared" si="5"/>
        <v>0</v>
      </c>
      <c r="S12" s="233" t="b">
        <f t="shared" si="0"/>
        <v>0</v>
      </c>
    </row>
    <row r="13" spans="1:23">
      <c r="A13" s="126" t="s">
        <v>3652</v>
      </c>
      <c r="B13" s="126" t="str">
        <f t="shared" ref="B13:B67" si="10">LEFT(A13,5)</f>
        <v>D0217</v>
      </c>
      <c r="C13" s="126">
        <v>496</v>
      </c>
      <c r="D13" s="126" t="s">
        <v>1079</v>
      </c>
      <c r="E13" s="126">
        <v>42</v>
      </c>
      <c r="F13" s="126">
        <v>0</v>
      </c>
      <c r="G13" s="126">
        <v>20</v>
      </c>
      <c r="H13" s="126">
        <v>0</v>
      </c>
      <c r="I13" s="126">
        <v>47.62</v>
      </c>
      <c r="J13" s="126">
        <v>0</v>
      </c>
      <c r="K13" s="126">
        <v>1.8</v>
      </c>
      <c r="L13" s="126">
        <f t="shared" ref="L13:L16" si="11">SUM(E13:F13)</f>
        <v>42</v>
      </c>
      <c r="M13" s="126">
        <f t="shared" ref="M13:M16" si="12">SUM(G13:H13)</f>
        <v>20</v>
      </c>
      <c r="N13" s="171">
        <f t="shared" ref="N13:N16" si="13">IF(ISERROR(M13/L13),0,M13/L13)</f>
        <v>0.47620000000000001</v>
      </c>
      <c r="O13" s="132">
        <f t="shared" ref="O13:O16" si="14">IF(AND((N13-35%)&gt;0,N13&lt;50%),M13*(N13-35%)*0.7,0)</f>
        <v>1.8</v>
      </c>
      <c r="P13" s="177">
        <f t="shared" ref="P13:P16" si="15">IF(N13&gt;=50%,M13*10.5%,0)</f>
        <v>0</v>
      </c>
      <c r="Q13" s="177">
        <f t="shared" ref="Q13:Q16" si="16">MAX(O13,P13)</f>
        <v>1.8</v>
      </c>
      <c r="S13" s="233" t="b">
        <f t="shared" si="0"/>
        <v>0</v>
      </c>
    </row>
    <row r="14" spans="1:23">
      <c r="A14" s="126" t="s">
        <v>3652</v>
      </c>
      <c r="B14" s="126" t="str">
        <f t="shared" si="10"/>
        <v>D0217</v>
      </c>
      <c r="C14" s="126">
        <v>498</v>
      </c>
      <c r="D14" s="126" t="s">
        <v>1081</v>
      </c>
      <c r="E14" s="126">
        <v>71</v>
      </c>
      <c r="F14" s="126">
        <v>0</v>
      </c>
      <c r="G14" s="126">
        <v>20</v>
      </c>
      <c r="H14" s="126">
        <v>0</v>
      </c>
      <c r="I14" s="126">
        <v>28.17</v>
      </c>
      <c r="J14" s="126">
        <v>0</v>
      </c>
      <c r="K14" s="126">
        <v>0</v>
      </c>
      <c r="L14" s="126">
        <f t="shared" si="11"/>
        <v>71</v>
      </c>
      <c r="M14" s="126">
        <f t="shared" si="12"/>
        <v>20</v>
      </c>
      <c r="N14" s="171">
        <f t="shared" si="13"/>
        <v>0.28170000000000001</v>
      </c>
      <c r="O14" s="132">
        <f t="shared" si="14"/>
        <v>0</v>
      </c>
      <c r="P14" s="177">
        <f t="shared" si="15"/>
        <v>0</v>
      </c>
      <c r="Q14" s="177">
        <f t="shared" si="16"/>
        <v>0</v>
      </c>
      <c r="S14" s="233" t="b">
        <f t="shared" si="0"/>
        <v>0</v>
      </c>
    </row>
    <row r="15" spans="1:23">
      <c r="A15" s="126" t="s">
        <v>3653</v>
      </c>
      <c r="B15" s="126" t="str">
        <f t="shared" si="10"/>
        <v>D0255</v>
      </c>
      <c r="C15" s="126">
        <v>1503</v>
      </c>
      <c r="D15" s="126" t="s">
        <v>1480</v>
      </c>
      <c r="E15" s="126">
        <v>156</v>
      </c>
      <c r="F15" s="126">
        <v>0</v>
      </c>
      <c r="G15" s="126">
        <v>66</v>
      </c>
      <c r="H15" s="126">
        <v>0</v>
      </c>
      <c r="I15" s="126">
        <v>42.31</v>
      </c>
      <c r="J15" s="126">
        <v>0</v>
      </c>
      <c r="K15" s="126">
        <v>3.4</v>
      </c>
      <c r="L15" s="126">
        <f t="shared" si="11"/>
        <v>156</v>
      </c>
      <c r="M15" s="126">
        <f t="shared" si="12"/>
        <v>66</v>
      </c>
      <c r="N15" s="171">
        <f t="shared" si="13"/>
        <v>0.42309999999999998</v>
      </c>
      <c r="O15" s="132">
        <f t="shared" si="14"/>
        <v>3.4</v>
      </c>
      <c r="P15" s="177">
        <f t="shared" si="15"/>
        <v>0</v>
      </c>
      <c r="Q15" s="177">
        <f t="shared" si="16"/>
        <v>3.4</v>
      </c>
      <c r="S15" s="233" t="b">
        <f t="shared" si="0"/>
        <v>0</v>
      </c>
    </row>
    <row r="16" spans="1:23">
      <c r="A16" s="126" t="s">
        <v>3653</v>
      </c>
      <c r="B16" s="126" t="str">
        <f t="shared" si="10"/>
        <v>D0255</v>
      </c>
      <c r="C16" s="126">
        <v>1504</v>
      </c>
      <c r="D16" s="126" t="s">
        <v>1482</v>
      </c>
      <c r="E16" s="126">
        <v>90</v>
      </c>
      <c r="F16" s="126">
        <v>0</v>
      </c>
      <c r="G16" s="126">
        <v>25</v>
      </c>
      <c r="H16" s="126">
        <v>0</v>
      </c>
      <c r="I16" s="126">
        <v>27.78</v>
      </c>
      <c r="J16" s="126">
        <v>0</v>
      </c>
      <c r="K16" s="126">
        <v>0</v>
      </c>
      <c r="L16" s="126">
        <f t="shared" si="11"/>
        <v>90</v>
      </c>
      <c r="M16" s="126">
        <f t="shared" si="12"/>
        <v>25</v>
      </c>
      <c r="N16" s="171">
        <f t="shared" si="13"/>
        <v>0.27779999999999999</v>
      </c>
      <c r="O16" s="132">
        <f t="shared" si="14"/>
        <v>0</v>
      </c>
      <c r="P16" s="177">
        <f t="shared" si="15"/>
        <v>0</v>
      </c>
      <c r="Q16" s="177">
        <f t="shared" si="16"/>
        <v>0</v>
      </c>
      <c r="S16" s="233" t="b">
        <f t="shared" si="0"/>
        <v>0</v>
      </c>
    </row>
    <row r="17" spans="1:19">
      <c r="A17" s="126" t="s">
        <v>3656</v>
      </c>
      <c r="B17" s="126" t="str">
        <f t="shared" si="10"/>
        <v>D0281</v>
      </c>
      <c r="C17" s="126">
        <v>2407</v>
      </c>
      <c r="D17" s="126" t="s">
        <v>1841</v>
      </c>
      <c r="E17" s="126">
        <v>164</v>
      </c>
      <c r="F17" s="126">
        <v>0</v>
      </c>
      <c r="G17" s="126">
        <v>62</v>
      </c>
      <c r="H17" s="126">
        <v>0</v>
      </c>
      <c r="I17" s="126">
        <v>37.799999999999997</v>
      </c>
      <c r="J17" s="126">
        <v>0</v>
      </c>
      <c r="K17" s="126">
        <v>1.2</v>
      </c>
      <c r="L17" s="126">
        <f t="shared" ref="L17:L35" si="17">SUM(E17:F17)</f>
        <v>164</v>
      </c>
      <c r="M17" s="126">
        <f t="shared" ref="M17:M35" si="18">SUM(G17:H17)</f>
        <v>62</v>
      </c>
      <c r="N17" s="171">
        <f t="shared" ref="N17:N35" si="19">IF(ISERROR(M17/L17),0,M17/L17)</f>
        <v>0.378</v>
      </c>
      <c r="O17" s="132">
        <f t="shared" ref="O17:O35" si="20">IF(AND((N17-35%)&gt;0,N17&lt;50%),M17*(N17-35%)*0.7,0)</f>
        <v>1.2</v>
      </c>
      <c r="P17" s="177">
        <f t="shared" ref="P17:P35" si="21">IF(N17&gt;=50%,M17*10.5%,0)</f>
        <v>0</v>
      </c>
      <c r="Q17" s="177">
        <f t="shared" ref="Q17:Q35" si="22">MAX(O17,P17)</f>
        <v>1.2</v>
      </c>
      <c r="S17" s="233" t="b">
        <f t="shared" si="0"/>
        <v>0</v>
      </c>
    </row>
    <row r="18" spans="1:19">
      <c r="A18" s="126" t="s">
        <v>3656</v>
      </c>
      <c r="B18" s="126" t="str">
        <f t="shared" si="10"/>
        <v>D0281</v>
      </c>
      <c r="C18" s="126">
        <v>2412</v>
      </c>
      <c r="D18" s="126" t="s">
        <v>1843</v>
      </c>
      <c r="E18" s="126">
        <v>227</v>
      </c>
      <c r="F18" s="126">
        <v>0</v>
      </c>
      <c r="G18" s="126">
        <v>83</v>
      </c>
      <c r="H18" s="126">
        <v>0</v>
      </c>
      <c r="I18" s="126">
        <v>36.56</v>
      </c>
      <c r="J18" s="126">
        <v>0</v>
      </c>
      <c r="K18" s="126">
        <v>0.9</v>
      </c>
      <c r="L18" s="126">
        <f t="shared" si="17"/>
        <v>227</v>
      </c>
      <c r="M18" s="126">
        <f t="shared" si="18"/>
        <v>83</v>
      </c>
      <c r="N18" s="171">
        <f t="shared" si="19"/>
        <v>0.36559999999999998</v>
      </c>
      <c r="O18" s="132">
        <f t="shared" si="20"/>
        <v>0.9</v>
      </c>
      <c r="P18" s="177">
        <f t="shared" si="21"/>
        <v>0</v>
      </c>
      <c r="Q18" s="177">
        <f t="shared" si="22"/>
        <v>0.9</v>
      </c>
      <c r="S18" s="233" t="b">
        <f t="shared" si="0"/>
        <v>0</v>
      </c>
    </row>
    <row r="19" spans="1:19">
      <c r="A19" s="126" t="s">
        <v>3657</v>
      </c>
      <c r="B19" s="126" t="str">
        <f t="shared" si="10"/>
        <v>D0303</v>
      </c>
      <c r="C19" s="126">
        <v>2948</v>
      </c>
      <c r="D19" s="126" t="s">
        <v>1923</v>
      </c>
      <c r="E19" s="126">
        <v>146</v>
      </c>
      <c r="F19" s="126">
        <v>0</v>
      </c>
      <c r="G19" s="126">
        <v>47</v>
      </c>
      <c r="H19" s="126">
        <v>0</v>
      </c>
      <c r="I19" s="126">
        <v>32.19</v>
      </c>
      <c r="J19" s="126">
        <v>0</v>
      </c>
      <c r="K19" s="126">
        <v>0</v>
      </c>
      <c r="L19" s="126">
        <f t="shared" si="17"/>
        <v>146</v>
      </c>
      <c r="M19" s="126">
        <f t="shared" si="18"/>
        <v>47</v>
      </c>
      <c r="N19" s="171">
        <f t="shared" si="19"/>
        <v>0.32190000000000002</v>
      </c>
      <c r="O19" s="132">
        <f t="shared" si="20"/>
        <v>0</v>
      </c>
      <c r="P19" s="177">
        <f t="shared" si="21"/>
        <v>0</v>
      </c>
      <c r="Q19" s="177">
        <f t="shared" si="22"/>
        <v>0</v>
      </c>
      <c r="S19" s="233" t="b">
        <f t="shared" si="0"/>
        <v>0</v>
      </c>
    </row>
    <row r="20" spans="1:19">
      <c r="A20" s="126" t="s">
        <v>3657</v>
      </c>
      <c r="B20" s="126" t="str">
        <f t="shared" si="10"/>
        <v>D0303</v>
      </c>
      <c r="C20" s="126">
        <v>2952</v>
      </c>
      <c r="D20" s="126" t="s">
        <v>1925</v>
      </c>
      <c r="E20" s="126">
        <v>148</v>
      </c>
      <c r="F20" s="126">
        <v>0</v>
      </c>
      <c r="G20" s="126">
        <v>40</v>
      </c>
      <c r="H20" s="126">
        <v>0</v>
      </c>
      <c r="I20" s="126">
        <v>27.03</v>
      </c>
      <c r="J20" s="126">
        <v>0</v>
      </c>
      <c r="K20" s="126">
        <v>0</v>
      </c>
      <c r="L20" s="126">
        <f t="shared" si="17"/>
        <v>148</v>
      </c>
      <c r="M20" s="126">
        <f t="shared" si="18"/>
        <v>40</v>
      </c>
      <c r="N20" s="171">
        <f t="shared" si="19"/>
        <v>0.27029999999999998</v>
      </c>
      <c r="O20" s="132">
        <f t="shared" si="20"/>
        <v>0</v>
      </c>
      <c r="P20" s="177">
        <f t="shared" si="21"/>
        <v>0</v>
      </c>
      <c r="Q20" s="177">
        <f t="shared" si="22"/>
        <v>0</v>
      </c>
      <c r="S20" s="233" t="b">
        <f t="shared" si="0"/>
        <v>0</v>
      </c>
    </row>
    <row r="21" spans="1:19">
      <c r="A21" s="126" t="s">
        <v>3659</v>
      </c>
      <c r="B21" s="126" t="str">
        <f t="shared" si="10"/>
        <v>D0343</v>
      </c>
      <c r="C21" s="126">
        <v>4022</v>
      </c>
      <c r="D21" s="126" t="s">
        <v>2157</v>
      </c>
      <c r="E21" s="126">
        <v>260</v>
      </c>
      <c r="F21" s="126">
        <v>0</v>
      </c>
      <c r="G21" s="126">
        <v>77</v>
      </c>
      <c r="H21" s="126">
        <v>0</v>
      </c>
      <c r="I21" s="126">
        <v>29.62</v>
      </c>
      <c r="J21" s="126">
        <v>0</v>
      </c>
      <c r="K21" s="126">
        <v>0</v>
      </c>
      <c r="L21" s="126">
        <f t="shared" si="17"/>
        <v>260</v>
      </c>
      <c r="M21" s="126">
        <f t="shared" si="18"/>
        <v>77</v>
      </c>
      <c r="N21" s="171">
        <f t="shared" si="19"/>
        <v>0.29620000000000002</v>
      </c>
      <c r="O21" s="132">
        <f t="shared" si="20"/>
        <v>0</v>
      </c>
      <c r="P21" s="177">
        <f t="shared" si="21"/>
        <v>0</v>
      </c>
      <c r="Q21" s="177">
        <f t="shared" si="22"/>
        <v>0</v>
      </c>
      <c r="S21" s="233" t="b">
        <f t="shared" si="0"/>
        <v>0</v>
      </c>
    </row>
    <row r="22" spans="1:19">
      <c r="A22" s="126" t="s">
        <v>3659</v>
      </c>
      <c r="B22" s="126" t="str">
        <f t="shared" si="10"/>
        <v>D0343</v>
      </c>
      <c r="C22" s="126">
        <v>4029</v>
      </c>
      <c r="D22" s="126" t="s">
        <v>2159</v>
      </c>
      <c r="E22" s="126">
        <v>238</v>
      </c>
      <c r="F22" s="126">
        <v>0</v>
      </c>
      <c r="G22" s="126">
        <v>66</v>
      </c>
      <c r="H22" s="126">
        <v>0</v>
      </c>
      <c r="I22" s="126">
        <v>27.73</v>
      </c>
      <c r="J22" s="126">
        <v>0</v>
      </c>
      <c r="K22" s="126">
        <v>0</v>
      </c>
      <c r="L22" s="126">
        <f t="shared" si="17"/>
        <v>238</v>
      </c>
      <c r="M22" s="126">
        <f t="shared" si="18"/>
        <v>66</v>
      </c>
      <c r="N22" s="171">
        <f t="shared" si="19"/>
        <v>0.27729999999999999</v>
      </c>
      <c r="O22" s="132">
        <f t="shared" si="20"/>
        <v>0</v>
      </c>
      <c r="P22" s="177">
        <f t="shared" si="21"/>
        <v>0</v>
      </c>
      <c r="Q22" s="177">
        <f t="shared" si="22"/>
        <v>0</v>
      </c>
      <c r="S22" s="233" t="b">
        <f t="shared" si="0"/>
        <v>0</v>
      </c>
    </row>
    <row r="23" spans="1:19">
      <c r="A23" s="126" t="s">
        <v>3659</v>
      </c>
      <c r="B23" s="126" t="str">
        <f t="shared" si="10"/>
        <v>D0343</v>
      </c>
      <c r="C23" s="126">
        <v>4030</v>
      </c>
      <c r="D23" s="126" t="s">
        <v>2161</v>
      </c>
      <c r="E23" s="126">
        <v>264</v>
      </c>
      <c r="F23" s="126">
        <v>0</v>
      </c>
      <c r="G23" s="126">
        <v>53</v>
      </c>
      <c r="H23" s="126">
        <v>0</v>
      </c>
      <c r="I23" s="126">
        <v>20.079999999999998</v>
      </c>
      <c r="J23" s="126">
        <v>0</v>
      </c>
      <c r="K23" s="126">
        <v>0</v>
      </c>
      <c r="L23" s="126">
        <f t="shared" si="17"/>
        <v>264</v>
      </c>
      <c r="M23" s="126">
        <f t="shared" si="18"/>
        <v>53</v>
      </c>
      <c r="N23" s="171">
        <f t="shared" si="19"/>
        <v>0.20080000000000001</v>
      </c>
      <c r="O23" s="132">
        <f t="shared" si="20"/>
        <v>0</v>
      </c>
      <c r="P23" s="177">
        <f t="shared" si="21"/>
        <v>0</v>
      </c>
      <c r="Q23" s="177">
        <f t="shared" si="22"/>
        <v>0</v>
      </c>
      <c r="S23" s="233" t="b">
        <f t="shared" si="0"/>
        <v>0</v>
      </c>
    </row>
    <row r="24" spans="1:19">
      <c r="A24" s="126" t="s">
        <v>3660</v>
      </c>
      <c r="B24" s="126" t="str">
        <f t="shared" si="10"/>
        <v>D0356</v>
      </c>
      <c r="C24" s="126">
        <v>4340</v>
      </c>
      <c r="D24" s="126" t="s">
        <v>2229</v>
      </c>
      <c r="E24" s="126">
        <v>231</v>
      </c>
      <c r="F24" s="126">
        <v>0</v>
      </c>
      <c r="G24" s="126">
        <v>42</v>
      </c>
      <c r="H24" s="126">
        <v>0</v>
      </c>
      <c r="I24" s="126">
        <v>18.18</v>
      </c>
      <c r="J24" s="126">
        <v>0</v>
      </c>
      <c r="K24" s="126">
        <v>0</v>
      </c>
      <c r="L24" s="126">
        <f t="shared" si="17"/>
        <v>231</v>
      </c>
      <c r="M24" s="126">
        <f t="shared" si="18"/>
        <v>42</v>
      </c>
      <c r="N24" s="171">
        <f t="shared" si="19"/>
        <v>0.18179999999999999</v>
      </c>
      <c r="O24" s="132">
        <f t="shared" si="20"/>
        <v>0</v>
      </c>
      <c r="P24" s="177">
        <f t="shared" si="21"/>
        <v>0</v>
      </c>
      <c r="Q24" s="177">
        <f t="shared" si="22"/>
        <v>0</v>
      </c>
      <c r="S24" s="233" t="b">
        <f t="shared" si="0"/>
        <v>0</v>
      </c>
    </row>
    <row r="25" spans="1:19">
      <c r="A25" s="126" t="s">
        <v>3660</v>
      </c>
      <c r="B25" s="126" t="str">
        <f t="shared" si="10"/>
        <v>D0356</v>
      </c>
      <c r="C25" s="126">
        <v>4341</v>
      </c>
      <c r="D25" s="126" t="s">
        <v>2231</v>
      </c>
      <c r="E25" s="126">
        <v>113</v>
      </c>
      <c r="F25" s="126">
        <v>0</v>
      </c>
      <c r="G25" s="126">
        <v>17</v>
      </c>
      <c r="H25" s="126">
        <v>0</v>
      </c>
      <c r="I25" s="126">
        <v>15.04</v>
      </c>
      <c r="J25" s="126">
        <v>0</v>
      </c>
      <c r="K25" s="126">
        <v>0</v>
      </c>
      <c r="L25" s="126">
        <f t="shared" si="17"/>
        <v>113</v>
      </c>
      <c r="M25" s="126">
        <f t="shared" si="18"/>
        <v>17</v>
      </c>
      <c r="N25" s="171">
        <f t="shared" si="19"/>
        <v>0.15040000000000001</v>
      </c>
      <c r="O25" s="132">
        <f t="shared" si="20"/>
        <v>0</v>
      </c>
      <c r="P25" s="177">
        <f t="shared" si="21"/>
        <v>0</v>
      </c>
      <c r="Q25" s="177">
        <f t="shared" si="22"/>
        <v>0</v>
      </c>
      <c r="S25" s="233" t="b">
        <f t="shared" si="0"/>
        <v>0</v>
      </c>
    </row>
    <row r="26" spans="1:19">
      <c r="A26" s="126" t="s">
        <v>3660</v>
      </c>
      <c r="B26" s="126" t="str">
        <f t="shared" si="10"/>
        <v>D0356</v>
      </c>
      <c r="C26" s="126">
        <v>4342</v>
      </c>
      <c r="D26" s="126" t="s">
        <v>2233</v>
      </c>
      <c r="E26" s="126">
        <v>170</v>
      </c>
      <c r="F26" s="126">
        <v>0</v>
      </c>
      <c r="G26" s="126">
        <v>29</v>
      </c>
      <c r="H26" s="126">
        <v>0</v>
      </c>
      <c r="I26" s="126">
        <v>17.059999999999999</v>
      </c>
      <c r="J26" s="126">
        <v>0</v>
      </c>
      <c r="K26" s="126">
        <v>0</v>
      </c>
      <c r="L26" s="126">
        <f t="shared" si="17"/>
        <v>170</v>
      </c>
      <c r="M26" s="126">
        <f t="shared" si="18"/>
        <v>29</v>
      </c>
      <c r="N26" s="171">
        <f t="shared" si="19"/>
        <v>0.1706</v>
      </c>
      <c r="O26" s="132">
        <f t="shared" si="20"/>
        <v>0</v>
      </c>
      <c r="P26" s="177">
        <f t="shared" si="21"/>
        <v>0</v>
      </c>
      <c r="Q26" s="177">
        <f t="shared" si="22"/>
        <v>0</v>
      </c>
      <c r="S26" s="233" t="b">
        <f t="shared" si="0"/>
        <v>0</v>
      </c>
    </row>
    <row r="27" spans="1:19">
      <c r="A27" s="126" t="s">
        <v>3661</v>
      </c>
      <c r="B27" s="126" t="str">
        <f t="shared" si="10"/>
        <v>D0359</v>
      </c>
      <c r="C27" s="126">
        <v>4404</v>
      </c>
      <c r="D27" s="126" t="s">
        <v>2245</v>
      </c>
      <c r="E27" s="126">
        <v>91</v>
      </c>
      <c r="F27" s="126">
        <v>0</v>
      </c>
      <c r="G27" s="126">
        <v>40</v>
      </c>
      <c r="H27" s="126">
        <v>0</v>
      </c>
      <c r="I27" s="126">
        <v>43.96</v>
      </c>
      <c r="J27" s="126">
        <v>0</v>
      </c>
      <c r="K27" s="126">
        <v>2.5</v>
      </c>
      <c r="L27" s="126">
        <f t="shared" si="17"/>
        <v>91</v>
      </c>
      <c r="M27" s="126">
        <f t="shared" si="18"/>
        <v>40</v>
      </c>
      <c r="N27" s="171">
        <f t="shared" si="19"/>
        <v>0.43959999999999999</v>
      </c>
      <c r="O27" s="132">
        <f t="shared" si="20"/>
        <v>2.5</v>
      </c>
      <c r="P27" s="177">
        <f t="shared" si="21"/>
        <v>0</v>
      </c>
      <c r="Q27" s="177">
        <f t="shared" si="22"/>
        <v>2.5</v>
      </c>
      <c r="S27" s="233" t="b">
        <f t="shared" si="0"/>
        <v>0</v>
      </c>
    </row>
    <row r="28" spans="1:19">
      <c r="A28" s="126" t="s">
        <v>3661</v>
      </c>
      <c r="B28" s="126" t="str">
        <f t="shared" si="10"/>
        <v>D0359</v>
      </c>
      <c r="C28" s="126">
        <v>4406</v>
      </c>
      <c r="D28" s="126" t="s">
        <v>2247</v>
      </c>
      <c r="E28" s="126">
        <v>86</v>
      </c>
      <c r="F28" s="126">
        <v>0</v>
      </c>
      <c r="G28" s="126">
        <v>27</v>
      </c>
      <c r="H28" s="126">
        <v>0</v>
      </c>
      <c r="I28" s="126">
        <v>31.4</v>
      </c>
      <c r="J28" s="126">
        <v>0</v>
      </c>
      <c r="K28" s="126">
        <v>0</v>
      </c>
      <c r="L28" s="126">
        <f t="shared" si="17"/>
        <v>86</v>
      </c>
      <c r="M28" s="126">
        <f t="shared" si="18"/>
        <v>27</v>
      </c>
      <c r="N28" s="171">
        <f t="shared" si="19"/>
        <v>0.314</v>
      </c>
      <c r="O28" s="132">
        <f t="shared" si="20"/>
        <v>0</v>
      </c>
      <c r="P28" s="177">
        <f t="shared" si="21"/>
        <v>0</v>
      </c>
      <c r="Q28" s="177">
        <f t="shared" si="22"/>
        <v>0</v>
      </c>
      <c r="S28" s="233" t="b">
        <f t="shared" si="0"/>
        <v>0</v>
      </c>
    </row>
    <row r="29" spans="1:19">
      <c r="A29" s="126" t="s">
        <v>3662</v>
      </c>
      <c r="B29" s="126" t="str">
        <f t="shared" si="10"/>
        <v>D0360</v>
      </c>
      <c r="C29" s="126">
        <v>4420</v>
      </c>
      <c r="D29" s="126" t="s">
        <v>1526</v>
      </c>
      <c r="E29" s="126">
        <v>128</v>
      </c>
      <c r="F29" s="126">
        <v>0</v>
      </c>
      <c r="G29" s="126">
        <v>68</v>
      </c>
      <c r="H29" s="126">
        <v>0</v>
      </c>
      <c r="I29" s="126">
        <v>53.13</v>
      </c>
      <c r="J29" s="126">
        <v>7.1</v>
      </c>
      <c r="K29" s="126">
        <v>0</v>
      </c>
      <c r="L29" s="126">
        <f t="shared" si="17"/>
        <v>128</v>
      </c>
      <c r="M29" s="126">
        <f t="shared" si="18"/>
        <v>68</v>
      </c>
      <c r="N29" s="171">
        <f t="shared" si="19"/>
        <v>0.53129999999999999</v>
      </c>
      <c r="O29" s="132">
        <f t="shared" si="20"/>
        <v>0</v>
      </c>
      <c r="P29" s="177">
        <f t="shared" si="21"/>
        <v>7.1</v>
      </c>
      <c r="Q29" s="177">
        <f t="shared" si="22"/>
        <v>7.1</v>
      </c>
      <c r="S29" s="233" t="b">
        <f t="shared" si="0"/>
        <v>0</v>
      </c>
    </row>
    <row r="30" spans="1:19">
      <c r="A30" s="126" t="s">
        <v>3662</v>
      </c>
      <c r="B30" s="126" t="str">
        <f t="shared" si="10"/>
        <v>D0360</v>
      </c>
      <c r="C30" s="126">
        <v>4422</v>
      </c>
      <c r="D30" s="126" t="s">
        <v>2250</v>
      </c>
      <c r="E30" s="126">
        <v>134</v>
      </c>
      <c r="F30" s="126">
        <v>0</v>
      </c>
      <c r="G30" s="126">
        <v>50</v>
      </c>
      <c r="H30" s="126">
        <v>0</v>
      </c>
      <c r="I30" s="126">
        <v>37.31</v>
      </c>
      <c r="J30" s="126">
        <v>0</v>
      </c>
      <c r="K30" s="126">
        <v>0.8</v>
      </c>
      <c r="L30" s="126">
        <f t="shared" si="17"/>
        <v>134</v>
      </c>
      <c r="M30" s="126">
        <f t="shared" si="18"/>
        <v>50</v>
      </c>
      <c r="N30" s="171">
        <f t="shared" si="19"/>
        <v>0.37309999999999999</v>
      </c>
      <c r="O30" s="132">
        <f t="shared" si="20"/>
        <v>0.8</v>
      </c>
      <c r="P30" s="177">
        <f t="shared" si="21"/>
        <v>0</v>
      </c>
      <c r="Q30" s="177">
        <f t="shared" si="22"/>
        <v>0.8</v>
      </c>
      <c r="S30" s="233" t="b">
        <f t="shared" si="0"/>
        <v>0</v>
      </c>
    </row>
    <row r="31" spans="1:19">
      <c r="A31" s="126" t="s">
        <v>3663</v>
      </c>
      <c r="B31" s="126" t="str">
        <f t="shared" si="10"/>
        <v>D0399</v>
      </c>
      <c r="C31" s="126">
        <v>5486</v>
      </c>
      <c r="D31" s="126" t="s">
        <v>2488</v>
      </c>
      <c r="E31" s="126">
        <v>66</v>
      </c>
      <c r="F31" s="126">
        <v>0</v>
      </c>
      <c r="G31" s="126">
        <v>32</v>
      </c>
      <c r="H31" s="126">
        <v>0</v>
      </c>
      <c r="I31" s="126">
        <v>48.48</v>
      </c>
      <c r="J31" s="126">
        <v>0</v>
      </c>
      <c r="K31" s="126">
        <v>3</v>
      </c>
      <c r="L31" s="126">
        <f t="shared" si="17"/>
        <v>66</v>
      </c>
      <c r="M31" s="126">
        <f t="shared" si="18"/>
        <v>32</v>
      </c>
      <c r="N31" s="171">
        <f t="shared" si="19"/>
        <v>0.48480000000000001</v>
      </c>
      <c r="O31" s="132">
        <f t="shared" si="20"/>
        <v>3</v>
      </c>
      <c r="P31" s="177">
        <f t="shared" si="21"/>
        <v>0</v>
      </c>
      <c r="Q31" s="177">
        <f t="shared" si="22"/>
        <v>3</v>
      </c>
      <c r="S31" s="233" t="b">
        <f t="shared" si="0"/>
        <v>0</v>
      </c>
    </row>
    <row r="32" spans="1:19">
      <c r="A32" s="126" t="s">
        <v>3663</v>
      </c>
      <c r="B32" s="126" t="str">
        <f t="shared" si="10"/>
        <v>D0399</v>
      </c>
      <c r="C32" s="126">
        <v>5488</v>
      </c>
      <c r="D32" s="126" t="s">
        <v>2490</v>
      </c>
      <c r="E32" s="126">
        <v>52</v>
      </c>
      <c r="F32" s="126">
        <v>0</v>
      </c>
      <c r="G32" s="126">
        <v>15</v>
      </c>
      <c r="H32" s="126">
        <v>0</v>
      </c>
      <c r="I32" s="126">
        <v>28.85</v>
      </c>
      <c r="J32" s="126">
        <v>0</v>
      </c>
      <c r="K32" s="126">
        <v>0</v>
      </c>
      <c r="L32" s="126">
        <f t="shared" si="17"/>
        <v>52</v>
      </c>
      <c r="M32" s="126">
        <f t="shared" si="18"/>
        <v>15</v>
      </c>
      <c r="N32" s="171">
        <f t="shared" si="19"/>
        <v>0.28849999999999998</v>
      </c>
      <c r="O32" s="132">
        <f t="shared" si="20"/>
        <v>0</v>
      </c>
      <c r="P32" s="177">
        <f t="shared" si="21"/>
        <v>0</v>
      </c>
      <c r="Q32" s="177">
        <f t="shared" si="22"/>
        <v>0</v>
      </c>
      <c r="S32" s="233" t="b">
        <f t="shared" si="0"/>
        <v>0</v>
      </c>
    </row>
    <row r="33" spans="1:19">
      <c r="A33" s="126" t="s">
        <v>3664</v>
      </c>
      <c r="B33" s="126" t="str">
        <f t="shared" si="10"/>
        <v>D0417</v>
      </c>
      <c r="C33" s="126">
        <v>5987</v>
      </c>
      <c r="D33" s="126" t="s">
        <v>2590</v>
      </c>
      <c r="E33" s="126">
        <v>95</v>
      </c>
      <c r="F33" s="126">
        <v>0</v>
      </c>
      <c r="G33" s="126">
        <v>44</v>
      </c>
      <c r="H33" s="126">
        <v>0</v>
      </c>
      <c r="I33" s="126">
        <v>46.32</v>
      </c>
      <c r="J33" s="126">
        <v>0</v>
      </c>
      <c r="K33" s="126">
        <v>3.5</v>
      </c>
      <c r="L33" s="126">
        <f t="shared" si="17"/>
        <v>95</v>
      </c>
      <c r="M33" s="126">
        <f t="shared" si="18"/>
        <v>44</v>
      </c>
      <c r="N33" s="171">
        <f t="shared" si="19"/>
        <v>0.4632</v>
      </c>
      <c r="O33" s="132">
        <f t="shared" si="20"/>
        <v>3.5</v>
      </c>
      <c r="P33" s="177">
        <f t="shared" si="21"/>
        <v>0</v>
      </c>
      <c r="Q33" s="177">
        <f t="shared" si="22"/>
        <v>3.5</v>
      </c>
      <c r="S33" s="233" t="b">
        <f t="shared" si="0"/>
        <v>0</v>
      </c>
    </row>
    <row r="34" spans="1:19">
      <c r="A34" s="126" t="s">
        <v>3664</v>
      </c>
      <c r="B34" s="126" t="str">
        <f t="shared" si="10"/>
        <v>D0417</v>
      </c>
      <c r="C34" s="126">
        <v>5990</v>
      </c>
      <c r="D34" s="126" t="s">
        <v>2592</v>
      </c>
      <c r="E34" s="126">
        <v>379</v>
      </c>
      <c r="F34" s="126">
        <v>0</v>
      </c>
      <c r="G34" s="126">
        <v>141</v>
      </c>
      <c r="H34" s="126">
        <v>0</v>
      </c>
      <c r="I34" s="126">
        <v>37.200000000000003</v>
      </c>
      <c r="J34" s="126">
        <v>0</v>
      </c>
      <c r="K34" s="126">
        <v>2.2000000000000002</v>
      </c>
      <c r="L34" s="126">
        <f t="shared" si="17"/>
        <v>379</v>
      </c>
      <c r="M34" s="126">
        <f t="shared" si="18"/>
        <v>141</v>
      </c>
      <c r="N34" s="171">
        <f t="shared" si="19"/>
        <v>0.372</v>
      </c>
      <c r="O34" s="132">
        <f t="shared" si="20"/>
        <v>2.2000000000000002</v>
      </c>
      <c r="P34" s="177">
        <f t="shared" si="21"/>
        <v>0</v>
      </c>
      <c r="Q34" s="177">
        <f t="shared" si="22"/>
        <v>2.2000000000000002</v>
      </c>
      <c r="S34" s="233" t="b">
        <f t="shared" si="0"/>
        <v>0</v>
      </c>
    </row>
    <row r="35" spans="1:19">
      <c r="A35" s="126" t="s">
        <v>3664</v>
      </c>
      <c r="B35" s="126" t="str">
        <f t="shared" si="10"/>
        <v>D0417</v>
      </c>
      <c r="C35" s="126">
        <v>5994</v>
      </c>
      <c r="D35" s="126" t="s">
        <v>2594</v>
      </c>
      <c r="E35" s="126">
        <v>330</v>
      </c>
      <c r="F35" s="126">
        <v>0</v>
      </c>
      <c r="G35" s="126">
        <v>101</v>
      </c>
      <c r="H35" s="126">
        <v>0</v>
      </c>
      <c r="I35" s="126">
        <v>30.61</v>
      </c>
      <c r="J35" s="126">
        <v>0</v>
      </c>
      <c r="K35" s="126">
        <v>0</v>
      </c>
      <c r="L35" s="126">
        <f t="shared" si="17"/>
        <v>330</v>
      </c>
      <c r="M35" s="126">
        <f t="shared" si="18"/>
        <v>101</v>
      </c>
      <c r="N35" s="171">
        <f t="shared" si="19"/>
        <v>0.30609999999999998</v>
      </c>
      <c r="O35" s="132">
        <f t="shared" si="20"/>
        <v>0</v>
      </c>
      <c r="P35" s="177">
        <f t="shared" si="21"/>
        <v>0</v>
      </c>
      <c r="Q35" s="177">
        <f t="shared" si="22"/>
        <v>0</v>
      </c>
      <c r="S35" s="233" t="b">
        <f t="shared" si="0"/>
        <v>0</v>
      </c>
    </row>
    <row r="36" spans="1:19">
      <c r="A36" s="126" t="s">
        <v>3665</v>
      </c>
      <c r="B36" s="126" t="str">
        <f t="shared" si="10"/>
        <v>D0108</v>
      </c>
      <c r="C36" s="126">
        <v>2981</v>
      </c>
      <c r="D36" s="126" t="s">
        <v>923</v>
      </c>
      <c r="E36" s="126">
        <v>148</v>
      </c>
      <c r="F36" s="126">
        <v>0</v>
      </c>
      <c r="G36" s="126">
        <v>45</v>
      </c>
      <c r="H36" s="126">
        <v>0</v>
      </c>
      <c r="I36" s="126">
        <v>30.41</v>
      </c>
      <c r="J36" s="126">
        <v>0</v>
      </c>
      <c r="K36" s="126">
        <v>0</v>
      </c>
      <c r="L36" s="126">
        <f t="shared" ref="L36:L99" si="23">SUM(E36:F36)</f>
        <v>148</v>
      </c>
      <c r="M36" s="126">
        <f t="shared" ref="M36:M99" si="24">SUM(G36:H36)</f>
        <v>45</v>
      </c>
      <c r="N36" s="171">
        <f t="shared" ref="N36:N99" si="25">IF(ISERROR(M36/L36),0,M36/L36)</f>
        <v>0.30409999999999998</v>
      </c>
      <c r="O36" s="132">
        <f t="shared" ref="O36:O99" si="26">IF(AND((N36-35%)&gt;0,N36&lt;50%),M36*(N36-35%)*0.7,0)</f>
        <v>0</v>
      </c>
      <c r="P36" s="177">
        <f t="shared" ref="P36:P99" si="27">IF(N36&gt;=50%,M36*10.5%,0)</f>
        <v>0</v>
      </c>
      <c r="Q36" s="177">
        <f t="shared" ref="Q36:Q99" si="28">MAX(O36,P36)</f>
        <v>0</v>
      </c>
      <c r="S36" s="233" t="b">
        <f t="shared" si="0"/>
        <v>0</v>
      </c>
    </row>
    <row r="37" spans="1:19">
      <c r="A37" s="126" t="s">
        <v>3665</v>
      </c>
      <c r="B37" s="126" t="str">
        <f t="shared" si="10"/>
        <v>D0108</v>
      </c>
      <c r="C37" s="126">
        <v>2983</v>
      </c>
      <c r="D37" s="126" t="s">
        <v>925</v>
      </c>
      <c r="E37" s="126">
        <v>184</v>
      </c>
      <c r="F37" s="126">
        <v>0</v>
      </c>
      <c r="G37" s="126">
        <v>66</v>
      </c>
      <c r="H37" s="126">
        <v>0</v>
      </c>
      <c r="I37" s="126">
        <v>35.869999999999997</v>
      </c>
      <c r="J37" s="126">
        <v>0</v>
      </c>
      <c r="K37" s="126">
        <v>0.4</v>
      </c>
      <c r="L37" s="126">
        <f t="shared" si="23"/>
        <v>184</v>
      </c>
      <c r="M37" s="126">
        <f t="shared" si="24"/>
        <v>66</v>
      </c>
      <c r="N37" s="171">
        <f t="shared" si="25"/>
        <v>0.35870000000000002</v>
      </c>
      <c r="O37" s="132">
        <f t="shared" si="26"/>
        <v>0.4</v>
      </c>
      <c r="P37" s="177">
        <f t="shared" si="27"/>
        <v>0</v>
      </c>
      <c r="Q37" s="177">
        <f t="shared" si="28"/>
        <v>0.4</v>
      </c>
      <c r="S37" s="233" t="b">
        <f t="shared" si="0"/>
        <v>0</v>
      </c>
    </row>
    <row r="38" spans="1:19">
      <c r="A38" s="126" t="s">
        <v>3666</v>
      </c>
      <c r="B38" s="126" t="str">
        <f t="shared" si="10"/>
        <v>D0259</v>
      </c>
      <c r="C38" s="126">
        <v>1614</v>
      </c>
      <c r="D38" s="126" t="s">
        <v>1506</v>
      </c>
      <c r="E38" s="126">
        <v>522</v>
      </c>
      <c r="F38" s="126">
        <v>0</v>
      </c>
      <c r="G38" s="126">
        <v>466</v>
      </c>
      <c r="H38" s="126">
        <v>0</v>
      </c>
      <c r="I38" s="126">
        <v>89.27</v>
      </c>
      <c r="J38" s="126">
        <v>48.9</v>
      </c>
      <c r="K38" s="126">
        <v>0</v>
      </c>
      <c r="L38" s="126">
        <f t="shared" si="23"/>
        <v>522</v>
      </c>
      <c r="M38" s="126">
        <f t="shared" si="24"/>
        <v>466</v>
      </c>
      <c r="N38" s="171">
        <f t="shared" si="25"/>
        <v>0.89270000000000005</v>
      </c>
      <c r="O38" s="132">
        <f t="shared" si="26"/>
        <v>0</v>
      </c>
      <c r="P38" s="177">
        <f t="shared" si="27"/>
        <v>48.9</v>
      </c>
      <c r="Q38" s="177">
        <f t="shared" si="28"/>
        <v>48.9</v>
      </c>
      <c r="S38" s="233" t="b">
        <f t="shared" si="0"/>
        <v>0</v>
      </c>
    </row>
    <row r="39" spans="1:19">
      <c r="A39" s="126" t="s">
        <v>3666</v>
      </c>
      <c r="B39" s="126" t="str">
        <f t="shared" si="10"/>
        <v>D0259</v>
      </c>
      <c r="C39" s="126">
        <v>1617</v>
      </c>
      <c r="D39" s="126" t="s">
        <v>1508</v>
      </c>
      <c r="E39" s="126">
        <v>532</v>
      </c>
      <c r="F39" s="126">
        <v>0</v>
      </c>
      <c r="G39" s="126">
        <v>439</v>
      </c>
      <c r="H39" s="126">
        <v>0</v>
      </c>
      <c r="I39" s="126">
        <v>82.52</v>
      </c>
      <c r="J39" s="126">
        <v>46.1</v>
      </c>
      <c r="K39" s="126">
        <v>0</v>
      </c>
      <c r="L39" s="126">
        <f t="shared" si="23"/>
        <v>532</v>
      </c>
      <c r="M39" s="126">
        <f t="shared" si="24"/>
        <v>439</v>
      </c>
      <c r="N39" s="171">
        <f t="shared" si="25"/>
        <v>0.82520000000000004</v>
      </c>
      <c r="O39" s="132">
        <f t="shared" si="26"/>
        <v>0</v>
      </c>
      <c r="P39" s="177">
        <f t="shared" si="27"/>
        <v>46.1</v>
      </c>
      <c r="Q39" s="177">
        <f t="shared" si="28"/>
        <v>46.1</v>
      </c>
      <c r="S39" s="233" t="b">
        <f t="shared" si="0"/>
        <v>0</v>
      </c>
    </row>
    <row r="40" spans="1:19">
      <c r="A40" s="126" t="s">
        <v>3666</v>
      </c>
      <c r="B40" s="126" t="str">
        <f t="shared" si="10"/>
        <v>D0259</v>
      </c>
      <c r="C40" s="126">
        <v>1618</v>
      </c>
      <c r="D40" s="126" t="s">
        <v>1510</v>
      </c>
      <c r="E40" s="126">
        <v>517</v>
      </c>
      <c r="F40" s="126">
        <v>0</v>
      </c>
      <c r="G40" s="126">
        <v>402</v>
      </c>
      <c r="H40" s="126">
        <v>0</v>
      </c>
      <c r="I40" s="126">
        <v>77.760000000000005</v>
      </c>
      <c r="J40" s="126">
        <v>42.2</v>
      </c>
      <c r="K40" s="126">
        <v>0</v>
      </c>
      <c r="L40" s="126">
        <f t="shared" si="23"/>
        <v>517</v>
      </c>
      <c r="M40" s="126">
        <f t="shared" si="24"/>
        <v>402</v>
      </c>
      <c r="N40" s="171">
        <f t="shared" si="25"/>
        <v>0.77759999999999996</v>
      </c>
      <c r="O40" s="132">
        <f t="shared" si="26"/>
        <v>0</v>
      </c>
      <c r="P40" s="177">
        <f t="shared" si="27"/>
        <v>42.2</v>
      </c>
      <c r="Q40" s="177">
        <f t="shared" si="28"/>
        <v>42.2</v>
      </c>
      <c r="S40" s="233" t="b">
        <f t="shared" si="0"/>
        <v>0</v>
      </c>
    </row>
    <row r="41" spans="1:19">
      <c r="A41" s="126" t="s">
        <v>3666</v>
      </c>
      <c r="B41" s="126" t="str">
        <f t="shared" si="10"/>
        <v>D0259</v>
      </c>
      <c r="C41" s="126">
        <v>1622</v>
      </c>
      <c r="D41" s="126" t="s">
        <v>1512</v>
      </c>
      <c r="E41" s="126">
        <v>313</v>
      </c>
      <c r="F41" s="126">
        <v>0</v>
      </c>
      <c r="G41" s="126">
        <v>180</v>
      </c>
      <c r="H41" s="126">
        <v>0</v>
      </c>
      <c r="I41" s="126">
        <v>57.51</v>
      </c>
      <c r="J41" s="126">
        <v>18.899999999999999</v>
      </c>
      <c r="K41" s="126">
        <v>0</v>
      </c>
      <c r="L41" s="126">
        <f t="shared" si="23"/>
        <v>313</v>
      </c>
      <c r="M41" s="126">
        <f t="shared" si="24"/>
        <v>180</v>
      </c>
      <c r="N41" s="171">
        <f t="shared" si="25"/>
        <v>0.57509999999999994</v>
      </c>
      <c r="O41" s="132">
        <f t="shared" si="26"/>
        <v>0</v>
      </c>
      <c r="P41" s="177">
        <f t="shared" si="27"/>
        <v>18.899999999999999</v>
      </c>
      <c r="Q41" s="177">
        <f t="shared" si="28"/>
        <v>18.899999999999999</v>
      </c>
      <c r="S41" s="233" t="b">
        <f t="shared" si="0"/>
        <v>0</v>
      </c>
    </row>
    <row r="42" spans="1:19">
      <c r="A42" s="126" t="s">
        <v>3666</v>
      </c>
      <c r="B42" s="126" t="str">
        <f t="shared" si="10"/>
        <v>D0259</v>
      </c>
      <c r="C42" s="126">
        <v>1623</v>
      </c>
      <c r="D42" s="126" t="s">
        <v>1514</v>
      </c>
      <c r="E42" s="126">
        <v>575</v>
      </c>
      <c r="F42" s="126">
        <v>0</v>
      </c>
      <c r="G42" s="126">
        <v>371</v>
      </c>
      <c r="H42" s="126">
        <v>0</v>
      </c>
      <c r="I42" s="126">
        <v>64.52</v>
      </c>
      <c r="J42" s="126">
        <v>39</v>
      </c>
      <c r="K42" s="126">
        <v>0</v>
      </c>
      <c r="L42" s="126">
        <f t="shared" si="23"/>
        <v>575</v>
      </c>
      <c r="M42" s="126">
        <f t="shared" si="24"/>
        <v>371</v>
      </c>
      <c r="N42" s="171">
        <f t="shared" si="25"/>
        <v>0.6452</v>
      </c>
      <c r="O42" s="132">
        <f t="shared" si="26"/>
        <v>0</v>
      </c>
      <c r="P42" s="177">
        <f t="shared" si="27"/>
        <v>39</v>
      </c>
      <c r="Q42" s="177">
        <f t="shared" si="28"/>
        <v>39</v>
      </c>
      <c r="S42" s="233" t="b">
        <f t="shared" si="0"/>
        <v>0</v>
      </c>
    </row>
    <row r="43" spans="1:19">
      <c r="A43" s="126" t="s">
        <v>3666</v>
      </c>
      <c r="B43" s="126" t="str">
        <f t="shared" si="10"/>
        <v>D0259</v>
      </c>
      <c r="C43" s="126">
        <v>1624</v>
      </c>
      <c r="D43" s="126" t="s">
        <v>1516</v>
      </c>
      <c r="E43" s="126">
        <v>411</v>
      </c>
      <c r="F43" s="126">
        <v>0</v>
      </c>
      <c r="G43" s="126">
        <v>274</v>
      </c>
      <c r="H43" s="126">
        <v>0</v>
      </c>
      <c r="I43" s="126">
        <v>66.67</v>
      </c>
      <c r="J43" s="126">
        <v>28.8</v>
      </c>
      <c r="K43" s="126">
        <v>0</v>
      </c>
      <c r="L43" s="126">
        <f t="shared" si="23"/>
        <v>411</v>
      </c>
      <c r="M43" s="126">
        <f t="shared" si="24"/>
        <v>274</v>
      </c>
      <c r="N43" s="171">
        <f t="shared" si="25"/>
        <v>0.66669999999999996</v>
      </c>
      <c r="O43" s="132">
        <f t="shared" si="26"/>
        <v>0</v>
      </c>
      <c r="P43" s="177">
        <f t="shared" si="27"/>
        <v>28.8</v>
      </c>
      <c r="Q43" s="177">
        <f t="shared" si="28"/>
        <v>28.8</v>
      </c>
      <c r="S43" s="233" t="b">
        <f t="shared" si="0"/>
        <v>0</v>
      </c>
    </row>
    <row r="44" spans="1:19">
      <c r="A44" s="126" t="s">
        <v>3666</v>
      </c>
      <c r="B44" s="126" t="str">
        <f t="shared" si="10"/>
        <v>D0259</v>
      </c>
      <c r="C44" s="126">
        <v>1625</v>
      </c>
      <c r="D44" s="126" t="s">
        <v>1518</v>
      </c>
      <c r="E44" s="126">
        <v>383</v>
      </c>
      <c r="F44" s="126">
        <v>0</v>
      </c>
      <c r="G44" s="126">
        <v>320</v>
      </c>
      <c r="H44" s="126">
        <v>0</v>
      </c>
      <c r="I44" s="126">
        <v>83.55</v>
      </c>
      <c r="J44" s="126">
        <v>33.6</v>
      </c>
      <c r="K44" s="126">
        <v>0</v>
      </c>
      <c r="L44" s="126">
        <f t="shared" si="23"/>
        <v>383</v>
      </c>
      <c r="M44" s="126">
        <f t="shared" si="24"/>
        <v>320</v>
      </c>
      <c r="N44" s="171">
        <f t="shared" si="25"/>
        <v>0.83550000000000002</v>
      </c>
      <c r="O44" s="132">
        <f t="shared" si="26"/>
        <v>0</v>
      </c>
      <c r="P44" s="177">
        <f t="shared" si="27"/>
        <v>33.6</v>
      </c>
      <c r="Q44" s="177">
        <f t="shared" si="28"/>
        <v>33.6</v>
      </c>
      <c r="S44" s="233" t="b">
        <f t="shared" si="0"/>
        <v>0</v>
      </c>
    </row>
    <row r="45" spans="1:19">
      <c r="A45" s="126" t="s">
        <v>3666</v>
      </c>
      <c r="B45" s="126" t="str">
        <f t="shared" si="10"/>
        <v>D0259</v>
      </c>
      <c r="C45" s="126">
        <v>1627</v>
      </c>
      <c r="D45" s="126" t="s">
        <v>1520</v>
      </c>
      <c r="E45" s="126">
        <v>527</v>
      </c>
      <c r="F45" s="126">
        <v>0</v>
      </c>
      <c r="G45" s="126">
        <v>447</v>
      </c>
      <c r="H45" s="126">
        <v>0</v>
      </c>
      <c r="I45" s="126">
        <v>84.82</v>
      </c>
      <c r="J45" s="126">
        <v>46.9</v>
      </c>
      <c r="K45" s="126">
        <v>0</v>
      </c>
      <c r="L45" s="126">
        <f t="shared" si="23"/>
        <v>527</v>
      </c>
      <c r="M45" s="126">
        <f t="shared" si="24"/>
        <v>447</v>
      </c>
      <c r="N45" s="171">
        <f t="shared" si="25"/>
        <v>0.84819999999999995</v>
      </c>
      <c r="O45" s="132">
        <f t="shared" si="26"/>
        <v>0</v>
      </c>
      <c r="P45" s="177">
        <f t="shared" si="27"/>
        <v>46.9</v>
      </c>
      <c r="Q45" s="177">
        <f t="shared" si="28"/>
        <v>46.9</v>
      </c>
      <c r="S45" s="233" t="b">
        <f t="shared" si="0"/>
        <v>0</v>
      </c>
    </row>
    <row r="46" spans="1:19">
      <c r="A46" s="126" t="s">
        <v>3666</v>
      </c>
      <c r="B46" s="126" t="str">
        <f t="shared" si="10"/>
        <v>D0259</v>
      </c>
      <c r="C46" s="126">
        <v>1628</v>
      </c>
      <c r="D46" s="126" t="s">
        <v>1522</v>
      </c>
      <c r="E46" s="126">
        <v>398</v>
      </c>
      <c r="F46" s="126">
        <v>0</v>
      </c>
      <c r="G46" s="126">
        <v>259</v>
      </c>
      <c r="H46" s="126">
        <v>0</v>
      </c>
      <c r="I46" s="126">
        <v>65.08</v>
      </c>
      <c r="J46" s="126">
        <v>27.2</v>
      </c>
      <c r="K46" s="126">
        <v>0</v>
      </c>
      <c r="L46" s="126">
        <f t="shared" si="23"/>
        <v>398</v>
      </c>
      <c r="M46" s="126">
        <f t="shared" si="24"/>
        <v>259</v>
      </c>
      <c r="N46" s="171">
        <f t="shared" si="25"/>
        <v>0.65080000000000005</v>
      </c>
      <c r="O46" s="132">
        <f t="shared" si="26"/>
        <v>0</v>
      </c>
      <c r="P46" s="177">
        <f t="shared" si="27"/>
        <v>27.2</v>
      </c>
      <c r="Q46" s="177">
        <f t="shared" si="28"/>
        <v>27.2</v>
      </c>
      <c r="S46" s="233" t="b">
        <f t="shared" si="0"/>
        <v>0</v>
      </c>
    </row>
    <row r="47" spans="1:19">
      <c r="A47" s="126" t="s">
        <v>3666</v>
      </c>
      <c r="B47" s="126" t="str">
        <f t="shared" si="10"/>
        <v>D0259</v>
      </c>
      <c r="C47" s="126">
        <v>1634</v>
      </c>
      <c r="D47" s="126" t="s">
        <v>1524</v>
      </c>
      <c r="E47" s="126">
        <v>382</v>
      </c>
      <c r="F47" s="126">
        <v>0</v>
      </c>
      <c r="G47" s="126">
        <v>282</v>
      </c>
      <c r="H47" s="126">
        <v>0</v>
      </c>
      <c r="I47" s="126">
        <v>73.819999999999993</v>
      </c>
      <c r="J47" s="126">
        <v>29.6</v>
      </c>
      <c r="K47" s="126">
        <v>0</v>
      </c>
      <c r="L47" s="126">
        <f t="shared" si="23"/>
        <v>382</v>
      </c>
      <c r="M47" s="126">
        <f t="shared" si="24"/>
        <v>282</v>
      </c>
      <c r="N47" s="171">
        <f t="shared" si="25"/>
        <v>0.73819999999999997</v>
      </c>
      <c r="O47" s="132">
        <f t="shared" si="26"/>
        <v>0</v>
      </c>
      <c r="P47" s="177">
        <f t="shared" si="27"/>
        <v>29.6</v>
      </c>
      <c r="Q47" s="177">
        <f t="shared" si="28"/>
        <v>29.6</v>
      </c>
      <c r="S47" s="233" t="b">
        <f t="shared" si="0"/>
        <v>0</v>
      </c>
    </row>
    <row r="48" spans="1:19">
      <c r="A48" s="126" t="s">
        <v>3666</v>
      </c>
      <c r="B48" s="126" t="str">
        <f t="shared" si="10"/>
        <v>D0259</v>
      </c>
      <c r="C48" s="126">
        <v>1636</v>
      </c>
      <c r="D48" s="126" t="s">
        <v>1526</v>
      </c>
      <c r="E48" s="126">
        <v>474</v>
      </c>
      <c r="F48" s="126">
        <v>0</v>
      </c>
      <c r="G48" s="126">
        <v>392</v>
      </c>
      <c r="H48" s="126">
        <v>0</v>
      </c>
      <c r="I48" s="126">
        <v>82.7</v>
      </c>
      <c r="J48" s="126">
        <v>41.2</v>
      </c>
      <c r="K48" s="126">
        <v>0</v>
      </c>
      <c r="L48" s="126">
        <f t="shared" si="23"/>
        <v>474</v>
      </c>
      <c r="M48" s="126">
        <f t="shared" si="24"/>
        <v>392</v>
      </c>
      <c r="N48" s="171">
        <f t="shared" si="25"/>
        <v>0.82699999999999996</v>
      </c>
      <c r="O48" s="132">
        <f t="shared" si="26"/>
        <v>0</v>
      </c>
      <c r="P48" s="177">
        <f t="shared" si="27"/>
        <v>41.2</v>
      </c>
      <c r="Q48" s="177">
        <f t="shared" si="28"/>
        <v>41.2</v>
      </c>
      <c r="S48" s="233" t="b">
        <f t="shared" si="0"/>
        <v>0</v>
      </c>
    </row>
    <row r="49" spans="1:19">
      <c r="A49" s="126" t="s">
        <v>3666</v>
      </c>
      <c r="B49" s="126" t="str">
        <f t="shared" si="10"/>
        <v>D0259</v>
      </c>
      <c r="C49" s="126">
        <v>1640</v>
      </c>
      <c r="D49" s="126" t="s">
        <v>1528</v>
      </c>
      <c r="E49" s="126">
        <v>474</v>
      </c>
      <c r="F49" s="126">
        <v>0</v>
      </c>
      <c r="G49" s="126">
        <v>378</v>
      </c>
      <c r="H49" s="126">
        <v>0</v>
      </c>
      <c r="I49" s="126">
        <v>79.75</v>
      </c>
      <c r="J49" s="126">
        <v>39.700000000000003</v>
      </c>
      <c r="K49" s="126">
        <v>0</v>
      </c>
      <c r="L49" s="126">
        <f t="shared" si="23"/>
        <v>474</v>
      </c>
      <c r="M49" s="126">
        <f t="shared" si="24"/>
        <v>378</v>
      </c>
      <c r="N49" s="171">
        <f t="shared" si="25"/>
        <v>0.79749999999999999</v>
      </c>
      <c r="O49" s="132">
        <f t="shared" si="26"/>
        <v>0</v>
      </c>
      <c r="P49" s="177">
        <f t="shared" si="27"/>
        <v>39.700000000000003</v>
      </c>
      <c r="Q49" s="177">
        <f t="shared" si="28"/>
        <v>39.700000000000003</v>
      </c>
      <c r="S49" s="233" t="b">
        <f t="shared" si="0"/>
        <v>0</v>
      </c>
    </row>
    <row r="50" spans="1:19">
      <c r="A50" s="126" t="s">
        <v>3666</v>
      </c>
      <c r="B50" s="126" t="str">
        <f t="shared" si="10"/>
        <v>D0259</v>
      </c>
      <c r="C50" s="126">
        <v>1644</v>
      </c>
      <c r="D50" s="126" t="s">
        <v>1530</v>
      </c>
      <c r="E50" s="126">
        <v>463</v>
      </c>
      <c r="F50" s="126">
        <v>0</v>
      </c>
      <c r="G50" s="126">
        <v>205</v>
      </c>
      <c r="H50" s="126">
        <v>0</v>
      </c>
      <c r="I50" s="126">
        <v>44.28</v>
      </c>
      <c r="J50" s="126">
        <v>0</v>
      </c>
      <c r="K50" s="126">
        <v>13.3</v>
      </c>
      <c r="L50" s="126">
        <f t="shared" si="23"/>
        <v>463</v>
      </c>
      <c r="M50" s="126">
        <f t="shared" si="24"/>
        <v>205</v>
      </c>
      <c r="N50" s="171">
        <f t="shared" si="25"/>
        <v>0.44280000000000003</v>
      </c>
      <c r="O50" s="132">
        <f t="shared" si="26"/>
        <v>13.3</v>
      </c>
      <c r="P50" s="177">
        <f t="shared" si="27"/>
        <v>0</v>
      </c>
      <c r="Q50" s="177">
        <f t="shared" si="28"/>
        <v>13.3</v>
      </c>
      <c r="S50" s="233" t="b">
        <f t="shared" si="0"/>
        <v>0</v>
      </c>
    </row>
    <row r="51" spans="1:19">
      <c r="A51" s="126" t="s">
        <v>3666</v>
      </c>
      <c r="B51" s="126" t="str">
        <f t="shared" si="10"/>
        <v>D0259</v>
      </c>
      <c r="C51" s="126">
        <v>1646</v>
      </c>
      <c r="D51" s="126" t="s">
        <v>1532</v>
      </c>
      <c r="E51" s="126">
        <v>345</v>
      </c>
      <c r="F51" s="126">
        <v>0</v>
      </c>
      <c r="G51" s="126">
        <v>275</v>
      </c>
      <c r="H51" s="126">
        <v>0</v>
      </c>
      <c r="I51" s="126">
        <v>79.709999999999994</v>
      </c>
      <c r="J51" s="126">
        <v>28.9</v>
      </c>
      <c r="K51" s="126">
        <v>0</v>
      </c>
      <c r="L51" s="126">
        <f t="shared" si="23"/>
        <v>345</v>
      </c>
      <c r="M51" s="126">
        <f t="shared" si="24"/>
        <v>275</v>
      </c>
      <c r="N51" s="171">
        <f t="shared" si="25"/>
        <v>0.79710000000000003</v>
      </c>
      <c r="O51" s="132">
        <f t="shared" si="26"/>
        <v>0</v>
      </c>
      <c r="P51" s="177">
        <f t="shared" si="27"/>
        <v>28.9</v>
      </c>
      <c r="Q51" s="177">
        <f t="shared" si="28"/>
        <v>28.9</v>
      </c>
      <c r="S51" s="233" t="b">
        <f t="shared" si="0"/>
        <v>0</v>
      </c>
    </row>
    <row r="52" spans="1:19">
      <c r="A52" s="126" t="s">
        <v>3666</v>
      </c>
      <c r="B52" s="126" t="str">
        <f t="shared" si="10"/>
        <v>D0259</v>
      </c>
      <c r="C52" s="126">
        <v>1648</v>
      </c>
      <c r="D52" s="126" t="s">
        <v>1534</v>
      </c>
      <c r="E52" s="126">
        <v>260</v>
      </c>
      <c r="F52" s="126">
        <v>0</v>
      </c>
      <c r="G52" s="126">
        <v>152</v>
      </c>
      <c r="H52" s="126">
        <v>0</v>
      </c>
      <c r="I52" s="126">
        <v>58.46</v>
      </c>
      <c r="J52" s="126">
        <v>16</v>
      </c>
      <c r="K52" s="126">
        <v>0</v>
      </c>
      <c r="L52" s="126">
        <f t="shared" si="23"/>
        <v>260</v>
      </c>
      <c r="M52" s="126">
        <f t="shared" si="24"/>
        <v>152</v>
      </c>
      <c r="N52" s="171">
        <f t="shared" si="25"/>
        <v>0.58460000000000001</v>
      </c>
      <c r="O52" s="132">
        <f t="shared" si="26"/>
        <v>0</v>
      </c>
      <c r="P52" s="177">
        <f t="shared" si="27"/>
        <v>16</v>
      </c>
      <c r="Q52" s="177">
        <f t="shared" si="28"/>
        <v>16</v>
      </c>
      <c r="S52" s="233" t="b">
        <f t="shared" si="0"/>
        <v>0</v>
      </c>
    </row>
    <row r="53" spans="1:19">
      <c r="A53" s="126" t="s">
        <v>3666</v>
      </c>
      <c r="B53" s="126" t="str">
        <f t="shared" si="10"/>
        <v>D0259</v>
      </c>
      <c r="C53" s="126">
        <v>1649</v>
      </c>
      <c r="D53" s="126" t="s">
        <v>1536</v>
      </c>
      <c r="E53" s="126">
        <v>93</v>
      </c>
      <c r="F53" s="126">
        <v>0</v>
      </c>
      <c r="G53" s="126">
        <v>2</v>
      </c>
      <c r="H53" s="126">
        <v>0</v>
      </c>
      <c r="I53" s="126">
        <v>2.15</v>
      </c>
      <c r="J53" s="126">
        <v>0</v>
      </c>
      <c r="K53" s="126">
        <v>0</v>
      </c>
      <c r="L53" s="126">
        <f t="shared" si="23"/>
        <v>93</v>
      </c>
      <c r="M53" s="126">
        <f t="shared" si="24"/>
        <v>2</v>
      </c>
      <c r="N53" s="171">
        <f t="shared" si="25"/>
        <v>2.1499999999999998E-2</v>
      </c>
      <c r="O53" s="132">
        <f t="shared" si="26"/>
        <v>0</v>
      </c>
      <c r="P53" s="177">
        <f t="shared" si="27"/>
        <v>0</v>
      </c>
      <c r="Q53" s="177">
        <f t="shared" si="28"/>
        <v>0</v>
      </c>
      <c r="S53" s="233" t="b">
        <f t="shared" si="0"/>
        <v>0</v>
      </c>
    </row>
    <row r="54" spans="1:19">
      <c r="A54" s="126" t="s">
        <v>3666</v>
      </c>
      <c r="B54" s="126" t="str">
        <f t="shared" si="10"/>
        <v>D0259</v>
      </c>
      <c r="C54" s="126">
        <v>1650</v>
      </c>
      <c r="D54" s="126" t="s">
        <v>1538</v>
      </c>
      <c r="E54" s="126">
        <v>597</v>
      </c>
      <c r="F54" s="126">
        <v>0</v>
      </c>
      <c r="G54" s="126">
        <v>508</v>
      </c>
      <c r="H54" s="126">
        <v>0</v>
      </c>
      <c r="I54" s="126">
        <v>85.09</v>
      </c>
      <c r="J54" s="126">
        <v>53.3</v>
      </c>
      <c r="K54" s="126">
        <v>0</v>
      </c>
      <c r="L54" s="126">
        <f t="shared" si="23"/>
        <v>597</v>
      </c>
      <c r="M54" s="126">
        <f t="shared" si="24"/>
        <v>508</v>
      </c>
      <c r="N54" s="171">
        <f t="shared" si="25"/>
        <v>0.85089999999999999</v>
      </c>
      <c r="O54" s="132">
        <f t="shared" si="26"/>
        <v>0</v>
      </c>
      <c r="P54" s="177">
        <f t="shared" si="27"/>
        <v>53.3</v>
      </c>
      <c r="Q54" s="177">
        <f t="shared" si="28"/>
        <v>53.3</v>
      </c>
      <c r="S54" s="233" t="b">
        <f t="shared" si="0"/>
        <v>0</v>
      </c>
    </row>
    <row r="55" spans="1:19">
      <c r="A55" s="126" t="s">
        <v>3666</v>
      </c>
      <c r="B55" s="126" t="str">
        <f t="shared" si="10"/>
        <v>D0259</v>
      </c>
      <c r="C55" s="126">
        <v>1652</v>
      </c>
      <c r="D55" s="126" t="s">
        <v>1540</v>
      </c>
      <c r="E55" s="126">
        <v>432</v>
      </c>
      <c r="F55" s="126">
        <v>0</v>
      </c>
      <c r="G55" s="126">
        <v>250</v>
      </c>
      <c r="H55" s="126">
        <v>0</v>
      </c>
      <c r="I55" s="126">
        <v>57.87</v>
      </c>
      <c r="J55" s="126">
        <v>26.3</v>
      </c>
      <c r="K55" s="126">
        <v>0</v>
      </c>
      <c r="L55" s="126">
        <f t="shared" si="23"/>
        <v>432</v>
      </c>
      <c r="M55" s="126">
        <f t="shared" si="24"/>
        <v>250</v>
      </c>
      <c r="N55" s="171">
        <f t="shared" si="25"/>
        <v>0.57869999999999999</v>
      </c>
      <c r="O55" s="132">
        <f t="shared" si="26"/>
        <v>0</v>
      </c>
      <c r="P55" s="177">
        <f t="shared" si="27"/>
        <v>26.3</v>
      </c>
      <c r="Q55" s="177">
        <f t="shared" si="28"/>
        <v>26.3</v>
      </c>
      <c r="S55" s="233" t="b">
        <f t="shared" si="0"/>
        <v>0</v>
      </c>
    </row>
    <row r="56" spans="1:19">
      <c r="A56" s="126" t="s">
        <v>3666</v>
      </c>
      <c r="B56" s="126" t="str">
        <f t="shared" si="10"/>
        <v>D0259</v>
      </c>
      <c r="C56" s="126">
        <v>1653</v>
      </c>
      <c r="D56" s="126" t="s">
        <v>1542</v>
      </c>
      <c r="E56" s="126">
        <v>654</v>
      </c>
      <c r="F56" s="126">
        <v>0</v>
      </c>
      <c r="G56" s="126">
        <v>590</v>
      </c>
      <c r="H56" s="126">
        <v>0</v>
      </c>
      <c r="I56" s="126">
        <v>90.21</v>
      </c>
      <c r="J56" s="126">
        <v>61.9</v>
      </c>
      <c r="K56" s="126">
        <v>0</v>
      </c>
      <c r="L56" s="126">
        <f t="shared" si="23"/>
        <v>654</v>
      </c>
      <c r="M56" s="126">
        <f t="shared" si="24"/>
        <v>590</v>
      </c>
      <c r="N56" s="171">
        <f t="shared" si="25"/>
        <v>0.90210000000000001</v>
      </c>
      <c r="O56" s="132">
        <f t="shared" si="26"/>
        <v>0</v>
      </c>
      <c r="P56" s="177">
        <f t="shared" si="27"/>
        <v>62</v>
      </c>
      <c r="Q56" s="177">
        <f t="shared" si="28"/>
        <v>62</v>
      </c>
      <c r="S56" s="233" t="b">
        <f t="shared" si="0"/>
        <v>0</v>
      </c>
    </row>
    <row r="57" spans="1:19">
      <c r="A57" s="126" t="s">
        <v>3666</v>
      </c>
      <c r="B57" s="126" t="str">
        <f t="shared" si="10"/>
        <v>D0259</v>
      </c>
      <c r="C57" s="126">
        <v>1658</v>
      </c>
      <c r="D57" s="126" t="s">
        <v>1544</v>
      </c>
      <c r="E57" s="126">
        <v>410</v>
      </c>
      <c r="F57" s="126">
        <v>0</v>
      </c>
      <c r="G57" s="126">
        <v>195</v>
      </c>
      <c r="H57" s="126">
        <v>0</v>
      </c>
      <c r="I57" s="126">
        <v>47.56</v>
      </c>
      <c r="J57" s="126">
        <v>0</v>
      </c>
      <c r="K57" s="126">
        <v>17.100000000000001</v>
      </c>
      <c r="L57" s="126">
        <f t="shared" si="23"/>
        <v>410</v>
      </c>
      <c r="M57" s="126">
        <f t="shared" si="24"/>
        <v>195</v>
      </c>
      <c r="N57" s="171">
        <f t="shared" si="25"/>
        <v>0.47560000000000002</v>
      </c>
      <c r="O57" s="132">
        <f t="shared" si="26"/>
        <v>17.100000000000001</v>
      </c>
      <c r="P57" s="177">
        <f t="shared" si="27"/>
        <v>0</v>
      </c>
      <c r="Q57" s="177">
        <f t="shared" si="28"/>
        <v>17.100000000000001</v>
      </c>
      <c r="S57" s="233" t="b">
        <f t="shared" si="0"/>
        <v>0</v>
      </c>
    </row>
    <row r="58" spans="1:19">
      <c r="A58" s="126" t="s">
        <v>3666</v>
      </c>
      <c r="B58" s="126" t="str">
        <f t="shared" si="10"/>
        <v>D0259</v>
      </c>
      <c r="C58" s="126">
        <v>1660</v>
      </c>
      <c r="D58" s="126" t="s">
        <v>1546</v>
      </c>
      <c r="E58" s="126">
        <v>454</v>
      </c>
      <c r="F58" s="126">
        <v>0</v>
      </c>
      <c r="G58" s="126">
        <v>354</v>
      </c>
      <c r="H58" s="126">
        <v>0</v>
      </c>
      <c r="I58" s="126">
        <v>77.97</v>
      </c>
      <c r="J58" s="126">
        <v>37.200000000000003</v>
      </c>
      <c r="K58" s="126">
        <v>0</v>
      </c>
      <c r="L58" s="126">
        <f t="shared" si="23"/>
        <v>454</v>
      </c>
      <c r="M58" s="126">
        <f t="shared" si="24"/>
        <v>354</v>
      </c>
      <c r="N58" s="171">
        <f t="shared" si="25"/>
        <v>0.77969999999999995</v>
      </c>
      <c r="O58" s="132">
        <f t="shared" si="26"/>
        <v>0</v>
      </c>
      <c r="P58" s="177">
        <f t="shared" si="27"/>
        <v>37.200000000000003</v>
      </c>
      <c r="Q58" s="177">
        <f t="shared" si="28"/>
        <v>37.200000000000003</v>
      </c>
      <c r="S58" s="233" t="b">
        <f t="shared" si="0"/>
        <v>0</v>
      </c>
    </row>
    <row r="59" spans="1:19">
      <c r="A59" s="126" t="s">
        <v>3666</v>
      </c>
      <c r="B59" s="126" t="str">
        <f t="shared" si="10"/>
        <v>D0259</v>
      </c>
      <c r="C59" s="126">
        <v>1662</v>
      </c>
      <c r="D59" s="126" t="s">
        <v>1548</v>
      </c>
      <c r="E59" s="126">
        <v>558</v>
      </c>
      <c r="F59" s="126">
        <v>0</v>
      </c>
      <c r="G59" s="126">
        <v>375</v>
      </c>
      <c r="H59" s="126">
        <v>0</v>
      </c>
      <c r="I59" s="126">
        <v>67.2</v>
      </c>
      <c r="J59" s="126">
        <v>39.4</v>
      </c>
      <c r="K59" s="126">
        <v>0</v>
      </c>
      <c r="L59" s="126">
        <f t="shared" si="23"/>
        <v>558</v>
      </c>
      <c r="M59" s="126">
        <f t="shared" si="24"/>
        <v>375</v>
      </c>
      <c r="N59" s="171">
        <f t="shared" si="25"/>
        <v>0.67200000000000004</v>
      </c>
      <c r="O59" s="132">
        <f t="shared" si="26"/>
        <v>0</v>
      </c>
      <c r="P59" s="177">
        <f t="shared" si="27"/>
        <v>39.4</v>
      </c>
      <c r="Q59" s="177">
        <f t="shared" si="28"/>
        <v>39.4</v>
      </c>
      <c r="S59" s="233" t="b">
        <f t="shared" si="0"/>
        <v>0</v>
      </c>
    </row>
    <row r="60" spans="1:19">
      <c r="A60" s="126" t="s">
        <v>3666</v>
      </c>
      <c r="B60" s="126" t="str">
        <f t="shared" si="10"/>
        <v>D0259</v>
      </c>
      <c r="C60" s="126">
        <v>1663</v>
      </c>
      <c r="D60" s="126" t="s">
        <v>1550</v>
      </c>
      <c r="E60" s="126">
        <v>390</v>
      </c>
      <c r="F60" s="126">
        <v>0</v>
      </c>
      <c r="G60" s="126">
        <v>315</v>
      </c>
      <c r="H60" s="126">
        <v>0</v>
      </c>
      <c r="I60" s="126">
        <v>80.77</v>
      </c>
      <c r="J60" s="126">
        <v>33.1</v>
      </c>
      <c r="K60" s="126">
        <v>0</v>
      </c>
      <c r="L60" s="126">
        <f t="shared" si="23"/>
        <v>390</v>
      </c>
      <c r="M60" s="126">
        <f t="shared" si="24"/>
        <v>315</v>
      </c>
      <c r="N60" s="171">
        <f t="shared" si="25"/>
        <v>0.80769999999999997</v>
      </c>
      <c r="O60" s="132">
        <f t="shared" si="26"/>
        <v>0</v>
      </c>
      <c r="P60" s="177">
        <f t="shared" si="27"/>
        <v>33.1</v>
      </c>
      <c r="Q60" s="177">
        <f t="shared" si="28"/>
        <v>33.1</v>
      </c>
      <c r="S60" s="233" t="b">
        <f t="shared" si="0"/>
        <v>0</v>
      </c>
    </row>
    <row r="61" spans="1:19">
      <c r="A61" s="126" t="s">
        <v>3666</v>
      </c>
      <c r="B61" s="126" t="str">
        <f t="shared" si="10"/>
        <v>D0259</v>
      </c>
      <c r="C61" s="126">
        <v>1664</v>
      </c>
      <c r="D61" s="126" t="s">
        <v>1552</v>
      </c>
      <c r="E61" s="126">
        <v>925</v>
      </c>
      <c r="F61" s="126">
        <v>0</v>
      </c>
      <c r="G61" s="126">
        <v>308</v>
      </c>
      <c r="H61" s="126">
        <v>0</v>
      </c>
      <c r="I61" s="126">
        <v>33.299999999999997</v>
      </c>
      <c r="J61" s="126">
        <v>0</v>
      </c>
      <c r="K61" s="126">
        <v>0</v>
      </c>
      <c r="L61" s="126">
        <f t="shared" si="23"/>
        <v>925</v>
      </c>
      <c r="M61" s="126">
        <f t="shared" si="24"/>
        <v>308</v>
      </c>
      <c r="N61" s="171">
        <f t="shared" si="25"/>
        <v>0.33300000000000002</v>
      </c>
      <c r="O61" s="132">
        <f t="shared" si="26"/>
        <v>0</v>
      </c>
      <c r="P61" s="177">
        <f t="shared" si="27"/>
        <v>0</v>
      </c>
      <c r="Q61" s="177">
        <f t="shared" si="28"/>
        <v>0</v>
      </c>
      <c r="S61" s="233" t="b">
        <f t="shared" si="0"/>
        <v>0</v>
      </c>
    </row>
    <row r="62" spans="1:19">
      <c r="A62" s="126" t="s">
        <v>3666</v>
      </c>
      <c r="B62" s="126" t="str">
        <f t="shared" si="10"/>
        <v>D0259</v>
      </c>
      <c r="C62" s="126">
        <v>1669</v>
      </c>
      <c r="D62" s="126" t="s">
        <v>3605</v>
      </c>
      <c r="E62" s="126">
        <v>61</v>
      </c>
      <c r="F62" s="126">
        <v>0</v>
      </c>
      <c r="G62" s="126">
        <v>52</v>
      </c>
      <c r="H62" s="126">
        <v>0</v>
      </c>
      <c r="I62" s="126">
        <v>85.25</v>
      </c>
      <c r="J62" s="126">
        <v>5.5</v>
      </c>
      <c r="K62" s="126">
        <v>0</v>
      </c>
      <c r="L62" s="126">
        <f t="shared" si="23"/>
        <v>61</v>
      </c>
      <c r="M62" s="126">
        <f t="shared" si="24"/>
        <v>52</v>
      </c>
      <c r="N62" s="171">
        <f t="shared" si="25"/>
        <v>0.85250000000000004</v>
      </c>
      <c r="O62" s="132">
        <f t="shared" si="26"/>
        <v>0</v>
      </c>
      <c r="P62" s="177">
        <f t="shared" si="27"/>
        <v>5.5</v>
      </c>
      <c r="Q62" s="177">
        <f t="shared" si="28"/>
        <v>5.5</v>
      </c>
      <c r="S62" s="233" t="b">
        <f t="shared" si="0"/>
        <v>0</v>
      </c>
    </row>
    <row r="63" spans="1:19">
      <c r="A63" s="126" t="s">
        <v>3666</v>
      </c>
      <c r="B63" s="126" t="str">
        <f t="shared" si="10"/>
        <v>D0259</v>
      </c>
      <c r="C63" s="126">
        <v>1674</v>
      </c>
      <c r="D63" s="126" t="s">
        <v>1554</v>
      </c>
      <c r="E63" s="126">
        <v>375</v>
      </c>
      <c r="F63" s="126">
        <v>0</v>
      </c>
      <c r="G63" s="126">
        <v>293</v>
      </c>
      <c r="H63" s="126">
        <v>0</v>
      </c>
      <c r="I63" s="126">
        <v>78.13</v>
      </c>
      <c r="J63" s="126">
        <v>30.8</v>
      </c>
      <c r="K63" s="126">
        <v>0</v>
      </c>
      <c r="L63" s="126">
        <f t="shared" si="23"/>
        <v>375</v>
      </c>
      <c r="M63" s="126">
        <f t="shared" si="24"/>
        <v>293</v>
      </c>
      <c r="N63" s="171">
        <f t="shared" si="25"/>
        <v>0.78129999999999999</v>
      </c>
      <c r="O63" s="132">
        <f t="shared" si="26"/>
        <v>0</v>
      </c>
      <c r="P63" s="177">
        <f t="shared" si="27"/>
        <v>30.8</v>
      </c>
      <c r="Q63" s="177">
        <f t="shared" si="28"/>
        <v>30.8</v>
      </c>
      <c r="S63" s="233" t="b">
        <f t="shared" si="0"/>
        <v>0</v>
      </c>
    </row>
    <row r="64" spans="1:19">
      <c r="A64" s="126" t="s">
        <v>3666</v>
      </c>
      <c r="B64" s="126" t="str">
        <f t="shared" si="10"/>
        <v>D0259</v>
      </c>
      <c r="C64" s="126">
        <v>1677</v>
      </c>
      <c r="D64" s="126" t="s">
        <v>1556</v>
      </c>
      <c r="E64" s="126">
        <v>442</v>
      </c>
      <c r="F64" s="126">
        <v>0</v>
      </c>
      <c r="G64" s="126">
        <v>304</v>
      </c>
      <c r="H64" s="126">
        <v>0</v>
      </c>
      <c r="I64" s="126">
        <v>68.78</v>
      </c>
      <c r="J64" s="126">
        <v>31.9</v>
      </c>
      <c r="K64" s="126">
        <v>0</v>
      </c>
      <c r="L64" s="126">
        <f t="shared" si="23"/>
        <v>442</v>
      </c>
      <c r="M64" s="126">
        <f t="shared" si="24"/>
        <v>304</v>
      </c>
      <c r="N64" s="171">
        <f t="shared" si="25"/>
        <v>0.68779999999999997</v>
      </c>
      <c r="O64" s="132">
        <f t="shared" si="26"/>
        <v>0</v>
      </c>
      <c r="P64" s="177">
        <f t="shared" si="27"/>
        <v>31.9</v>
      </c>
      <c r="Q64" s="177">
        <f t="shared" si="28"/>
        <v>31.9</v>
      </c>
      <c r="S64" s="233" t="b">
        <f t="shared" si="0"/>
        <v>0</v>
      </c>
    </row>
    <row r="65" spans="1:19">
      <c r="A65" s="126" t="s">
        <v>3666</v>
      </c>
      <c r="B65" s="126" t="str">
        <f t="shared" si="10"/>
        <v>D0259</v>
      </c>
      <c r="C65" s="126">
        <v>1678</v>
      </c>
      <c r="D65" s="126" t="s">
        <v>1558</v>
      </c>
      <c r="E65" s="126">
        <v>540</v>
      </c>
      <c r="F65" s="126">
        <v>0</v>
      </c>
      <c r="G65" s="126">
        <v>476</v>
      </c>
      <c r="H65" s="126">
        <v>0</v>
      </c>
      <c r="I65" s="126">
        <v>88.15</v>
      </c>
      <c r="J65" s="126">
        <v>50</v>
      </c>
      <c r="K65" s="126">
        <v>0</v>
      </c>
      <c r="L65" s="126">
        <f t="shared" si="23"/>
        <v>540</v>
      </c>
      <c r="M65" s="126">
        <f t="shared" si="24"/>
        <v>476</v>
      </c>
      <c r="N65" s="171">
        <f t="shared" si="25"/>
        <v>0.88149999999999995</v>
      </c>
      <c r="O65" s="132">
        <f t="shared" si="26"/>
        <v>0</v>
      </c>
      <c r="P65" s="177">
        <f t="shared" si="27"/>
        <v>50</v>
      </c>
      <c r="Q65" s="177">
        <f t="shared" si="28"/>
        <v>50</v>
      </c>
      <c r="S65" s="233" t="b">
        <f t="shared" si="0"/>
        <v>0</v>
      </c>
    </row>
    <row r="66" spans="1:19">
      <c r="A66" s="126" t="s">
        <v>3666</v>
      </c>
      <c r="B66" s="126" t="str">
        <f t="shared" si="10"/>
        <v>D0259</v>
      </c>
      <c r="C66" s="126">
        <v>1682</v>
      </c>
      <c r="D66" s="126" t="s">
        <v>1560</v>
      </c>
      <c r="E66" s="126">
        <v>36</v>
      </c>
      <c r="F66" s="126">
        <v>0</v>
      </c>
      <c r="G66" s="126">
        <v>35</v>
      </c>
      <c r="H66" s="126">
        <v>0</v>
      </c>
      <c r="I66" s="126">
        <v>97.22</v>
      </c>
      <c r="J66" s="126">
        <v>3.7</v>
      </c>
      <c r="K66" s="126">
        <v>0</v>
      </c>
      <c r="L66" s="126">
        <f t="shared" si="23"/>
        <v>36</v>
      </c>
      <c r="M66" s="126">
        <f t="shared" si="24"/>
        <v>35</v>
      </c>
      <c r="N66" s="171">
        <f t="shared" si="25"/>
        <v>0.97219999999999995</v>
      </c>
      <c r="O66" s="132">
        <f t="shared" si="26"/>
        <v>0</v>
      </c>
      <c r="P66" s="177">
        <f t="shared" si="27"/>
        <v>3.7</v>
      </c>
      <c r="Q66" s="177">
        <f t="shared" si="28"/>
        <v>3.7</v>
      </c>
      <c r="S66" s="233" t="b">
        <f t="shared" si="0"/>
        <v>0</v>
      </c>
    </row>
    <row r="67" spans="1:19">
      <c r="A67" s="126" t="s">
        <v>3666</v>
      </c>
      <c r="B67" s="126" t="str">
        <f t="shared" si="10"/>
        <v>D0259</v>
      </c>
      <c r="C67" s="126">
        <v>1684</v>
      </c>
      <c r="D67" s="126" t="s">
        <v>1562</v>
      </c>
      <c r="E67" s="126">
        <v>500</v>
      </c>
      <c r="F67" s="126">
        <v>0</v>
      </c>
      <c r="G67" s="126">
        <v>362</v>
      </c>
      <c r="H67" s="126">
        <v>0</v>
      </c>
      <c r="I67" s="126">
        <v>72.400000000000006</v>
      </c>
      <c r="J67" s="126">
        <v>38</v>
      </c>
      <c r="K67" s="126">
        <v>0</v>
      </c>
      <c r="L67" s="126">
        <f t="shared" si="23"/>
        <v>500</v>
      </c>
      <c r="M67" s="126">
        <f t="shared" si="24"/>
        <v>362</v>
      </c>
      <c r="N67" s="171">
        <f t="shared" si="25"/>
        <v>0.72399999999999998</v>
      </c>
      <c r="O67" s="132">
        <f t="shared" si="26"/>
        <v>0</v>
      </c>
      <c r="P67" s="177">
        <f t="shared" si="27"/>
        <v>38</v>
      </c>
      <c r="Q67" s="177">
        <f t="shared" si="28"/>
        <v>38</v>
      </c>
      <c r="S67" s="233" t="b">
        <f t="shared" si="0"/>
        <v>0</v>
      </c>
    </row>
    <row r="68" spans="1:19">
      <c r="A68" s="126" t="s">
        <v>3666</v>
      </c>
      <c r="B68" s="126" t="str">
        <f t="shared" ref="B68:B129" si="29">LEFT(A68,5)</f>
        <v>D0259</v>
      </c>
      <c r="C68" s="126">
        <v>1686</v>
      </c>
      <c r="D68" s="126" t="s">
        <v>1564</v>
      </c>
      <c r="E68" s="126">
        <v>413</v>
      </c>
      <c r="F68" s="126">
        <v>0</v>
      </c>
      <c r="G68" s="126">
        <v>192</v>
      </c>
      <c r="H68" s="126">
        <v>0</v>
      </c>
      <c r="I68" s="126">
        <v>46.49</v>
      </c>
      <c r="J68" s="126">
        <v>0</v>
      </c>
      <c r="K68" s="126">
        <v>15.4</v>
      </c>
      <c r="L68" s="126">
        <f t="shared" si="23"/>
        <v>413</v>
      </c>
      <c r="M68" s="126">
        <f t="shared" si="24"/>
        <v>192</v>
      </c>
      <c r="N68" s="171">
        <f t="shared" si="25"/>
        <v>0.46489999999999998</v>
      </c>
      <c r="O68" s="132">
        <f t="shared" si="26"/>
        <v>15.4</v>
      </c>
      <c r="P68" s="177">
        <f t="shared" si="27"/>
        <v>0</v>
      </c>
      <c r="Q68" s="177">
        <f t="shared" si="28"/>
        <v>15.4</v>
      </c>
      <c r="S68" s="233" t="b">
        <f t="shared" si="0"/>
        <v>0</v>
      </c>
    </row>
    <row r="69" spans="1:19">
      <c r="A69" s="126" t="s">
        <v>3666</v>
      </c>
      <c r="B69" s="126" t="str">
        <f t="shared" si="29"/>
        <v>D0259</v>
      </c>
      <c r="C69" s="126">
        <v>1688</v>
      </c>
      <c r="D69" s="126" t="s">
        <v>1566</v>
      </c>
      <c r="E69" s="126">
        <v>425</v>
      </c>
      <c r="F69" s="126">
        <v>0</v>
      </c>
      <c r="G69" s="126">
        <v>379</v>
      </c>
      <c r="H69" s="126">
        <v>0</v>
      </c>
      <c r="I69" s="126">
        <v>89.18</v>
      </c>
      <c r="J69" s="126">
        <v>39.799999999999997</v>
      </c>
      <c r="K69" s="126">
        <v>0</v>
      </c>
      <c r="L69" s="126">
        <f t="shared" si="23"/>
        <v>425</v>
      </c>
      <c r="M69" s="126">
        <f t="shared" si="24"/>
        <v>379</v>
      </c>
      <c r="N69" s="171">
        <f t="shared" si="25"/>
        <v>0.89180000000000004</v>
      </c>
      <c r="O69" s="132">
        <f t="shared" si="26"/>
        <v>0</v>
      </c>
      <c r="P69" s="177">
        <f t="shared" si="27"/>
        <v>39.799999999999997</v>
      </c>
      <c r="Q69" s="177">
        <f t="shared" si="28"/>
        <v>39.799999999999997</v>
      </c>
      <c r="S69" s="233" t="b">
        <f t="shared" ref="S69:S132" si="30">COUNTIF(C:C,C69)&gt;1</f>
        <v>0</v>
      </c>
    </row>
    <row r="70" spans="1:19">
      <c r="A70" s="126" t="s">
        <v>3666</v>
      </c>
      <c r="B70" s="126" t="str">
        <f t="shared" si="29"/>
        <v>D0259</v>
      </c>
      <c r="C70" s="126">
        <v>1690</v>
      </c>
      <c r="D70" s="126" t="s">
        <v>1568</v>
      </c>
      <c r="E70" s="126">
        <v>291</v>
      </c>
      <c r="F70" s="126">
        <v>0</v>
      </c>
      <c r="G70" s="126">
        <v>83</v>
      </c>
      <c r="H70" s="126">
        <v>0</v>
      </c>
      <c r="I70" s="126">
        <v>28.52</v>
      </c>
      <c r="J70" s="126">
        <v>0</v>
      </c>
      <c r="K70" s="126">
        <v>0</v>
      </c>
      <c r="L70" s="126">
        <f t="shared" si="23"/>
        <v>291</v>
      </c>
      <c r="M70" s="126">
        <f t="shared" si="24"/>
        <v>83</v>
      </c>
      <c r="N70" s="171">
        <f t="shared" si="25"/>
        <v>0.28520000000000001</v>
      </c>
      <c r="O70" s="132">
        <f t="shared" si="26"/>
        <v>0</v>
      </c>
      <c r="P70" s="177">
        <f t="shared" si="27"/>
        <v>0</v>
      </c>
      <c r="Q70" s="177">
        <f t="shared" si="28"/>
        <v>0</v>
      </c>
      <c r="S70" s="233" t="b">
        <f t="shared" si="30"/>
        <v>0</v>
      </c>
    </row>
    <row r="71" spans="1:19">
      <c r="A71" s="126" t="s">
        <v>3666</v>
      </c>
      <c r="B71" s="126" t="str">
        <f t="shared" si="29"/>
        <v>D0259</v>
      </c>
      <c r="C71" s="126">
        <v>1693</v>
      </c>
      <c r="D71" s="126" t="s">
        <v>1570</v>
      </c>
      <c r="E71" s="126">
        <v>463</v>
      </c>
      <c r="F71" s="126">
        <v>0</v>
      </c>
      <c r="G71" s="126">
        <v>431</v>
      </c>
      <c r="H71" s="126">
        <v>0</v>
      </c>
      <c r="I71" s="126">
        <v>93.09</v>
      </c>
      <c r="J71" s="126">
        <v>45.3</v>
      </c>
      <c r="K71" s="126">
        <v>0</v>
      </c>
      <c r="L71" s="126">
        <f t="shared" si="23"/>
        <v>463</v>
      </c>
      <c r="M71" s="126">
        <f t="shared" si="24"/>
        <v>431</v>
      </c>
      <c r="N71" s="171">
        <f t="shared" si="25"/>
        <v>0.93089999999999995</v>
      </c>
      <c r="O71" s="132">
        <f t="shared" si="26"/>
        <v>0</v>
      </c>
      <c r="P71" s="177">
        <f t="shared" si="27"/>
        <v>45.3</v>
      </c>
      <c r="Q71" s="177">
        <f t="shared" si="28"/>
        <v>45.3</v>
      </c>
      <c r="S71" s="233" t="b">
        <f t="shared" si="30"/>
        <v>0</v>
      </c>
    </row>
    <row r="72" spans="1:19">
      <c r="A72" s="126" t="s">
        <v>3666</v>
      </c>
      <c r="B72" s="126" t="str">
        <f t="shared" si="29"/>
        <v>D0259</v>
      </c>
      <c r="C72" s="126">
        <v>1694</v>
      </c>
      <c r="D72" s="126" t="s">
        <v>1572</v>
      </c>
      <c r="E72" s="126">
        <v>420</v>
      </c>
      <c r="F72" s="126">
        <v>0</v>
      </c>
      <c r="G72" s="126">
        <v>353</v>
      </c>
      <c r="H72" s="126">
        <v>0</v>
      </c>
      <c r="I72" s="126">
        <v>84.05</v>
      </c>
      <c r="J72" s="126">
        <v>37.1</v>
      </c>
      <c r="K72" s="126">
        <v>0</v>
      </c>
      <c r="L72" s="126">
        <f t="shared" si="23"/>
        <v>420</v>
      </c>
      <c r="M72" s="126">
        <f t="shared" si="24"/>
        <v>353</v>
      </c>
      <c r="N72" s="171">
        <f t="shared" si="25"/>
        <v>0.84050000000000002</v>
      </c>
      <c r="O72" s="132">
        <f t="shared" si="26"/>
        <v>0</v>
      </c>
      <c r="P72" s="177">
        <f t="shared" si="27"/>
        <v>37.1</v>
      </c>
      <c r="Q72" s="177">
        <f t="shared" si="28"/>
        <v>37.1</v>
      </c>
      <c r="S72" s="233" t="b">
        <f t="shared" si="30"/>
        <v>0</v>
      </c>
    </row>
    <row r="73" spans="1:19">
      <c r="A73" s="126" t="s">
        <v>3666</v>
      </c>
      <c r="B73" s="126" t="str">
        <f t="shared" si="29"/>
        <v>D0259</v>
      </c>
      <c r="C73" s="126">
        <v>1695</v>
      </c>
      <c r="D73" s="126" t="s">
        <v>1574</v>
      </c>
      <c r="E73" s="126">
        <v>563</v>
      </c>
      <c r="F73" s="126">
        <v>0</v>
      </c>
      <c r="G73" s="126">
        <v>172</v>
      </c>
      <c r="H73" s="126">
        <v>0</v>
      </c>
      <c r="I73" s="126">
        <v>30.55</v>
      </c>
      <c r="J73" s="126">
        <v>0</v>
      </c>
      <c r="K73" s="126">
        <v>0</v>
      </c>
      <c r="L73" s="126">
        <f t="shared" si="23"/>
        <v>563</v>
      </c>
      <c r="M73" s="126">
        <f t="shared" si="24"/>
        <v>172</v>
      </c>
      <c r="N73" s="171">
        <f t="shared" si="25"/>
        <v>0.30549999999999999</v>
      </c>
      <c r="O73" s="132">
        <f t="shared" si="26"/>
        <v>0</v>
      </c>
      <c r="P73" s="177">
        <f t="shared" si="27"/>
        <v>0</v>
      </c>
      <c r="Q73" s="177">
        <f t="shared" si="28"/>
        <v>0</v>
      </c>
      <c r="S73" s="233" t="b">
        <f t="shared" si="30"/>
        <v>0</v>
      </c>
    </row>
    <row r="74" spans="1:19">
      <c r="A74" s="126" t="s">
        <v>3666</v>
      </c>
      <c r="B74" s="126" t="str">
        <f t="shared" si="29"/>
        <v>D0259</v>
      </c>
      <c r="C74" s="126">
        <v>1698</v>
      </c>
      <c r="D74" s="126" t="s">
        <v>1488</v>
      </c>
      <c r="E74" s="126">
        <v>447</v>
      </c>
      <c r="F74" s="126">
        <v>0</v>
      </c>
      <c r="G74" s="126">
        <v>392</v>
      </c>
      <c r="H74" s="126">
        <v>0</v>
      </c>
      <c r="I74" s="126">
        <v>87.7</v>
      </c>
      <c r="J74" s="126">
        <v>41.2</v>
      </c>
      <c r="K74" s="126">
        <v>0</v>
      </c>
      <c r="L74" s="126">
        <f t="shared" si="23"/>
        <v>447</v>
      </c>
      <c r="M74" s="126">
        <f t="shared" si="24"/>
        <v>392</v>
      </c>
      <c r="N74" s="171">
        <f t="shared" si="25"/>
        <v>0.877</v>
      </c>
      <c r="O74" s="132">
        <f t="shared" si="26"/>
        <v>0</v>
      </c>
      <c r="P74" s="177">
        <f t="shared" si="27"/>
        <v>41.2</v>
      </c>
      <c r="Q74" s="177">
        <f t="shared" si="28"/>
        <v>41.2</v>
      </c>
      <c r="S74" s="233" t="b">
        <f t="shared" si="30"/>
        <v>0</v>
      </c>
    </row>
    <row r="75" spans="1:19">
      <c r="A75" s="126" t="s">
        <v>3666</v>
      </c>
      <c r="B75" s="126" t="str">
        <f t="shared" si="29"/>
        <v>D0259</v>
      </c>
      <c r="C75" s="126">
        <v>1704</v>
      </c>
      <c r="D75" s="126" t="s">
        <v>1577</v>
      </c>
      <c r="E75" s="126">
        <v>467</v>
      </c>
      <c r="F75" s="126">
        <v>0</v>
      </c>
      <c r="G75" s="126">
        <v>323</v>
      </c>
      <c r="H75" s="126">
        <v>0</v>
      </c>
      <c r="I75" s="126">
        <v>69.16</v>
      </c>
      <c r="J75" s="126">
        <v>33.9</v>
      </c>
      <c r="K75" s="126">
        <v>0</v>
      </c>
      <c r="L75" s="126">
        <f t="shared" si="23"/>
        <v>467</v>
      </c>
      <c r="M75" s="126">
        <f t="shared" si="24"/>
        <v>323</v>
      </c>
      <c r="N75" s="171">
        <f t="shared" si="25"/>
        <v>0.69159999999999999</v>
      </c>
      <c r="O75" s="132">
        <f t="shared" si="26"/>
        <v>0</v>
      </c>
      <c r="P75" s="177">
        <f t="shared" si="27"/>
        <v>33.9</v>
      </c>
      <c r="Q75" s="177">
        <f t="shared" si="28"/>
        <v>33.9</v>
      </c>
      <c r="S75" s="233" t="b">
        <f t="shared" si="30"/>
        <v>0</v>
      </c>
    </row>
    <row r="76" spans="1:19">
      <c r="A76" s="126" t="s">
        <v>3666</v>
      </c>
      <c r="B76" s="126" t="str">
        <f t="shared" si="29"/>
        <v>D0259</v>
      </c>
      <c r="C76" s="126">
        <v>1706</v>
      </c>
      <c r="D76" s="126" t="s">
        <v>1579</v>
      </c>
      <c r="E76" s="126">
        <v>535</v>
      </c>
      <c r="F76" s="126">
        <v>0</v>
      </c>
      <c r="G76" s="126">
        <v>314</v>
      </c>
      <c r="H76" s="126">
        <v>0</v>
      </c>
      <c r="I76" s="126">
        <v>58.69</v>
      </c>
      <c r="J76" s="126">
        <v>33</v>
      </c>
      <c r="K76" s="126">
        <v>0</v>
      </c>
      <c r="L76" s="126">
        <f t="shared" si="23"/>
        <v>535</v>
      </c>
      <c r="M76" s="126">
        <f t="shared" si="24"/>
        <v>314</v>
      </c>
      <c r="N76" s="171">
        <f t="shared" si="25"/>
        <v>0.58689999999999998</v>
      </c>
      <c r="O76" s="132">
        <f t="shared" si="26"/>
        <v>0</v>
      </c>
      <c r="P76" s="177">
        <f t="shared" si="27"/>
        <v>33</v>
      </c>
      <c r="Q76" s="177">
        <f t="shared" si="28"/>
        <v>33</v>
      </c>
      <c r="S76" s="233" t="b">
        <f t="shared" si="30"/>
        <v>0</v>
      </c>
    </row>
    <row r="77" spans="1:19">
      <c r="A77" s="126" t="s">
        <v>3666</v>
      </c>
      <c r="B77" s="126" t="str">
        <f t="shared" si="29"/>
        <v>D0259</v>
      </c>
      <c r="C77" s="126">
        <v>1708</v>
      </c>
      <c r="D77" s="126" t="s">
        <v>1581</v>
      </c>
      <c r="E77" s="126">
        <v>265</v>
      </c>
      <c r="F77" s="126">
        <v>0</v>
      </c>
      <c r="G77" s="126">
        <v>76</v>
      </c>
      <c r="H77" s="126">
        <v>0</v>
      </c>
      <c r="I77" s="126">
        <v>28.68</v>
      </c>
      <c r="J77" s="126">
        <v>0</v>
      </c>
      <c r="K77" s="126">
        <v>0</v>
      </c>
      <c r="L77" s="126">
        <f t="shared" si="23"/>
        <v>265</v>
      </c>
      <c r="M77" s="126">
        <f t="shared" si="24"/>
        <v>76</v>
      </c>
      <c r="N77" s="171">
        <f t="shared" si="25"/>
        <v>0.2868</v>
      </c>
      <c r="O77" s="132">
        <f t="shared" si="26"/>
        <v>0</v>
      </c>
      <c r="P77" s="177">
        <f t="shared" si="27"/>
        <v>0</v>
      </c>
      <c r="Q77" s="177">
        <f t="shared" si="28"/>
        <v>0</v>
      </c>
      <c r="S77" s="233" t="b">
        <f t="shared" si="30"/>
        <v>0</v>
      </c>
    </row>
    <row r="78" spans="1:19">
      <c r="A78" s="126" t="s">
        <v>3666</v>
      </c>
      <c r="B78" s="126" t="str">
        <f t="shared" si="29"/>
        <v>D0259</v>
      </c>
      <c r="C78" s="126">
        <v>1710</v>
      </c>
      <c r="D78" s="126" t="s">
        <v>1583</v>
      </c>
      <c r="E78" s="126">
        <v>393</v>
      </c>
      <c r="F78" s="126">
        <v>0</v>
      </c>
      <c r="G78" s="126">
        <v>258</v>
      </c>
      <c r="H78" s="126">
        <v>0</v>
      </c>
      <c r="I78" s="126">
        <v>65.650000000000006</v>
      </c>
      <c r="J78" s="126">
        <v>27.1</v>
      </c>
      <c r="K78" s="126">
        <v>0</v>
      </c>
      <c r="L78" s="126">
        <f t="shared" si="23"/>
        <v>393</v>
      </c>
      <c r="M78" s="126">
        <f t="shared" si="24"/>
        <v>258</v>
      </c>
      <c r="N78" s="171">
        <f t="shared" si="25"/>
        <v>0.65649999999999997</v>
      </c>
      <c r="O78" s="132">
        <f t="shared" si="26"/>
        <v>0</v>
      </c>
      <c r="P78" s="177">
        <f t="shared" si="27"/>
        <v>27.1</v>
      </c>
      <c r="Q78" s="177">
        <f t="shared" si="28"/>
        <v>27.1</v>
      </c>
      <c r="S78" s="233" t="b">
        <f t="shared" si="30"/>
        <v>0</v>
      </c>
    </row>
    <row r="79" spans="1:19">
      <c r="A79" s="126" t="s">
        <v>3666</v>
      </c>
      <c r="B79" s="126" t="str">
        <f t="shared" si="29"/>
        <v>D0259</v>
      </c>
      <c r="C79" s="126">
        <v>1712</v>
      </c>
      <c r="D79" s="126" t="s">
        <v>1585</v>
      </c>
      <c r="E79" s="126">
        <v>444</v>
      </c>
      <c r="F79" s="126">
        <v>0</v>
      </c>
      <c r="G79" s="126">
        <v>343</v>
      </c>
      <c r="H79" s="126">
        <v>0</v>
      </c>
      <c r="I79" s="126">
        <v>77.25</v>
      </c>
      <c r="J79" s="126">
        <v>36</v>
      </c>
      <c r="K79" s="126">
        <v>0</v>
      </c>
      <c r="L79" s="126">
        <f t="shared" si="23"/>
        <v>444</v>
      </c>
      <c r="M79" s="126">
        <f t="shared" si="24"/>
        <v>343</v>
      </c>
      <c r="N79" s="171">
        <f t="shared" si="25"/>
        <v>0.77249999999999996</v>
      </c>
      <c r="O79" s="132">
        <f t="shared" si="26"/>
        <v>0</v>
      </c>
      <c r="P79" s="177">
        <f t="shared" si="27"/>
        <v>36</v>
      </c>
      <c r="Q79" s="177">
        <f t="shared" si="28"/>
        <v>36</v>
      </c>
      <c r="S79" s="233" t="b">
        <f t="shared" si="30"/>
        <v>0</v>
      </c>
    </row>
    <row r="80" spans="1:19">
      <c r="A80" s="126" t="s">
        <v>3666</v>
      </c>
      <c r="B80" s="126" t="str">
        <f t="shared" si="29"/>
        <v>D0259</v>
      </c>
      <c r="C80" s="126">
        <v>1715</v>
      </c>
      <c r="D80" s="126" t="s">
        <v>1587</v>
      </c>
      <c r="E80" s="126">
        <v>77</v>
      </c>
      <c r="F80" s="126">
        <v>0</v>
      </c>
      <c r="G80" s="126">
        <v>53</v>
      </c>
      <c r="H80" s="126">
        <v>0</v>
      </c>
      <c r="I80" s="126">
        <v>68.83</v>
      </c>
      <c r="J80" s="126">
        <v>5.6</v>
      </c>
      <c r="K80" s="126">
        <v>0</v>
      </c>
      <c r="L80" s="126">
        <f t="shared" si="23"/>
        <v>77</v>
      </c>
      <c r="M80" s="126">
        <f t="shared" si="24"/>
        <v>53</v>
      </c>
      <c r="N80" s="171">
        <f t="shared" si="25"/>
        <v>0.68830000000000002</v>
      </c>
      <c r="O80" s="132">
        <f t="shared" si="26"/>
        <v>0</v>
      </c>
      <c r="P80" s="177">
        <f t="shared" si="27"/>
        <v>5.6</v>
      </c>
      <c r="Q80" s="177">
        <f t="shared" si="28"/>
        <v>5.6</v>
      </c>
      <c r="S80" s="233" t="b">
        <f t="shared" si="30"/>
        <v>0</v>
      </c>
    </row>
    <row r="81" spans="1:19">
      <c r="A81" s="126" t="s">
        <v>3666</v>
      </c>
      <c r="B81" s="126" t="str">
        <f t="shared" si="29"/>
        <v>D0259</v>
      </c>
      <c r="C81" s="126">
        <v>1718</v>
      </c>
      <c r="D81" s="126" t="s">
        <v>1589</v>
      </c>
      <c r="E81" s="126">
        <v>507</v>
      </c>
      <c r="F81" s="126">
        <v>0</v>
      </c>
      <c r="G81" s="126">
        <v>393</v>
      </c>
      <c r="H81" s="126">
        <v>0</v>
      </c>
      <c r="I81" s="126">
        <v>77.510000000000005</v>
      </c>
      <c r="J81" s="126">
        <v>41.3</v>
      </c>
      <c r="K81" s="126">
        <v>0</v>
      </c>
      <c r="L81" s="126">
        <f t="shared" si="23"/>
        <v>507</v>
      </c>
      <c r="M81" s="126">
        <f t="shared" si="24"/>
        <v>393</v>
      </c>
      <c r="N81" s="171">
        <f t="shared" si="25"/>
        <v>0.77510000000000001</v>
      </c>
      <c r="O81" s="132">
        <f t="shared" si="26"/>
        <v>0</v>
      </c>
      <c r="P81" s="177">
        <f t="shared" si="27"/>
        <v>41.3</v>
      </c>
      <c r="Q81" s="177">
        <f t="shared" si="28"/>
        <v>41.3</v>
      </c>
      <c r="S81" s="233" t="b">
        <f t="shared" si="30"/>
        <v>0</v>
      </c>
    </row>
    <row r="82" spans="1:19">
      <c r="A82" s="126" t="s">
        <v>3666</v>
      </c>
      <c r="B82" s="126" t="str">
        <f t="shared" si="29"/>
        <v>D0259</v>
      </c>
      <c r="C82" s="126">
        <v>1724</v>
      </c>
      <c r="D82" s="126" t="s">
        <v>1591</v>
      </c>
      <c r="E82" s="126">
        <v>358</v>
      </c>
      <c r="F82" s="126">
        <v>0</v>
      </c>
      <c r="G82" s="126">
        <v>300</v>
      </c>
      <c r="H82" s="126">
        <v>0</v>
      </c>
      <c r="I82" s="126">
        <v>83.8</v>
      </c>
      <c r="J82" s="126">
        <v>31.5</v>
      </c>
      <c r="K82" s="126">
        <v>0</v>
      </c>
      <c r="L82" s="126">
        <f t="shared" si="23"/>
        <v>358</v>
      </c>
      <c r="M82" s="126">
        <f t="shared" si="24"/>
        <v>300</v>
      </c>
      <c r="N82" s="171">
        <f t="shared" si="25"/>
        <v>0.83799999999999997</v>
      </c>
      <c r="O82" s="132">
        <f t="shared" si="26"/>
        <v>0</v>
      </c>
      <c r="P82" s="177">
        <f t="shared" si="27"/>
        <v>31.5</v>
      </c>
      <c r="Q82" s="177">
        <f t="shared" si="28"/>
        <v>31.5</v>
      </c>
      <c r="S82" s="233" t="b">
        <f t="shared" si="30"/>
        <v>0</v>
      </c>
    </row>
    <row r="83" spans="1:19">
      <c r="A83" s="126" t="s">
        <v>3666</v>
      </c>
      <c r="B83" s="126" t="str">
        <f t="shared" si="29"/>
        <v>D0259</v>
      </c>
      <c r="C83" s="126">
        <v>1736</v>
      </c>
      <c r="D83" s="126" t="s">
        <v>1593</v>
      </c>
      <c r="E83" s="126">
        <v>436</v>
      </c>
      <c r="F83" s="126">
        <v>0</v>
      </c>
      <c r="G83" s="126">
        <v>143</v>
      </c>
      <c r="H83" s="126">
        <v>0</v>
      </c>
      <c r="I83" s="126">
        <v>32.799999999999997</v>
      </c>
      <c r="J83" s="126">
        <v>0</v>
      </c>
      <c r="K83" s="126">
        <v>0</v>
      </c>
      <c r="L83" s="126">
        <f t="shared" si="23"/>
        <v>436</v>
      </c>
      <c r="M83" s="126">
        <f t="shared" si="24"/>
        <v>143</v>
      </c>
      <c r="N83" s="171">
        <f t="shared" si="25"/>
        <v>0.32800000000000001</v>
      </c>
      <c r="O83" s="132">
        <f t="shared" si="26"/>
        <v>0</v>
      </c>
      <c r="P83" s="177">
        <f t="shared" si="27"/>
        <v>0</v>
      </c>
      <c r="Q83" s="177">
        <f t="shared" si="28"/>
        <v>0</v>
      </c>
      <c r="S83" s="233" t="b">
        <f t="shared" si="30"/>
        <v>0</v>
      </c>
    </row>
    <row r="84" spans="1:19">
      <c r="A84" s="126" t="s">
        <v>3666</v>
      </c>
      <c r="B84" s="126" t="str">
        <f t="shared" si="29"/>
        <v>D0259</v>
      </c>
      <c r="C84" s="126">
        <v>1740</v>
      </c>
      <c r="D84" s="126" t="s">
        <v>1595</v>
      </c>
      <c r="E84" s="126">
        <v>251</v>
      </c>
      <c r="F84" s="126">
        <v>0</v>
      </c>
      <c r="G84" s="126">
        <v>115</v>
      </c>
      <c r="H84" s="126">
        <v>0</v>
      </c>
      <c r="I84" s="126">
        <v>45.82</v>
      </c>
      <c r="J84" s="126">
        <v>0</v>
      </c>
      <c r="K84" s="126">
        <v>8.6999999999999993</v>
      </c>
      <c r="L84" s="126">
        <f t="shared" si="23"/>
        <v>251</v>
      </c>
      <c r="M84" s="126">
        <f t="shared" si="24"/>
        <v>115</v>
      </c>
      <c r="N84" s="171">
        <f t="shared" si="25"/>
        <v>0.4582</v>
      </c>
      <c r="O84" s="132">
        <f t="shared" si="26"/>
        <v>8.6999999999999993</v>
      </c>
      <c r="P84" s="177">
        <f t="shared" si="27"/>
        <v>0</v>
      </c>
      <c r="Q84" s="177">
        <f t="shared" si="28"/>
        <v>8.6999999999999993</v>
      </c>
      <c r="S84" s="233" t="b">
        <f t="shared" si="30"/>
        <v>0</v>
      </c>
    </row>
    <row r="85" spans="1:19">
      <c r="A85" s="126" t="s">
        <v>3666</v>
      </c>
      <c r="B85" s="126" t="str">
        <f t="shared" si="29"/>
        <v>D0259</v>
      </c>
      <c r="C85" s="126">
        <v>1744</v>
      </c>
      <c r="D85" s="126" t="s">
        <v>1597</v>
      </c>
      <c r="E85" s="126">
        <v>562</v>
      </c>
      <c r="F85" s="126">
        <v>0</v>
      </c>
      <c r="G85" s="126">
        <v>333</v>
      </c>
      <c r="H85" s="126">
        <v>0</v>
      </c>
      <c r="I85" s="126">
        <v>59.25</v>
      </c>
      <c r="J85" s="126">
        <v>35</v>
      </c>
      <c r="K85" s="126">
        <v>0</v>
      </c>
      <c r="L85" s="126">
        <f t="shared" si="23"/>
        <v>562</v>
      </c>
      <c r="M85" s="126">
        <f t="shared" si="24"/>
        <v>333</v>
      </c>
      <c r="N85" s="171">
        <f t="shared" si="25"/>
        <v>0.59250000000000003</v>
      </c>
      <c r="O85" s="132">
        <f t="shared" si="26"/>
        <v>0</v>
      </c>
      <c r="P85" s="177">
        <f t="shared" si="27"/>
        <v>35</v>
      </c>
      <c r="Q85" s="177">
        <f t="shared" si="28"/>
        <v>35</v>
      </c>
      <c r="S85" s="233" t="b">
        <f t="shared" si="30"/>
        <v>0</v>
      </c>
    </row>
    <row r="86" spans="1:19">
      <c r="A86" s="126" t="s">
        <v>3666</v>
      </c>
      <c r="B86" s="126" t="str">
        <f t="shared" si="29"/>
        <v>D0259</v>
      </c>
      <c r="C86" s="126">
        <v>1746</v>
      </c>
      <c r="D86" s="126" t="s">
        <v>1599</v>
      </c>
      <c r="E86" s="126">
        <v>421</v>
      </c>
      <c r="F86" s="126">
        <v>0</v>
      </c>
      <c r="G86" s="126">
        <v>356</v>
      </c>
      <c r="H86" s="126">
        <v>0</v>
      </c>
      <c r="I86" s="126">
        <v>84.56</v>
      </c>
      <c r="J86" s="126">
        <v>37.4</v>
      </c>
      <c r="K86" s="126">
        <v>0</v>
      </c>
      <c r="L86" s="126">
        <f t="shared" si="23"/>
        <v>421</v>
      </c>
      <c r="M86" s="126">
        <f t="shared" si="24"/>
        <v>356</v>
      </c>
      <c r="N86" s="171">
        <f t="shared" si="25"/>
        <v>0.84560000000000002</v>
      </c>
      <c r="O86" s="132">
        <f t="shared" si="26"/>
        <v>0</v>
      </c>
      <c r="P86" s="177">
        <f t="shared" si="27"/>
        <v>37.4</v>
      </c>
      <c r="Q86" s="177">
        <f t="shared" si="28"/>
        <v>37.4</v>
      </c>
      <c r="S86" s="233" t="b">
        <f t="shared" si="30"/>
        <v>0</v>
      </c>
    </row>
    <row r="87" spans="1:19">
      <c r="A87" s="126" t="s">
        <v>3666</v>
      </c>
      <c r="B87" s="126" t="str">
        <f t="shared" si="29"/>
        <v>D0259</v>
      </c>
      <c r="C87" s="126">
        <v>1754</v>
      </c>
      <c r="D87" s="126" t="s">
        <v>1601</v>
      </c>
      <c r="E87" s="126">
        <v>372</v>
      </c>
      <c r="F87" s="126">
        <v>0</v>
      </c>
      <c r="G87" s="126">
        <v>210</v>
      </c>
      <c r="H87" s="126">
        <v>0</v>
      </c>
      <c r="I87" s="126">
        <v>56.45</v>
      </c>
      <c r="J87" s="126">
        <v>22</v>
      </c>
      <c r="K87" s="126">
        <v>0</v>
      </c>
      <c r="L87" s="126">
        <f t="shared" si="23"/>
        <v>372</v>
      </c>
      <c r="M87" s="126">
        <f t="shared" si="24"/>
        <v>210</v>
      </c>
      <c r="N87" s="171">
        <f t="shared" si="25"/>
        <v>0.5645</v>
      </c>
      <c r="O87" s="132">
        <f t="shared" si="26"/>
        <v>0</v>
      </c>
      <c r="P87" s="177">
        <f t="shared" si="27"/>
        <v>22.1</v>
      </c>
      <c r="Q87" s="177">
        <f t="shared" si="28"/>
        <v>22.1</v>
      </c>
      <c r="S87" s="233" t="b">
        <f t="shared" si="30"/>
        <v>0</v>
      </c>
    </row>
    <row r="88" spans="1:19">
      <c r="A88" s="126" t="s">
        <v>3666</v>
      </c>
      <c r="B88" s="126" t="str">
        <f t="shared" si="29"/>
        <v>D0259</v>
      </c>
      <c r="C88" s="126">
        <v>1756</v>
      </c>
      <c r="D88" s="126" t="s">
        <v>1603</v>
      </c>
      <c r="E88" s="126">
        <v>297</v>
      </c>
      <c r="F88" s="126">
        <v>0</v>
      </c>
      <c r="G88" s="126">
        <v>255</v>
      </c>
      <c r="H88" s="126">
        <v>0</v>
      </c>
      <c r="I88" s="126">
        <v>85.86</v>
      </c>
      <c r="J88" s="126">
        <v>26.8</v>
      </c>
      <c r="K88" s="126">
        <v>0</v>
      </c>
      <c r="L88" s="126">
        <f t="shared" si="23"/>
        <v>297</v>
      </c>
      <c r="M88" s="126">
        <f t="shared" si="24"/>
        <v>255</v>
      </c>
      <c r="N88" s="171">
        <f t="shared" si="25"/>
        <v>0.85860000000000003</v>
      </c>
      <c r="O88" s="132">
        <f t="shared" si="26"/>
        <v>0</v>
      </c>
      <c r="P88" s="177">
        <f t="shared" si="27"/>
        <v>26.8</v>
      </c>
      <c r="Q88" s="177">
        <f t="shared" si="28"/>
        <v>26.8</v>
      </c>
      <c r="S88" s="233" t="b">
        <f t="shared" si="30"/>
        <v>0</v>
      </c>
    </row>
    <row r="89" spans="1:19">
      <c r="A89" s="126" t="s">
        <v>3666</v>
      </c>
      <c r="B89" s="126" t="str">
        <f t="shared" si="29"/>
        <v>D0259</v>
      </c>
      <c r="C89" s="126">
        <v>1758</v>
      </c>
      <c r="D89" s="126" t="s">
        <v>1605</v>
      </c>
      <c r="E89" s="126">
        <v>293</v>
      </c>
      <c r="F89" s="126">
        <v>0</v>
      </c>
      <c r="G89" s="126">
        <v>234</v>
      </c>
      <c r="H89" s="126">
        <v>0</v>
      </c>
      <c r="I89" s="126">
        <v>79.86</v>
      </c>
      <c r="J89" s="126">
        <v>24.6</v>
      </c>
      <c r="K89" s="126">
        <v>0</v>
      </c>
      <c r="L89" s="126">
        <f t="shared" si="23"/>
        <v>293</v>
      </c>
      <c r="M89" s="126">
        <f t="shared" si="24"/>
        <v>234</v>
      </c>
      <c r="N89" s="171">
        <f t="shared" si="25"/>
        <v>0.79859999999999998</v>
      </c>
      <c r="O89" s="132">
        <f t="shared" si="26"/>
        <v>0</v>
      </c>
      <c r="P89" s="177">
        <f t="shared" si="27"/>
        <v>24.6</v>
      </c>
      <c r="Q89" s="177">
        <f t="shared" si="28"/>
        <v>24.6</v>
      </c>
      <c r="S89" s="233" t="b">
        <f t="shared" si="30"/>
        <v>0</v>
      </c>
    </row>
    <row r="90" spans="1:19">
      <c r="A90" s="126" t="s">
        <v>3666</v>
      </c>
      <c r="B90" s="126" t="str">
        <f t="shared" si="29"/>
        <v>D0259</v>
      </c>
      <c r="C90" s="126">
        <v>1760</v>
      </c>
      <c r="D90" s="126" t="s">
        <v>1607</v>
      </c>
      <c r="E90" s="126">
        <v>469</v>
      </c>
      <c r="F90" s="126">
        <v>0</v>
      </c>
      <c r="G90" s="126">
        <v>214</v>
      </c>
      <c r="H90" s="126">
        <v>0</v>
      </c>
      <c r="I90" s="126">
        <v>45.63</v>
      </c>
      <c r="J90" s="126">
        <v>0</v>
      </c>
      <c r="K90" s="126">
        <v>15.9</v>
      </c>
      <c r="L90" s="126">
        <f t="shared" si="23"/>
        <v>469</v>
      </c>
      <c r="M90" s="126">
        <f t="shared" si="24"/>
        <v>214</v>
      </c>
      <c r="N90" s="171">
        <f t="shared" si="25"/>
        <v>0.45629999999999998</v>
      </c>
      <c r="O90" s="132">
        <f t="shared" si="26"/>
        <v>15.9</v>
      </c>
      <c r="P90" s="177">
        <f t="shared" si="27"/>
        <v>0</v>
      </c>
      <c r="Q90" s="177">
        <f t="shared" si="28"/>
        <v>15.9</v>
      </c>
      <c r="S90" s="233" t="b">
        <f t="shared" si="30"/>
        <v>0</v>
      </c>
    </row>
    <row r="91" spans="1:19">
      <c r="A91" s="126" t="s">
        <v>3666</v>
      </c>
      <c r="B91" s="126" t="str">
        <f t="shared" si="29"/>
        <v>D0259</v>
      </c>
      <c r="C91" s="126">
        <v>1766</v>
      </c>
      <c r="D91" s="126" t="s">
        <v>1609</v>
      </c>
      <c r="E91" s="126">
        <v>271</v>
      </c>
      <c r="F91" s="126">
        <v>0</v>
      </c>
      <c r="G91" s="126">
        <v>97</v>
      </c>
      <c r="H91" s="126">
        <v>0</v>
      </c>
      <c r="I91" s="126">
        <v>35.79</v>
      </c>
      <c r="J91" s="126">
        <v>0</v>
      </c>
      <c r="K91" s="126">
        <v>0.5</v>
      </c>
      <c r="L91" s="126">
        <f t="shared" si="23"/>
        <v>271</v>
      </c>
      <c r="M91" s="126">
        <f t="shared" si="24"/>
        <v>97</v>
      </c>
      <c r="N91" s="171">
        <f t="shared" si="25"/>
        <v>0.3579</v>
      </c>
      <c r="O91" s="132">
        <f t="shared" si="26"/>
        <v>0.5</v>
      </c>
      <c r="P91" s="177">
        <f t="shared" si="27"/>
        <v>0</v>
      </c>
      <c r="Q91" s="177">
        <f t="shared" si="28"/>
        <v>0.5</v>
      </c>
      <c r="S91" s="233" t="b">
        <f t="shared" si="30"/>
        <v>0</v>
      </c>
    </row>
    <row r="92" spans="1:19">
      <c r="A92" s="126" t="s">
        <v>3666</v>
      </c>
      <c r="B92" s="126" t="str">
        <f t="shared" si="29"/>
        <v>D0259</v>
      </c>
      <c r="C92" s="126">
        <v>1772</v>
      </c>
      <c r="D92" s="126" t="s">
        <v>1611</v>
      </c>
      <c r="E92" s="126">
        <v>584</v>
      </c>
      <c r="F92" s="126">
        <v>0</v>
      </c>
      <c r="G92" s="126">
        <v>248</v>
      </c>
      <c r="H92" s="126">
        <v>0</v>
      </c>
      <c r="I92" s="126">
        <v>42.47</v>
      </c>
      <c r="J92" s="126">
        <v>0</v>
      </c>
      <c r="K92" s="126">
        <v>13</v>
      </c>
      <c r="L92" s="126">
        <f t="shared" si="23"/>
        <v>584</v>
      </c>
      <c r="M92" s="126">
        <f t="shared" si="24"/>
        <v>248</v>
      </c>
      <c r="N92" s="171">
        <f t="shared" si="25"/>
        <v>0.42470000000000002</v>
      </c>
      <c r="O92" s="132">
        <f t="shared" si="26"/>
        <v>13</v>
      </c>
      <c r="P92" s="177">
        <f t="shared" si="27"/>
        <v>0</v>
      </c>
      <c r="Q92" s="177">
        <f t="shared" si="28"/>
        <v>13</v>
      </c>
      <c r="S92" s="233" t="b">
        <f t="shared" si="30"/>
        <v>0</v>
      </c>
    </row>
    <row r="93" spans="1:19">
      <c r="A93" s="126" t="s">
        <v>3666</v>
      </c>
      <c r="B93" s="126" t="str">
        <f t="shared" si="29"/>
        <v>D0259</v>
      </c>
      <c r="C93" s="126">
        <v>1778</v>
      </c>
      <c r="D93" s="126" t="s">
        <v>1613</v>
      </c>
      <c r="E93" s="126">
        <v>392</v>
      </c>
      <c r="F93" s="126">
        <v>0</v>
      </c>
      <c r="G93" s="126">
        <v>317</v>
      </c>
      <c r="H93" s="126">
        <v>0</v>
      </c>
      <c r="I93" s="126">
        <v>80.87</v>
      </c>
      <c r="J93" s="126">
        <v>33.299999999999997</v>
      </c>
      <c r="K93" s="126">
        <v>0</v>
      </c>
      <c r="L93" s="126">
        <f t="shared" si="23"/>
        <v>392</v>
      </c>
      <c r="M93" s="126">
        <f t="shared" si="24"/>
        <v>317</v>
      </c>
      <c r="N93" s="171">
        <f t="shared" si="25"/>
        <v>0.80869999999999997</v>
      </c>
      <c r="O93" s="132">
        <f t="shared" si="26"/>
        <v>0</v>
      </c>
      <c r="P93" s="177">
        <f t="shared" si="27"/>
        <v>33.299999999999997</v>
      </c>
      <c r="Q93" s="177">
        <f t="shared" si="28"/>
        <v>33.299999999999997</v>
      </c>
      <c r="S93" s="233" t="b">
        <f t="shared" si="30"/>
        <v>0</v>
      </c>
    </row>
    <row r="94" spans="1:19">
      <c r="A94" s="126" t="s">
        <v>3666</v>
      </c>
      <c r="B94" s="126" t="str">
        <f t="shared" si="29"/>
        <v>D0259</v>
      </c>
      <c r="C94" s="126">
        <v>1780</v>
      </c>
      <c r="D94" s="126" t="s">
        <v>1615</v>
      </c>
      <c r="E94" s="126">
        <v>60</v>
      </c>
      <c r="F94" s="126">
        <v>0</v>
      </c>
      <c r="G94" s="126">
        <v>50</v>
      </c>
      <c r="H94" s="126">
        <v>0</v>
      </c>
      <c r="I94" s="126">
        <v>83.33</v>
      </c>
      <c r="J94" s="126">
        <v>5.3</v>
      </c>
      <c r="K94" s="126">
        <v>0</v>
      </c>
      <c r="L94" s="126">
        <f t="shared" si="23"/>
        <v>60</v>
      </c>
      <c r="M94" s="126">
        <f t="shared" si="24"/>
        <v>50</v>
      </c>
      <c r="N94" s="171">
        <f t="shared" si="25"/>
        <v>0.83330000000000004</v>
      </c>
      <c r="O94" s="132">
        <f t="shared" si="26"/>
        <v>0</v>
      </c>
      <c r="P94" s="177">
        <f t="shared" si="27"/>
        <v>5.3</v>
      </c>
      <c r="Q94" s="177">
        <f t="shared" si="28"/>
        <v>5.3</v>
      </c>
      <c r="S94" s="233" t="b">
        <f t="shared" si="30"/>
        <v>0</v>
      </c>
    </row>
    <row r="95" spans="1:19">
      <c r="A95" s="126" t="s">
        <v>3666</v>
      </c>
      <c r="B95" s="126" t="str">
        <f t="shared" si="29"/>
        <v>D0259</v>
      </c>
      <c r="C95" s="126">
        <v>1782</v>
      </c>
      <c r="D95" s="126" t="s">
        <v>1617</v>
      </c>
      <c r="E95" s="126">
        <v>451</v>
      </c>
      <c r="F95" s="126">
        <v>0</v>
      </c>
      <c r="G95" s="126">
        <v>361</v>
      </c>
      <c r="H95" s="126">
        <v>0</v>
      </c>
      <c r="I95" s="126">
        <v>80.040000000000006</v>
      </c>
      <c r="J95" s="126">
        <v>37.9</v>
      </c>
      <c r="K95" s="126">
        <v>0</v>
      </c>
      <c r="L95" s="126">
        <f t="shared" si="23"/>
        <v>451</v>
      </c>
      <c r="M95" s="126">
        <f t="shared" si="24"/>
        <v>361</v>
      </c>
      <c r="N95" s="171">
        <f t="shared" si="25"/>
        <v>0.8004</v>
      </c>
      <c r="O95" s="132">
        <f t="shared" si="26"/>
        <v>0</v>
      </c>
      <c r="P95" s="177">
        <f t="shared" si="27"/>
        <v>37.9</v>
      </c>
      <c r="Q95" s="177">
        <f t="shared" si="28"/>
        <v>37.9</v>
      </c>
      <c r="S95" s="233" t="b">
        <f t="shared" si="30"/>
        <v>0</v>
      </c>
    </row>
    <row r="96" spans="1:19">
      <c r="A96" s="126" t="s">
        <v>3666</v>
      </c>
      <c r="B96" s="126" t="str">
        <f t="shared" si="29"/>
        <v>D0259</v>
      </c>
      <c r="C96" s="126">
        <v>1785</v>
      </c>
      <c r="D96" s="126" t="s">
        <v>1619</v>
      </c>
      <c r="E96" s="126">
        <v>539</v>
      </c>
      <c r="F96" s="126">
        <v>0</v>
      </c>
      <c r="G96" s="126">
        <v>318</v>
      </c>
      <c r="H96" s="126">
        <v>0</v>
      </c>
      <c r="I96" s="126">
        <v>59</v>
      </c>
      <c r="J96" s="126">
        <v>33.4</v>
      </c>
      <c r="K96" s="126">
        <v>0</v>
      </c>
      <c r="L96" s="126">
        <f t="shared" si="23"/>
        <v>539</v>
      </c>
      <c r="M96" s="126">
        <f t="shared" si="24"/>
        <v>318</v>
      </c>
      <c r="N96" s="171">
        <f t="shared" si="25"/>
        <v>0.59</v>
      </c>
      <c r="O96" s="132">
        <f t="shared" si="26"/>
        <v>0</v>
      </c>
      <c r="P96" s="177">
        <f t="shared" si="27"/>
        <v>33.4</v>
      </c>
      <c r="Q96" s="177">
        <f t="shared" si="28"/>
        <v>33.4</v>
      </c>
      <c r="S96" s="233" t="b">
        <f t="shared" si="30"/>
        <v>0</v>
      </c>
    </row>
    <row r="97" spans="1:19">
      <c r="A97" s="126" t="s">
        <v>3666</v>
      </c>
      <c r="B97" s="126" t="str">
        <f t="shared" si="29"/>
        <v>D0259</v>
      </c>
      <c r="C97" s="126">
        <v>1790</v>
      </c>
      <c r="D97" s="126" t="s">
        <v>1621</v>
      </c>
      <c r="E97" s="126">
        <v>514</v>
      </c>
      <c r="F97" s="126">
        <v>0</v>
      </c>
      <c r="G97" s="126">
        <v>461</v>
      </c>
      <c r="H97" s="126">
        <v>0</v>
      </c>
      <c r="I97" s="126">
        <v>89.69</v>
      </c>
      <c r="J97" s="126">
        <v>48.4</v>
      </c>
      <c r="K97" s="126">
        <v>0</v>
      </c>
      <c r="L97" s="126">
        <f t="shared" si="23"/>
        <v>514</v>
      </c>
      <c r="M97" s="126">
        <f t="shared" si="24"/>
        <v>461</v>
      </c>
      <c r="N97" s="171">
        <f t="shared" si="25"/>
        <v>0.89690000000000003</v>
      </c>
      <c r="O97" s="132">
        <f t="shared" si="26"/>
        <v>0</v>
      </c>
      <c r="P97" s="177">
        <f t="shared" si="27"/>
        <v>48.4</v>
      </c>
      <c r="Q97" s="177">
        <f t="shared" si="28"/>
        <v>48.4</v>
      </c>
      <c r="S97" s="233" t="b">
        <f t="shared" si="30"/>
        <v>0</v>
      </c>
    </row>
    <row r="98" spans="1:19">
      <c r="A98" s="126" t="s">
        <v>3666</v>
      </c>
      <c r="B98" s="126" t="str">
        <f t="shared" si="29"/>
        <v>D0259</v>
      </c>
      <c r="C98" s="126">
        <v>1792</v>
      </c>
      <c r="D98" s="126" t="s">
        <v>1623</v>
      </c>
      <c r="E98" s="126">
        <v>43</v>
      </c>
      <c r="F98" s="126">
        <v>0</v>
      </c>
      <c r="G98" s="126">
        <v>36</v>
      </c>
      <c r="H98" s="126">
        <v>0</v>
      </c>
      <c r="I98" s="126">
        <v>83.72</v>
      </c>
      <c r="J98" s="126">
        <v>3.8</v>
      </c>
      <c r="K98" s="126">
        <v>0</v>
      </c>
      <c r="L98" s="126">
        <f t="shared" si="23"/>
        <v>43</v>
      </c>
      <c r="M98" s="126">
        <f t="shared" si="24"/>
        <v>36</v>
      </c>
      <c r="N98" s="171">
        <f t="shared" si="25"/>
        <v>0.83720000000000006</v>
      </c>
      <c r="O98" s="132">
        <f t="shared" si="26"/>
        <v>0</v>
      </c>
      <c r="P98" s="177">
        <f t="shared" si="27"/>
        <v>3.8</v>
      </c>
      <c r="Q98" s="177">
        <f t="shared" si="28"/>
        <v>3.8</v>
      </c>
      <c r="S98" s="233" t="b">
        <f t="shared" si="30"/>
        <v>0</v>
      </c>
    </row>
    <row r="99" spans="1:19">
      <c r="A99" s="126" t="s">
        <v>3666</v>
      </c>
      <c r="B99" s="126" t="str">
        <f t="shared" si="29"/>
        <v>D0259</v>
      </c>
      <c r="C99" s="126">
        <v>1796</v>
      </c>
      <c r="D99" s="126" t="s">
        <v>1625</v>
      </c>
      <c r="E99" s="126">
        <v>494</v>
      </c>
      <c r="F99" s="126">
        <v>0</v>
      </c>
      <c r="G99" s="126">
        <v>374</v>
      </c>
      <c r="H99" s="126">
        <v>0</v>
      </c>
      <c r="I99" s="126">
        <v>75.709999999999994</v>
      </c>
      <c r="J99" s="126">
        <v>39.299999999999997</v>
      </c>
      <c r="K99" s="126">
        <v>0</v>
      </c>
      <c r="L99" s="126">
        <f t="shared" si="23"/>
        <v>494</v>
      </c>
      <c r="M99" s="126">
        <f t="shared" si="24"/>
        <v>374</v>
      </c>
      <c r="N99" s="171">
        <f t="shared" si="25"/>
        <v>0.7571</v>
      </c>
      <c r="O99" s="132">
        <f t="shared" si="26"/>
        <v>0</v>
      </c>
      <c r="P99" s="177">
        <f t="shared" si="27"/>
        <v>39.299999999999997</v>
      </c>
      <c r="Q99" s="177">
        <f t="shared" si="28"/>
        <v>39.299999999999997</v>
      </c>
      <c r="S99" s="233" t="b">
        <f t="shared" si="30"/>
        <v>0</v>
      </c>
    </row>
    <row r="100" spans="1:19">
      <c r="A100" s="126" t="s">
        <v>3666</v>
      </c>
      <c r="B100" s="126" t="str">
        <f t="shared" si="29"/>
        <v>D0259</v>
      </c>
      <c r="C100" s="126">
        <v>1798</v>
      </c>
      <c r="D100" s="126" t="s">
        <v>1627</v>
      </c>
      <c r="E100" s="126">
        <v>621</v>
      </c>
      <c r="F100" s="126">
        <v>0</v>
      </c>
      <c r="G100" s="126">
        <v>506</v>
      </c>
      <c r="H100" s="126">
        <v>0</v>
      </c>
      <c r="I100" s="126">
        <v>81.48</v>
      </c>
      <c r="J100" s="126">
        <v>53.1</v>
      </c>
      <c r="K100" s="126">
        <v>0</v>
      </c>
      <c r="L100" s="126">
        <f t="shared" ref="L100:L151" si="31">SUM(E100:F100)</f>
        <v>621</v>
      </c>
      <c r="M100" s="126">
        <f t="shared" ref="M100:M151" si="32">SUM(G100:H100)</f>
        <v>506</v>
      </c>
      <c r="N100" s="171">
        <f t="shared" ref="N100:N151" si="33">IF(ISERROR(M100/L100),0,M100/L100)</f>
        <v>0.81479999999999997</v>
      </c>
      <c r="O100" s="132">
        <f t="shared" ref="O100:O151" si="34">IF(AND((N100-35%)&gt;0,N100&lt;50%),M100*(N100-35%)*0.7,0)</f>
        <v>0</v>
      </c>
      <c r="P100" s="177">
        <f t="shared" ref="P100:P151" si="35">IF(N100&gt;=50%,M100*10.5%,0)</f>
        <v>53.1</v>
      </c>
      <c r="Q100" s="177">
        <f t="shared" ref="Q100:Q151" si="36">MAX(O100,P100)</f>
        <v>53.1</v>
      </c>
      <c r="S100" s="233" t="b">
        <f t="shared" si="30"/>
        <v>0</v>
      </c>
    </row>
    <row r="101" spans="1:19">
      <c r="A101" s="126" t="s">
        <v>3666</v>
      </c>
      <c r="B101" s="126" t="str">
        <f t="shared" si="29"/>
        <v>D0259</v>
      </c>
      <c r="C101" s="126">
        <v>1800</v>
      </c>
      <c r="D101" s="126" t="s">
        <v>1629</v>
      </c>
      <c r="E101" s="126">
        <v>332</v>
      </c>
      <c r="F101" s="126">
        <v>0</v>
      </c>
      <c r="G101" s="126">
        <v>245</v>
      </c>
      <c r="H101" s="126">
        <v>0</v>
      </c>
      <c r="I101" s="126">
        <v>73.8</v>
      </c>
      <c r="J101" s="126">
        <v>25.7</v>
      </c>
      <c r="K101" s="126">
        <v>0</v>
      </c>
      <c r="L101" s="126">
        <f t="shared" si="31"/>
        <v>332</v>
      </c>
      <c r="M101" s="126">
        <f t="shared" si="32"/>
        <v>245</v>
      </c>
      <c r="N101" s="171">
        <f t="shared" si="33"/>
        <v>0.73799999999999999</v>
      </c>
      <c r="O101" s="132">
        <f t="shared" si="34"/>
        <v>0</v>
      </c>
      <c r="P101" s="177">
        <f t="shared" si="35"/>
        <v>25.7</v>
      </c>
      <c r="Q101" s="177">
        <f t="shared" si="36"/>
        <v>25.7</v>
      </c>
      <c r="S101" s="233" t="b">
        <f t="shared" si="30"/>
        <v>0</v>
      </c>
    </row>
    <row r="102" spans="1:19">
      <c r="A102" s="126" t="s">
        <v>3666</v>
      </c>
      <c r="B102" s="126" t="str">
        <f t="shared" si="29"/>
        <v>D0259</v>
      </c>
      <c r="C102" s="126">
        <v>1802</v>
      </c>
      <c r="D102" s="126" t="s">
        <v>1631</v>
      </c>
      <c r="E102" s="126">
        <v>626</v>
      </c>
      <c r="F102" s="126">
        <v>0</v>
      </c>
      <c r="G102" s="126">
        <v>486</v>
      </c>
      <c r="H102" s="126">
        <v>0</v>
      </c>
      <c r="I102" s="126">
        <v>77.64</v>
      </c>
      <c r="J102" s="126">
        <v>51</v>
      </c>
      <c r="K102" s="126">
        <v>0</v>
      </c>
      <c r="L102" s="126">
        <f t="shared" si="31"/>
        <v>626</v>
      </c>
      <c r="M102" s="126">
        <f t="shared" si="32"/>
        <v>486</v>
      </c>
      <c r="N102" s="171">
        <f t="shared" si="33"/>
        <v>0.77639999999999998</v>
      </c>
      <c r="O102" s="132">
        <f t="shared" si="34"/>
        <v>0</v>
      </c>
      <c r="P102" s="177">
        <f t="shared" si="35"/>
        <v>51</v>
      </c>
      <c r="Q102" s="177">
        <f t="shared" si="36"/>
        <v>51</v>
      </c>
      <c r="S102" s="233" t="b">
        <f t="shared" si="30"/>
        <v>0</v>
      </c>
    </row>
    <row r="103" spans="1:19">
      <c r="A103" s="126" t="s">
        <v>3666</v>
      </c>
      <c r="B103" s="126" t="str">
        <f t="shared" si="29"/>
        <v>D0259</v>
      </c>
      <c r="C103" s="126">
        <v>1804</v>
      </c>
      <c r="D103" s="126" t="s">
        <v>1633</v>
      </c>
      <c r="E103" s="126">
        <v>531</v>
      </c>
      <c r="F103" s="126">
        <v>0</v>
      </c>
      <c r="G103" s="126">
        <v>252</v>
      </c>
      <c r="H103" s="126">
        <v>0</v>
      </c>
      <c r="I103" s="126">
        <v>47.46</v>
      </c>
      <c r="J103" s="126">
        <v>0</v>
      </c>
      <c r="K103" s="126">
        <v>22</v>
      </c>
      <c r="L103" s="126">
        <f t="shared" si="31"/>
        <v>531</v>
      </c>
      <c r="M103" s="126">
        <f t="shared" si="32"/>
        <v>252</v>
      </c>
      <c r="N103" s="171">
        <f t="shared" si="33"/>
        <v>0.47460000000000002</v>
      </c>
      <c r="O103" s="132">
        <f t="shared" si="34"/>
        <v>22</v>
      </c>
      <c r="P103" s="177">
        <f t="shared" si="35"/>
        <v>0</v>
      </c>
      <c r="Q103" s="177">
        <f t="shared" si="36"/>
        <v>22</v>
      </c>
      <c r="S103" s="233" t="b">
        <f t="shared" si="30"/>
        <v>0</v>
      </c>
    </row>
    <row r="104" spans="1:19">
      <c r="A104" s="126" t="s">
        <v>3666</v>
      </c>
      <c r="B104" s="126" t="str">
        <f t="shared" si="29"/>
        <v>D0259</v>
      </c>
      <c r="C104" s="126">
        <v>1806</v>
      </c>
      <c r="D104" s="126" t="s">
        <v>1635</v>
      </c>
      <c r="E104" s="126">
        <v>568</v>
      </c>
      <c r="F104" s="126">
        <v>0</v>
      </c>
      <c r="G104" s="126">
        <v>370</v>
      </c>
      <c r="H104" s="126">
        <v>0</v>
      </c>
      <c r="I104" s="126">
        <v>65.14</v>
      </c>
      <c r="J104" s="126">
        <v>38.799999999999997</v>
      </c>
      <c r="K104" s="126">
        <v>0</v>
      </c>
      <c r="L104" s="126">
        <f t="shared" si="31"/>
        <v>568</v>
      </c>
      <c r="M104" s="126">
        <f t="shared" si="32"/>
        <v>370</v>
      </c>
      <c r="N104" s="171">
        <f t="shared" si="33"/>
        <v>0.65139999999999998</v>
      </c>
      <c r="O104" s="132">
        <f t="shared" si="34"/>
        <v>0</v>
      </c>
      <c r="P104" s="177">
        <f t="shared" si="35"/>
        <v>38.9</v>
      </c>
      <c r="Q104" s="177">
        <f t="shared" si="36"/>
        <v>38.9</v>
      </c>
      <c r="S104" s="233" t="b">
        <f t="shared" si="30"/>
        <v>0</v>
      </c>
    </row>
    <row r="105" spans="1:19">
      <c r="A105" s="126" t="s">
        <v>3666</v>
      </c>
      <c r="B105" s="126" t="str">
        <f t="shared" si="29"/>
        <v>D0259</v>
      </c>
      <c r="C105" s="126">
        <v>1808</v>
      </c>
      <c r="D105" s="126" t="s">
        <v>1637</v>
      </c>
      <c r="E105" s="126">
        <v>785</v>
      </c>
      <c r="F105" s="126">
        <v>0</v>
      </c>
      <c r="G105" s="126">
        <v>653</v>
      </c>
      <c r="H105" s="126">
        <v>0</v>
      </c>
      <c r="I105" s="126">
        <v>83.18</v>
      </c>
      <c r="J105" s="126">
        <v>68.599999999999994</v>
      </c>
      <c r="K105" s="126">
        <v>0</v>
      </c>
      <c r="L105" s="126">
        <f t="shared" si="31"/>
        <v>785</v>
      </c>
      <c r="M105" s="126">
        <f t="shared" si="32"/>
        <v>653</v>
      </c>
      <c r="N105" s="171">
        <f t="shared" si="33"/>
        <v>0.83179999999999998</v>
      </c>
      <c r="O105" s="132">
        <f t="shared" si="34"/>
        <v>0</v>
      </c>
      <c r="P105" s="177">
        <f t="shared" si="35"/>
        <v>68.599999999999994</v>
      </c>
      <c r="Q105" s="177">
        <f t="shared" si="36"/>
        <v>68.599999999999994</v>
      </c>
      <c r="S105" s="233" t="b">
        <f t="shared" si="30"/>
        <v>0</v>
      </c>
    </row>
    <row r="106" spans="1:19">
      <c r="A106" s="126" t="s">
        <v>3666</v>
      </c>
      <c r="B106" s="126" t="str">
        <f t="shared" si="29"/>
        <v>D0259</v>
      </c>
      <c r="C106" s="126">
        <v>1810</v>
      </c>
      <c r="D106" s="126" t="s">
        <v>1639</v>
      </c>
      <c r="E106" s="126">
        <v>466</v>
      </c>
      <c r="F106" s="126">
        <v>0</v>
      </c>
      <c r="G106" s="126">
        <v>356</v>
      </c>
      <c r="H106" s="126">
        <v>0</v>
      </c>
      <c r="I106" s="126">
        <v>76.39</v>
      </c>
      <c r="J106" s="126">
        <v>37.4</v>
      </c>
      <c r="K106" s="126">
        <v>0</v>
      </c>
      <c r="L106" s="126">
        <f t="shared" si="31"/>
        <v>466</v>
      </c>
      <c r="M106" s="126">
        <f t="shared" si="32"/>
        <v>356</v>
      </c>
      <c r="N106" s="171">
        <f t="shared" si="33"/>
        <v>0.76390000000000002</v>
      </c>
      <c r="O106" s="132">
        <f t="shared" si="34"/>
        <v>0</v>
      </c>
      <c r="P106" s="177">
        <f t="shared" si="35"/>
        <v>37.4</v>
      </c>
      <c r="Q106" s="177">
        <f t="shared" si="36"/>
        <v>37.4</v>
      </c>
      <c r="S106" s="233" t="b">
        <f t="shared" si="30"/>
        <v>0</v>
      </c>
    </row>
    <row r="107" spans="1:19">
      <c r="A107" s="126" t="s">
        <v>3666</v>
      </c>
      <c r="B107" s="126" t="str">
        <f t="shared" si="29"/>
        <v>D0259</v>
      </c>
      <c r="C107" s="126">
        <v>1812</v>
      </c>
      <c r="D107" s="126" t="s">
        <v>1641</v>
      </c>
      <c r="E107" s="126">
        <v>576</v>
      </c>
      <c r="F107" s="126">
        <v>0</v>
      </c>
      <c r="G107" s="126">
        <v>423</v>
      </c>
      <c r="H107" s="126">
        <v>0</v>
      </c>
      <c r="I107" s="126">
        <v>73.44</v>
      </c>
      <c r="J107" s="126">
        <v>44.4</v>
      </c>
      <c r="K107" s="126">
        <v>0</v>
      </c>
      <c r="L107" s="126">
        <f t="shared" si="31"/>
        <v>576</v>
      </c>
      <c r="M107" s="126">
        <f t="shared" si="32"/>
        <v>423</v>
      </c>
      <c r="N107" s="171">
        <f t="shared" si="33"/>
        <v>0.73440000000000005</v>
      </c>
      <c r="O107" s="132">
        <f t="shared" si="34"/>
        <v>0</v>
      </c>
      <c r="P107" s="177">
        <f t="shared" si="35"/>
        <v>44.4</v>
      </c>
      <c r="Q107" s="177">
        <f t="shared" si="36"/>
        <v>44.4</v>
      </c>
      <c r="S107" s="233" t="b">
        <f t="shared" si="30"/>
        <v>0</v>
      </c>
    </row>
    <row r="108" spans="1:19">
      <c r="A108" s="126" t="s">
        <v>3666</v>
      </c>
      <c r="B108" s="126" t="str">
        <f t="shared" si="29"/>
        <v>D0259</v>
      </c>
      <c r="C108" s="126">
        <v>1814</v>
      </c>
      <c r="D108" s="126" t="s">
        <v>1643</v>
      </c>
      <c r="E108" s="126">
        <v>672</v>
      </c>
      <c r="F108" s="126">
        <v>0</v>
      </c>
      <c r="G108" s="126">
        <v>594</v>
      </c>
      <c r="H108" s="126">
        <v>0</v>
      </c>
      <c r="I108" s="126">
        <v>88.39</v>
      </c>
      <c r="J108" s="126">
        <v>62.4</v>
      </c>
      <c r="K108" s="126">
        <v>0</v>
      </c>
      <c r="L108" s="126">
        <f t="shared" si="31"/>
        <v>672</v>
      </c>
      <c r="M108" s="126">
        <f t="shared" si="32"/>
        <v>594</v>
      </c>
      <c r="N108" s="171">
        <f t="shared" si="33"/>
        <v>0.88390000000000002</v>
      </c>
      <c r="O108" s="132">
        <f t="shared" si="34"/>
        <v>0</v>
      </c>
      <c r="P108" s="177">
        <f t="shared" si="35"/>
        <v>62.4</v>
      </c>
      <c r="Q108" s="177">
        <f t="shared" si="36"/>
        <v>62.4</v>
      </c>
      <c r="S108" s="233" t="b">
        <f t="shared" si="30"/>
        <v>0</v>
      </c>
    </row>
    <row r="109" spans="1:19">
      <c r="A109" s="126" t="s">
        <v>3666</v>
      </c>
      <c r="B109" s="126" t="str">
        <f t="shared" si="29"/>
        <v>D0259</v>
      </c>
      <c r="C109" s="126">
        <v>1817</v>
      </c>
      <c r="D109" s="126" t="s">
        <v>1645</v>
      </c>
      <c r="E109" s="126">
        <v>506</v>
      </c>
      <c r="F109" s="126">
        <v>0</v>
      </c>
      <c r="G109" s="126">
        <v>425</v>
      </c>
      <c r="H109" s="126">
        <v>0</v>
      </c>
      <c r="I109" s="126">
        <v>83.99</v>
      </c>
      <c r="J109" s="126">
        <v>44.6</v>
      </c>
      <c r="K109" s="126">
        <v>0</v>
      </c>
      <c r="L109" s="126">
        <f t="shared" si="31"/>
        <v>506</v>
      </c>
      <c r="M109" s="126">
        <f t="shared" si="32"/>
        <v>425</v>
      </c>
      <c r="N109" s="171">
        <f t="shared" si="33"/>
        <v>0.83989999999999998</v>
      </c>
      <c r="O109" s="132">
        <f t="shared" si="34"/>
        <v>0</v>
      </c>
      <c r="P109" s="177">
        <f t="shared" si="35"/>
        <v>44.6</v>
      </c>
      <c r="Q109" s="177">
        <f t="shared" si="36"/>
        <v>44.6</v>
      </c>
      <c r="S109" s="233" t="b">
        <f t="shared" si="30"/>
        <v>0</v>
      </c>
    </row>
    <row r="110" spans="1:19">
      <c r="A110" s="126" t="s">
        <v>3666</v>
      </c>
      <c r="B110" s="126" t="str">
        <f t="shared" si="29"/>
        <v>D0259</v>
      </c>
      <c r="C110" s="126">
        <v>1818</v>
      </c>
      <c r="D110" s="126" t="s">
        <v>1647</v>
      </c>
      <c r="E110" s="126">
        <v>596</v>
      </c>
      <c r="F110" s="126">
        <v>0</v>
      </c>
      <c r="G110" s="126">
        <v>434</v>
      </c>
      <c r="H110" s="126">
        <v>0</v>
      </c>
      <c r="I110" s="126">
        <v>72.819999999999993</v>
      </c>
      <c r="J110" s="126">
        <v>45.6</v>
      </c>
      <c r="K110" s="126">
        <v>0</v>
      </c>
      <c r="L110" s="126">
        <f t="shared" si="31"/>
        <v>596</v>
      </c>
      <c r="M110" s="126">
        <f t="shared" si="32"/>
        <v>434</v>
      </c>
      <c r="N110" s="171">
        <f t="shared" si="33"/>
        <v>0.72819999999999996</v>
      </c>
      <c r="O110" s="132">
        <f t="shared" si="34"/>
        <v>0</v>
      </c>
      <c r="P110" s="177">
        <f t="shared" si="35"/>
        <v>45.6</v>
      </c>
      <c r="Q110" s="177">
        <f t="shared" si="36"/>
        <v>45.6</v>
      </c>
      <c r="S110" s="233" t="b">
        <f t="shared" si="30"/>
        <v>0</v>
      </c>
    </row>
    <row r="111" spans="1:19">
      <c r="A111" s="126" t="s">
        <v>3666</v>
      </c>
      <c r="B111" s="126" t="str">
        <f t="shared" si="29"/>
        <v>D0259</v>
      </c>
      <c r="C111" s="126">
        <v>1823</v>
      </c>
      <c r="D111" s="126" t="s">
        <v>1649</v>
      </c>
      <c r="E111" s="126">
        <v>749</v>
      </c>
      <c r="F111" s="126">
        <v>0</v>
      </c>
      <c r="G111" s="126">
        <v>311</v>
      </c>
      <c r="H111" s="126">
        <v>0</v>
      </c>
      <c r="I111" s="126">
        <v>41.52</v>
      </c>
      <c r="J111" s="126">
        <v>0</v>
      </c>
      <c r="K111" s="126">
        <v>14.2</v>
      </c>
      <c r="L111" s="126">
        <f t="shared" si="31"/>
        <v>749</v>
      </c>
      <c r="M111" s="126">
        <f t="shared" si="32"/>
        <v>311</v>
      </c>
      <c r="N111" s="171">
        <f t="shared" si="33"/>
        <v>0.41520000000000001</v>
      </c>
      <c r="O111" s="132">
        <f t="shared" si="34"/>
        <v>14.2</v>
      </c>
      <c r="P111" s="177">
        <f t="shared" si="35"/>
        <v>0</v>
      </c>
      <c r="Q111" s="177">
        <f t="shared" si="36"/>
        <v>14.2</v>
      </c>
      <c r="S111" s="233" t="b">
        <f t="shared" si="30"/>
        <v>0</v>
      </c>
    </row>
    <row r="112" spans="1:19">
      <c r="A112" s="126" t="s">
        <v>3666</v>
      </c>
      <c r="B112" s="126" t="str">
        <f t="shared" si="29"/>
        <v>D0259</v>
      </c>
      <c r="C112" s="126">
        <v>1824</v>
      </c>
      <c r="D112" s="126" t="s">
        <v>1651</v>
      </c>
      <c r="E112" s="126">
        <v>639</v>
      </c>
      <c r="F112" s="126">
        <v>0</v>
      </c>
      <c r="G112" s="126">
        <v>381</v>
      </c>
      <c r="H112" s="126">
        <v>0</v>
      </c>
      <c r="I112" s="126">
        <v>59.62</v>
      </c>
      <c r="J112" s="126">
        <v>40</v>
      </c>
      <c r="K112" s="126">
        <v>0</v>
      </c>
      <c r="L112" s="126">
        <f t="shared" si="31"/>
        <v>639</v>
      </c>
      <c r="M112" s="126">
        <f t="shared" si="32"/>
        <v>381</v>
      </c>
      <c r="N112" s="171">
        <f t="shared" si="33"/>
        <v>0.59619999999999995</v>
      </c>
      <c r="O112" s="132">
        <f t="shared" si="34"/>
        <v>0</v>
      </c>
      <c r="P112" s="177">
        <f t="shared" si="35"/>
        <v>40</v>
      </c>
      <c r="Q112" s="177">
        <f t="shared" si="36"/>
        <v>40</v>
      </c>
      <c r="S112" s="233" t="b">
        <f t="shared" si="30"/>
        <v>0</v>
      </c>
    </row>
    <row r="113" spans="1:19">
      <c r="A113" s="126" t="s">
        <v>3666</v>
      </c>
      <c r="B113" s="126" t="str">
        <f t="shared" si="29"/>
        <v>D0259</v>
      </c>
      <c r="C113" s="126">
        <v>1828</v>
      </c>
      <c r="D113" s="126" t="s">
        <v>1653</v>
      </c>
      <c r="E113" s="126">
        <v>661</v>
      </c>
      <c r="F113" s="126">
        <v>0</v>
      </c>
      <c r="G113" s="126">
        <v>554</v>
      </c>
      <c r="H113" s="126">
        <v>0</v>
      </c>
      <c r="I113" s="126">
        <v>83.81</v>
      </c>
      <c r="J113" s="126">
        <v>58.2</v>
      </c>
      <c r="K113" s="126">
        <v>0</v>
      </c>
      <c r="L113" s="126">
        <f t="shared" si="31"/>
        <v>661</v>
      </c>
      <c r="M113" s="126">
        <f t="shared" si="32"/>
        <v>554</v>
      </c>
      <c r="N113" s="171">
        <f t="shared" si="33"/>
        <v>0.83809999999999996</v>
      </c>
      <c r="O113" s="132">
        <f t="shared" si="34"/>
        <v>0</v>
      </c>
      <c r="P113" s="177">
        <f t="shared" si="35"/>
        <v>58.2</v>
      </c>
      <c r="Q113" s="177">
        <f t="shared" si="36"/>
        <v>58.2</v>
      </c>
      <c r="S113" s="233" t="b">
        <f t="shared" si="30"/>
        <v>0</v>
      </c>
    </row>
    <row r="114" spans="1:19">
      <c r="A114" s="126" t="s">
        <v>3666</v>
      </c>
      <c r="B114" s="126" t="str">
        <f t="shared" si="29"/>
        <v>D0259</v>
      </c>
      <c r="C114" s="126">
        <v>1830</v>
      </c>
      <c r="D114" s="126" t="s">
        <v>1655</v>
      </c>
      <c r="E114" s="126">
        <v>774</v>
      </c>
      <c r="F114" s="126">
        <v>0</v>
      </c>
      <c r="G114" s="126">
        <v>391</v>
      </c>
      <c r="H114" s="126">
        <v>0</v>
      </c>
      <c r="I114" s="126">
        <v>50.52</v>
      </c>
      <c r="J114" s="126">
        <v>41.1</v>
      </c>
      <c r="K114" s="126">
        <v>0</v>
      </c>
      <c r="L114" s="126">
        <f t="shared" si="31"/>
        <v>774</v>
      </c>
      <c r="M114" s="126">
        <f t="shared" si="32"/>
        <v>391</v>
      </c>
      <c r="N114" s="171">
        <f t="shared" si="33"/>
        <v>0.50519999999999998</v>
      </c>
      <c r="O114" s="132">
        <f t="shared" si="34"/>
        <v>0</v>
      </c>
      <c r="P114" s="177">
        <f t="shared" si="35"/>
        <v>41.1</v>
      </c>
      <c r="Q114" s="177">
        <f t="shared" si="36"/>
        <v>41.1</v>
      </c>
      <c r="S114" s="233" t="b">
        <f t="shared" si="30"/>
        <v>0</v>
      </c>
    </row>
    <row r="115" spans="1:19">
      <c r="A115" s="126" t="s">
        <v>3666</v>
      </c>
      <c r="B115" s="126" t="str">
        <f t="shared" si="29"/>
        <v>D0259</v>
      </c>
      <c r="C115" s="126">
        <v>1833</v>
      </c>
      <c r="D115" s="126" t="s">
        <v>1657</v>
      </c>
      <c r="E115" s="126">
        <v>834</v>
      </c>
      <c r="F115" s="126">
        <v>0</v>
      </c>
      <c r="G115" s="126">
        <v>391</v>
      </c>
      <c r="H115" s="126">
        <v>0</v>
      </c>
      <c r="I115" s="126">
        <v>46.88</v>
      </c>
      <c r="J115" s="126">
        <v>0</v>
      </c>
      <c r="K115" s="126">
        <v>32.5</v>
      </c>
      <c r="L115" s="126">
        <f t="shared" si="31"/>
        <v>834</v>
      </c>
      <c r="M115" s="126">
        <f t="shared" si="32"/>
        <v>391</v>
      </c>
      <c r="N115" s="171">
        <f t="shared" si="33"/>
        <v>0.46879999999999999</v>
      </c>
      <c r="O115" s="132">
        <f t="shared" si="34"/>
        <v>32.5</v>
      </c>
      <c r="P115" s="177">
        <f t="shared" si="35"/>
        <v>0</v>
      </c>
      <c r="Q115" s="177">
        <f t="shared" si="36"/>
        <v>32.5</v>
      </c>
      <c r="S115" s="233" t="b">
        <f t="shared" si="30"/>
        <v>0</v>
      </c>
    </row>
    <row r="116" spans="1:19">
      <c r="A116" s="126" t="s">
        <v>3666</v>
      </c>
      <c r="B116" s="126" t="str">
        <f t="shared" si="29"/>
        <v>D0259</v>
      </c>
      <c r="C116" s="126">
        <v>1834</v>
      </c>
      <c r="D116" s="126" t="s">
        <v>1659</v>
      </c>
      <c r="E116" s="126">
        <v>1068</v>
      </c>
      <c r="F116" s="126">
        <v>0</v>
      </c>
      <c r="G116" s="126">
        <v>823</v>
      </c>
      <c r="H116" s="126">
        <v>0</v>
      </c>
      <c r="I116" s="126">
        <v>77.06</v>
      </c>
      <c r="J116" s="126">
        <v>86.4</v>
      </c>
      <c r="K116" s="126">
        <v>0</v>
      </c>
      <c r="L116" s="126">
        <f t="shared" si="31"/>
        <v>1068</v>
      </c>
      <c r="M116" s="126">
        <f t="shared" si="32"/>
        <v>823</v>
      </c>
      <c r="N116" s="171">
        <f t="shared" si="33"/>
        <v>0.77059999999999995</v>
      </c>
      <c r="O116" s="132">
        <f t="shared" si="34"/>
        <v>0</v>
      </c>
      <c r="P116" s="177">
        <f t="shared" si="35"/>
        <v>86.4</v>
      </c>
      <c r="Q116" s="177">
        <f t="shared" si="36"/>
        <v>86.4</v>
      </c>
      <c r="S116" s="233" t="b">
        <f t="shared" si="30"/>
        <v>0</v>
      </c>
    </row>
    <row r="117" spans="1:19">
      <c r="A117" s="126" t="s">
        <v>3666</v>
      </c>
      <c r="B117" s="126" t="str">
        <f t="shared" si="29"/>
        <v>D0259</v>
      </c>
      <c r="C117" s="126">
        <v>1836</v>
      </c>
      <c r="D117" s="126" t="s">
        <v>1661</v>
      </c>
      <c r="E117" s="126">
        <v>2348</v>
      </c>
      <c r="F117" s="126">
        <v>0</v>
      </c>
      <c r="G117" s="126">
        <v>1418</v>
      </c>
      <c r="H117" s="126">
        <v>0</v>
      </c>
      <c r="I117" s="126">
        <v>60.39</v>
      </c>
      <c r="J117" s="126">
        <v>148.9</v>
      </c>
      <c r="K117" s="126">
        <v>0</v>
      </c>
      <c r="L117" s="126">
        <f t="shared" si="31"/>
        <v>2348</v>
      </c>
      <c r="M117" s="126">
        <f t="shared" si="32"/>
        <v>1418</v>
      </c>
      <c r="N117" s="171">
        <f t="shared" si="33"/>
        <v>0.60389999999999999</v>
      </c>
      <c r="O117" s="132">
        <f t="shared" si="34"/>
        <v>0</v>
      </c>
      <c r="P117" s="177">
        <f t="shared" si="35"/>
        <v>148.9</v>
      </c>
      <c r="Q117" s="177">
        <f t="shared" si="36"/>
        <v>148.9</v>
      </c>
      <c r="S117" s="233" t="b">
        <f t="shared" si="30"/>
        <v>0</v>
      </c>
    </row>
    <row r="118" spans="1:19">
      <c r="A118" s="126" t="s">
        <v>3666</v>
      </c>
      <c r="B118" s="126" t="str">
        <f t="shared" si="29"/>
        <v>D0259</v>
      </c>
      <c r="C118" s="126">
        <v>1837</v>
      </c>
      <c r="D118" s="126" t="s">
        <v>1663</v>
      </c>
      <c r="E118" s="126">
        <v>110</v>
      </c>
      <c r="F118" s="126">
        <v>0</v>
      </c>
      <c r="G118" s="126">
        <v>77</v>
      </c>
      <c r="H118" s="126">
        <v>0</v>
      </c>
      <c r="I118" s="126">
        <v>70</v>
      </c>
      <c r="J118" s="126">
        <v>8.1</v>
      </c>
      <c r="K118" s="126">
        <v>0</v>
      </c>
      <c r="L118" s="126">
        <f t="shared" si="31"/>
        <v>110</v>
      </c>
      <c r="M118" s="126">
        <f t="shared" si="32"/>
        <v>77</v>
      </c>
      <c r="N118" s="171">
        <f t="shared" si="33"/>
        <v>0.7</v>
      </c>
      <c r="O118" s="132">
        <f t="shared" si="34"/>
        <v>0</v>
      </c>
      <c r="P118" s="177">
        <f t="shared" si="35"/>
        <v>8.1</v>
      </c>
      <c r="Q118" s="177">
        <f t="shared" si="36"/>
        <v>8.1</v>
      </c>
      <c r="S118" s="233" t="b">
        <f t="shared" si="30"/>
        <v>0</v>
      </c>
    </row>
    <row r="119" spans="1:19">
      <c r="A119" s="126" t="s">
        <v>3666</v>
      </c>
      <c r="B119" s="126" t="str">
        <f t="shared" si="29"/>
        <v>D0259</v>
      </c>
      <c r="C119" s="126">
        <v>1838</v>
      </c>
      <c r="D119" s="126" t="s">
        <v>1665</v>
      </c>
      <c r="E119" s="126">
        <v>2157</v>
      </c>
      <c r="F119" s="126">
        <v>0</v>
      </c>
      <c r="G119" s="126">
        <v>1559</v>
      </c>
      <c r="H119" s="126">
        <v>0</v>
      </c>
      <c r="I119" s="126">
        <v>72.28</v>
      </c>
      <c r="J119" s="126">
        <v>163.69999999999999</v>
      </c>
      <c r="K119" s="126">
        <v>0</v>
      </c>
      <c r="L119" s="126">
        <f t="shared" si="31"/>
        <v>2157</v>
      </c>
      <c r="M119" s="126">
        <f t="shared" si="32"/>
        <v>1559</v>
      </c>
      <c r="N119" s="171">
        <f t="shared" si="33"/>
        <v>0.7228</v>
      </c>
      <c r="O119" s="132">
        <f t="shared" si="34"/>
        <v>0</v>
      </c>
      <c r="P119" s="177">
        <f t="shared" si="35"/>
        <v>163.69999999999999</v>
      </c>
      <c r="Q119" s="177">
        <f t="shared" si="36"/>
        <v>163.69999999999999</v>
      </c>
      <c r="S119" s="233" t="b">
        <f t="shared" si="30"/>
        <v>0</v>
      </c>
    </row>
    <row r="120" spans="1:19">
      <c r="A120" s="126" t="s">
        <v>3666</v>
      </c>
      <c r="B120" s="126" t="str">
        <f t="shared" si="29"/>
        <v>D0259</v>
      </c>
      <c r="C120" s="126">
        <v>1840</v>
      </c>
      <c r="D120" s="126" t="s">
        <v>1667</v>
      </c>
      <c r="E120" s="126">
        <v>1643</v>
      </c>
      <c r="F120" s="126">
        <v>0</v>
      </c>
      <c r="G120" s="126">
        <v>1123</v>
      </c>
      <c r="H120" s="126">
        <v>0</v>
      </c>
      <c r="I120" s="126">
        <v>68.349999999999994</v>
      </c>
      <c r="J120" s="126">
        <v>117.9</v>
      </c>
      <c r="K120" s="126">
        <v>0</v>
      </c>
      <c r="L120" s="126">
        <f t="shared" si="31"/>
        <v>1643</v>
      </c>
      <c r="M120" s="126">
        <f t="shared" si="32"/>
        <v>1123</v>
      </c>
      <c r="N120" s="171">
        <f t="shared" si="33"/>
        <v>0.6835</v>
      </c>
      <c r="O120" s="132">
        <f t="shared" si="34"/>
        <v>0</v>
      </c>
      <c r="P120" s="177">
        <f t="shared" si="35"/>
        <v>117.9</v>
      </c>
      <c r="Q120" s="177">
        <f t="shared" si="36"/>
        <v>117.9</v>
      </c>
      <c r="S120" s="233" t="b">
        <f t="shared" si="30"/>
        <v>0</v>
      </c>
    </row>
    <row r="121" spans="1:19">
      <c r="A121" s="126" t="s">
        <v>3666</v>
      </c>
      <c r="B121" s="126" t="str">
        <f t="shared" si="29"/>
        <v>D0259</v>
      </c>
      <c r="C121" s="126">
        <v>1842</v>
      </c>
      <c r="D121" s="126" t="s">
        <v>1421</v>
      </c>
      <c r="E121" s="126">
        <v>1832</v>
      </c>
      <c r="F121" s="126">
        <v>0</v>
      </c>
      <c r="G121" s="126">
        <v>1151</v>
      </c>
      <c r="H121" s="126">
        <v>0</v>
      </c>
      <c r="I121" s="126">
        <v>62.83</v>
      </c>
      <c r="J121" s="126">
        <v>120.9</v>
      </c>
      <c r="K121" s="126">
        <v>0</v>
      </c>
      <c r="L121" s="126">
        <f t="shared" si="31"/>
        <v>1832</v>
      </c>
      <c r="M121" s="126">
        <f t="shared" si="32"/>
        <v>1151</v>
      </c>
      <c r="N121" s="171">
        <f t="shared" si="33"/>
        <v>0.62829999999999997</v>
      </c>
      <c r="O121" s="132">
        <f t="shared" si="34"/>
        <v>0</v>
      </c>
      <c r="P121" s="177">
        <f t="shared" si="35"/>
        <v>120.9</v>
      </c>
      <c r="Q121" s="177">
        <f t="shared" si="36"/>
        <v>120.9</v>
      </c>
      <c r="S121" s="233" t="b">
        <f t="shared" si="30"/>
        <v>0</v>
      </c>
    </row>
    <row r="122" spans="1:19">
      <c r="A122" s="126" t="s">
        <v>3666</v>
      </c>
      <c r="B122" s="126" t="str">
        <f t="shared" si="29"/>
        <v>D0259</v>
      </c>
      <c r="C122" s="126">
        <v>1844</v>
      </c>
      <c r="D122" s="126" t="s">
        <v>1670</v>
      </c>
      <c r="E122" s="126">
        <v>1341</v>
      </c>
      <c r="F122" s="126">
        <v>0</v>
      </c>
      <c r="G122" s="126">
        <v>1036</v>
      </c>
      <c r="H122" s="126">
        <v>0</v>
      </c>
      <c r="I122" s="126">
        <v>77.260000000000005</v>
      </c>
      <c r="J122" s="126">
        <v>108.8</v>
      </c>
      <c r="K122" s="126">
        <v>0</v>
      </c>
      <c r="L122" s="126">
        <f t="shared" si="31"/>
        <v>1341</v>
      </c>
      <c r="M122" s="126">
        <f t="shared" si="32"/>
        <v>1036</v>
      </c>
      <c r="N122" s="171">
        <f t="shared" si="33"/>
        <v>0.77259999999999995</v>
      </c>
      <c r="O122" s="132">
        <f t="shared" si="34"/>
        <v>0</v>
      </c>
      <c r="P122" s="177">
        <f t="shared" si="35"/>
        <v>108.8</v>
      </c>
      <c r="Q122" s="177">
        <f t="shared" si="36"/>
        <v>108.8</v>
      </c>
      <c r="S122" s="233" t="b">
        <f t="shared" si="30"/>
        <v>0</v>
      </c>
    </row>
    <row r="123" spans="1:19">
      <c r="A123" s="126" t="s">
        <v>3666</v>
      </c>
      <c r="B123" s="126" t="str">
        <f t="shared" si="29"/>
        <v>D0259</v>
      </c>
      <c r="C123" s="126">
        <v>1846</v>
      </c>
      <c r="D123" s="126" t="s">
        <v>1672</v>
      </c>
      <c r="E123" s="126">
        <v>1127</v>
      </c>
      <c r="F123" s="126">
        <v>0</v>
      </c>
      <c r="G123" s="126">
        <v>624</v>
      </c>
      <c r="H123" s="126">
        <v>0</v>
      </c>
      <c r="I123" s="126">
        <v>55.37</v>
      </c>
      <c r="J123" s="126">
        <v>65.5</v>
      </c>
      <c r="K123" s="126">
        <v>0</v>
      </c>
      <c r="L123" s="126">
        <f t="shared" si="31"/>
        <v>1127</v>
      </c>
      <c r="M123" s="126">
        <f t="shared" si="32"/>
        <v>624</v>
      </c>
      <c r="N123" s="171">
        <f t="shared" si="33"/>
        <v>0.55369999999999997</v>
      </c>
      <c r="O123" s="132">
        <f t="shared" si="34"/>
        <v>0</v>
      </c>
      <c r="P123" s="177">
        <f t="shared" si="35"/>
        <v>65.5</v>
      </c>
      <c r="Q123" s="177">
        <f t="shared" si="36"/>
        <v>65.5</v>
      </c>
      <c r="S123" s="233" t="b">
        <f t="shared" si="30"/>
        <v>0</v>
      </c>
    </row>
    <row r="124" spans="1:19">
      <c r="A124" s="126" t="s">
        <v>3666</v>
      </c>
      <c r="B124" s="126" t="str">
        <f t="shared" si="29"/>
        <v>D0259</v>
      </c>
      <c r="C124" s="126">
        <v>1847</v>
      </c>
      <c r="D124" s="126" t="s">
        <v>1674</v>
      </c>
      <c r="E124" s="126">
        <v>1223</v>
      </c>
      <c r="F124" s="126">
        <v>0</v>
      </c>
      <c r="G124" s="126">
        <v>499</v>
      </c>
      <c r="H124" s="126">
        <v>0</v>
      </c>
      <c r="I124" s="126">
        <v>40.799999999999997</v>
      </c>
      <c r="J124" s="126">
        <v>0</v>
      </c>
      <c r="K124" s="126">
        <v>20.3</v>
      </c>
      <c r="L124" s="126">
        <f t="shared" si="31"/>
        <v>1223</v>
      </c>
      <c r="M124" s="126">
        <f t="shared" si="32"/>
        <v>499</v>
      </c>
      <c r="N124" s="171">
        <f t="shared" si="33"/>
        <v>0.40799999999999997</v>
      </c>
      <c r="O124" s="132">
        <f t="shared" si="34"/>
        <v>20.3</v>
      </c>
      <c r="P124" s="177">
        <f t="shared" si="35"/>
        <v>0</v>
      </c>
      <c r="Q124" s="177">
        <f t="shared" si="36"/>
        <v>20.3</v>
      </c>
      <c r="S124" s="233" t="b">
        <f t="shared" si="30"/>
        <v>0</v>
      </c>
    </row>
    <row r="125" spans="1:19">
      <c r="A125" s="126" t="s">
        <v>3666</v>
      </c>
      <c r="B125" s="126" t="str">
        <f t="shared" si="29"/>
        <v>D0259</v>
      </c>
      <c r="C125" s="126">
        <v>1948</v>
      </c>
      <c r="D125" s="126" t="s">
        <v>1676</v>
      </c>
      <c r="E125" s="126">
        <v>91</v>
      </c>
      <c r="F125" s="126">
        <v>0</v>
      </c>
      <c r="G125" s="126">
        <v>68</v>
      </c>
      <c r="H125" s="126">
        <v>0</v>
      </c>
      <c r="I125" s="126">
        <v>74.73</v>
      </c>
      <c r="J125" s="126">
        <v>7.1</v>
      </c>
      <c r="K125" s="126">
        <v>0</v>
      </c>
      <c r="L125" s="126">
        <f t="shared" si="31"/>
        <v>91</v>
      </c>
      <c r="M125" s="126">
        <f t="shared" si="32"/>
        <v>68</v>
      </c>
      <c r="N125" s="171">
        <f t="shared" si="33"/>
        <v>0.74729999999999996</v>
      </c>
      <c r="O125" s="132">
        <f t="shared" si="34"/>
        <v>0</v>
      </c>
      <c r="P125" s="177">
        <f t="shared" si="35"/>
        <v>7.1</v>
      </c>
      <c r="Q125" s="177">
        <f t="shared" si="36"/>
        <v>7.1</v>
      </c>
      <c r="S125" s="233" t="b">
        <f t="shared" si="30"/>
        <v>0</v>
      </c>
    </row>
    <row r="126" spans="1:19">
      <c r="A126" s="126" t="s">
        <v>3667</v>
      </c>
      <c r="B126" s="126" t="str">
        <f t="shared" si="29"/>
        <v>D0338</v>
      </c>
      <c r="C126" s="126">
        <v>3936</v>
      </c>
      <c r="D126" s="126" t="s">
        <v>2133</v>
      </c>
      <c r="E126" s="126">
        <v>279</v>
      </c>
      <c r="F126" s="126">
        <v>0</v>
      </c>
      <c r="G126" s="126">
        <v>76</v>
      </c>
      <c r="H126" s="126">
        <v>0</v>
      </c>
      <c r="I126" s="126">
        <v>27.24</v>
      </c>
      <c r="J126" s="126">
        <v>0</v>
      </c>
      <c r="K126" s="126">
        <v>0</v>
      </c>
      <c r="L126" s="126">
        <f t="shared" si="31"/>
        <v>279</v>
      </c>
      <c r="M126" s="126">
        <f t="shared" si="32"/>
        <v>76</v>
      </c>
      <c r="N126" s="171">
        <f t="shared" si="33"/>
        <v>0.27239999999999998</v>
      </c>
      <c r="O126" s="132">
        <f t="shared" si="34"/>
        <v>0</v>
      </c>
      <c r="P126" s="177">
        <f t="shared" si="35"/>
        <v>0</v>
      </c>
      <c r="Q126" s="177">
        <f t="shared" si="36"/>
        <v>0</v>
      </c>
      <c r="S126" s="233" t="b">
        <f t="shared" si="30"/>
        <v>0</v>
      </c>
    </row>
    <row r="127" spans="1:19">
      <c r="A127" s="126" t="s">
        <v>3667</v>
      </c>
      <c r="B127" s="126" t="str">
        <f t="shared" si="29"/>
        <v>D0338</v>
      </c>
      <c r="C127" s="126">
        <v>3938</v>
      </c>
      <c r="D127" s="126" t="s">
        <v>2135</v>
      </c>
      <c r="E127" s="126">
        <v>96</v>
      </c>
      <c r="F127" s="126">
        <v>0</v>
      </c>
      <c r="G127" s="126">
        <v>18</v>
      </c>
      <c r="H127" s="126">
        <v>0</v>
      </c>
      <c r="I127" s="126">
        <v>18.75</v>
      </c>
      <c r="J127" s="126">
        <v>0</v>
      </c>
      <c r="K127" s="126">
        <v>0</v>
      </c>
      <c r="L127" s="126">
        <f t="shared" si="31"/>
        <v>96</v>
      </c>
      <c r="M127" s="126">
        <f t="shared" si="32"/>
        <v>18</v>
      </c>
      <c r="N127" s="171">
        <f t="shared" si="33"/>
        <v>0.1875</v>
      </c>
      <c r="O127" s="132">
        <f t="shared" si="34"/>
        <v>0</v>
      </c>
      <c r="P127" s="177">
        <f t="shared" si="35"/>
        <v>0</v>
      </c>
      <c r="Q127" s="177">
        <f t="shared" si="36"/>
        <v>0</v>
      </c>
      <c r="S127" s="233" t="b">
        <f t="shared" si="30"/>
        <v>0</v>
      </c>
    </row>
    <row r="128" spans="1:19">
      <c r="A128" s="126" t="s">
        <v>3668</v>
      </c>
      <c r="B128" s="126" t="str">
        <f t="shared" si="29"/>
        <v>D0364</v>
      </c>
      <c r="C128" s="126">
        <v>4545</v>
      </c>
      <c r="D128" s="126" t="s">
        <v>2274</v>
      </c>
      <c r="E128" s="126">
        <v>393</v>
      </c>
      <c r="F128" s="126">
        <v>0</v>
      </c>
      <c r="G128" s="126">
        <v>150</v>
      </c>
      <c r="H128" s="126">
        <v>0</v>
      </c>
      <c r="I128" s="126">
        <v>38.17</v>
      </c>
      <c r="J128" s="126">
        <v>0</v>
      </c>
      <c r="K128" s="126">
        <v>3.3</v>
      </c>
      <c r="L128" s="126">
        <f t="shared" si="31"/>
        <v>393</v>
      </c>
      <c r="M128" s="126">
        <f t="shared" si="32"/>
        <v>150</v>
      </c>
      <c r="N128" s="171">
        <f t="shared" si="33"/>
        <v>0.38169999999999998</v>
      </c>
      <c r="O128" s="132">
        <f t="shared" si="34"/>
        <v>3.3</v>
      </c>
      <c r="P128" s="177">
        <f t="shared" si="35"/>
        <v>0</v>
      </c>
      <c r="Q128" s="177">
        <f t="shared" si="36"/>
        <v>3.3</v>
      </c>
      <c r="S128" s="233" t="b">
        <f t="shared" si="30"/>
        <v>0</v>
      </c>
    </row>
    <row r="129" spans="1:19">
      <c r="A129" s="126" t="s">
        <v>3668</v>
      </c>
      <c r="B129" s="126" t="str">
        <f t="shared" si="29"/>
        <v>D0364</v>
      </c>
      <c r="C129" s="126">
        <v>4548</v>
      </c>
      <c r="D129" s="126" t="s">
        <v>2276</v>
      </c>
      <c r="E129" s="126">
        <v>392</v>
      </c>
      <c r="F129" s="126">
        <v>0</v>
      </c>
      <c r="G129" s="126">
        <v>90</v>
      </c>
      <c r="H129" s="126">
        <v>0</v>
      </c>
      <c r="I129" s="126">
        <v>22.96</v>
      </c>
      <c r="J129" s="126">
        <v>0</v>
      </c>
      <c r="K129" s="126">
        <v>0</v>
      </c>
      <c r="L129" s="126">
        <f t="shared" si="31"/>
        <v>392</v>
      </c>
      <c r="M129" s="126">
        <f t="shared" si="32"/>
        <v>90</v>
      </c>
      <c r="N129" s="171">
        <f t="shared" si="33"/>
        <v>0.2296</v>
      </c>
      <c r="O129" s="132">
        <f t="shared" si="34"/>
        <v>0</v>
      </c>
      <c r="P129" s="177">
        <f t="shared" si="35"/>
        <v>0</v>
      </c>
      <c r="Q129" s="177">
        <f t="shared" si="36"/>
        <v>0</v>
      </c>
      <c r="S129" s="233" t="b">
        <f t="shared" si="30"/>
        <v>0</v>
      </c>
    </row>
    <row r="130" spans="1:19">
      <c r="A130" s="126" t="s">
        <v>3669</v>
      </c>
      <c r="B130" s="126" t="str">
        <f t="shared" ref="B130:B169" si="37">LEFT(A130,5)</f>
        <v>D0380</v>
      </c>
      <c r="C130" s="126">
        <v>5032</v>
      </c>
      <c r="D130" s="126" t="s">
        <v>2374</v>
      </c>
      <c r="E130" s="126">
        <v>181</v>
      </c>
      <c r="F130" s="126">
        <v>0</v>
      </c>
      <c r="G130" s="126">
        <v>28</v>
      </c>
      <c r="H130" s="126">
        <v>0</v>
      </c>
      <c r="I130" s="126">
        <v>15.47</v>
      </c>
      <c r="J130" s="126">
        <v>0</v>
      </c>
      <c r="K130" s="126">
        <v>0</v>
      </c>
      <c r="L130" s="126">
        <f t="shared" si="31"/>
        <v>181</v>
      </c>
      <c r="M130" s="126">
        <f t="shared" si="32"/>
        <v>28</v>
      </c>
      <c r="N130" s="171">
        <f t="shared" si="33"/>
        <v>0.1547</v>
      </c>
      <c r="O130" s="132">
        <f t="shared" si="34"/>
        <v>0</v>
      </c>
      <c r="P130" s="177">
        <f t="shared" si="35"/>
        <v>0</v>
      </c>
      <c r="Q130" s="177">
        <f t="shared" si="36"/>
        <v>0</v>
      </c>
      <c r="S130" s="233" t="b">
        <f t="shared" si="30"/>
        <v>0</v>
      </c>
    </row>
    <row r="131" spans="1:19">
      <c r="A131" s="126" t="s">
        <v>3669</v>
      </c>
      <c r="B131" s="126" t="str">
        <f t="shared" si="37"/>
        <v>D0380</v>
      </c>
      <c r="C131" s="126">
        <v>5034</v>
      </c>
      <c r="D131" s="126" t="s">
        <v>2376</v>
      </c>
      <c r="E131" s="126">
        <v>118</v>
      </c>
      <c r="F131" s="126">
        <v>0</v>
      </c>
      <c r="G131" s="126">
        <v>13</v>
      </c>
      <c r="H131" s="126">
        <v>0</v>
      </c>
      <c r="I131" s="126">
        <v>11.02</v>
      </c>
      <c r="J131" s="126">
        <v>0</v>
      </c>
      <c r="K131" s="126">
        <v>0</v>
      </c>
      <c r="L131" s="126">
        <f t="shared" si="31"/>
        <v>118</v>
      </c>
      <c r="M131" s="126">
        <f t="shared" si="32"/>
        <v>13</v>
      </c>
      <c r="N131" s="171">
        <f t="shared" si="33"/>
        <v>0.11020000000000001</v>
      </c>
      <c r="O131" s="132">
        <f t="shared" si="34"/>
        <v>0</v>
      </c>
      <c r="P131" s="177">
        <f t="shared" si="35"/>
        <v>0</v>
      </c>
      <c r="Q131" s="177">
        <f t="shared" si="36"/>
        <v>0</v>
      </c>
      <c r="S131" s="233" t="b">
        <f t="shared" si="30"/>
        <v>0</v>
      </c>
    </row>
    <row r="132" spans="1:19">
      <c r="A132" s="126" t="s">
        <v>3669</v>
      </c>
      <c r="B132" s="126" t="str">
        <f t="shared" si="37"/>
        <v>D0380</v>
      </c>
      <c r="C132" s="126">
        <v>5036</v>
      </c>
      <c r="D132" s="126" t="s">
        <v>2378</v>
      </c>
      <c r="E132" s="126">
        <v>151</v>
      </c>
      <c r="F132" s="126">
        <v>0</v>
      </c>
      <c r="G132" s="126">
        <v>42</v>
      </c>
      <c r="H132" s="126">
        <v>0</v>
      </c>
      <c r="I132" s="126">
        <v>27.81</v>
      </c>
      <c r="J132" s="126">
        <v>0</v>
      </c>
      <c r="K132" s="126">
        <v>0</v>
      </c>
      <c r="L132" s="126">
        <f t="shared" si="31"/>
        <v>151</v>
      </c>
      <c r="M132" s="126">
        <f t="shared" si="32"/>
        <v>42</v>
      </c>
      <c r="N132" s="171">
        <f t="shared" si="33"/>
        <v>0.27810000000000001</v>
      </c>
      <c r="O132" s="132">
        <f t="shared" si="34"/>
        <v>0</v>
      </c>
      <c r="P132" s="177">
        <f t="shared" si="35"/>
        <v>0</v>
      </c>
      <c r="Q132" s="177">
        <f t="shared" si="36"/>
        <v>0</v>
      </c>
      <c r="S132" s="233" t="b">
        <f t="shared" si="30"/>
        <v>0</v>
      </c>
    </row>
    <row r="133" spans="1:19">
      <c r="A133" s="126" t="s">
        <v>3669</v>
      </c>
      <c r="B133" s="126" t="str">
        <f t="shared" si="37"/>
        <v>D0380</v>
      </c>
      <c r="C133" s="126">
        <v>5038</v>
      </c>
      <c r="D133" s="126" t="s">
        <v>2380</v>
      </c>
      <c r="E133" s="126">
        <v>104</v>
      </c>
      <c r="F133" s="126">
        <v>0</v>
      </c>
      <c r="G133" s="126">
        <v>18</v>
      </c>
      <c r="H133" s="126">
        <v>0</v>
      </c>
      <c r="I133" s="126">
        <v>17.309999999999999</v>
      </c>
      <c r="J133" s="126">
        <v>0</v>
      </c>
      <c r="K133" s="126">
        <v>0</v>
      </c>
      <c r="L133" s="126">
        <f t="shared" si="31"/>
        <v>104</v>
      </c>
      <c r="M133" s="126">
        <f t="shared" si="32"/>
        <v>18</v>
      </c>
      <c r="N133" s="171">
        <f t="shared" si="33"/>
        <v>0.1731</v>
      </c>
      <c r="O133" s="132">
        <f t="shared" si="34"/>
        <v>0</v>
      </c>
      <c r="P133" s="177">
        <f t="shared" si="35"/>
        <v>0</v>
      </c>
      <c r="Q133" s="177">
        <f t="shared" si="36"/>
        <v>0</v>
      </c>
      <c r="S133" s="233" t="b">
        <f t="shared" ref="S133:S196" si="38">COUNTIF(C:C,C133)&gt;1</f>
        <v>0</v>
      </c>
    </row>
    <row r="134" spans="1:19">
      <c r="A134" s="126" t="s">
        <v>3670</v>
      </c>
      <c r="B134" s="126" t="str">
        <f t="shared" si="37"/>
        <v>D0426</v>
      </c>
      <c r="C134" s="126">
        <v>6192</v>
      </c>
      <c r="D134" s="126" t="s">
        <v>2632</v>
      </c>
      <c r="E134" s="126">
        <v>104</v>
      </c>
      <c r="F134" s="126">
        <v>0</v>
      </c>
      <c r="G134" s="126">
        <v>45</v>
      </c>
      <c r="H134" s="126">
        <v>0</v>
      </c>
      <c r="I134" s="126">
        <v>43.27</v>
      </c>
      <c r="J134" s="126">
        <v>0</v>
      </c>
      <c r="K134" s="126">
        <v>2.6</v>
      </c>
      <c r="L134" s="126">
        <f t="shared" si="31"/>
        <v>104</v>
      </c>
      <c r="M134" s="126">
        <f t="shared" si="32"/>
        <v>45</v>
      </c>
      <c r="N134" s="171">
        <f t="shared" si="33"/>
        <v>0.43269999999999997</v>
      </c>
      <c r="O134" s="132">
        <f t="shared" si="34"/>
        <v>2.6</v>
      </c>
      <c r="P134" s="177">
        <f t="shared" si="35"/>
        <v>0</v>
      </c>
      <c r="Q134" s="177">
        <f t="shared" si="36"/>
        <v>2.6</v>
      </c>
      <c r="S134" s="233" t="b">
        <f t="shared" si="38"/>
        <v>0</v>
      </c>
    </row>
    <row r="135" spans="1:19">
      <c r="A135" s="126" t="s">
        <v>3670</v>
      </c>
      <c r="B135" s="126" t="str">
        <f t="shared" si="37"/>
        <v>D0426</v>
      </c>
      <c r="C135" s="126">
        <v>6194</v>
      </c>
      <c r="D135" s="126" t="s">
        <v>2634</v>
      </c>
      <c r="E135" s="126">
        <v>41</v>
      </c>
      <c r="F135" s="126">
        <v>0</v>
      </c>
      <c r="G135" s="126">
        <v>14</v>
      </c>
      <c r="H135" s="126">
        <v>0</v>
      </c>
      <c r="I135" s="126">
        <v>34.15</v>
      </c>
      <c r="J135" s="126">
        <v>0</v>
      </c>
      <c r="K135" s="126">
        <v>0</v>
      </c>
      <c r="L135" s="126">
        <f t="shared" si="31"/>
        <v>41</v>
      </c>
      <c r="M135" s="126">
        <f t="shared" si="32"/>
        <v>14</v>
      </c>
      <c r="N135" s="171">
        <f t="shared" si="33"/>
        <v>0.34150000000000003</v>
      </c>
      <c r="O135" s="132">
        <f t="shared" si="34"/>
        <v>0</v>
      </c>
      <c r="P135" s="177">
        <f t="shared" si="35"/>
        <v>0</v>
      </c>
      <c r="Q135" s="177">
        <f t="shared" si="36"/>
        <v>0</v>
      </c>
      <c r="S135" s="233" t="b">
        <f t="shared" si="38"/>
        <v>0</v>
      </c>
    </row>
    <row r="136" spans="1:19">
      <c r="A136" s="126" t="s">
        <v>3670</v>
      </c>
      <c r="B136" s="126" t="str">
        <f t="shared" si="37"/>
        <v>D0426</v>
      </c>
      <c r="C136" s="126">
        <v>6206</v>
      </c>
      <c r="D136" s="126" t="s">
        <v>2636</v>
      </c>
      <c r="E136" s="126">
        <v>61</v>
      </c>
      <c r="F136" s="126">
        <v>0</v>
      </c>
      <c r="G136" s="126">
        <v>17</v>
      </c>
      <c r="H136" s="126">
        <v>0</v>
      </c>
      <c r="I136" s="126">
        <v>27.87</v>
      </c>
      <c r="J136" s="126">
        <v>0</v>
      </c>
      <c r="K136" s="126">
        <v>0</v>
      </c>
      <c r="L136" s="126">
        <f t="shared" si="31"/>
        <v>61</v>
      </c>
      <c r="M136" s="126">
        <f t="shared" si="32"/>
        <v>17</v>
      </c>
      <c r="N136" s="171">
        <f t="shared" si="33"/>
        <v>0.2787</v>
      </c>
      <c r="O136" s="132">
        <f t="shared" si="34"/>
        <v>0</v>
      </c>
      <c r="P136" s="177">
        <f t="shared" si="35"/>
        <v>0</v>
      </c>
      <c r="Q136" s="177">
        <f t="shared" si="36"/>
        <v>0</v>
      </c>
      <c r="S136" s="233" t="b">
        <f t="shared" si="38"/>
        <v>0</v>
      </c>
    </row>
    <row r="137" spans="1:19">
      <c r="A137" s="126" t="s">
        <v>3671</v>
      </c>
      <c r="B137" s="126" t="str">
        <f t="shared" si="37"/>
        <v>D0430</v>
      </c>
      <c r="C137" s="126">
        <v>6344</v>
      </c>
      <c r="D137" s="126" t="s">
        <v>2653</v>
      </c>
      <c r="E137" s="126">
        <v>170</v>
      </c>
      <c r="F137" s="126">
        <v>0</v>
      </c>
      <c r="G137" s="126">
        <v>97</v>
      </c>
      <c r="H137" s="126">
        <v>0</v>
      </c>
      <c r="I137" s="126">
        <v>57.06</v>
      </c>
      <c r="J137" s="126">
        <v>10.199999999999999</v>
      </c>
      <c r="K137" s="126">
        <v>0</v>
      </c>
      <c r="L137" s="126">
        <f t="shared" si="31"/>
        <v>170</v>
      </c>
      <c r="M137" s="126">
        <f t="shared" si="32"/>
        <v>97</v>
      </c>
      <c r="N137" s="171">
        <f t="shared" si="33"/>
        <v>0.5706</v>
      </c>
      <c r="O137" s="132">
        <f t="shared" si="34"/>
        <v>0</v>
      </c>
      <c r="P137" s="177">
        <f t="shared" si="35"/>
        <v>10.199999999999999</v>
      </c>
      <c r="Q137" s="177">
        <f t="shared" si="36"/>
        <v>10.199999999999999</v>
      </c>
      <c r="S137" s="233" t="b">
        <f t="shared" si="38"/>
        <v>0</v>
      </c>
    </row>
    <row r="138" spans="1:19">
      <c r="A138" s="126" t="s">
        <v>3671</v>
      </c>
      <c r="B138" s="126" t="str">
        <f t="shared" si="37"/>
        <v>D0430</v>
      </c>
      <c r="C138" s="126">
        <v>6348</v>
      </c>
      <c r="D138" s="126" t="s">
        <v>2655</v>
      </c>
      <c r="E138" s="126">
        <v>195</v>
      </c>
      <c r="F138" s="126">
        <v>0</v>
      </c>
      <c r="G138" s="126">
        <v>112</v>
      </c>
      <c r="H138" s="126">
        <v>0</v>
      </c>
      <c r="I138" s="126">
        <v>57.44</v>
      </c>
      <c r="J138" s="126">
        <v>11.8</v>
      </c>
      <c r="K138" s="126">
        <v>0</v>
      </c>
      <c r="L138" s="126">
        <f t="shared" si="31"/>
        <v>195</v>
      </c>
      <c r="M138" s="126">
        <f t="shared" si="32"/>
        <v>112</v>
      </c>
      <c r="N138" s="171">
        <f t="shared" si="33"/>
        <v>0.57440000000000002</v>
      </c>
      <c r="O138" s="132">
        <f t="shared" si="34"/>
        <v>0</v>
      </c>
      <c r="P138" s="177">
        <f t="shared" si="35"/>
        <v>11.8</v>
      </c>
      <c r="Q138" s="177">
        <f t="shared" si="36"/>
        <v>11.8</v>
      </c>
      <c r="S138" s="233" t="b">
        <f t="shared" si="38"/>
        <v>0</v>
      </c>
    </row>
    <row r="139" spans="1:19">
      <c r="A139" s="126" t="s">
        <v>3671</v>
      </c>
      <c r="B139" s="126" t="str">
        <f t="shared" si="37"/>
        <v>D0430</v>
      </c>
      <c r="C139" s="126">
        <v>6350</v>
      </c>
      <c r="D139" s="126" t="s">
        <v>2657</v>
      </c>
      <c r="E139" s="126">
        <v>152</v>
      </c>
      <c r="F139" s="126">
        <v>0</v>
      </c>
      <c r="G139" s="126">
        <v>78</v>
      </c>
      <c r="H139" s="126">
        <v>0</v>
      </c>
      <c r="I139" s="126">
        <v>51.32</v>
      </c>
      <c r="J139" s="126">
        <v>8.1999999999999993</v>
      </c>
      <c r="K139" s="126">
        <v>0</v>
      </c>
      <c r="L139" s="126">
        <f t="shared" si="31"/>
        <v>152</v>
      </c>
      <c r="M139" s="126">
        <f t="shared" si="32"/>
        <v>78</v>
      </c>
      <c r="N139" s="171">
        <f t="shared" si="33"/>
        <v>0.51319999999999999</v>
      </c>
      <c r="O139" s="132">
        <f t="shared" si="34"/>
        <v>0</v>
      </c>
      <c r="P139" s="177">
        <f t="shared" si="35"/>
        <v>8.1999999999999993</v>
      </c>
      <c r="Q139" s="177">
        <f t="shared" si="36"/>
        <v>8.1999999999999993</v>
      </c>
      <c r="S139" s="233" t="b">
        <f t="shared" si="38"/>
        <v>0</v>
      </c>
    </row>
    <row r="140" spans="1:19">
      <c r="A140" s="126" t="s">
        <v>3672</v>
      </c>
      <c r="B140" s="126" t="str">
        <f t="shared" si="37"/>
        <v>D0476</v>
      </c>
      <c r="C140" s="126">
        <v>7648</v>
      </c>
      <c r="D140" s="126" t="s">
        <v>2986</v>
      </c>
      <c r="E140" s="126">
        <v>52</v>
      </c>
      <c r="F140" s="126">
        <v>0</v>
      </c>
      <c r="G140" s="126">
        <v>18</v>
      </c>
      <c r="H140" s="126">
        <v>0</v>
      </c>
      <c r="I140" s="126">
        <v>34.619999999999997</v>
      </c>
      <c r="J140" s="126">
        <v>0</v>
      </c>
      <c r="K140" s="126">
        <v>0</v>
      </c>
      <c r="L140" s="126">
        <f t="shared" si="31"/>
        <v>52</v>
      </c>
      <c r="M140" s="126">
        <f t="shared" si="32"/>
        <v>18</v>
      </c>
      <c r="N140" s="171">
        <f t="shared" si="33"/>
        <v>0.34620000000000001</v>
      </c>
      <c r="O140" s="132">
        <f t="shared" si="34"/>
        <v>0</v>
      </c>
      <c r="P140" s="177">
        <f t="shared" si="35"/>
        <v>0</v>
      </c>
      <c r="Q140" s="177">
        <f t="shared" si="36"/>
        <v>0</v>
      </c>
      <c r="S140" s="233" t="b">
        <f t="shared" si="38"/>
        <v>0</v>
      </c>
    </row>
    <row r="141" spans="1:19">
      <c r="A141" s="126" t="s">
        <v>3672</v>
      </c>
      <c r="B141" s="126" t="str">
        <f t="shared" si="37"/>
        <v>D0476</v>
      </c>
      <c r="C141" s="126">
        <v>7651</v>
      </c>
      <c r="D141" s="126" t="s">
        <v>2988</v>
      </c>
      <c r="E141" s="126">
        <v>23</v>
      </c>
      <c r="F141" s="126">
        <v>0</v>
      </c>
      <c r="G141" s="126">
        <v>11</v>
      </c>
      <c r="H141" s="126">
        <v>0</v>
      </c>
      <c r="I141" s="126">
        <v>47.83</v>
      </c>
      <c r="J141" s="126">
        <v>0</v>
      </c>
      <c r="K141" s="126">
        <v>1</v>
      </c>
      <c r="L141" s="126">
        <f t="shared" si="31"/>
        <v>23</v>
      </c>
      <c r="M141" s="126">
        <f t="shared" si="32"/>
        <v>11</v>
      </c>
      <c r="N141" s="171">
        <f t="shared" si="33"/>
        <v>0.4783</v>
      </c>
      <c r="O141" s="132">
        <f t="shared" si="34"/>
        <v>1</v>
      </c>
      <c r="P141" s="177">
        <f t="shared" si="35"/>
        <v>0</v>
      </c>
      <c r="Q141" s="177">
        <f t="shared" si="36"/>
        <v>1</v>
      </c>
      <c r="S141" s="233" t="b">
        <f t="shared" si="38"/>
        <v>0</v>
      </c>
    </row>
    <row r="142" spans="1:19">
      <c r="A142" s="126" t="s">
        <v>3673</v>
      </c>
      <c r="B142" s="126" t="str">
        <f t="shared" si="37"/>
        <v>D0477</v>
      </c>
      <c r="C142" s="126">
        <v>7664</v>
      </c>
      <c r="D142" s="126" t="s">
        <v>2990</v>
      </c>
      <c r="E142" s="126">
        <v>100</v>
      </c>
      <c r="F142" s="126">
        <v>0</v>
      </c>
      <c r="G142" s="126">
        <v>29</v>
      </c>
      <c r="H142" s="126">
        <v>0</v>
      </c>
      <c r="I142" s="126">
        <v>29</v>
      </c>
      <c r="J142" s="126">
        <v>0</v>
      </c>
      <c r="K142" s="126">
        <v>0</v>
      </c>
      <c r="L142" s="126">
        <f t="shared" si="31"/>
        <v>100</v>
      </c>
      <c r="M142" s="126">
        <f t="shared" si="32"/>
        <v>29</v>
      </c>
      <c r="N142" s="171">
        <f t="shared" si="33"/>
        <v>0.28999999999999998</v>
      </c>
      <c r="O142" s="132">
        <f t="shared" si="34"/>
        <v>0</v>
      </c>
      <c r="P142" s="177">
        <f t="shared" si="35"/>
        <v>0</v>
      </c>
      <c r="Q142" s="177">
        <f t="shared" si="36"/>
        <v>0</v>
      </c>
      <c r="S142" s="233" t="b">
        <f t="shared" si="38"/>
        <v>0</v>
      </c>
    </row>
    <row r="143" spans="1:19">
      <c r="A143" s="126" t="s">
        <v>3673</v>
      </c>
      <c r="B143" s="126" t="str">
        <f t="shared" si="37"/>
        <v>D0477</v>
      </c>
      <c r="C143" s="126">
        <v>7666</v>
      </c>
      <c r="D143" s="126" t="s">
        <v>2992</v>
      </c>
      <c r="E143" s="126">
        <v>124</v>
      </c>
      <c r="F143" s="126">
        <v>0</v>
      </c>
      <c r="G143" s="126">
        <v>26</v>
      </c>
      <c r="H143" s="126">
        <v>0</v>
      </c>
      <c r="I143" s="126">
        <v>20.97</v>
      </c>
      <c r="J143" s="126">
        <v>0</v>
      </c>
      <c r="K143" s="126">
        <v>0</v>
      </c>
      <c r="L143" s="126">
        <f t="shared" si="31"/>
        <v>124</v>
      </c>
      <c r="M143" s="126">
        <f t="shared" si="32"/>
        <v>26</v>
      </c>
      <c r="N143" s="171">
        <f t="shared" si="33"/>
        <v>0.2097</v>
      </c>
      <c r="O143" s="132">
        <f t="shared" si="34"/>
        <v>0</v>
      </c>
      <c r="P143" s="177">
        <f t="shared" si="35"/>
        <v>0</v>
      </c>
      <c r="Q143" s="177">
        <f t="shared" si="36"/>
        <v>0</v>
      </c>
      <c r="S143" s="233" t="b">
        <f t="shared" si="38"/>
        <v>0</v>
      </c>
    </row>
    <row r="144" spans="1:19">
      <c r="A144" s="126" t="s">
        <v>3674</v>
      </c>
      <c r="B144" s="126" t="str">
        <f t="shared" si="37"/>
        <v>D0483</v>
      </c>
      <c r="C144" s="126">
        <v>7798</v>
      </c>
      <c r="D144" s="126" t="s">
        <v>3025</v>
      </c>
      <c r="E144" s="126">
        <v>125</v>
      </c>
      <c r="F144" s="126">
        <v>0</v>
      </c>
      <c r="G144" s="126">
        <v>73</v>
      </c>
      <c r="H144" s="126">
        <v>0</v>
      </c>
      <c r="I144" s="126">
        <v>58.4</v>
      </c>
      <c r="J144" s="126">
        <v>7.7</v>
      </c>
      <c r="K144" s="126">
        <v>0</v>
      </c>
      <c r="L144" s="126">
        <f t="shared" si="31"/>
        <v>125</v>
      </c>
      <c r="M144" s="126">
        <f t="shared" si="32"/>
        <v>73</v>
      </c>
      <c r="N144" s="171">
        <f t="shared" si="33"/>
        <v>0.58399999999999996</v>
      </c>
      <c r="O144" s="132">
        <f t="shared" si="34"/>
        <v>0</v>
      </c>
      <c r="P144" s="177">
        <f t="shared" si="35"/>
        <v>7.7</v>
      </c>
      <c r="Q144" s="177">
        <f t="shared" si="36"/>
        <v>7.7</v>
      </c>
      <c r="S144" s="233" t="b">
        <f t="shared" si="38"/>
        <v>0</v>
      </c>
    </row>
    <row r="145" spans="1:19">
      <c r="A145" s="126" t="s">
        <v>3674</v>
      </c>
      <c r="B145" s="126" t="str">
        <f t="shared" si="37"/>
        <v>D0483</v>
      </c>
      <c r="C145" s="126">
        <v>7800</v>
      </c>
      <c r="D145" s="126" t="s">
        <v>3027</v>
      </c>
      <c r="E145" s="126">
        <v>182</v>
      </c>
      <c r="F145" s="126">
        <v>0</v>
      </c>
      <c r="G145" s="126">
        <v>114</v>
      </c>
      <c r="H145" s="126">
        <v>0</v>
      </c>
      <c r="I145" s="126">
        <v>62.64</v>
      </c>
      <c r="J145" s="126">
        <v>12</v>
      </c>
      <c r="K145" s="126">
        <v>0</v>
      </c>
      <c r="L145" s="126">
        <f t="shared" si="31"/>
        <v>182</v>
      </c>
      <c r="M145" s="126">
        <f t="shared" si="32"/>
        <v>114</v>
      </c>
      <c r="N145" s="171">
        <f t="shared" si="33"/>
        <v>0.62639999999999996</v>
      </c>
      <c r="O145" s="132">
        <f t="shared" si="34"/>
        <v>0</v>
      </c>
      <c r="P145" s="177">
        <f t="shared" si="35"/>
        <v>12</v>
      </c>
      <c r="Q145" s="177">
        <f t="shared" si="36"/>
        <v>12</v>
      </c>
      <c r="S145" s="233" t="b">
        <f t="shared" si="38"/>
        <v>0</v>
      </c>
    </row>
    <row r="146" spans="1:19">
      <c r="A146" s="126" t="s">
        <v>3674</v>
      </c>
      <c r="B146" s="126" t="str">
        <f t="shared" si="37"/>
        <v>D0483</v>
      </c>
      <c r="C146" s="126">
        <v>7804</v>
      </c>
      <c r="D146" s="126" t="s">
        <v>3029</v>
      </c>
      <c r="E146" s="126">
        <v>336</v>
      </c>
      <c r="F146" s="126">
        <v>0</v>
      </c>
      <c r="G146" s="126">
        <v>202</v>
      </c>
      <c r="H146" s="126">
        <v>0</v>
      </c>
      <c r="I146" s="126">
        <v>60.12</v>
      </c>
      <c r="J146" s="126">
        <v>21.2</v>
      </c>
      <c r="K146" s="126">
        <v>0</v>
      </c>
      <c r="L146" s="126">
        <f t="shared" si="31"/>
        <v>336</v>
      </c>
      <c r="M146" s="126">
        <f t="shared" si="32"/>
        <v>202</v>
      </c>
      <c r="N146" s="171">
        <f t="shared" si="33"/>
        <v>0.60119999999999996</v>
      </c>
      <c r="O146" s="132">
        <f t="shared" si="34"/>
        <v>0</v>
      </c>
      <c r="P146" s="177">
        <f t="shared" si="35"/>
        <v>21.2</v>
      </c>
      <c r="Q146" s="177">
        <f t="shared" si="36"/>
        <v>21.2</v>
      </c>
      <c r="S146" s="233" t="b">
        <f t="shared" si="38"/>
        <v>0</v>
      </c>
    </row>
    <row r="147" spans="1:19">
      <c r="A147" s="126" t="s">
        <v>3675</v>
      </c>
      <c r="B147" s="126" t="str">
        <f t="shared" si="37"/>
        <v>D0495</v>
      </c>
      <c r="C147" s="126">
        <v>8133</v>
      </c>
      <c r="D147" s="126" t="s">
        <v>3075</v>
      </c>
      <c r="E147" s="126">
        <v>417</v>
      </c>
      <c r="F147" s="126">
        <v>0</v>
      </c>
      <c r="G147" s="126">
        <v>187</v>
      </c>
      <c r="H147" s="126">
        <v>0</v>
      </c>
      <c r="I147" s="126">
        <v>44.84</v>
      </c>
      <c r="J147" s="126">
        <v>0</v>
      </c>
      <c r="K147" s="126">
        <v>12.9</v>
      </c>
      <c r="L147" s="126">
        <f t="shared" si="31"/>
        <v>417</v>
      </c>
      <c r="M147" s="126">
        <f t="shared" si="32"/>
        <v>187</v>
      </c>
      <c r="N147" s="171">
        <f t="shared" si="33"/>
        <v>0.44840000000000002</v>
      </c>
      <c r="O147" s="132">
        <f t="shared" si="34"/>
        <v>12.9</v>
      </c>
      <c r="P147" s="177">
        <f t="shared" si="35"/>
        <v>0</v>
      </c>
      <c r="Q147" s="177">
        <f t="shared" si="36"/>
        <v>12.9</v>
      </c>
      <c r="S147" s="233" t="b">
        <f t="shared" si="38"/>
        <v>0</v>
      </c>
    </row>
    <row r="148" spans="1:19">
      <c r="A148" s="126" t="s">
        <v>3675</v>
      </c>
      <c r="B148" s="126" t="str">
        <f t="shared" si="37"/>
        <v>D0495</v>
      </c>
      <c r="C148" s="126">
        <v>8140</v>
      </c>
      <c r="D148" s="126" t="s">
        <v>3077</v>
      </c>
      <c r="E148" s="126">
        <v>192</v>
      </c>
      <c r="F148" s="126">
        <v>0</v>
      </c>
      <c r="G148" s="126">
        <v>72</v>
      </c>
      <c r="H148" s="126">
        <v>0</v>
      </c>
      <c r="I148" s="126">
        <v>37.5</v>
      </c>
      <c r="J148" s="126">
        <v>0</v>
      </c>
      <c r="K148" s="126">
        <v>1.3</v>
      </c>
      <c r="L148" s="126">
        <f t="shared" si="31"/>
        <v>192</v>
      </c>
      <c r="M148" s="126">
        <f t="shared" si="32"/>
        <v>72</v>
      </c>
      <c r="N148" s="171">
        <f t="shared" si="33"/>
        <v>0.375</v>
      </c>
      <c r="O148" s="132">
        <f t="shared" si="34"/>
        <v>1.3</v>
      </c>
      <c r="P148" s="177">
        <f t="shared" si="35"/>
        <v>0</v>
      </c>
      <c r="Q148" s="177">
        <f t="shared" si="36"/>
        <v>1.3</v>
      </c>
      <c r="S148" s="233" t="b">
        <f t="shared" si="38"/>
        <v>0</v>
      </c>
    </row>
    <row r="149" spans="1:19">
      <c r="A149" s="126" t="s">
        <v>3675</v>
      </c>
      <c r="B149" s="126" t="str">
        <f t="shared" si="37"/>
        <v>D0495</v>
      </c>
      <c r="C149" s="126">
        <v>8142</v>
      </c>
      <c r="D149" s="126" t="s">
        <v>3079</v>
      </c>
      <c r="E149" s="126">
        <v>259</v>
      </c>
      <c r="F149" s="126">
        <v>0</v>
      </c>
      <c r="G149" s="126">
        <v>101</v>
      </c>
      <c r="H149" s="126">
        <v>0</v>
      </c>
      <c r="I149" s="126">
        <v>39</v>
      </c>
      <c r="J149" s="126">
        <v>0</v>
      </c>
      <c r="K149" s="126">
        <v>2.8</v>
      </c>
      <c r="L149" s="126">
        <f t="shared" si="31"/>
        <v>259</v>
      </c>
      <c r="M149" s="126">
        <f t="shared" si="32"/>
        <v>101</v>
      </c>
      <c r="N149" s="171">
        <f t="shared" si="33"/>
        <v>0.39</v>
      </c>
      <c r="O149" s="132">
        <f t="shared" si="34"/>
        <v>2.8</v>
      </c>
      <c r="P149" s="177">
        <f t="shared" si="35"/>
        <v>0</v>
      </c>
      <c r="Q149" s="177">
        <f t="shared" si="36"/>
        <v>2.8</v>
      </c>
      <c r="S149" s="233" t="b">
        <f t="shared" si="38"/>
        <v>0</v>
      </c>
    </row>
    <row r="150" spans="1:19">
      <c r="A150" s="126" t="s">
        <v>3676</v>
      </c>
      <c r="B150" s="126" t="str">
        <f t="shared" si="37"/>
        <v>D0509</v>
      </c>
      <c r="C150" s="126">
        <v>8742</v>
      </c>
      <c r="D150" s="126" t="s">
        <v>3325</v>
      </c>
      <c r="E150" s="126">
        <v>85</v>
      </c>
      <c r="F150" s="126">
        <v>0</v>
      </c>
      <c r="G150" s="126">
        <v>33</v>
      </c>
      <c r="H150" s="126">
        <v>0</v>
      </c>
      <c r="I150" s="126">
        <v>38.82</v>
      </c>
      <c r="J150" s="126">
        <v>0</v>
      </c>
      <c r="K150" s="126">
        <v>0.9</v>
      </c>
      <c r="L150" s="126">
        <f t="shared" si="31"/>
        <v>85</v>
      </c>
      <c r="M150" s="126">
        <f t="shared" si="32"/>
        <v>33</v>
      </c>
      <c r="N150" s="171">
        <f t="shared" si="33"/>
        <v>0.38819999999999999</v>
      </c>
      <c r="O150" s="132">
        <f t="shared" si="34"/>
        <v>0.9</v>
      </c>
      <c r="P150" s="177">
        <f t="shared" si="35"/>
        <v>0</v>
      </c>
      <c r="Q150" s="177">
        <f t="shared" si="36"/>
        <v>0.9</v>
      </c>
      <c r="S150" s="233" t="b">
        <f t="shared" si="38"/>
        <v>0</v>
      </c>
    </row>
    <row r="151" spans="1:19">
      <c r="A151" s="126" t="s">
        <v>3676</v>
      </c>
      <c r="B151" s="126" t="str">
        <f t="shared" si="37"/>
        <v>D0509</v>
      </c>
      <c r="C151" s="126">
        <v>8744</v>
      </c>
      <c r="D151" s="126" t="s">
        <v>3327</v>
      </c>
      <c r="E151" s="126">
        <v>90</v>
      </c>
      <c r="F151" s="126">
        <v>0</v>
      </c>
      <c r="G151" s="126">
        <v>24</v>
      </c>
      <c r="H151" s="126">
        <v>0</v>
      </c>
      <c r="I151" s="126">
        <v>26.67</v>
      </c>
      <c r="J151" s="126">
        <v>0</v>
      </c>
      <c r="K151" s="126">
        <v>0</v>
      </c>
      <c r="L151" s="126">
        <f t="shared" si="31"/>
        <v>90</v>
      </c>
      <c r="M151" s="126">
        <f t="shared" si="32"/>
        <v>24</v>
      </c>
      <c r="N151" s="171">
        <f t="shared" si="33"/>
        <v>0.26669999999999999</v>
      </c>
      <c r="O151" s="132">
        <f t="shared" si="34"/>
        <v>0</v>
      </c>
      <c r="P151" s="177">
        <f t="shared" si="35"/>
        <v>0</v>
      </c>
      <c r="Q151" s="177">
        <f t="shared" si="36"/>
        <v>0</v>
      </c>
      <c r="S151" s="233" t="b">
        <f t="shared" si="38"/>
        <v>0</v>
      </c>
    </row>
    <row r="152" spans="1:19">
      <c r="A152" s="126" t="s">
        <v>3677</v>
      </c>
      <c r="B152" s="126" t="str">
        <f t="shared" si="37"/>
        <v>D0224</v>
      </c>
      <c r="C152" s="126">
        <v>658</v>
      </c>
      <c r="D152" s="126" t="s">
        <v>1111</v>
      </c>
      <c r="E152" s="126">
        <v>92</v>
      </c>
      <c r="F152" s="126">
        <v>0</v>
      </c>
      <c r="G152" s="126">
        <v>23</v>
      </c>
      <c r="H152" s="126">
        <v>0</v>
      </c>
      <c r="I152" s="126">
        <v>25</v>
      </c>
      <c r="J152" s="126">
        <v>0</v>
      </c>
      <c r="K152" s="126">
        <v>0</v>
      </c>
      <c r="L152" s="126">
        <f t="shared" ref="L152:L169" si="39">SUM(E152:F152)</f>
        <v>92</v>
      </c>
      <c r="M152" s="126">
        <f t="shared" ref="M152:M169" si="40">SUM(G152:H152)</f>
        <v>23</v>
      </c>
      <c r="N152" s="171">
        <f t="shared" ref="N152:N169" si="41">IF(ISERROR(M152/L152),0,M152/L152)</f>
        <v>0.25</v>
      </c>
      <c r="O152" s="132">
        <f t="shared" ref="O152:O169" si="42">IF(AND((N152-35%)&gt;0,N152&lt;50%),M152*(N152-35%)*0.7,0)</f>
        <v>0</v>
      </c>
      <c r="P152" s="177">
        <f t="shared" ref="P152:P169" si="43">IF(N152&gt;=50%,M152*10.5%,0)</f>
        <v>0</v>
      </c>
      <c r="Q152" s="177">
        <f t="shared" ref="Q152:Q169" si="44">MAX(O152,P152)</f>
        <v>0</v>
      </c>
      <c r="S152" s="233" t="b">
        <f t="shared" si="38"/>
        <v>0</v>
      </c>
    </row>
    <row r="153" spans="1:19">
      <c r="A153" s="126" t="s">
        <v>3677</v>
      </c>
      <c r="B153" s="126" t="str">
        <f t="shared" si="37"/>
        <v>D0224</v>
      </c>
      <c r="C153" s="126">
        <v>660</v>
      </c>
      <c r="D153" s="126" t="s">
        <v>1113</v>
      </c>
      <c r="E153" s="126">
        <v>115</v>
      </c>
      <c r="F153" s="126">
        <v>0</v>
      </c>
      <c r="G153" s="126">
        <v>38</v>
      </c>
      <c r="H153" s="126">
        <v>0</v>
      </c>
      <c r="I153" s="126">
        <v>33.04</v>
      </c>
      <c r="J153" s="126">
        <v>0</v>
      </c>
      <c r="K153" s="126">
        <v>0</v>
      </c>
      <c r="L153" s="126">
        <f t="shared" si="39"/>
        <v>115</v>
      </c>
      <c r="M153" s="126">
        <f t="shared" si="40"/>
        <v>38</v>
      </c>
      <c r="N153" s="171">
        <f t="shared" si="41"/>
        <v>0.33040000000000003</v>
      </c>
      <c r="O153" s="132">
        <f t="shared" si="42"/>
        <v>0</v>
      </c>
      <c r="P153" s="177">
        <f t="shared" si="43"/>
        <v>0</v>
      </c>
      <c r="Q153" s="177">
        <f t="shared" si="44"/>
        <v>0</v>
      </c>
      <c r="S153" s="233" t="b">
        <f t="shared" si="38"/>
        <v>0</v>
      </c>
    </row>
    <row r="154" spans="1:19">
      <c r="A154" s="126" t="s">
        <v>3677</v>
      </c>
      <c r="B154" s="126" t="str">
        <f t="shared" si="37"/>
        <v>D0224</v>
      </c>
      <c r="C154" s="126">
        <v>668</v>
      </c>
      <c r="D154" s="126" t="s">
        <v>1115</v>
      </c>
      <c r="E154" s="126">
        <v>115</v>
      </c>
      <c r="F154" s="126">
        <v>0</v>
      </c>
      <c r="G154" s="126">
        <v>29</v>
      </c>
      <c r="H154" s="126">
        <v>0</v>
      </c>
      <c r="I154" s="126">
        <v>25.22</v>
      </c>
      <c r="J154" s="126">
        <v>0</v>
      </c>
      <c r="K154" s="126">
        <v>0</v>
      </c>
      <c r="L154" s="126">
        <f t="shared" si="39"/>
        <v>115</v>
      </c>
      <c r="M154" s="126">
        <f t="shared" si="40"/>
        <v>29</v>
      </c>
      <c r="N154" s="171">
        <f t="shared" si="41"/>
        <v>0.25219999999999998</v>
      </c>
      <c r="O154" s="132">
        <f t="shared" si="42"/>
        <v>0</v>
      </c>
      <c r="P154" s="177">
        <f t="shared" si="43"/>
        <v>0</v>
      </c>
      <c r="Q154" s="177">
        <f t="shared" si="44"/>
        <v>0</v>
      </c>
      <c r="S154" s="233" t="b">
        <f t="shared" si="38"/>
        <v>0</v>
      </c>
    </row>
    <row r="155" spans="1:19">
      <c r="A155" s="126" t="s">
        <v>3678</v>
      </c>
      <c r="B155" s="126" t="str">
        <f t="shared" si="37"/>
        <v>D0298</v>
      </c>
      <c r="C155" s="126">
        <v>2840</v>
      </c>
      <c r="D155" s="126" t="s">
        <v>1490</v>
      </c>
      <c r="E155" s="126">
        <v>196</v>
      </c>
      <c r="F155" s="126">
        <v>0</v>
      </c>
      <c r="G155" s="126">
        <v>72</v>
      </c>
      <c r="H155" s="126">
        <v>0</v>
      </c>
      <c r="I155" s="126">
        <v>36.729999999999997</v>
      </c>
      <c r="J155" s="126">
        <v>0</v>
      </c>
      <c r="K155" s="126">
        <v>0.9</v>
      </c>
      <c r="L155" s="126">
        <f t="shared" si="39"/>
        <v>196</v>
      </c>
      <c r="M155" s="126">
        <f t="shared" si="40"/>
        <v>72</v>
      </c>
      <c r="N155" s="171">
        <f t="shared" si="41"/>
        <v>0.36730000000000002</v>
      </c>
      <c r="O155" s="132">
        <f t="shared" si="42"/>
        <v>0.9</v>
      </c>
      <c r="P155" s="177">
        <f t="shared" si="43"/>
        <v>0</v>
      </c>
      <c r="Q155" s="177">
        <f t="shared" si="44"/>
        <v>0.9</v>
      </c>
      <c r="S155" s="233" t="b">
        <f t="shared" si="38"/>
        <v>0</v>
      </c>
    </row>
    <row r="156" spans="1:19">
      <c r="A156" s="126" t="s">
        <v>3678</v>
      </c>
      <c r="B156" s="126" t="str">
        <f t="shared" si="37"/>
        <v>D0298</v>
      </c>
      <c r="C156" s="126">
        <v>2842</v>
      </c>
      <c r="D156" s="126" t="s">
        <v>1911</v>
      </c>
      <c r="E156" s="126">
        <v>145</v>
      </c>
      <c r="F156" s="126">
        <v>0</v>
      </c>
      <c r="G156" s="126">
        <v>54</v>
      </c>
      <c r="H156" s="126">
        <v>0</v>
      </c>
      <c r="I156" s="126">
        <v>37.24</v>
      </c>
      <c r="J156" s="126">
        <v>0</v>
      </c>
      <c r="K156" s="126">
        <v>0.8</v>
      </c>
      <c r="L156" s="126">
        <f t="shared" si="39"/>
        <v>145</v>
      </c>
      <c r="M156" s="126">
        <f t="shared" si="40"/>
        <v>54</v>
      </c>
      <c r="N156" s="171">
        <f t="shared" si="41"/>
        <v>0.37240000000000001</v>
      </c>
      <c r="O156" s="132">
        <f t="shared" si="42"/>
        <v>0.8</v>
      </c>
      <c r="P156" s="177">
        <f t="shared" si="43"/>
        <v>0</v>
      </c>
      <c r="Q156" s="177">
        <f t="shared" si="44"/>
        <v>0.8</v>
      </c>
      <c r="S156" s="233" t="b">
        <f t="shared" si="38"/>
        <v>0</v>
      </c>
    </row>
    <row r="157" spans="1:19">
      <c r="A157" s="126" t="s">
        <v>3679</v>
      </c>
      <c r="B157" s="126" t="str">
        <f t="shared" si="37"/>
        <v>D0309</v>
      </c>
      <c r="C157" s="126">
        <v>3164</v>
      </c>
      <c r="D157" s="126" t="s">
        <v>1978</v>
      </c>
      <c r="E157" s="126">
        <v>269</v>
      </c>
      <c r="F157" s="126">
        <v>0</v>
      </c>
      <c r="G157" s="126">
        <v>147</v>
      </c>
      <c r="H157" s="126">
        <v>0</v>
      </c>
      <c r="I157" s="126">
        <v>54.65</v>
      </c>
      <c r="J157" s="126">
        <v>15.4</v>
      </c>
      <c r="K157" s="126">
        <v>0</v>
      </c>
      <c r="L157" s="126">
        <f t="shared" si="39"/>
        <v>269</v>
      </c>
      <c r="M157" s="126">
        <f t="shared" si="40"/>
        <v>147</v>
      </c>
      <c r="N157" s="171">
        <f t="shared" si="41"/>
        <v>0.54649999999999999</v>
      </c>
      <c r="O157" s="132">
        <f t="shared" si="42"/>
        <v>0</v>
      </c>
      <c r="P157" s="177">
        <f t="shared" si="43"/>
        <v>15.4</v>
      </c>
      <c r="Q157" s="177">
        <f t="shared" si="44"/>
        <v>15.4</v>
      </c>
      <c r="S157" s="233" t="b">
        <f t="shared" si="38"/>
        <v>0</v>
      </c>
    </row>
    <row r="158" spans="1:19">
      <c r="A158" s="126" t="s">
        <v>3679</v>
      </c>
      <c r="B158" s="126" t="str">
        <f t="shared" si="37"/>
        <v>D0309</v>
      </c>
      <c r="C158" s="126">
        <v>3166</v>
      </c>
      <c r="D158" s="126" t="s">
        <v>1980</v>
      </c>
      <c r="E158" s="126">
        <v>317</v>
      </c>
      <c r="F158" s="126">
        <v>0</v>
      </c>
      <c r="G158" s="126">
        <v>115</v>
      </c>
      <c r="H158" s="126">
        <v>0</v>
      </c>
      <c r="I158" s="126">
        <v>36.28</v>
      </c>
      <c r="J158" s="126">
        <v>0</v>
      </c>
      <c r="K158" s="126">
        <v>1</v>
      </c>
      <c r="L158" s="126">
        <f t="shared" si="39"/>
        <v>317</v>
      </c>
      <c r="M158" s="126">
        <f t="shared" si="40"/>
        <v>115</v>
      </c>
      <c r="N158" s="171">
        <f t="shared" si="41"/>
        <v>0.36280000000000001</v>
      </c>
      <c r="O158" s="132">
        <f t="shared" si="42"/>
        <v>1</v>
      </c>
      <c r="P158" s="177">
        <f t="shared" si="43"/>
        <v>0</v>
      </c>
      <c r="Q158" s="177">
        <f t="shared" si="44"/>
        <v>1</v>
      </c>
      <c r="S158" s="233" t="b">
        <f t="shared" si="38"/>
        <v>0</v>
      </c>
    </row>
    <row r="159" spans="1:19">
      <c r="A159" s="126" t="s">
        <v>3679</v>
      </c>
      <c r="B159" s="126" t="str">
        <f t="shared" si="37"/>
        <v>D0309</v>
      </c>
      <c r="C159" s="126">
        <v>3168</v>
      </c>
      <c r="D159" s="126" t="s">
        <v>1982</v>
      </c>
      <c r="E159" s="126">
        <v>181</v>
      </c>
      <c r="F159" s="126">
        <v>0</v>
      </c>
      <c r="G159" s="126">
        <v>82</v>
      </c>
      <c r="H159" s="126">
        <v>0</v>
      </c>
      <c r="I159" s="126">
        <v>45.3</v>
      </c>
      <c r="J159" s="126">
        <v>0</v>
      </c>
      <c r="K159" s="126">
        <v>5.9</v>
      </c>
      <c r="L159" s="126">
        <f t="shared" si="39"/>
        <v>181</v>
      </c>
      <c r="M159" s="126">
        <f t="shared" si="40"/>
        <v>82</v>
      </c>
      <c r="N159" s="171">
        <f t="shared" si="41"/>
        <v>0.45300000000000001</v>
      </c>
      <c r="O159" s="132">
        <f t="shared" si="42"/>
        <v>5.9</v>
      </c>
      <c r="P159" s="177">
        <f t="shared" si="43"/>
        <v>0</v>
      </c>
      <c r="Q159" s="177">
        <f t="shared" si="44"/>
        <v>5.9</v>
      </c>
      <c r="S159" s="233" t="b">
        <f t="shared" si="38"/>
        <v>0</v>
      </c>
    </row>
    <row r="160" spans="1:19">
      <c r="A160" s="126" t="s">
        <v>3679</v>
      </c>
      <c r="B160" s="126" t="str">
        <f t="shared" si="37"/>
        <v>D0309</v>
      </c>
      <c r="C160" s="126">
        <v>3170</v>
      </c>
      <c r="D160" s="126" t="s">
        <v>1984</v>
      </c>
      <c r="E160" s="126">
        <v>339</v>
      </c>
      <c r="F160" s="126">
        <v>0</v>
      </c>
      <c r="G160" s="126">
        <v>185</v>
      </c>
      <c r="H160" s="126">
        <v>0</v>
      </c>
      <c r="I160" s="126">
        <v>54.57</v>
      </c>
      <c r="J160" s="126">
        <v>19.399999999999999</v>
      </c>
      <c r="K160" s="126">
        <v>0</v>
      </c>
      <c r="L160" s="126">
        <f t="shared" si="39"/>
        <v>339</v>
      </c>
      <c r="M160" s="126">
        <f t="shared" si="40"/>
        <v>185</v>
      </c>
      <c r="N160" s="171">
        <f t="shared" si="41"/>
        <v>0.54569999999999996</v>
      </c>
      <c r="O160" s="132">
        <f t="shared" si="42"/>
        <v>0</v>
      </c>
      <c r="P160" s="177">
        <f t="shared" si="43"/>
        <v>19.399999999999999</v>
      </c>
      <c r="Q160" s="177">
        <f t="shared" si="44"/>
        <v>19.399999999999999</v>
      </c>
      <c r="S160" s="233" t="b">
        <f t="shared" si="38"/>
        <v>0</v>
      </c>
    </row>
    <row r="161" spans="1:19">
      <c r="A161" s="126" t="s">
        <v>3680</v>
      </c>
      <c r="B161" s="126" t="str">
        <f t="shared" si="37"/>
        <v>D0342</v>
      </c>
      <c r="C161" s="126">
        <v>4006</v>
      </c>
      <c r="D161" s="126" t="s">
        <v>2151</v>
      </c>
      <c r="E161" s="126">
        <v>216</v>
      </c>
      <c r="F161" s="126">
        <v>0</v>
      </c>
      <c r="G161" s="126">
        <v>74</v>
      </c>
      <c r="H161" s="126">
        <v>0</v>
      </c>
      <c r="I161" s="126">
        <v>34.26</v>
      </c>
      <c r="J161" s="126">
        <v>0</v>
      </c>
      <c r="K161" s="126">
        <v>0</v>
      </c>
      <c r="L161" s="126">
        <f t="shared" si="39"/>
        <v>216</v>
      </c>
      <c r="M161" s="126">
        <f t="shared" si="40"/>
        <v>74</v>
      </c>
      <c r="N161" s="171">
        <f t="shared" si="41"/>
        <v>0.34260000000000002</v>
      </c>
      <c r="O161" s="132">
        <f t="shared" si="42"/>
        <v>0</v>
      </c>
      <c r="P161" s="177">
        <f t="shared" si="43"/>
        <v>0</v>
      </c>
      <c r="Q161" s="177">
        <f t="shared" si="44"/>
        <v>0</v>
      </c>
      <c r="S161" s="233" t="b">
        <f t="shared" si="38"/>
        <v>0</v>
      </c>
    </row>
    <row r="162" spans="1:19">
      <c r="A162" s="126" t="s">
        <v>3680</v>
      </c>
      <c r="B162" s="126" t="str">
        <f t="shared" si="37"/>
        <v>D0342</v>
      </c>
      <c r="C162" s="126">
        <v>4007</v>
      </c>
      <c r="D162" s="126" t="s">
        <v>2153</v>
      </c>
      <c r="E162" s="126">
        <v>108</v>
      </c>
      <c r="F162" s="126">
        <v>0</v>
      </c>
      <c r="G162" s="126">
        <v>29</v>
      </c>
      <c r="H162" s="126">
        <v>0</v>
      </c>
      <c r="I162" s="126">
        <v>26.85</v>
      </c>
      <c r="J162" s="126">
        <v>0</v>
      </c>
      <c r="K162" s="126">
        <v>0</v>
      </c>
      <c r="L162" s="126">
        <f t="shared" si="39"/>
        <v>108</v>
      </c>
      <c r="M162" s="126">
        <f t="shared" si="40"/>
        <v>29</v>
      </c>
      <c r="N162" s="171">
        <f t="shared" si="41"/>
        <v>0.26850000000000002</v>
      </c>
      <c r="O162" s="132">
        <f t="shared" si="42"/>
        <v>0</v>
      </c>
      <c r="P162" s="177">
        <f t="shared" si="43"/>
        <v>0</v>
      </c>
      <c r="Q162" s="177">
        <f t="shared" si="44"/>
        <v>0</v>
      </c>
      <c r="S162" s="233" t="b">
        <f t="shared" si="38"/>
        <v>0</v>
      </c>
    </row>
    <row r="163" spans="1:19">
      <c r="A163" s="126" t="s">
        <v>3680</v>
      </c>
      <c r="B163" s="126" t="str">
        <f t="shared" si="37"/>
        <v>D0342</v>
      </c>
      <c r="C163" s="126">
        <v>4008</v>
      </c>
      <c r="D163" s="126" t="s">
        <v>2155</v>
      </c>
      <c r="E163" s="126">
        <v>170</v>
      </c>
      <c r="F163" s="126">
        <v>0</v>
      </c>
      <c r="G163" s="126">
        <v>41</v>
      </c>
      <c r="H163" s="126">
        <v>0</v>
      </c>
      <c r="I163" s="126">
        <v>24.12</v>
      </c>
      <c r="J163" s="126">
        <v>0</v>
      </c>
      <c r="K163" s="126">
        <v>0</v>
      </c>
      <c r="L163" s="126">
        <f t="shared" si="39"/>
        <v>170</v>
      </c>
      <c r="M163" s="126">
        <f t="shared" si="40"/>
        <v>41</v>
      </c>
      <c r="N163" s="171">
        <f t="shared" si="41"/>
        <v>0.2412</v>
      </c>
      <c r="O163" s="132">
        <f t="shared" si="42"/>
        <v>0</v>
      </c>
      <c r="P163" s="177">
        <f t="shared" si="43"/>
        <v>0</v>
      </c>
      <c r="Q163" s="177">
        <f t="shared" si="44"/>
        <v>0</v>
      </c>
      <c r="S163" s="233" t="b">
        <f t="shared" si="38"/>
        <v>0</v>
      </c>
    </row>
    <row r="164" spans="1:19">
      <c r="A164" s="126" t="s">
        <v>3681</v>
      </c>
      <c r="B164" s="126" t="str">
        <f t="shared" si="37"/>
        <v>D0382</v>
      </c>
      <c r="C164" s="126">
        <v>5088</v>
      </c>
      <c r="D164" s="126" t="s">
        <v>2386</v>
      </c>
      <c r="E164" s="126">
        <v>435</v>
      </c>
      <c r="F164" s="126">
        <v>0</v>
      </c>
      <c r="G164" s="126">
        <v>157</v>
      </c>
      <c r="H164" s="126">
        <v>0</v>
      </c>
      <c r="I164" s="126">
        <v>36.090000000000003</v>
      </c>
      <c r="J164" s="126">
        <v>0</v>
      </c>
      <c r="K164" s="126">
        <v>1.2</v>
      </c>
      <c r="L164" s="126">
        <f t="shared" si="39"/>
        <v>435</v>
      </c>
      <c r="M164" s="126">
        <f t="shared" si="40"/>
        <v>157</v>
      </c>
      <c r="N164" s="171">
        <f t="shared" si="41"/>
        <v>0.3609</v>
      </c>
      <c r="O164" s="132">
        <f t="shared" si="42"/>
        <v>1.2</v>
      </c>
      <c r="P164" s="177">
        <f t="shared" si="43"/>
        <v>0</v>
      </c>
      <c r="Q164" s="177">
        <f t="shared" si="44"/>
        <v>1.2</v>
      </c>
      <c r="S164" s="233" t="b">
        <f t="shared" si="38"/>
        <v>0</v>
      </c>
    </row>
    <row r="165" spans="1:19">
      <c r="A165" s="126" t="s">
        <v>3681</v>
      </c>
      <c r="B165" s="126" t="str">
        <f t="shared" si="37"/>
        <v>D0382</v>
      </c>
      <c r="C165" s="126">
        <v>5090</v>
      </c>
      <c r="D165" s="126" t="s">
        <v>2388</v>
      </c>
      <c r="E165" s="126">
        <v>335</v>
      </c>
      <c r="F165" s="126">
        <v>0</v>
      </c>
      <c r="G165" s="126">
        <v>134</v>
      </c>
      <c r="H165" s="126">
        <v>0</v>
      </c>
      <c r="I165" s="126">
        <v>40</v>
      </c>
      <c r="J165" s="126">
        <v>0</v>
      </c>
      <c r="K165" s="126">
        <v>4.7</v>
      </c>
      <c r="L165" s="126">
        <f t="shared" si="39"/>
        <v>335</v>
      </c>
      <c r="M165" s="126">
        <f t="shared" si="40"/>
        <v>134</v>
      </c>
      <c r="N165" s="171">
        <f t="shared" si="41"/>
        <v>0.4</v>
      </c>
      <c r="O165" s="132">
        <f t="shared" si="42"/>
        <v>4.7</v>
      </c>
      <c r="P165" s="177">
        <f t="shared" si="43"/>
        <v>0</v>
      </c>
      <c r="Q165" s="177">
        <f t="shared" si="44"/>
        <v>4.7</v>
      </c>
      <c r="S165" s="233" t="b">
        <f t="shared" si="38"/>
        <v>0</v>
      </c>
    </row>
    <row r="166" spans="1:19">
      <c r="A166" s="126" t="s">
        <v>3681</v>
      </c>
      <c r="B166" s="126" t="str">
        <f t="shared" si="37"/>
        <v>D0382</v>
      </c>
      <c r="C166" s="126">
        <v>5092</v>
      </c>
      <c r="D166" s="126" t="s">
        <v>2390</v>
      </c>
      <c r="E166" s="126">
        <v>337</v>
      </c>
      <c r="F166" s="126">
        <v>0</v>
      </c>
      <c r="G166" s="126">
        <v>113</v>
      </c>
      <c r="H166" s="126">
        <v>0</v>
      </c>
      <c r="I166" s="126">
        <v>33.53</v>
      </c>
      <c r="J166" s="126">
        <v>0</v>
      </c>
      <c r="K166" s="126">
        <v>0</v>
      </c>
      <c r="L166" s="126">
        <f t="shared" si="39"/>
        <v>337</v>
      </c>
      <c r="M166" s="126">
        <f t="shared" si="40"/>
        <v>113</v>
      </c>
      <c r="N166" s="171">
        <f t="shared" si="41"/>
        <v>0.33529999999999999</v>
      </c>
      <c r="O166" s="132">
        <f t="shared" si="42"/>
        <v>0</v>
      </c>
      <c r="P166" s="177">
        <f t="shared" si="43"/>
        <v>0</v>
      </c>
      <c r="Q166" s="177">
        <f t="shared" si="44"/>
        <v>0</v>
      </c>
      <c r="S166" s="233" t="b">
        <f t="shared" si="38"/>
        <v>0</v>
      </c>
    </row>
    <row r="167" spans="1:19">
      <c r="A167" s="126" t="s">
        <v>3682</v>
      </c>
      <c r="B167" s="126" t="str">
        <f t="shared" si="37"/>
        <v>D0415</v>
      </c>
      <c r="C167" s="126">
        <v>5936</v>
      </c>
      <c r="D167" s="126" t="s">
        <v>2576</v>
      </c>
      <c r="E167" s="126">
        <v>418</v>
      </c>
      <c r="F167" s="126">
        <v>0</v>
      </c>
      <c r="G167" s="126">
        <v>187</v>
      </c>
      <c r="H167" s="126">
        <v>0</v>
      </c>
      <c r="I167" s="126">
        <v>44.74</v>
      </c>
      <c r="J167" s="126">
        <v>0</v>
      </c>
      <c r="K167" s="126">
        <v>12.7</v>
      </c>
      <c r="L167" s="126">
        <f t="shared" si="39"/>
        <v>418</v>
      </c>
      <c r="M167" s="126">
        <f t="shared" si="40"/>
        <v>187</v>
      </c>
      <c r="N167" s="171">
        <f t="shared" si="41"/>
        <v>0.44740000000000002</v>
      </c>
      <c r="O167" s="132">
        <f t="shared" si="42"/>
        <v>12.7</v>
      </c>
      <c r="P167" s="177">
        <f t="shared" si="43"/>
        <v>0</v>
      </c>
      <c r="Q167" s="177">
        <f t="shared" si="44"/>
        <v>12.7</v>
      </c>
      <c r="S167" s="233" t="b">
        <f t="shared" si="38"/>
        <v>0</v>
      </c>
    </row>
    <row r="168" spans="1:19">
      <c r="A168" s="126" t="s">
        <v>3682</v>
      </c>
      <c r="B168" s="126" t="str">
        <f t="shared" si="37"/>
        <v>D0415</v>
      </c>
      <c r="C168" s="126">
        <v>5940</v>
      </c>
      <c r="D168" s="126" t="s">
        <v>2578</v>
      </c>
      <c r="E168" s="126">
        <v>260</v>
      </c>
      <c r="F168" s="126">
        <v>0</v>
      </c>
      <c r="G168" s="126">
        <v>79</v>
      </c>
      <c r="H168" s="126">
        <v>0</v>
      </c>
      <c r="I168" s="126">
        <v>30.38</v>
      </c>
      <c r="J168" s="126">
        <v>0</v>
      </c>
      <c r="K168" s="126">
        <v>0</v>
      </c>
      <c r="L168" s="126">
        <f t="shared" si="39"/>
        <v>260</v>
      </c>
      <c r="M168" s="126">
        <f t="shared" si="40"/>
        <v>79</v>
      </c>
      <c r="N168" s="171">
        <f t="shared" si="41"/>
        <v>0.30380000000000001</v>
      </c>
      <c r="O168" s="132">
        <f t="shared" si="42"/>
        <v>0</v>
      </c>
      <c r="P168" s="177">
        <f t="shared" si="43"/>
        <v>0</v>
      </c>
      <c r="Q168" s="177">
        <f t="shared" si="44"/>
        <v>0</v>
      </c>
      <c r="S168" s="233" t="b">
        <f t="shared" si="38"/>
        <v>0</v>
      </c>
    </row>
    <row r="169" spans="1:19">
      <c r="A169" s="126" t="s">
        <v>3682</v>
      </c>
      <c r="B169" s="126" t="str">
        <f t="shared" si="37"/>
        <v>D0415</v>
      </c>
      <c r="C169" s="126">
        <v>5950</v>
      </c>
      <c r="D169" s="126" t="s">
        <v>2580</v>
      </c>
      <c r="E169" s="126">
        <v>299</v>
      </c>
      <c r="F169" s="126">
        <v>0</v>
      </c>
      <c r="G169" s="126">
        <v>128</v>
      </c>
      <c r="H169" s="126">
        <v>0</v>
      </c>
      <c r="I169" s="126">
        <v>42.81</v>
      </c>
      <c r="J169" s="126">
        <v>0</v>
      </c>
      <c r="K169" s="126">
        <v>7</v>
      </c>
      <c r="L169" s="126">
        <f t="shared" si="39"/>
        <v>299</v>
      </c>
      <c r="M169" s="126">
        <f t="shared" si="40"/>
        <v>128</v>
      </c>
      <c r="N169" s="171">
        <f t="shared" si="41"/>
        <v>0.42809999999999998</v>
      </c>
      <c r="O169" s="132">
        <f t="shared" si="42"/>
        <v>7</v>
      </c>
      <c r="P169" s="177">
        <f t="shared" si="43"/>
        <v>0</v>
      </c>
      <c r="Q169" s="177">
        <f t="shared" si="44"/>
        <v>7</v>
      </c>
      <c r="S169" s="233" t="b">
        <f t="shared" si="38"/>
        <v>0</v>
      </c>
    </row>
    <row r="170" spans="1:19">
      <c r="A170" s="126" t="s">
        <v>3690</v>
      </c>
      <c r="B170" s="126" t="str">
        <f t="shared" ref="B170:B177" si="45">LEFT(A170,5)</f>
        <v>D0216</v>
      </c>
      <c r="C170" s="126">
        <v>482</v>
      </c>
      <c r="D170" s="126" t="s">
        <v>1073</v>
      </c>
      <c r="E170" s="126">
        <v>111</v>
      </c>
      <c r="F170" s="126">
        <v>0</v>
      </c>
      <c r="G170" s="126">
        <v>64</v>
      </c>
      <c r="H170" s="126">
        <v>0</v>
      </c>
      <c r="I170" s="126">
        <v>57.66</v>
      </c>
      <c r="J170" s="126">
        <v>6.7</v>
      </c>
      <c r="K170" s="126">
        <v>0</v>
      </c>
      <c r="L170" s="126">
        <f t="shared" ref="L170:L194" si="46">SUM(E170:F170)</f>
        <v>111</v>
      </c>
      <c r="M170" s="126">
        <f t="shared" ref="M170:M194" si="47">SUM(G170:H170)</f>
        <v>64</v>
      </c>
      <c r="N170" s="171">
        <f t="shared" ref="N170:N194" si="48">IF(ISERROR(M170/L170),0,M170/L170)</f>
        <v>0.5766</v>
      </c>
      <c r="O170" s="132">
        <f t="shared" ref="O170:O194" si="49">IF(AND((N170-35%)&gt;0,N170&lt;50%),M170*(N170-35%)*0.7,0)</f>
        <v>0</v>
      </c>
      <c r="P170" s="177">
        <f t="shared" ref="P170:P194" si="50">IF(N170&gt;=50%,M170*10.5%,0)</f>
        <v>6.7</v>
      </c>
      <c r="Q170" s="177">
        <f t="shared" ref="Q170:Q194" si="51">MAX(O170,P170)</f>
        <v>6.7</v>
      </c>
      <c r="S170" s="233" t="b">
        <f t="shared" si="38"/>
        <v>0</v>
      </c>
    </row>
    <row r="171" spans="1:19">
      <c r="A171" s="126" t="s">
        <v>3690</v>
      </c>
      <c r="B171" s="126" t="str">
        <f t="shared" si="45"/>
        <v>D0216</v>
      </c>
      <c r="C171" s="126">
        <v>483</v>
      </c>
      <c r="D171" s="126" t="s">
        <v>1075</v>
      </c>
      <c r="E171" s="126">
        <v>37</v>
      </c>
      <c r="F171" s="126">
        <v>0</v>
      </c>
      <c r="G171" s="126">
        <v>23</v>
      </c>
      <c r="H171" s="126">
        <v>0</v>
      </c>
      <c r="I171" s="126">
        <v>62.16</v>
      </c>
      <c r="J171" s="126">
        <v>2.4</v>
      </c>
      <c r="K171" s="126">
        <v>0</v>
      </c>
      <c r="L171" s="126">
        <f t="shared" si="46"/>
        <v>37</v>
      </c>
      <c r="M171" s="126">
        <f t="shared" si="47"/>
        <v>23</v>
      </c>
      <c r="N171" s="171">
        <f t="shared" si="48"/>
        <v>0.62160000000000004</v>
      </c>
      <c r="O171" s="132">
        <f t="shared" si="49"/>
        <v>0</v>
      </c>
      <c r="P171" s="177">
        <f t="shared" si="50"/>
        <v>2.4</v>
      </c>
      <c r="Q171" s="177">
        <f t="shared" si="51"/>
        <v>2.4</v>
      </c>
      <c r="S171" s="233" t="b">
        <f t="shared" si="38"/>
        <v>0</v>
      </c>
    </row>
    <row r="172" spans="1:19">
      <c r="A172" s="126" t="s">
        <v>3690</v>
      </c>
      <c r="B172" s="126" t="str">
        <f t="shared" si="45"/>
        <v>D0216</v>
      </c>
      <c r="C172" s="126">
        <v>484</v>
      </c>
      <c r="D172" s="126" t="s">
        <v>1077</v>
      </c>
      <c r="E172" s="126">
        <v>45</v>
      </c>
      <c r="F172" s="126">
        <v>0</v>
      </c>
      <c r="G172" s="126">
        <v>27</v>
      </c>
      <c r="H172" s="126">
        <v>0</v>
      </c>
      <c r="I172" s="126">
        <v>60</v>
      </c>
      <c r="J172" s="126">
        <v>2.8</v>
      </c>
      <c r="K172" s="126">
        <v>0</v>
      </c>
      <c r="L172" s="126">
        <f t="shared" si="46"/>
        <v>45</v>
      </c>
      <c r="M172" s="126">
        <f t="shared" si="47"/>
        <v>27</v>
      </c>
      <c r="N172" s="171">
        <f t="shared" si="48"/>
        <v>0.6</v>
      </c>
      <c r="O172" s="132">
        <f t="shared" si="49"/>
        <v>0</v>
      </c>
      <c r="P172" s="177">
        <f t="shared" si="50"/>
        <v>2.8</v>
      </c>
      <c r="Q172" s="177">
        <f t="shared" si="51"/>
        <v>2.8</v>
      </c>
      <c r="S172" s="233" t="b">
        <f t="shared" si="38"/>
        <v>0</v>
      </c>
    </row>
    <row r="173" spans="1:19">
      <c r="A173" s="126" t="s">
        <v>3691</v>
      </c>
      <c r="B173" s="126" t="str">
        <f t="shared" si="45"/>
        <v>D0226</v>
      </c>
      <c r="C173" s="126">
        <v>700</v>
      </c>
      <c r="D173" s="126" t="s">
        <v>1121</v>
      </c>
      <c r="E173" s="126">
        <v>276</v>
      </c>
      <c r="F173" s="126">
        <v>0</v>
      </c>
      <c r="G173" s="126">
        <v>134</v>
      </c>
      <c r="H173" s="126">
        <v>0</v>
      </c>
      <c r="I173" s="126">
        <v>48.55</v>
      </c>
      <c r="J173" s="126">
        <v>0</v>
      </c>
      <c r="K173" s="126">
        <v>12.7</v>
      </c>
      <c r="L173" s="126">
        <f t="shared" si="46"/>
        <v>276</v>
      </c>
      <c r="M173" s="126">
        <f t="shared" si="47"/>
        <v>134</v>
      </c>
      <c r="N173" s="171">
        <f t="shared" si="48"/>
        <v>0.48549999999999999</v>
      </c>
      <c r="O173" s="132">
        <f t="shared" si="49"/>
        <v>12.7</v>
      </c>
      <c r="P173" s="177">
        <f t="shared" si="50"/>
        <v>0</v>
      </c>
      <c r="Q173" s="177">
        <f t="shared" si="51"/>
        <v>12.7</v>
      </c>
      <c r="S173" s="233" t="b">
        <f t="shared" si="38"/>
        <v>0</v>
      </c>
    </row>
    <row r="174" spans="1:19">
      <c r="A174" s="126" t="s">
        <v>3691</v>
      </c>
      <c r="B174" s="126" t="str">
        <f t="shared" si="45"/>
        <v>D0226</v>
      </c>
      <c r="C174" s="126">
        <v>702</v>
      </c>
      <c r="D174" s="126" t="s">
        <v>1123</v>
      </c>
      <c r="E174" s="126">
        <v>126</v>
      </c>
      <c r="F174" s="126">
        <v>0</v>
      </c>
      <c r="G174" s="126">
        <v>31</v>
      </c>
      <c r="H174" s="126">
        <v>0</v>
      </c>
      <c r="I174" s="126">
        <v>24.6</v>
      </c>
      <c r="J174" s="126">
        <v>0</v>
      </c>
      <c r="K174" s="126">
        <v>0</v>
      </c>
      <c r="L174" s="126">
        <f t="shared" si="46"/>
        <v>126</v>
      </c>
      <c r="M174" s="126">
        <f t="shared" si="47"/>
        <v>31</v>
      </c>
      <c r="N174" s="171">
        <f t="shared" si="48"/>
        <v>0.246</v>
      </c>
      <c r="O174" s="132">
        <f t="shared" si="49"/>
        <v>0</v>
      </c>
      <c r="P174" s="177">
        <f t="shared" si="50"/>
        <v>0</v>
      </c>
      <c r="Q174" s="177">
        <f t="shared" si="51"/>
        <v>0</v>
      </c>
      <c r="S174" s="233" t="b">
        <f t="shared" si="38"/>
        <v>0</v>
      </c>
    </row>
    <row r="175" spans="1:19">
      <c r="A175" s="126" t="s">
        <v>3694</v>
      </c>
      <c r="B175" s="126" t="str">
        <f t="shared" si="45"/>
        <v>D0249</v>
      </c>
      <c r="C175" s="126">
        <v>1287</v>
      </c>
      <c r="D175" s="126" t="s">
        <v>1431</v>
      </c>
      <c r="E175" s="126">
        <v>432</v>
      </c>
      <c r="F175" s="126">
        <v>0</v>
      </c>
      <c r="G175" s="126">
        <v>137</v>
      </c>
      <c r="H175" s="126">
        <v>0</v>
      </c>
      <c r="I175" s="126">
        <v>31.71</v>
      </c>
      <c r="J175" s="126">
        <v>0</v>
      </c>
      <c r="K175" s="126">
        <v>0</v>
      </c>
      <c r="L175" s="126">
        <f t="shared" si="46"/>
        <v>432</v>
      </c>
      <c r="M175" s="126">
        <f t="shared" si="47"/>
        <v>137</v>
      </c>
      <c r="N175" s="171">
        <f t="shared" si="48"/>
        <v>0.31709999999999999</v>
      </c>
      <c r="O175" s="132">
        <f t="shared" si="49"/>
        <v>0</v>
      </c>
      <c r="P175" s="177">
        <f t="shared" si="50"/>
        <v>0</v>
      </c>
      <c r="Q175" s="177">
        <f t="shared" si="51"/>
        <v>0</v>
      </c>
      <c r="S175" s="233" t="b">
        <f t="shared" si="38"/>
        <v>0</v>
      </c>
    </row>
    <row r="176" spans="1:19">
      <c r="A176" s="126" t="s">
        <v>3694</v>
      </c>
      <c r="B176" s="126" t="str">
        <f t="shared" si="45"/>
        <v>D0249</v>
      </c>
      <c r="C176" s="126">
        <v>1291</v>
      </c>
      <c r="D176" s="126" t="s">
        <v>1433</v>
      </c>
      <c r="E176" s="126">
        <v>228</v>
      </c>
      <c r="F176" s="126">
        <v>0</v>
      </c>
      <c r="G176" s="126">
        <v>75</v>
      </c>
      <c r="H176" s="126">
        <v>0</v>
      </c>
      <c r="I176" s="126">
        <v>32.89</v>
      </c>
      <c r="J176" s="126">
        <v>0</v>
      </c>
      <c r="K176" s="126">
        <v>0</v>
      </c>
      <c r="L176" s="126">
        <f t="shared" si="46"/>
        <v>228</v>
      </c>
      <c r="M176" s="126">
        <f t="shared" si="47"/>
        <v>75</v>
      </c>
      <c r="N176" s="171">
        <f t="shared" si="48"/>
        <v>0.32890000000000003</v>
      </c>
      <c r="O176" s="132">
        <f t="shared" si="49"/>
        <v>0</v>
      </c>
      <c r="P176" s="177">
        <f t="shared" si="50"/>
        <v>0</v>
      </c>
      <c r="Q176" s="177">
        <f t="shared" si="51"/>
        <v>0</v>
      </c>
      <c r="S176" s="233" t="b">
        <f t="shared" si="38"/>
        <v>0</v>
      </c>
    </row>
    <row r="177" spans="1:19">
      <c r="A177" s="126" t="s">
        <v>3694</v>
      </c>
      <c r="B177" s="126" t="str">
        <f t="shared" si="45"/>
        <v>D0249</v>
      </c>
      <c r="C177" s="126">
        <v>1293</v>
      </c>
      <c r="D177" s="126" t="s">
        <v>1435</v>
      </c>
      <c r="E177" s="126">
        <v>260</v>
      </c>
      <c r="F177" s="126">
        <v>0</v>
      </c>
      <c r="G177" s="126">
        <v>68</v>
      </c>
      <c r="H177" s="126">
        <v>0</v>
      </c>
      <c r="I177" s="126">
        <v>26.15</v>
      </c>
      <c r="J177" s="126">
        <v>0</v>
      </c>
      <c r="K177" s="126">
        <v>0</v>
      </c>
      <c r="L177" s="126">
        <f t="shared" si="46"/>
        <v>260</v>
      </c>
      <c r="M177" s="126">
        <f t="shared" si="47"/>
        <v>68</v>
      </c>
      <c r="N177" s="171">
        <f t="shared" si="48"/>
        <v>0.26150000000000001</v>
      </c>
      <c r="O177" s="132">
        <f t="shared" si="49"/>
        <v>0</v>
      </c>
      <c r="P177" s="177">
        <f t="shared" si="50"/>
        <v>0</v>
      </c>
      <c r="Q177" s="177">
        <f t="shared" si="51"/>
        <v>0</v>
      </c>
      <c r="S177" s="233" t="b">
        <f t="shared" si="38"/>
        <v>0</v>
      </c>
    </row>
    <row r="178" spans="1:19">
      <c r="A178" s="126" t="s">
        <v>3695</v>
      </c>
      <c r="B178" s="126" t="str">
        <f t="shared" ref="B178:B226" si="52">LEFT(A178,5)</f>
        <v>D0256</v>
      </c>
      <c r="C178" s="126">
        <v>1536</v>
      </c>
      <c r="D178" s="126" t="s">
        <v>1484</v>
      </c>
      <c r="E178" s="126">
        <v>134</v>
      </c>
      <c r="F178" s="126">
        <v>0</v>
      </c>
      <c r="G178" s="126">
        <v>60</v>
      </c>
      <c r="H178" s="126">
        <v>0</v>
      </c>
      <c r="I178" s="126">
        <v>44.78</v>
      </c>
      <c r="J178" s="126">
        <v>0</v>
      </c>
      <c r="K178" s="126">
        <v>4.0999999999999996</v>
      </c>
      <c r="L178" s="126">
        <f t="shared" si="46"/>
        <v>134</v>
      </c>
      <c r="M178" s="126">
        <f t="shared" si="47"/>
        <v>60</v>
      </c>
      <c r="N178" s="171">
        <f t="shared" si="48"/>
        <v>0.44779999999999998</v>
      </c>
      <c r="O178" s="132">
        <f t="shared" si="49"/>
        <v>4.0999999999999996</v>
      </c>
      <c r="P178" s="177">
        <f t="shared" si="50"/>
        <v>0</v>
      </c>
      <c r="Q178" s="177">
        <f t="shared" si="51"/>
        <v>4.0999999999999996</v>
      </c>
      <c r="S178" s="233" t="b">
        <f t="shared" si="38"/>
        <v>0</v>
      </c>
    </row>
    <row r="179" spans="1:19">
      <c r="A179" s="126" t="s">
        <v>3695</v>
      </c>
      <c r="B179" s="126" t="str">
        <f t="shared" si="52"/>
        <v>D0256</v>
      </c>
      <c r="C179" s="126">
        <v>1538</v>
      </c>
      <c r="D179" s="126" t="s">
        <v>1486</v>
      </c>
      <c r="E179" s="126">
        <v>125</v>
      </c>
      <c r="F179" s="126">
        <v>0</v>
      </c>
      <c r="G179" s="126">
        <v>55</v>
      </c>
      <c r="H179" s="126">
        <v>0</v>
      </c>
      <c r="I179" s="126">
        <v>44</v>
      </c>
      <c r="J179" s="126">
        <v>0</v>
      </c>
      <c r="K179" s="126">
        <v>3.5</v>
      </c>
      <c r="L179" s="126">
        <f t="shared" si="46"/>
        <v>125</v>
      </c>
      <c r="M179" s="126">
        <f t="shared" si="47"/>
        <v>55</v>
      </c>
      <c r="N179" s="171">
        <f t="shared" si="48"/>
        <v>0.44</v>
      </c>
      <c r="O179" s="132">
        <f t="shared" si="49"/>
        <v>3.5</v>
      </c>
      <c r="P179" s="177">
        <f t="shared" si="50"/>
        <v>0</v>
      </c>
      <c r="Q179" s="177">
        <f t="shared" si="51"/>
        <v>3.5</v>
      </c>
      <c r="S179" s="233" t="b">
        <f t="shared" si="38"/>
        <v>0</v>
      </c>
    </row>
    <row r="180" spans="1:19">
      <c r="A180" s="126" t="s">
        <v>3696</v>
      </c>
      <c r="B180" s="126" t="str">
        <f t="shared" si="52"/>
        <v>D0311</v>
      </c>
      <c r="C180" s="126">
        <v>3218</v>
      </c>
      <c r="D180" s="126" t="s">
        <v>1989</v>
      </c>
      <c r="E180" s="126">
        <v>107</v>
      </c>
      <c r="F180" s="126">
        <v>0</v>
      </c>
      <c r="G180" s="126">
        <v>27</v>
      </c>
      <c r="H180" s="126">
        <v>0</v>
      </c>
      <c r="I180" s="126">
        <v>25.23</v>
      </c>
      <c r="J180" s="126">
        <v>0</v>
      </c>
      <c r="K180" s="126">
        <v>0</v>
      </c>
      <c r="L180" s="126">
        <f t="shared" si="46"/>
        <v>107</v>
      </c>
      <c r="M180" s="126">
        <f t="shared" si="47"/>
        <v>27</v>
      </c>
      <c r="N180" s="171">
        <f t="shared" si="48"/>
        <v>0.25230000000000002</v>
      </c>
      <c r="O180" s="132">
        <f t="shared" si="49"/>
        <v>0</v>
      </c>
      <c r="P180" s="177">
        <f t="shared" si="50"/>
        <v>0</v>
      </c>
      <c r="Q180" s="177">
        <f t="shared" si="51"/>
        <v>0</v>
      </c>
      <c r="S180" s="233" t="b">
        <f t="shared" si="38"/>
        <v>0</v>
      </c>
    </row>
    <row r="181" spans="1:19">
      <c r="A181" s="126" t="s">
        <v>3696</v>
      </c>
      <c r="B181" s="126" t="str">
        <f t="shared" si="52"/>
        <v>D0311</v>
      </c>
      <c r="C181" s="126">
        <v>3220</v>
      </c>
      <c r="D181" s="126" t="s">
        <v>1991</v>
      </c>
      <c r="E181" s="126">
        <v>69</v>
      </c>
      <c r="F181" s="126">
        <v>0</v>
      </c>
      <c r="G181" s="126">
        <v>17</v>
      </c>
      <c r="H181" s="126">
        <v>0</v>
      </c>
      <c r="I181" s="126">
        <v>24.64</v>
      </c>
      <c r="J181" s="126">
        <v>0</v>
      </c>
      <c r="K181" s="126">
        <v>0</v>
      </c>
      <c r="L181" s="126">
        <f t="shared" si="46"/>
        <v>69</v>
      </c>
      <c r="M181" s="126">
        <f t="shared" si="47"/>
        <v>17</v>
      </c>
      <c r="N181" s="171">
        <f t="shared" si="48"/>
        <v>0.24640000000000001</v>
      </c>
      <c r="O181" s="132">
        <f t="shared" si="49"/>
        <v>0</v>
      </c>
      <c r="P181" s="177">
        <f t="shared" si="50"/>
        <v>0</v>
      </c>
      <c r="Q181" s="177">
        <f t="shared" si="51"/>
        <v>0</v>
      </c>
      <c r="S181" s="233" t="b">
        <f t="shared" si="38"/>
        <v>0</v>
      </c>
    </row>
    <row r="182" spans="1:19">
      <c r="A182" s="126" t="s">
        <v>3696</v>
      </c>
      <c r="B182" s="126" t="str">
        <f t="shared" si="52"/>
        <v>D0311</v>
      </c>
      <c r="C182" s="126">
        <v>3222</v>
      </c>
      <c r="D182" s="126" t="s">
        <v>1993</v>
      </c>
      <c r="E182" s="126">
        <v>100</v>
      </c>
      <c r="F182" s="126">
        <v>0</v>
      </c>
      <c r="G182" s="126">
        <v>32</v>
      </c>
      <c r="H182" s="126">
        <v>0</v>
      </c>
      <c r="I182" s="126">
        <v>32</v>
      </c>
      <c r="J182" s="126">
        <v>0</v>
      </c>
      <c r="K182" s="126">
        <v>0</v>
      </c>
      <c r="L182" s="126">
        <f t="shared" si="46"/>
        <v>100</v>
      </c>
      <c r="M182" s="126">
        <f t="shared" si="47"/>
        <v>32</v>
      </c>
      <c r="N182" s="171">
        <f t="shared" si="48"/>
        <v>0.32</v>
      </c>
      <c r="O182" s="132">
        <f t="shared" si="49"/>
        <v>0</v>
      </c>
      <c r="P182" s="177">
        <f t="shared" si="50"/>
        <v>0</v>
      </c>
      <c r="Q182" s="177">
        <f t="shared" si="51"/>
        <v>0</v>
      </c>
      <c r="S182" s="233" t="b">
        <f t="shared" si="38"/>
        <v>0</v>
      </c>
    </row>
    <row r="183" spans="1:19">
      <c r="A183" s="126" t="s">
        <v>3697</v>
      </c>
      <c r="B183" s="126" t="str">
        <f t="shared" si="52"/>
        <v>D0352</v>
      </c>
      <c r="C183" s="126">
        <v>4228</v>
      </c>
      <c r="D183" s="126" t="s">
        <v>2208</v>
      </c>
      <c r="E183" s="126">
        <v>395</v>
      </c>
      <c r="F183" s="126">
        <v>0</v>
      </c>
      <c r="G183" s="126">
        <v>157</v>
      </c>
      <c r="H183" s="126">
        <v>0</v>
      </c>
      <c r="I183" s="126">
        <v>39.75</v>
      </c>
      <c r="J183" s="126">
        <v>0</v>
      </c>
      <c r="K183" s="126">
        <v>5.2</v>
      </c>
      <c r="L183" s="126">
        <f t="shared" si="46"/>
        <v>395</v>
      </c>
      <c r="M183" s="126">
        <f t="shared" si="47"/>
        <v>157</v>
      </c>
      <c r="N183" s="171">
        <f t="shared" si="48"/>
        <v>0.39750000000000002</v>
      </c>
      <c r="O183" s="132">
        <f t="shared" si="49"/>
        <v>5.2</v>
      </c>
      <c r="P183" s="177">
        <f t="shared" si="50"/>
        <v>0</v>
      </c>
      <c r="Q183" s="177">
        <f t="shared" si="51"/>
        <v>5.2</v>
      </c>
      <c r="S183" s="233" t="b">
        <f t="shared" si="38"/>
        <v>0</v>
      </c>
    </row>
    <row r="184" spans="1:19">
      <c r="A184" s="126" t="s">
        <v>3697</v>
      </c>
      <c r="B184" s="126" t="str">
        <f t="shared" si="52"/>
        <v>D0352</v>
      </c>
      <c r="C184" s="126">
        <v>4230</v>
      </c>
      <c r="D184" s="126" t="s">
        <v>2210</v>
      </c>
      <c r="E184" s="126">
        <v>285</v>
      </c>
      <c r="F184" s="126">
        <v>0</v>
      </c>
      <c r="G184" s="126">
        <v>99</v>
      </c>
      <c r="H184" s="126">
        <v>0</v>
      </c>
      <c r="I184" s="126">
        <v>34.74</v>
      </c>
      <c r="J184" s="126">
        <v>0</v>
      </c>
      <c r="K184" s="126">
        <v>0</v>
      </c>
      <c r="L184" s="126">
        <f t="shared" si="46"/>
        <v>285</v>
      </c>
      <c r="M184" s="126">
        <f t="shared" si="47"/>
        <v>99</v>
      </c>
      <c r="N184" s="171">
        <f t="shared" si="48"/>
        <v>0.34739999999999999</v>
      </c>
      <c r="O184" s="132">
        <f t="shared" si="49"/>
        <v>0</v>
      </c>
      <c r="P184" s="177">
        <f t="shared" si="50"/>
        <v>0</v>
      </c>
      <c r="Q184" s="177">
        <f t="shared" si="51"/>
        <v>0</v>
      </c>
      <c r="S184" s="233" t="b">
        <f t="shared" si="38"/>
        <v>0</v>
      </c>
    </row>
    <row r="185" spans="1:19">
      <c r="A185" s="126" t="s">
        <v>3697</v>
      </c>
      <c r="B185" s="126" t="str">
        <f t="shared" si="52"/>
        <v>D0352</v>
      </c>
      <c r="C185" s="126">
        <v>4239</v>
      </c>
      <c r="D185" s="126" t="s">
        <v>2212</v>
      </c>
      <c r="E185" s="126">
        <v>212</v>
      </c>
      <c r="F185" s="126">
        <v>0</v>
      </c>
      <c r="G185" s="126">
        <v>94</v>
      </c>
      <c r="H185" s="126">
        <v>0</v>
      </c>
      <c r="I185" s="126">
        <v>44.34</v>
      </c>
      <c r="J185" s="126">
        <v>0</v>
      </c>
      <c r="K185" s="126">
        <v>6.1</v>
      </c>
      <c r="L185" s="126">
        <f t="shared" si="46"/>
        <v>212</v>
      </c>
      <c r="M185" s="126">
        <f t="shared" si="47"/>
        <v>94</v>
      </c>
      <c r="N185" s="171">
        <f t="shared" si="48"/>
        <v>0.44340000000000002</v>
      </c>
      <c r="O185" s="132">
        <f t="shared" si="49"/>
        <v>6.1</v>
      </c>
      <c r="P185" s="177">
        <f t="shared" si="50"/>
        <v>0</v>
      </c>
      <c r="Q185" s="177">
        <f t="shared" si="51"/>
        <v>6.1</v>
      </c>
      <c r="S185" s="233" t="b">
        <f t="shared" si="38"/>
        <v>0</v>
      </c>
    </row>
    <row r="186" spans="1:19">
      <c r="A186" s="126" t="s">
        <v>3699</v>
      </c>
      <c r="B186" s="126" t="str">
        <f t="shared" si="52"/>
        <v>D0375</v>
      </c>
      <c r="C186" s="126">
        <v>4850</v>
      </c>
      <c r="D186" s="126" t="s">
        <v>2340</v>
      </c>
      <c r="E186" s="126">
        <v>229</v>
      </c>
      <c r="F186" s="126">
        <v>0</v>
      </c>
      <c r="G186" s="126">
        <v>43</v>
      </c>
      <c r="H186" s="126">
        <v>0</v>
      </c>
      <c r="I186" s="126">
        <v>18.78</v>
      </c>
      <c r="J186" s="126">
        <v>0</v>
      </c>
      <c r="K186" s="126">
        <v>0</v>
      </c>
      <c r="L186" s="126">
        <f t="shared" si="46"/>
        <v>229</v>
      </c>
      <c r="M186" s="126">
        <f t="shared" si="47"/>
        <v>43</v>
      </c>
      <c r="N186" s="171">
        <f t="shared" si="48"/>
        <v>0.18779999999999999</v>
      </c>
      <c r="O186" s="132">
        <f t="shared" si="49"/>
        <v>0</v>
      </c>
      <c r="P186" s="177">
        <f t="shared" si="50"/>
        <v>0</v>
      </c>
      <c r="Q186" s="177">
        <f t="shared" si="51"/>
        <v>0</v>
      </c>
      <c r="S186" s="233" t="b">
        <f t="shared" si="38"/>
        <v>0</v>
      </c>
    </row>
    <row r="187" spans="1:19">
      <c r="A187" s="126" t="s">
        <v>3699</v>
      </c>
      <c r="B187" s="126" t="str">
        <f t="shared" si="52"/>
        <v>D0375</v>
      </c>
      <c r="C187" s="126">
        <v>4852</v>
      </c>
      <c r="D187" s="126" t="s">
        <v>2342</v>
      </c>
      <c r="E187" s="126">
        <v>568</v>
      </c>
      <c r="F187" s="126">
        <v>0</v>
      </c>
      <c r="G187" s="126">
        <v>95</v>
      </c>
      <c r="H187" s="126">
        <v>0</v>
      </c>
      <c r="I187" s="126">
        <v>16.73</v>
      </c>
      <c r="J187" s="126">
        <v>0</v>
      </c>
      <c r="K187" s="126">
        <v>0</v>
      </c>
      <c r="L187" s="126">
        <f t="shared" si="46"/>
        <v>568</v>
      </c>
      <c r="M187" s="126">
        <f t="shared" si="47"/>
        <v>95</v>
      </c>
      <c r="N187" s="171">
        <f t="shared" si="48"/>
        <v>0.1673</v>
      </c>
      <c r="O187" s="132">
        <f t="shared" si="49"/>
        <v>0</v>
      </c>
      <c r="P187" s="177">
        <f t="shared" si="50"/>
        <v>0</v>
      </c>
      <c r="Q187" s="177">
        <f t="shared" si="51"/>
        <v>0</v>
      </c>
      <c r="S187" s="233" t="b">
        <f t="shared" si="38"/>
        <v>0</v>
      </c>
    </row>
    <row r="188" spans="1:19">
      <c r="A188" s="126" t="s">
        <v>3699</v>
      </c>
      <c r="B188" s="126" t="str">
        <f t="shared" si="52"/>
        <v>D0375</v>
      </c>
      <c r="C188" s="126">
        <v>4854</v>
      </c>
      <c r="D188" s="126" t="s">
        <v>2344</v>
      </c>
      <c r="E188" s="126">
        <v>261</v>
      </c>
      <c r="F188" s="126">
        <v>0</v>
      </c>
      <c r="G188" s="126">
        <v>93</v>
      </c>
      <c r="H188" s="126">
        <v>0</v>
      </c>
      <c r="I188" s="126">
        <v>35.630000000000003</v>
      </c>
      <c r="J188" s="126">
        <v>0</v>
      </c>
      <c r="K188" s="126">
        <v>0.4</v>
      </c>
      <c r="L188" s="126">
        <f t="shared" si="46"/>
        <v>261</v>
      </c>
      <c r="M188" s="126">
        <f t="shared" si="47"/>
        <v>93</v>
      </c>
      <c r="N188" s="171">
        <f t="shared" si="48"/>
        <v>0.35630000000000001</v>
      </c>
      <c r="O188" s="132">
        <f t="shared" si="49"/>
        <v>0.4</v>
      </c>
      <c r="P188" s="177">
        <f t="shared" si="50"/>
        <v>0</v>
      </c>
      <c r="Q188" s="177">
        <f t="shared" si="51"/>
        <v>0.4</v>
      </c>
      <c r="S188" s="233" t="b">
        <f t="shared" si="38"/>
        <v>0</v>
      </c>
    </row>
    <row r="189" spans="1:19">
      <c r="A189" s="126" t="s">
        <v>3699</v>
      </c>
      <c r="B189" s="126" t="str">
        <f t="shared" si="52"/>
        <v>D0375</v>
      </c>
      <c r="C189" s="126">
        <v>4856</v>
      </c>
      <c r="D189" s="126" t="s">
        <v>2346</v>
      </c>
      <c r="E189" s="126">
        <v>279</v>
      </c>
      <c r="F189" s="126">
        <v>0</v>
      </c>
      <c r="G189" s="126">
        <v>97</v>
      </c>
      <c r="H189" s="126">
        <v>0</v>
      </c>
      <c r="I189" s="126">
        <v>34.770000000000003</v>
      </c>
      <c r="J189" s="126">
        <v>0</v>
      </c>
      <c r="K189" s="126">
        <v>0</v>
      </c>
      <c r="L189" s="126">
        <f t="shared" si="46"/>
        <v>279</v>
      </c>
      <c r="M189" s="126">
        <f t="shared" si="47"/>
        <v>97</v>
      </c>
      <c r="N189" s="171">
        <f t="shared" si="48"/>
        <v>0.34770000000000001</v>
      </c>
      <c r="O189" s="132">
        <f t="shared" si="49"/>
        <v>0</v>
      </c>
      <c r="P189" s="177">
        <f t="shared" si="50"/>
        <v>0</v>
      </c>
      <c r="Q189" s="177">
        <f t="shared" si="51"/>
        <v>0</v>
      </c>
      <c r="S189" s="233" t="b">
        <f t="shared" si="38"/>
        <v>0</v>
      </c>
    </row>
    <row r="190" spans="1:19">
      <c r="A190" s="126" t="s">
        <v>3699</v>
      </c>
      <c r="B190" s="126" t="str">
        <f t="shared" si="52"/>
        <v>D0375</v>
      </c>
      <c r="C190" s="126">
        <v>4859</v>
      </c>
      <c r="D190" s="126" t="s">
        <v>2348</v>
      </c>
      <c r="E190" s="126">
        <v>301</v>
      </c>
      <c r="F190" s="126">
        <v>0</v>
      </c>
      <c r="G190" s="126">
        <v>69</v>
      </c>
      <c r="H190" s="126">
        <v>0</v>
      </c>
      <c r="I190" s="126">
        <v>22.92</v>
      </c>
      <c r="J190" s="126">
        <v>0</v>
      </c>
      <c r="K190" s="126">
        <v>0</v>
      </c>
      <c r="L190" s="126">
        <f t="shared" si="46"/>
        <v>301</v>
      </c>
      <c r="M190" s="126">
        <f t="shared" si="47"/>
        <v>69</v>
      </c>
      <c r="N190" s="171">
        <f t="shared" si="48"/>
        <v>0.22919999999999999</v>
      </c>
      <c r="O190" s="132">
        <f t="shared" si="49"/>
        <v>0</v>
      </c>
      <c r="P190" s="177">
        <f t="shared" si="50"/>
        <v>0</v>
      </c>
      <c r="Q190" s="177">
        <f t="shared" si="51"/>
        <v>0</v>
      </c>
      <c r="S190" s="233" t="b">
        <f t="shared" si="38"/>
        <v>0</v>
      </c>
    </row>
    <row r="191" spans="1:19">
      <c r="A191" s="126" t="s">
        <v>3699</v>
      </c>
      <c r="B191" s="126" t="str">
        <f t="shared" si="52"/>
        <v>D0375</v>
      </c>
      <c r="C191" s="126">
        <v>4876</v>
      </c>
      <c r="D191" s="126" t="s">
        <v>2350</v>
      </c>
      <c r="E191" s="126">
        <v>282</v>
      </c>
      <c r="F191" s="126">
        <v>0</v>
      </c>
      <c r="G191" s="126">
        <v>35</v>
      </c>
      <c r="H191" s="126">
        <v>0</v>
      </c>
      <c r="I191" s="126">
        <v>12.41</v>
      </c>
      <c r="J191" s="126">
        <v>0</v>
      </c>
      <c r="K191" s="126">
        <v>0</v>
      </c>
      <c r="L191" s="126">
        <f t="shared" si="46"/>
        <v>282</v>
      </c>
      <c r="M191" s="126">
        <f t="shared" si="47"/>
        <v>35</v>
      </c>
      <c r="N191" s="171">
        <f t="shared" si="48"/>
        <v>0.1241</v>
      </c>
      <c r="O191" s="132">
        <f t="shared" si="49"/>
        <v>0</v>
      </c>
      <c r="P191" s="177">
        <f t="shared" si="50"/>
        <v>0</v>
      </c>
      <c r="Q191" s="177">
        <f t="shared" si="51"/>
        <v>0</v>
      </c>
      <c r="S191" s="233" t="b">
        <f t="shared" si="38"/>
        <v>0</v>
      </c>
    </row>
    <row r="192" spans="1:19">
      <c r="A192" s="126" t="s">
        <v>3700</v>
      </c>
      <c r="B192" s="126" t="str">
        <f t="shared" si="52"/>
        <v>D0419</v>
      </c>
      <c r="C192" s="126">
        <v>6066</v>
      </c>
      <c r="D192" s="126" t="s">
        <v>2606</v>
      </c>
      <c r="E192" s="126">
        <v>161</v>
      </c>
      <c r="F192" s="126">
        <v>0</v>
      </c>
      <c r="G192" s="126">
        <v>39</v>
      </c>
      <c r="H192" s="126">
        <v>0</v>
      </c>
      <c r="I192" s="126">
        <v>24.22</v>
      </c>
      <c r="J192" s="126">
        <v>0</v>
      </c>
      <c r="K192" s="126">
        <v>0</v>
      </c>
      <c r="L192" s="126">
        <f t="shared" si="46"/>
        <v>161</v>
      </c>
      <c r="M192" s="126">
        <f t="shared" si="47"/>
        <v>39</v>
      </c>
      <c r="N192" s="171">
        <f t="shared" si="48"/>
        <v>0.2422</v>
      </c>
      <c r="O192" s="132">
        <f t="shared" si="49"/>
        <v>0</v>
      </c>
      <c r="P192" s="177">
        <f t="shared" si="50"/>
        <v>0</v>
      </c>
      <c r="Q192" s="177">
        <f t="shared" si="51"/>
        <v>0</v>
      </c>
      <c r="S192" s="233" t="b">
        <f t="shared" si="38"/>
        <v>0</v>
      </c>
    </row>
    <row r="193" spans="1:19">
      <c r="A193" s="126" t="s">
        <v>3700</v>
      </c>
      <c r="B193" s="126" t="str">
        <f t="shared" si="52"/>
        <v>D0419</v>
      </c>
      <c r="C193" s="126">
        <v>6070</v>
      </c>
      <c r="D193" s="126" t="s">
        <v>2608</v>
      </c>
      <c r="E193" s="126">
        <v>168</v>
      </c>
      <c r="F193" s="126">
        <v>0</v>
      </c>
      <c r="G193" s="126">
        <v>62</v>
      </c>
      <c r="H193" s="126">
        <v>0</v>
      </c>
      <c r="I193" s="126">
        <v>36.9</v>
      </c>
      <c r="J193" s="126">
        <v>0</v>
      </c>
      <c r="K193" s="126">
        <v>0.8</v>
      </c>
      <c r="L193" s="126">
        <f t="shared" si="46"/>
        <v>168</v>
      </c>
      <c r="M193" s="126">
        <f t="shared" si="47"/>
        <v>62</v>
      </c>
      <c r="N193" s="171">
        <f t="shared" si="48"/>
        <v>0.36899999999999999</v>
      </c>
      <c r="O193" s="132">
        <f t="shared" si="49"/>
        <v>0.8</v>
      </c>
      <c r="P193" s="177">
        <f t="shared" si="50"/>
        <v>0</v>
      </c>
      <c r="Q193" s="177">
        <f t="shared" si="51"/>
        <v>0.8</v>
      </c>
      <c r="S193" s="233" t="b">
        <f t="shared" si="38"/>
        <v>0</v>
      </c>
    </row>
    <row r="194" spans="1:19">
      <c r="A194" s="126" t="s">
        <v>3701</v>
      </c>
      <c r="B194" s="126" t="str">
        <f t="shared" si="52"/>
        <v>D0496</v>
      </c>
      <c r="C194" s="126">
        <v>8167</v>
      </c>
      <c r="D194" s="126" t="s">
        <v>3081</v>
      </c>
      <c r="E194" s="126">
        <v>133</v>
      </c>
      <c r="F194" s="126">
        <v>0</v>
      </c>
      <c r="G194" s="126">
        <v>43</v>
      </c>
      <c r="H194" s="126">
        <v>0</v>
      </c>
      <c r="I194" s="126">
        <v>32.33</v>
      </c>
      <c r="J194" s="126">
        <v>0</v>
      </c>
      <c r="K194" s="126">
        <v>0</v>
      </c>
      <c r="L194" s="126">
        <f t="shared" si="46"/>
        <v>133</v>
      </c>
      <c r="M194" s="126">
        <f t="shared" si="47"/>
        <v>43</v>
      </c>
      <c r="N194" s="171">
        <f t="shared" si="48"/>
        <v>0.32329999999999998</v>
      </c>
      <c r="O194" s="132">
        <f t="shared" si="49"/>
        <v>0</v>
      </c>
      <c r="P194" s="177">
        <f t="shared" si="50"/>
        <v>0</v>
      </c>
      <c r="Q194" s="177">
        <f t="shared" si="51"/>
        <v>0</v>
      </c>
      <c r="S194" s="233" t="b">
        <f t="shared" si="38"/>
        <v>0</v>
      </c>
    </row>
    <row r="195" spans="1:19">
      <c r="A195" s="126" t="s">
        <v>3704</v>
      </c>
      <c r="B195" s="126" t="str">
        <f t="shared" si="52"/>
        <v>D0493</v>
      </c>
      <c r="C195" s="126">
        <v>8064</v>
      </c>
      <c r="D195" s="126" t="s">
        <v>3065</v>
      </c>
      <c r="E195" s="126">
        <v>134</v>
      </c>
      <c r="F195" s="126">
        <v>0</v>
      </c>
      <c r="G195" s="126">
        <v>72</v>
      </c>
      <c r="H195" s="126">
        <v>0</v>
      </c>
      <c r="I195" s="126">
        <v>53.73</v>
      </c>
      <c r="J195" s="126">
        <v>7.6</v>
      </c>
      <c r="K195" s="126">
        <v>0</v>
      </c>
      <c r="L195" s="126">
        <f t="shared" ref="L195:L203" si="53">SUM(E195:F195)</f>
        <v>134</v>
      </c>
      <c r="M195" s="126">
        <f t="shared" ref="M195:M203" si="54">SUM(G195:H195)</f>
        <v>72</v>
      </c>
      <c r="N195" s="171">
        <f t="shared" ref="N195:N203" si="55">IF(ISERROR(M195/L195),0,M195/L195)</f>
        <v>0.5373</v>
      </c>
      <c r="O195" s="132">
        <f t="shared" ref="O195:O203" si="56">IF(AND((N195-35%)&gt;0,N195&lt;50%),M195*(N195-35%)*0.7,0)</f>
        <v>0</v>
      </c>
      <c r="P195" s="177">
        <f t="shared" ref="P195:P203" si="57">IF(N195&gt;=50%,M195*10.5%,0)</f>
        <v>7.6</v>
      </c>
      <c r="Q195" s="177">
        <f t="shared" ref="Q195:Q203" si="58">MAX(O195,P195)</f>
        <v>7.6</v>
      </c>
      <c r="S195" s="233" t="b">
        <f t="shared" si="38"/>
        <v>0</v>
      </c>
    </row>
    <row r="196" spans="1:19">
      <c r="A196" s="126" t="s">
        <v>3704</v>
      </c>
      <c r="B196" s="126" t="str">
        <f t="shared" si="52"/>
        <v>D0493</v>
      </c>
      <c r="C196" s="126">
        <v>8066</v>
      </c>
      <c r="D196" s="126" t="s">
        <v>2641</v>
      </c>
      <c r="E196" s="126">
        <v>155</v>
      </c>
      <c r="F196" s="126">
        <v>0</v>
      </c>
      <c r="G196" s="126">
        <v>76</v>
      </c>
      <c r="H196" s="126">
        <v>0</v>
      </c>
      <c r="I196" s="126">
        <v>49.03</v>
      </c>
      <c r="J196" s="126">
        <v>0</v>
      </c>
      <c r="K196" s="126">
        <v>7.5</v>
      </c>
      <c r="L196" s="126">
        <f t="shared" si="53"/>
        <v>155</v>
      </c>
      <c r="M196" s="126">
        <f t="shared" si="54"/>
        <v>76</v>
      </c>
      <c r="N196" s="171">
        <f t="shared" si="55"/>
        <v>0.49030000000000001</v>
      </c>
      <c r="O196" s="132">
        <f t="shared" si="56"/>
        <v>7.5</v>
      </c>
      <c r="P196" s="177">
        <f t="shared" si="57"/>
        <v>0</v>
      </c>
      <c r="Q196" s="177">
        <f t="shared" si="58"/>
        <v>7.5</v>
      </c>
      <c r="S196" s="233" t="b">
        <f t="shared" si="38"/>
        <v>0</v>
      </c>
    </row>
    <row r="197" spans="1:19">
      <c r="A197" s="126" t="s">
        <v>3704</v>
      </c>
      <c r="B197" s="126" t="str">
        <f t="shared" si="52"/>
        <v>D0493</v>
      </c>
      <c r="C197" s="126">
        <v>8068</v>
      </c>
      <c r="D197" s="126" t="s">
        <v>1267</v>
      </c>
      <c r="E197" s="126">
        <v>364</v>
      </c>
      <c r="F197" s="126">
        <v>0</v>
      </c>
      <c r="G197" s="126">
        <v>162</v>
      </c>
      <c r="H197" s="126">
        <v>0</v>
      </c>
      <c r="I197" s="126">
        <v>44.51</v>
      </c>
      <c r="J197" s="126">
        <v>0</v>
      </c>
      <c r="K197" s="126">
        <v>10.8</v>
      </c>
      <c r="L197" s="126">
        <f t="shared" si="53"/>
        <v>364</v>
      </c>
      <c r="M197" s="126">
        <f t="shared" si="54"/>
        <v>162</v>
      </c>
      <c r="N197" s="171">
        <f t="shared" si="55"/>
        <v>0.4451</v>
      </c>
      <c r="O197" s="132">
        <f t="shared" si="56"/>
        <v>10.8</v>
      </c>
      <c r="P197" s="177">
        <f t="shared" si="57"/>
        <v>0</v>
      </c>
      <c r="Q197" s="177">
        <f t="shared" si="58"/>
        <v>10.8</v>
      </c>
      <c r="S197" s="233" t="b">
        <f t="shared" ref="S197:S260" si="59">COUNTIF(C:C,C197)&gt;1</f>
        <v>0</v>
      </c>
    </row>
    <row r="198" spans="1:19">
      <c r="A198" s="126" t="s">
        <v>3704</v>
      </c>
      <c r="B198" s="126" t="str">
        <f t="shared" si="52"/>
        <v>D0493</v>
      </c>
      <c r="C198" s="126">
        <v>8070</v>
      </c>
      <c r="D198" s="126" t="s">
        <v>3069</v>
      </c>
      <c r="E198" s="126">
        <v>293</v>
      </c>
      <c r="F198" s="126">
        <v>0</v>
      </c>
      <c r="G198" s="126">
        <v>125</v>
      </c>
      <c r="H198" s="126">
        <v>0</v>
      </c>
      <c r="I198" s="126">
        <v>42.66</v>
      </c>
      <c r="J198" s="126">
        <v>0</v>
      </c>
      <c r="K198" s="126">
        <v>6.7</v>
      </c>
      <c r="L198" s="126">
        <f t="shared" si="53"/>
        <v>293</v>
      </c>
      <c r="M198" s="126">
        <f t="shared" si="54"/>
        <v>125</v>
      </c>
      <c r="N198" s="171">
        <f t="shared" si="55"/>
        <v>0.42659999999999998</v>
      </c>
      <c r="O198" s="132">
        <f t="shared" si="56"/>
        <v>6.7</v>
      </c>
      <c r="P198" s="177">
        <f t="shared" si="57"/>
        <v>0</v>
      </c>
      <c r="Q198" s="177">
        <f t="shared" si="58"/>
        <v>6.7</v>
      </c>
      <c r="S198" s="233" t="b">
        <f t="shared" si="59"/>
        <v>0</v>
      </c>
    </row>
    <row r="199" spans="1:19">
      <c r="A199" s="126" t="s">
        <v>3705</v>
      </c>
      <c r="B199" s="126" t="str">
        <f t="shared" si="52"/>
        <v>D0503</v>
      </c>
      <c r="C199" s="126">
        <v>8594</v>
      </c>
      <c r="D199" s="126" t="s">
        <v>3279</v>
      </c>
      <c r="E199" s="126">
        <v>301</v>
      </c>
      <c r="F199" s="126">
        <v>0</v>
      </c>
      <c r="G199" s="126">
        <v>180</v>
      </c>
      <c r="H199" s="126">
        <v>0</v>
      </c>
      <c r="I199" s="126">
        <v>59.8</v>
      </c>
      <c r="J199" s="126">
        <v>18.899999999999999</v>
      </c>
      <c r="K199" s="126">
        <v>0</v>
      </c>
      <c r="L199" s="126">
        <f t="shared" si="53"/>
        <v>301</v>
      </c>
      <c r="M199" s="126">
        <f t="shared" si="54"/>
        <v>180</v>
      </c>
      <c r="N199" s="171">
        <f t="shared" si="55"/>
        <v>0.59799999999999998</v>
      </c>
      <c r="O199" s="132">
        <f t="shared" si="56"/>
        <v>0</v>
      </c>
      <c r="P199" s="177">
        <f t="shared" si="57"/>
        <v>18.899999999999999</v>
      </c>
      <c r="Q199" s="177">
        <f t="shared" si="58"/>
        <v>18.899999999999999</v>
      </c>
      <c r="S199" s="233" t="b">
        <f t="shared" si="59"/>
        <v>0</v>
      </c>
    </row>
    <row r="200" spans="1:19">
      <c r="A200" s="126" t="s">
        <v>3705</v>
      </c>
      <c r="B200" s="126" t="str">
        <f t="shared" si="52"/>
        <v>D0503</v>
      </c>
      <c r="C200" s="126">
        <v>8596</v>
      </c>
      <c r="D200" s="126" t="s">
        <v>3281</v>
      </c>
      <c r="E200" s="126">
        <v>339</v>
      </c>
      <c r="F200" s="126">
        <v>0</v>
      </c>
      <c r="G200" s="126">
        <v>182</v>
      </c>
      <c r="H200" s="126">
        <v>0</v>
      </c>
      <c r="I200" s="126">
        <v>53.69</v>
      </c>
      <c r="J200" s="126">
        <v>19.100000000000001</v>
      </c>
      <c r="K200" s="126">
        <v>0</v>
      </c>
      <c r="L200" s="126">
        <f t="shared" si="53"/>
        <v>339</v>
      </c>
      <c r="M200" s="126">
        <f t="shared" si="54"/>
        <v>182</v>
      </c>
      <c r="N200" s="171">
        <f t="shared" si="55"/>
        <v>0.53690000000000004</v>
      </c>
      <c r="O200" s="132">
        <f t="shared" si="56"/>
        <v>0</v>
      </c>
      <c r="P200" s="177">
        <f t="shared" si="57"/>
        <v>19.100000000000001</v>
      </c>
      <c r="Q200" s="177">
        <f t="shared" si="58"/>
        <v>19.100000000000001</v>
      </c>
      <c r="S200" s="233" t="b">
        <f t="shared" si="59"/>
        <v>0</v>
      </c>
    </row>
    <row r="201" spans="1:19">
      <c r="A201" s="126" t="s">
        <v>3705</v>
      </c>
      <c r="B201" s="126" t="str">
        <f t="shared" si="52"/>
        <v>D0503</v>
      </c>
      <c r="C201" s="126">
        <v>8602</v>
      </c>
      <c r="D201" s="126" t="s">
        <v>3283</v>
      </c>
      <c r="E201" s="126">
        <v>186</v>
      </c>
      <c r="F201" s="126">
        <v>0</v>
      </c>
      <c r="G201" s="126">
        <v>114</v>
      </c>
      <c r="H201" s="126">
        <v>0</v>
      </c>
      <c r="I201" s="126">
        <v>61.29</v>
      </c>
      <c r="J201" s="126">
        <v>12</v>
      </c>
      <c r="K201" s="126">
        <v>0</v>
      </c>
      <c r="L201" s="126">
        <f t="shared" si="53"/>
        <v>186</v>
      </c>
      <c r="M201" s="126">
        <f t="shared" si="54"/>
        <v>114</v>
      </c>
      <c r="N201" s="171">
        <f t="shared" si="55"/>
        <v>0.6129</v>
      </c>
      <c r="O201" s="132">
        <f t="shared" si="56"/>
        <v>0</v>
      </c>
      <c r="P201" s="177">
        <f t="shared" si="57"/>
        <v>12</v>
      </c>
      <c r="Q201" s="177">
        <f t="shared" si="58"/>
        <v>12</v>
      </c>
      <c r="S201" s="233" t="b">
        <f t="shared" si="59"/>
        <v>0</v>
      </c>
    </row>
    <row r="202" spans="1:19">
      <c r="A202" s="126" t="s">
        <v>3705</v>
      </c>
      <c r="B202" s="126" t="str">
        <f t="shared" si="52"/>
        <v>D0503</v>
      </c>
      <c r="C202" s="126">
        <v>8603</v>
      </c>
      <c r="D202" s="126" t="s">
        <v>3285</v>
      </c>
      <c r="E202" s="126">
        <v>211</v>
      </c>
      <c r="F202" s="126">
        <v>0</v>
      </c>
      <c r="G202" s="126">
        <v>136</v>
      </c>
      <c r="H202" s="126">
        <v>0</v>
      </c>
      <c r="I202" s="126">
        <v>64.45</v>
      </c>
      <c r="J202" s="126">
        <v>14.3</v>
      </c>
      <c r="K202" s="126">
        <v>0</v>
      </c>
      <c r="L202" s="126">
        <f t="shared" si="53"/>
        <v>211</v>
      </c>
      <c r="M202" s="126">
        <f t="shared" si="54"/>
        <v>136</v>
      </c>
      <c r="N202" s="171">
        <f t="shared" si="55"/>
        <v>0.64449999999999996</v>
      </c>
      <c r="O202" s="132">
        <f t="shared" si="56"/>
        <v>0</v>
      </c>
      <c r="P202" s="177">
        <f t="shared" si="57"/>
        <v>14.3</v>
      </c>
      <c r="Q202" s="177">
        <f t="shared" si="58"/>
        <v>14.3</v>
      </c>
      <c r="S202" s="233" t="b">
        <f t="shared" si="59"/>
        <v>0</v>
      </c>
    </row>
    <row r="203" spans="1:19">
      <c r="A203" s="126" t="s">
        <v>3705</v>
      </c>
      <c r="B203" s="126" t="str">
        <f t="shared" si="52"/>
        <v>D0503</v>
      </c>
      <c r="C203" s="126">
        <v>8604</v>
      </c>
      <c r="D203" s="126" t="s">
        <v>3287</v>
      </c>
      <c r="E203" s="126">
        <v>267</v>
      </c>
      <c r="F203" s="126">
        <v>0</v>
      </c>
      <c r="G203" s="126">
        <v>163</v>
      </c>
      <c r="H203" s="126">
        <v>0</v>
      </c>
      <c r="I203" s="126">
        <v>61.05</v>
      </c>
      <c r="J203" s="126">
        <v>17.100000000000001</v>
      </c>
      <c r="K203" s="126">
        <v>0</v>
      </c>
      <c r="L203" s="126">
        <f t="shared" si="53"/>
        <v>267</v>
      </c>
      <c r="M203" s="126">
        <f t="shared" si="54"/>
        <v>163</v>
      </c>
      <c r="N203" s="171">
        <f t="shared" si="55"/>
        <v>0.61050000000000004</v>
      </c>
      <c r="O203" s="132">
        <f t="shared" si="56"/>
        <v>0</v>
      </c>
      <c r="P203" s="177">
        <f t="shared" si="57"/>
        <v>17.100000000000001</v>
      </c>
      <c r="Q203" s="177">
        <f t="shared" si="58"/>
        <v>17.100000000000001</v>
      </c>
      <c r="S203" s="233" t="b">
        <f t="shared" si="59"/>
        <v>0</v>
      </c>
    </row>
    <row r="204" spans="1:19">
      <c r="A204" s="126" t="s">
        <v>3706</v>
      </c>
      <c r="B204" s="126" t="str">
        <f t="shared" si="52"/>
        <v>D0283</v>
      </c>
      <c r="C204" s="126">
        <v>2470</v>
      </c>
      <c r="D204" s="126" t="s">
        <v>1847</v>
      </c>
      <c r="E204" s="126">
        <v>64</v>
      </c>
      <c r="F204" s="126">
        <v>0</v>
      </c>
      <c r="G204" s="126">
        <v>49</v>
      </c>
      <c r="H204" s="126">
        <v>0</v>
      </c>
      <c r="I204" s="126">
        <v>76.56</v>
      </c>
      <c r="J204" s="126">
        <v>5.0999999999999996</v>
      </c>
      <c r="K204" s="126">
        <v>0</v>
      </c>
      <c r="L204" s="126">
        <f t="shared" ref="L204:L212" si="60">SUM(E204:F204)</f>
        <v>64</v>
      </c>
      <c r="M204" s="126">
        <f t="shared" ref="M204:M212" si="61">SUM(G204:H204)</f>
        <v>49</v>
      </c>
      <c r="N204" s="171">
        <f t="shared" ref="N204:N212" si="62">IF(ISERROR(M204/L204),0,M204/L204)</f>
        <v>0.76559999999999995</v>
      </c>
      <c r="O204" s="132">
        <f t="shared" ref="O204:O212" si="63">IF(AND((N204-35%)&gt;0,N204&lt;50%),M204*(N204-35%)*0.7,0)</f>
        <v>0</v>
      </c>
      <c r="P204" s="177">
        <f t="shared" ref="P204:P212" si="64">IF(N204&gt;=50%,M204*10.5%,0)</f>
        <v>5.0999999999999996</v>
      </c>
      <c r="Q204" s="177">
        <f t="shared" ref="Q204:Q212" si="65">MAX(O204,P204)</f>
        <v>5.0999999999999996</v>
      </c>
      <c r="S204" s="233" t="b">
        <f t="shared" si="59"/>
        <v>0</v>
      </c>
    </row>
    <row r="205" spans="1:19">
      <c r="A205" s="126" t="s">
        <v>3706</v>
      </c>
      <c r="B205" s="126" t="str">
        <f t="shared" si="52"/>
        <v>D0283</v>
      </c>
      <c r="C205" s="126">
        <v>2472</v>
      </c>
      <c r="D205" s="126" t="s">
        <v>1849</v>
      </c>
      <c r="E205" s="126">
        <v>31</v>
      </c>
      <c r="F205" s="126">
        <v>0</v>
      </c>
      <c r="G205" s="126">
        <v>20</v>
      </c>
      <c r="H205" s="126">
        <v>0</v>
      </c>
      <c r="I205" s="126">
        <v>64.52</v>
      </c>
      <c r="J205" s="126">
        <v>2.1</v>
      </c>
      <c r="K205" s="126">
        <v>0</v>
      </c>
      <c r="L205" s="126">
        <f t="shared" si="60"/>
        <v>31</v>
      </c>
      <c r="M205" s="126">
        <f t="shared" si="61"/>
        <v>20</v>
      </c>
      <c r="N205" s="171">
        <f t="shared" si="62"/>
        <v>0.6452</v>
      </c>
      <c r="O205" s="132">
        <f t="shared" si="63"/>
        <v>0</v>
      </c>
      <c r="P205" s="177">
        <f t="shared" si="64"/>
        <v>2.1</v>
      </c>
      <c r="Q205" s="177">
        <f t="shared" si="65"/>
        <v>2.1</v>
      </c>
      <c r="S205" s="233" t="b">
        <f t="shared" si="59"/>
        <v>0</v>
      </c>
    </row>
    <row r="206" spans="1:19">
      <c r="A206" s="126" t="s">
        <v>3707</v>
      </c>
      <c r="B206" s="126" t="str">
        <f t="shared" si="52"/>
        <v>D0404</v>
      </c>
      <c r="C206" s="126">
        <v>5620</v>
      </c>
      <c r="D206" s="126" t="s">
        <v>2522</v>
      </c>
      <c r="E206" s="126">
        <v>326</v>
      </c>
      <c r="F206" s="126">
        <v>0</v>
      </c>
      <c r="G206" s="126">
        <v>156</v>
      </c>
      <c r="H206" s="126">
        <v>0</v>
      </c>
      <c r="I206" s="126">
        <v>47.85</v>
      </c>
      <c r="J206" s="126">
        <v>0</v>
      </c>
      <c r="K206" s="126">
        <v>14</v>
      </c>
      <c r="L206" s="126">
        <f t="shared" si="60"/>
        <v>326</v>
      </c>
      <c r="M206" s="126">
        <f t="shared" si="61"/>
        <v>156</v>
      </c>
      <c r="N206" s="171">
        <f t="shared" si="62"/>
        <v>0.47849999999999998</v>
      </c>
      <c r="O206" s="132">
        <f t="shared" si="63"/>
        <v>14</v>
      </c>
      <c r="P206" s="177">
        <f t="shared" si="64"/>
        <v>0</v>
      </c>
      <c r="Q206" s="177">
        <f t="shared" si="65"/>
        <v>14</v>
      </c>
      <c r="S206" s="233" t="b">
        <f t="shared" si="59"/>
        <v>0</v>
      </c>
    </row>
    <row r="207" spans="1:19">
      <c r="A207" s="126" t="s">
        <v>3707</v>
      </c>
      <c r="B207" s="126" t="str">
        <f t="shared" si="52"/>
        <v>D0404</v>
      </c>
      <c r="C207" s="126">
        <v>5621</v>
      </c>
      <c r="D207" s="126" t="s">
        <v>2524</v>
      </c>
      <c r="E207" s="126">
        <v>182</v>
      </c>
      <c r="F207" s="126">
        <v>0</v>
      </c>
      <c r="G207" s="126">
        <v>77</v>
      </c>
      <c r="H207" s="126">
        <v>0</v>
      </c>
      <c r="I207" s="126">
        <v>42.31</v>
      </c>
      <c r="J207" s="126">
        <v>0</v>
      </c>
      <c r="K207" s="126">
        <v>3.9</v>
      </c>
      <c r="L207" s="126">
        <f t="shared" si="60"/>
        <v>182</v>
      </c>
      <c r="M207" s="126">
        <f t="shared" si="61"/>
        <v>77</v>
      </c>
      <c r="N207" s="171">
        <f t="shared" si="62"/>
        <v>0.42309999999999998</v>
      </c>
      <c r="O207" s="132">
        <f t="shared" si="63"/>
        <v>3.9</v>
      </c>
      <c r="P207" s="177">
        <f t="shared" si="64"/>
        <v>0</v>
      </c>
      <c r="Q207" s="177">
        <f t="shared" si="65"/>
        <v>3.9</v>
      </c>
      <c r="S207" s="233" t="b">
        <f t="shared" si="59"/>
        <v>0</v>
      </c>
    </row>
    <row r="208" spans="1:19">
      <c r="A208" s="126" t="s">
        <v>3707</v>
      </c>
      <c r="B208" s="126" t="str">
        <f t="shared" si="52"/>
        <v>D0404</v>
      </c>
      <c r="C208" s="126">
        <v>5622</v>
      </c>
      <c r="D208" s="126" t="s">
        <v>2526</v>
      </c>
      <c r="E208" s="126">
        <v>221</v>
      </c>
      <c r="F208" s="126">
        <v>0</v>
      </c>
      <c r="G208" s="126">
        <v>77</v>
      </c>
      <c r="H208" s="126">
        <v>0</v>
      </c>
      <c r="I208" s="126">
        <v>34.840000000000003</v>
      </c>
      <c r="J208" s="126">
        <v>0</v>
      </c>
      <c r="K208" s="126">
        <v>0</v>
      </c>
      <c r="L208" s="126">
        <f t="shared" si="60"/>
        <v>221</v>
      </c>
      <c r="M208" s="126">
        <f t="shared" si="61"/>
        <v>77</v>
      </c>
      <c r="N208" s="171">
        <f t="shared" si="62"/>
        <v>0.34839999999999999</v>
      </c>
      <c r="O208" s="132">
        <f t="shared" si="63"/>
        <v>0</v>
      </c>
      <c r="P208" s="177">
        <f t="shared" si="64"/>
        <v>0</v>
      </c>
      <c r="Q208" s="177">
        <f t="shared" si="65"/>
        <v>0</v>
      </c>
      <c r="S208" s="233" t="b">
        <f t="shared" si="59"/>
        <v>0</v>
      </c>
    </row>
    <row r="209" spans="1:19">
      <c r="A209" s="126" t="s">
        <v>3708</v>
      </c>
      <c r="B209" s="126" t="str">
        <f t="shared" si="52"/>
        <v>D0490</v>
      </c>
      <c r="C209" s="126">
        <v>8000</v>
      </c>
      <c r="D209" s="126" t="s">
        <v>3045</v>
      </c>
      <c r="E209" s="126">
        <v>396</v>
      </c>
      <c r="F209" s="126">
        <v>0</v>
      </c>
      <c r="G209" s="126">
        <v>177</v>
      </c>
      <c r="H209" s="126">
        <v>0</v>
      </c>
      <c r="I209" s="126">
        <v>44.7</v>
      </c>
      <c r="J209" s="126">
        <v>0</v>
      </c>
      <c r="K209" s="126">
        <v>12</v>
      </c>
      <c r="L209" s="126">
        <f t="shared" si="60"/>
        <v>396</v>
      </c>
      <c r="M209" s="126">
        <f t="shared" si="61"/>
        <v>177</v>
      </c>
      <c r="N209" s="171">
        <f t="shared" si="62"/>
        <v>0.44700000000000001</v>
      </c>
      <c r="O209" s="132">
        <f t="shared" si="63"/>
        <v>12</v>
      </c>
      <c r="P209" s="177">
        <f t="shared" si="64"/>
        <v>0</v>
      </c>
      <c r="Q209" s="177">
        <f t="shared" si="65"/>
        <v>12</v>
      </c>
      <c r="S209" s="233" t="b">
        <f t="shared" si="59"/>
        <v>0</v>
      </c>
    </row>
    <row r="210" spans="1:19">
      <c r="A210" s="126" t="s">
        <v>3708</v>
      </c>
      <c r="B210" s="126" t="str">
        <f t="shared" si="52"/>
        <v>D0490</v>
      </c>
      <c r="C210" s="126">
        <v>8002</v>
      </c>
      <c r="D210" s="126" t="s">
        <v>3047</v>
      </c>
      <c r="E210" s="126">
        <v>531</v>
      </c>
      <c r="F210" s="126">
        <v>0</v>
      </c>
      <c r="G210" s="126">
        <v>178</v>
      </c>
      <c r="H210" s="126">
        <v>0</v>
      </c>
      <c r="I210" s="126">
        <v>33.520000000000003</v>
      </c>
      <c r="J210" s="126">
        <v>0</v>
      </c>
      <c r="K210" s="126">
        <v>0</v>
      </c>
      <c r="L210" s="126">
        <f t="shared" si="60"/>
        <v>531</v>
      </c>
      <c r="M210" s="126">
        <f t="shared" si="61"/>
        <v>178</v>
      </c>
      <c r="N210" s="171">
        <f t="shared" si="62"/>
        <v>0.3352</v>
      </c>
      <c r="O210" s="132">
        <f t="shared" si="63"/>
        <v>0</v>
      </c>
      <c r="P210" s="177">
        <f t="shared" si="64"/>
        <v>0</v>
      </c>
      <c r="Q210" s="177">
        <f t="shared" si="65"/>
        <v>0</v>
      </c>
      <c r="S210" s="233" t="b">
        <f t="shared" si="59"/>
        <v>0</v>
      </c>
    </row>
    <row r="211" spans="1:19">
      <c r="A211" s="126" t="s">
        <v>3708</v>
      </c>
      <c r="B211" s="126" t="str">
        <f t="shared" si="52"/>
        <v>D0490</v>
      </c>
      <c r="C211" s="126">
        <v>8009</v>
      </c>
      <c r="D211" s="126" t="s">
        <v>3049</v>
      </c>
      <c r="E211" s="126">
        <v>324</v>
      </c>
      <c r="F211" s="126">
        <v>0</v>
      </c>
      <c r="G211" s="126">
        <v>186</v>
      </c>
      <c r="H211" s="126">
        <v>0</v>
      </c>
      <c r="I211" s="126">
        <v>57.41</v>
      </c>
      <c r="J211" s="126">
        <v>19.5</v>
      </c>
      <c r="K211" s="126">
        <v>0</v>
      </c>
      <c r="L211" s="126">
        <f t="shared" si="60"/>
        <v>324</v>
      </c>
      <c r="M211" s="126">
        <f t="shared" si="61"/>
        <v>186</v>
      </c>
      <c r="N211" s="171">
        <f t="shared" si="62"/>
        <v>0.57410000000000005</v>
      </c>
      <c r="O211" s="132">
        <f t="shared" si="63"/>
        <v>0</v>
      </c>
      <c r="P211" s="177">
        <f t="shared" si="64"/>
        <v>19.5</v>
      </c>
      <c r="Q211" s="177">
        <f t="shared" si="65"/>
        <v>19.5</v>
      </c>
      <c r="S211" s="233" t="b">
        <f t="shared" si="59"/>
        <v>0</v>
      </c>
    </row>
    <row r="212" spans="1:19">
      <c r="A212" s="126" t="s">
        <v>3708</v>
      </c>
      <c r="B212" s="126" t="str">
        <f t="shared" si="52"/>
        <v>D0490</v>
      </c>
      <c r="C212" s="126">
        <v>8011</v>
      </c>
      <c r="D212" s="126" t="s">
        <v>3612</v>
      </c>
      <c r="E212" s="126">
        <v>376</v>
      </c>
      <c r="F212" s="126">
        <v>0</v>
      </c>
      <c r="G212" s="126">
        <v>241</v>
      </c>
      <c r="H212" s="126">
        <v>0</v>
      </c>
      <c r="I212" s="126">
        <v>64.099999999999994</v>
      </c>
      <c r="J212" s="126">
        <v>25.3</v>
      </c>
      <c r="K212" s="126">
        <v>0</v>
      </c>
      <c r="L212" s="126">
        <f t="shared" si="60"/>
        <v>376</v>
      </c>
      <c r="M212" s="126">
        <f t="shared" si="61"/>
        <v>241</v>
      </c>
      <c r="N212" s="171">
        <f t="shared" si="62"/>
        <v>0.64100000000000001</v>
      </c>
      <c r="O212" s="132">
        <f t="shared" si="63"/>
        <v>0</v>
      </c>
      <c r="P212" s="177">
        <f t="shared" si="64"/>
        <v>25.3</v>
      </c>
      <c r="Q212" s="177">
        <f t="shared" si="65"/>
        <v>25.3</v>
      </c>
      <c r="S212" s="233" t="b">
        <f t="shared" si="59"/>
        <v>0</v>
      </c>
    </row>
    <row r="213" spans="1:19">
      <c r="A213" s="126" t="s">
        <v>3709</v>
      </c>
      <c r="B213" s="126" t="str">
        <f t="shared" si="52"/>
        <v>D0253</v>
      </c>
      <c r="C213" s="126">
        <v>1414</v>
      </c>
      <c r="D213" s="126" t="s">
        <v>1460</v>
      </c>
      <c r="E213" s="126">
        <v>419</v>
      </c>
      <c r="F213" s="126">
        <v>0</v>
      </c>
      <c r="G213" s="126">
        <v>189</v>
      </c>
      <c r="H213" s="126">
        <v>0</v>
      </c>
      <c r="I213" s="126">
        <v>45.11</v>
      </c>
      <c r="J213" s="126">
        <v>0</v>
      </c>
      <c r="K213" s="126">
        <v>13.4</v>
      </c>
      <c r="L213" s="126">
        <f t="shared" ref="L213:L225" si="66">SUM(E213:F213)</f>
        <v>419</v>
      </c>
      <c r="M213" s="126">
        <f t="shared" ref="M213:M225" si="67">SUM(G213:H213)</f>
        <v>189</v>
      </c>
      <c r="N213" s="171">
        <f t="shared" ref="N213:N225" si="68">IF(ISERROR(M213/L213),0,M213/L213)</f>
        <v>0.4511</v>
      </c>
      <c r="O213" s="132">
        <f t="shared" ref="O213:O225" si="69">IF(AND((N213-35%)&gt;0,N213&lt;50%),M213*(N213-35%)*0.7,0)</f>
        <v>13.4</v>
      </c>
      <c r="P213" s="177">
        <f t="shared" ref="P213:P225" si="70">IF(N213&gt;=50%,M213*10.5%,0)</f>
        <v>0</v>
      </c>
      <c r="Q213" s="177">
        <f t="shared" ref="Q213:Q225" si="71">MAX(O213,P213)</f>
        <v>13.4</v>
      </c>
      <c r="S213" s="233" t="b">
        <f t="shared" si="59"/>
        <v>0</v>
      </c>
    </row>
    <row r="214" spans="1:19">
      <c r="A214" s="126" t="s">
        <v>3709</v>
      </c>
      <c r="B214" s="126" t="str">
        <f t="shared" si="52"/>
        <v>D0253</v>
      </c>
      <c r="C214" s="126">
        <v>1416</v>
      </c>
      <c r="D214" s="126" t="s">
        <v>1462</v>
      </c>
      <c r="E214" s="126">
        <v>290</v>
      </c>
      <c r="F214" s="126">
        <v>0</v>
      </c>
      <c r="G214" s="126">
        <v>128</v>
      </c>
      <c r="H214" s="126">
        <v>0</v>
      </c>
      <c r="I214" s="126">
        <v>44.14</v>
      </c>
      <c r="J214" s="126">
        <v>0</v>
      </c>
      <c r="K214" s="126">
        <v>8.1999999999999993</v>
      </c>
      <c r="L214" s="126">
        <f t="shared" si="66"/>
        <v>290</v>
      </c>
      <c r="M214" s="126">
        <f t="shared" si="67"/>
        <v>128</v>
      </c>
      <c r="N214" s="171">
        <f t="shared" si="68"/>
        <v>0.44140000000000001</v>
      </c>
      <c r="O214" s="132">
        <f t="shared" si="69"/>
        <v>8.1999999999999993</v>
      </c>
      <c r="P214" s="177">
        <f t="shared" si="70"/>
        <v>0</v>
      </c>
      <c r="Q214" s="177">
        <f t="shared" si="71"/>
        <v>8.1999999999999993</v>
      </c>
      <c r="S214" s="233" t="b">
        <f t="shared" si="59"/>
        <v>0</v>
      </c>
    </row>
    <row r="215" spans="1:19">
      <c r="A215" s="126" t="s">
        <v>3709</v>
      </c>
      <c r="B215" s="126" t="str">
        <f t="shared" si="52"/>
        <v>D0253</v>
      </c>
      <c r="C215" s="126">
        <v>1418</v>
      </c>
      <c r="D215" s="126" t="s">
        <v>1464</v>
      </c>
      <c r="E215" s="126">
        <v>262</v>
      </c>
      <c r="F215" s="126">
        <v>0</v>
      </c>
      <c r="G215" s="126">
        <v>159</v>
      </c>
      <c r="H215" s="126">
        <v>0</v>
      </c>
      <c r="I215" s="126">
        <v>60.69</v>
      </c>
      <c r="J215" s="126">
        <v>16.7</v>
      </c>
      <c r="K215" s="126">
        <v>0</v>
      </c>
      <c r="L215" s="126">
        <f t="shared" si="66"/>
        <v>262</v>
      </c>
      <c r="M215" s="126">
        <f t="shared" si="67"/>
        <v>159</v>
      </c>
      <c r="N215" s="171">
        <f t="shared" si="68"/>
        <v>0.6069</v>
      </c>
      <c r="O215" s="132">
        <f t="shared" si="69"/>
        <v>0</v>
      </c>
      <c r="P215" s="177">
        <f t="shared" si="70"/>
        <v>16.7</v>
      </c>
      <c r="Q215" s="177">
        <f t="shared" si="71"/>
        <v>16.7</v>
      </c>
      <c r="S215" s="233" t="b">
        <f t="shared" si="59"/>
        <v>0</v>
      </c>
    </row>
    <row r="216" spans="1:19">
      <c r="A216" s="126" t="s">
        <v>3709</v>
      </c>
      <c r="B216" s="126" t="str">
        <f t="shared" si="52"/>
        <v>D0253</v>
      </c>
      <c r="C216" s="126">
        <v>1422</v>
      </c>
      <c r="D216" s="126" t="s">
        <v>1466</v>
      </c>
      <c r="E216" s="126">
        <v>1028</v>
      </c>
      <c r="F216" s="126">
        <v>0</v>
      </c>
      <c r="G216" s="126">
        <v>476</v>
      </c>
      <c r="H216" s="126">
        <v>0</v>
      </c>
      <c r="I216" s="126">
        <v>46.3</v>
      </c>
      <c r="J216" s="126">
        <v>0</v>
      </c>
      <c r="K216" s="126">
        <v>37.700000000000003</v>
      </c>
      <c r="L216" s="126">
        <f t="shared" si="66"/>
        <v>1028</v>
      </c>
      <c r="M216" s="126">
        <f t="shared" si="67"/>
        <v>476</v>
      </c>
      <c r="N216" s="171">
        <f t="shared" si="68"/>
        <v>0.46300000000000002</v>
      </c>
      <c r="O216" s="132">
        <f t="shared" si="69"/>
        <v>37.700000000000003</v>
      </c>
      <c r="P216" s="177">
        <f t="shared" si="70"/>
        <v>0</v>
      </c>
      <c r="Q216" s="177">
        <f t="shared" si="71"/>
        <v>37.700000000000003</v>
      </c>
      <c r="S216" s="233" t="b">
        <f t="shared" si="59"/>
        <v>0</v>
      </c>
    </row>
    <row r="217" spans="1:19">
      <c r="A217" s="126" t="s">
        <v>3709</v>
      </c>
      <c r="B217" s="126" t="str">
        <f t="shared" si="52"/>
        <v>D0253</v>
      </c>
      <c r="C217" s="126">
        <v>1424</v>
      </c>
      <c r="D217" s="126" t="s">
        <v>1468</v>
      </c>
      <c r="E217" s="126">
        <v>1528</v>
      </c>
      <c r="F217" s="126">
        <v>0</v>
      </c>
      <c r="G217" s="126">
        <v>552</v>
      </c>
      <c r="H217" s="126">
        <v>0</v>
      </c>
      <c r="I217" s="126">
        <v>36.130000000000003</v>
      </c>
      <c r="J217" s="126">
        <v>0</v>
      </c>
      <c r="K217" s="126">
        <v>4.4000000000000004</v>
      </c>
      <c r="L217" s="126">
        <f t="shared" si="66"/>
        <v>1528</v>
      </c>
      <c r="M217" s="126">
        <f t="shared" si="67"/>
        <v>552</v>
      </c>
      <c r="N217" s="171">
        <f t="shared" si="68"/>
        <v>0.36130000000000001</v>
      </c>
      <c r="O217" s="132">
        <f t="shared" si="69"/>
        <v>4.4000000000000004</v>
      </c>
      <c r="P217" s="177">
        <f t="shared" si="70"/>
        <v>0</v>
      </c>
      <c r="Q217" s="177">
        <f t="shared" si="71"/>
        <v>4.4000000000000004</v>
      </c>
      <c r="S217" s="233" t="b">
        <f t="shared" si="59"/>
        <v>0</v>
      </c>
    </row>
    <row r="218" spans="1:19">
      <c r="A218" s="126" t="s">
        <v>3709</v>
      </c>
      <c r="B218" s="126" t="str">
        <f t="shared" si="52"/>
        <v>D0253</v>
      </c>
      <c r="C218" s="126">
        <v>1428</v>
      </c>
      <c r="D218" s="126" t="s">
        <v>1470</v>
      </c>
      <c r="E218" s="126">
        <v>275</v>
      </c>
      <c r="F218" s="126">
        <v>0</v>
      </c>
      <c r="G218" s="126">
        <v>171</v>
      </c>
      <c r="H218" s="126">
        <v>0</v>
      </c>
      <c r="I218" s="126">
        <v>62.18</v>
      </c>
      <c r="J218" s="126">
        <v>18</v>
      </c>
      <c r="K218" s="126">
        <v>0</v>
      </c>
      <c r="L218" s="126">
        <f t="shared" si="66"/>
        <v>275</v>
      </c>
      <c r="M218" s="126">
        <f t="shared" si="67"/>
        <v>171</v>
      </c>
      <c r="N218" s="171">
        <f t="shared" si="68"/>
        <v>0.62180000000000002</v>
      </c>
      <c r="O218" s="132">
        <f t="shared" si="69"/>
        <v>0</v>
      </c>
      <c r="P218" s="177">
        <f t="shared" si="70"/>
        <v>18</v>
      </c>
      <c r="Q218" s="177">
        <f t="shared" si="71"/>
        <v>18</v>
      </c>
      <c r="S218" s="233" t="b">
        <f t="shared" si="59"/>
        <v>0</v>
      </c>
    </row>
    <row r="219" spans="1:19">
      <c r="A219" s="126" t="s">
        <v>3709</v>
      </c>
      <c r="B219" s="126" t="str">
        <f t="shared" si="52"/>
        <v>D0253</v>
      </c>
      <c r="C219" s="126">
        <v>1429</v>
      </c>
      <c r="D219" s="126" t="s">
        <v>1472</v>
      </c>
      <c r="E219" s="126">
        <v>378</v>
      </c>
      <c r="F219" s="126">
        <v>0</v>
      </c>
      <c r="G219" s="126">
        <v>257</v>
      </c>
      <c r="H219" s="126">
        <v>0</v>
      </c>
      <c r="I219" s="126">
        <v>67.989999999999995</v>
      </c>
      <c r="J219" s="126">
        <v>27</v>
      </c>
      <c r="K219" s="126">
        <v>0</v>
      </c>
      <c r="L219" s="126">
        <f t="shared" si="66"/>
        <v>378</v>
      </c>
      <c r="M219" s="126">
        <f t="shared" si="67"/>
        <v>257</v>
      </c>
      <c r="N219" s="171">
        <f t="shared" si="68"/>
        <v>0.67989999999999995</v>
      </c>
      <c r="O219" s="132">
        <f t="shared" si="69"/>
        <v>0</v>
      </c>
      <c r="P219" s="177">
        <f t="shared" si="70"/>
        <v>27</v>
      </c>
      <c r="Q219" s="177">
        <f t="shared" si="71"/>
        <v>27</v>
      </c>
      <c r="S219" s="233" t="b">
        <f t="shared" si="59"/>
        <v>0</v>
      </c>
    </row>
    <row r="220" spans="1:19">
      <c r="A220" s="126" t="s">
        <v>3709</v>
      </c>
      <c r="B220" s="126" t="str">
        <f t="shared" si="52"/>
        <v>D0253</v>
      </c>
      <c r="C220" s="126">
        <v>1430</v>
      </c>
      <c r="D220" s="126" t="s">
        <v>1474</v>
      </c>
      <c r="E220" s="126">
        <v>404</v>
      </c>
      <c r="F220" s="126">
        <v>0</v>
      </c>
      <c r="G220" s="126">
        <v>115</v>
      </c>
      <c r="H220" s="126">
        <v>0</v>
      </c>
      <c r="I220" s="126">
        <v>28.47</v>
      </c>
      <c r="J220" s="126">
        <v>0</v>
      </c>
      <c r="K220" s="126">
        <v>0</v>
      </c>
      <c r="L220" s="126">
        <f t="shared" si="66"/>
        <v>404</v>
      </c>
      <c r="M220" s="126">
        <f t="shared" si="67"/>
        <v>115</v>
      </c>
      <c r="N220" s="171">
        <f t="shared" si="68"/>
        <v>0.28470000000000001</v>
      </c>
      <c r="O220" s="132">
        <f t="shared" si="69"/>
        <v>0</v>
      </c>
      <c r="P220" s="177">
        <f t="shared" si="70"/>
        <v>0</v>
      </c>
      <c r="Q220" s="177">
        <f t="shared" si="71"/>
        <v>0</v>
      </c>
      <c r="S220" s="233" t="b">
        <f t="shared" si="59"/>
        <v>0</v>
      </c>
    </row>
    <row r="221" spans="1:19">
      <c r="A221" s="126" t="s">
        <v>3654</v>
      </c>
      <c r="B221" s="126" t="str">
        <f t="shared" si="52"/>
        <v>D0271</v>
      </c>
      <c r="C221" s="126">
        <v>2156</v>
      </c>
      <c r="D221" s="126" t="s">
        <v>1817</v>
      </c>
      <c r="E221" s="126">
        <v>220</v>
      </c>
      <c r="F221" s="126">
        <v>0</v>
      </c>
      <c r="G221" s="126">
        <v>85</v>
      </c>
      <c r="H221" s="126">
        <v>0</v>
      </c>
      <c r="I221" s="126">
        <v>38.64</v>
      </c>
      <c r="J221" s="126">
        <v>0</v>
      </c>
      <c r="K221" s="126">
        <v>2.2000000000000002</v>
      </c>
      <c r="L221" s="126">
        <f t="shared" si="66"/>
        <v>220</v>
      </c>
      <c r="M221" s="126">
        <f t="shared" si="67"/>
        <v>85</v>
      </c>
      <c r="N221" s="171">
        <f t="shared" si="68"/>
        <v>0.38640000000000002</v>
      </c>
      <c r="O221" s="132">
        <f t="shared" si="69"/>
        <v>2.2000000000000002</v>
      </c>
      <c r="P221" s="177">
        <f t="shared" si="70"/>
        <v>0</v>
      </c>
      <c r="Q221" s="177">
        <f t="shared" si="71"/>
        <v>2.2000000000000002</v>
      </c>
      <c r="S221" s="233" t="b">
        <f t="shared" si="59"/>
        <v>0</v>
      </c>
    </row>
    <row r="222" spans="1:19">
      <c r="A222" s="126" t="s">
        <v>3654</v>
      </c>
      <c r="B222" s="126" t="str">
        <f t="shared" si="52"/>
        <v>D0271</v>
      </c>
      <c r="C222" s="126">
        <v>2158</v>
      </c>
      <c r="D222" s="126" t="s">
        <v>1819</v>
      </c>
      <c r="E222" s="126">
        <v>123</v>
      </c>
      <c r="F222" s="126">
        <v>0</v>
      </c>
      <c r="G222" s="126">
        <v>42</v>
      </c>
      <c r="H222" s="126">
        <v>0</v>
      </c>
      <c r="I222" s="126">
        <v>34.15</v>
      </c>
      <c r="J222" s="126">
        <v>0</v>
      </c>
      <c r="K222" s="126">
        <v>0</v>
      </c>
      <c r="L222" s="126">
        <f t="shared" si="66"/>
        <v>123</v>
      </c>
      <c r="M222" s="126">
        <f t="shared" si="67"/>
        <v>42</v>
      </c>
      <c r="N222" s="171">
        <f t="shared" si="68"/>
        <v>0.34150000000000003</v>
      </c>
      <c r="O222" s="132">
        <f t="shared" si="69"/>
        <v>0</v>
      </c>
      <c r="P222" s="177">
        <f t="shared" si="70"/>
        <v>0</v>
      </c>
      <c r="Q222" s="177">
        <f t="shared" si="71"/>
        <v>0</v>
      </c>
      <c r="S222" s="233" t="b">
        <f t="shared" si="59"/>
        <v>0</v>
      </c>
    </row>
    <row r="223" spans="1:19">
      <c r="A223" s="126" t="s">
        <v>3711</v>
      </c>
      <c r="B223" s="126" t="str">
        <f t="shared" si="52"/>
        <v>D0333</v>
      </c>
      <c r="C223" s="126">
        <v>3780</v>
      </c>
      <c r="D223" s="126" t="s">
        <v>2103</v>
      </c>
      <c r="E223" s="126">
        <v>529</v>
      </c>
      <c r="F223" s="126">
        <v>0</v>
      </c>
      <c r="G223" s="126">
        <v>226</v>
      </c>
      <c r="H223" s="126">
        <v>0</v>
      </c>
      <c r="I223" s="126">
        <v>42.72</v>
      </c>
      <c r="J223" s="126">
        <v>0</v>
      </c>
      <c r="K223" s="126">
        <v>12.2</v>
      </c>
      <c r="L223" s="126">
        <f t="shared" si="66"/>
        <v>529</v>
      </c>
      <c r="M223" s="126">
        <f t="shared" si="67"/>
        <v>226</v>
      </c>
      <c r="N223" s="171">
        <f t="shared" si="68"/>
        <v>0.42720000000000002</v>
      </c>
      <c r="O223" s="132">
        <f t="shared" si="69"/>
        <v>12.2</v>
      </c>
      <c r="P223" s="177">
        <f t="shared" si="70"/>
        <v>0</v>
      </c>
      <c r="Q223" s="177">
        <f t="shared" si="71"/>
        <v>12.2</v>
      </c>
      <c r="S223" s="233" t="b">
        <f t="shared" si="59"/>
        <v>0</v>
      </c>
    </row>
    <row r="224" spans="1:19">
      <c r="A224" s="126" t="s">
        <v>3711</v>
      </c>
      <c r="B224" s="126" t="str">
        <f t="shared" si="52"/>
        <v>D0333</v>
      </c>
      <c r="C224" s="126">
        <v>3793</v>
      </c>
      <c r="D224" s="126" t="s">
        <v>2105</v>
      </c>
      <c r="E224" s="126">
        <v>150</v>
      </c>
      <c r="F224" s="126">
        <v>0</v>
      </c>
      <c r="G224" s="126">
        <v>60</v>
      </c>
      <c r="H224" s="126">
        <v>0</v>
      </c>
      <c r="I224" s="126">
        <v>40</v>
      </c>
      <c r="J224" s="126">
        <v>0</v>
      </c>
      <c r="K224" s="126">
        <v>2.1</v>
      </c>
      <c r="L224" s="126">
        <f t="shared" si="66"/>
        <v>150</v>
      </c>
      <c r="M224" s="126">
        <f t="shared" si="67"/>
        <v>60</v>
      </c>
      <c r="N224" s="171">
        <f t="shared" si="68"/>
        <v>0.4</v>
      </c>
      <c r="O224" s="132">
        <f t="shared" si="69"/>
        <v>2.1</v>
      </c>
      <c r="P224" s="177">
        <f t="shared" si="70"/>
        <v>0</v>
      </c>
      <c r="Q224" s="177">
        <f t="shared" si="71"/>
        <v>2.1</v>
      </c>
      <c r="S224" s="233" t="b">
        <f t="shared" si="59"/>
        <v>0</v>
      </c>
    </row>
    <row r="225" spans="1:19">
      <c r="A225" s="126" t="s">
        <v>3711</v>
      </c>
      <c r="B225" s="126" t="str">
        <f t="shared" si="52"/>
        <v>D0333</v>
      </c>
      <c r="C225" s="126">
        <v>3794</v>
      </c>
      <c r="D225" s="126" t="s">
        <v>2107</v>
      </c>
      <c r="E225" s="126">
        <v>467</v>
      </c>
      <c r="F225" s="126">
        <v>0</v>
      </c>
      <c r="G225" s="126">
        <v>130</v>
      </c>
      <c r="H225" s="126">
        <v>0</v>
      </c>
      <c r="I225" s="126">
        <v>27.84</v>
      </c>
      <c r="J225" s="126">
        <v>0</v>
      </c>
      <c r="K225" s="126">
        <v>0</v>
      </c>
      <c r="L225" s="126">
        <f t="shared" si="66"/>
        <v>467</v>
      </c>
      <c r="M225" s="126">
        <f t="shared" si="67"/>
        <v>130</v>
      </c>
      <c r="N225" s="171">
        <f t="shared" si="68"/>
        <v>0.27839999999999998</v>
      </c>
      <c r="O225" s="132">
        <f t="shared" si="69"/>
        <v>0</v>
      </c>
      <c r="P225" s="177">
        <f t="shared" si="70"/>
        <v>0</v>
      </c>
      <c r="Q225" s="177">
        <f t="shared" si="71"/>
        <v>0</v>
      </c>
      <c r="S225" s="233" t="b">
        <f t="shared" si="59"/>
        <v>0</v>
      </c>
    </row>
    <row r="226" spans="1:19">
      <c r="A226" s="126" t="s">
        <v>3716</v>
      </c>
      <c r="B226" s="126" t="str">
        <f t="shared" si="52"/>
        <v>D0330</v>
      </c>
      <c r="C226" s="126">
        <v>3686</v>
      </c>
      <c r="D226" s="126" t="s">
        <v>2081</v>
      </c>
      <c r="E226" s="126">
        <v>228</v>
      </c>
      <c r="F226" s="126">
        <v>0</v>
      </c>
      <c r="G226" s="126">
        <v>45</v>
      </c>
      <c r="H226" s="126">
        <v>0</v>
      </c>
      <c r="I226" s="126">
        <v>19.739999999999998</v>
      </c>
      <c r="J226" s="126">
        <v>0</v>
      </c>
      <c r="K226" s="126">
        <v>0</v>
      </c>
      <c r="L226" s="126">
        <f t="shared" ref="L226:L229" si="72">SUM(E226:F226)</f>
        <v>228</v>
      </c>
      <c r="M226" s="126">
        <f t="shared" ref="M226:M229" si="73">SUM(G226:H226)</f>
        <v>45</v>
      </c>
      <c r="N226" s="171">
        <f t="shared" ref="N226:N229" si="74">IF(ISERROR(M226/L226),0,M226/L226)</f>
        <v>0.19739999999999999</v>
      </c>
      <c r="O226" s="132">
        <f t="shared" ref="O226:O229" si="75">IF(AND((N226-35%)&gt;0,N226&lt;50%),M226*(N226-35%)*0.7,0)</f>
        <v>0</v>
      </c>
      <c r="P226" s="177">
        <f t="shared" ref="P226:P229" si="76">IF(N226&gt;=50%,M226*10.5%,0)</f>
        <v>0</v>
      </c>
      <c r="Q226" s="177">
        <f t="shared" ref="Q226:Q229" si="77">MAX(O226,P226)</f>
        <v>0</v>
      </c>
      <c r="S226" s="233" t="b">
        <f t="shared" si="59"/>
        <v>0</v>
      </c>
    </row>
    <row r="227" spans="1:19">
      <c r="A227" s="126" t="s">
        <v>3716</v>
      </c>
      <c r="B227" s="126" t="str">
        <f t="shared" ref="B227:B271" si="78">LEFT(A227,5)</f>
        <v>D0330</v>
      </c>
      <c r="C227" s="126">
        <v>3687</v>
      </c>
      <c r="D227" s="126" t="s">
        <v>3717</v>
      </c>
      <c r="E227" s="126">
        <v>211</v>
      </c>
      <c r="F227" s="126">
        <v>0</v>
      </c>
      <c r="G227" s="126">
        <v>65</v>
      </c>
      <c r="H227" s="126">
        <v>0</v>
      </c>
      <c r="I227" s="126">
        <v>30.81</v>
      </c>
      <c r="J227" s="126">
        <v>0</v>
      </c>
      <c r="K227" s="126">
        <v>0</v>
      </c>
      <c r="L227" s="126">
        <f t="shared" si="72"/>
        <v>211</v>
      </c>
      <c r="M227" s="126">
        <f t="shared" si="73"/>
        <v>65</v>
      </c>
      <c r="N227" s="171">
        <f t="shared" si="74"/>
        <v>0.30809999999999998</v>
      </c>
      <c r="O227" s="132">
        <f t="shared" si="75"/>
        <v>0</v>
      </c>
      <c r="P227" s="177">
        <f t="shared" si="76"/>
        <v>0</v>
      </c>
      <c r="Q227" s="177">
        <f t="shared" si="77"/>
        <v>0</v>
      </c>
      <c r="S227" s="233" t="b">
        <f t="shared" si="59"/>
        <v>0</v>
      </c>
    </row>
    <row r="228" spans="1:19">
      <c r="A228" s="126" t="s">
        <v>3719</v>
      </c>
      <c r="B228" s="126" t="str">
        <f t="shared" si="78"/>
        <v>D0378</v>
      </c>
      <c r="C228" s="126">
        <v>4950</v>
      </c>
      <c r="D228" s="126" t="s">
        <v>2360</v>
      </c>
      <c r="E228" s="126">
        <v>445</v>
      </c>
      <c r="F228" s="126">
        <v>0</v>
      </c>
      <c r="G228" s="126">
        <v>93</v>
      </c>
      <c r="H228" s="126">
        <v>0</v>
      </c>
      <c r="I228" s="126">
        <v>20.9</v>
      </c>
      <c r="J228" s="126">
        <v>0</v>
      </c>
      <c r="K228" s="126">
        <v>0</v>
      </c>
      <c r="L228" s="126">
        <f t="shared" si="72"/>
        <v>445</v>
      </c>
      <c r="M228" s="126">
        <f t="shared" si="73"/>
        <v>93</v>
      </c>
      <c r="N228" s="171">
        <f t="shared" si="74"/>
        <v>0.20899999999999999</v>
      </c>
      <c r="O228" s="132">
        <f t="shared" si="75"/>
        <v>0</v>
      </c>
      <c r="P228" s="177">
        <f t="shared" si="76"/>
        <v>0</v>
      </c>
      <c r="Q228" s="177">
        <f t="shared" si="77"/>
        <v>0</v>
      </c>
      <c r="S228" s="233" t="b">
        <f t="shared" si="59"/>
        <v>0</v>
      </c>
    </row>
    <row r="229" spans="1:19">
      <c r="A229" s="126" t="s">
        <v>3719</v>
      </c>
      <c r="B229" s="126" t="str">
        <f t="shared" si="78"/>
        <v>D0378</v>
      </c>
      <c r="C229" s="126">
        <v>4952</v>
      </c>
      <c r="D229" s="126" t="s">
        <v>2362</v>
      </c>
      <c r="E229" s="126">
        <v>224</v>
      </c>
      <c r="F229" s="126">
        <v>0</v>
      </c>
      <c r="G229" s="126">
        <v>49</v>
      </c>
      <c r="H229" s="126">
        <v>0</v>
      </c>
      <c r="I229" s="126">
        <v>21.88</v>
      </c>
      <c r="J229" s="126">
        <v>0</v>
      </c>
      <c r="K229" s="126">
        <v>0</v>
      </c>
      <c r="L229" s="126">
        <f t="shared" si="72"/>
        <v>224</v>
      </c>
      <c r="M229" s="126">
        <f t="shared" si="73"/>
        <v>49</v>
      </c>
      <c r="N229" s="171">
        <f t="shared" si="74"/>
        <v>0.21879999999999999</v>
      </c>
      <c r="O229" s="132">
        <f t="shared" si="75"/>
        <v>0</v>
      </c>
      <c r="P229" s="177">
        <f t="shared" si="76"/>
        <v>0</v>
      </c>
      <c r="Q229" s="177">
        <f t="shared" si="77"/>
        <v>0</v>
      </c>
      <c r="S229" s="233" t="b">
        <f t="shared" si="59"/>
        <v>0</v>
      </c>
    </row>
    <row r="230" spans="1:19">
      <c r="A230" s="126" t="s">
        <v>3720</v>
      </c>
      <c r="B230" s="126" t="str">
        <f t="shared" si="78"/>
        <v>D0282</v>
      </c>
      <c r="C230" s="126">
        <v>2436</v>
      </c>
      <c r="D230" s="126" t="s">
        <v>1845</v>
      </c>
      <c r="E230" s="126">
        <v>364</v>
      </c>
      <c r="F230" s="126">
        <v>0</v>
      </c>
      <c r="G230" s="126">
        <v>156</v>
      </c>
      <c r="H230" s="126">
        <v>0</v>
      </c>
      <c r="I230" s="126">
        <v>42.86</v>
      </c>
      <c r="J230" s="126">
        <v>0</v>
      </c>
      <c r="K230" s="126">
        <v>8.6</v>
      </c>
      <c r="L230" s="126">
        <f t="shared" ref="L230" si="79">SUM(E230:F230)</f>
        <v>364</v>
      </c>
      <c r="M230" s="126">
        <f t="shared" ref="M230" si="80">SUM(G230:H230)</f>
        <v>156</v>
      </c>
      <c r="N230" s="171">
        <f t="shared" ref="N230" si="81">IF(ISERROR(M230/L230),0,M230/L230)</f>
        <v>0.42859999999999998</v>
      </c>
      <c r="O230" s="132">
        <f t="shared" ref="O230" si="82">IF(AND((N230-35%)&gt;0,N230&lt;50%),M230*(N230-35%)*0.7,0)</f>
        <v>8.6</v>
      </c>
      <c r="P230" s="177">
        <f t="shared" ref="P230" si="83">IF(N230&gt;=50%,M230*10.5%,0)</f>
        <v>0</v>
      </c>
      <c r="Q230" s="177">
        <f t="shared" ref="Q230" si="84">MAX(O230,P230)</f>
        <v>8.6</v>
      </c>
      <c r="S230" s="233" t="b">
        <f t="shared" si="59"/>
        <v>0</v>
      </c>
    </row>
    <row r="231" spans="1:19">
      <c r="A231" s="126" t="s">
        <v>3721</v>
      </c>
      <c r="B231" s="126" t="str">
        <f t="shared" si="78"/>
        <v>D0498</v>
      </c>
      <c r="C231" s="126">
        <v>8238</v>
      </c>
      <c r="D231" s="126" t="s">
        <v>3121</v>
      </c>
      <c r="E231" s="126">
        <v>143</v>
      </c>
      <c r="F231" s="126">
        <v>0</v>
      </c>
      <c r="G231" s="126">
        <v>48</v>
      </c>
      <c r="H231" s="126">
        <v>0</v>
      </c>
      <c r="I231" s="126">
        <v>33.57</v>
      </c>
      <c r="J231" s="126">
        <v>0</v>
      </c>
      <c r="K231" s="126">
        <v>0</v>
      </c>
      <c r="L231" s="126">
        <f t="shared" ref="L231:L233" si="85">SUM(E231:F231)</f>
        <v>143</v>
      </c>
      <c r="M231" s="126">
        <f t="shared" ref="M231:M233" si="86">SUM(G231:H231)</f>
        <v>48</v>
      </c>
      <c r="N231" s="171">
        <f t="shared" ref="N231:N233" si="87">IF(ISERROR(M231/L231),0,M231/L231)</f>
        <v>0.3357</v>
      </c>
      <c r="O231" s="132">
        <f t="shared" ref="O231:O233" si="88">IF(AND((N231-35%)&gt;0,N231&lt;50%),M231*(N231-35%)*0.7,0)</f>
        <v>0</v>
      </c>
      <c r="P231" s="177">
        <f t="shared" ref="P231:P233" si="89">IF(N231&gt;=50%,M231*10.5%,0)</f>
        <v>0</v>
      </c>
      <c r="Q231" s="177">
        <f t="shared" ref="Q231:Q233" si="90">MAX(O231,P231)</f>
        <v>0</v>
      </c>
      <c r="S231" s="233" t="b">
        <f t="shared" si="59"/>
        <v>0</v>
      </c>
    </row>
    <row r="232" spans="1:19">
      <c r="A232" s="126" t="s">
        <v>3721</v>
      </c>
      <c r="B232" s="126" t="str">
        <f t="shared" si="78"/>
        <v>D0498</v>
      </c>
      <c r="C232" s="126">
        <v>8246</v>
      </c>
      <c r="D232" s="126" t="s">
        <v>3121</v>
      </c>
      <c r="E232" s="126">
        <v>113</v>
      </c>
      <c r="F232" s="126">
        <v>0</v>
      </c>
      <c r="G232" s="126">
        <v>33</v>
      </c>
      <c r="H232" s="126">
        <v>0</v>
      </c>
      <c r="I232" s="126">
        <v>29.2</v>
      </c>
      <c r="J232" s="126">
        <v>0</v>
      </c>
      <c r="K232" s="126">
        <v>0</v>
      </c>
      <c r="L232" s="126">
        <f t="shared" si="85"/>
        <v>113</v>
      </c>
      <c r="M232" s="126">
        <f t="shared" si="86"/>
        <v>33</v>
      </c>
      <c r="N232" s="171">
        <f t="shared" si="87"/>
        <v>0.29199999999999998</v>
      </c>
      <c r="O232" s="132">
        <f t="shared" si="88"/>
        <v>0</v>
      </c>
      <c r="P232" s="177">
        <f t="shared" si="89"/>
        <v>0</v>
      </c>
      <c r="Q232" s="177">
        <f t="shared" si="90"/>
        <v>0</v>
      </c>
      <c r="S232" s="233" t="b">
        <f t="shared" si="59"/>
        <v>0</v>
      </c>
    </row>
    <row r="233" spans="1:19">
      <c r="A233" s="126" t="s">
        <v>3721</v>
      </c>
      <c r="B233" s="126" t="str">
        <f t="shared" si="78"/>
        <v>D0498</v>
      </c>
      <c r="C233" s="126">
        <v>8252</v>
      </c>
      <c r="D233" s="126" t="s">
        <v>3124</v>
      </c>
      <c r="E233" s="126">
        <v>168</v>
      </c>
      <c r="F233" s="126">
        <v>0</v>
      </c>
      <c r="G233" s="126">
        <v>57</v>
      </c>
      <c r="H233" s="126">
        <v>0</v>
      </c>
      <c r="I233" s="126">
        <v>33.93</v>
      </c>
      <c r="J233" s="126">
        <v>0</v>
      </c>
      <c r="K233" s="126">
        <v>0</v>
      </c>
      <c r="L233" s="126">
        <f t="shared" si="85"/>
        <v>168</v>
      </c>
      <c r="M233" s="126">
        <f t="shared" si="86"/>
        <v>57</v>
      </c>
      <c r="N233" s="171">
        <f t="shared" si="87"/>
        <v>0.33929999999999999</v>
      </c>
      <c r="O233" s="132">
        <f t="shared" si="88"/>
        <v>0</v>
      </c>
      <c r="P233" s="177">
        <f t="shared" si="89"/>
        <v>0</v>
      </c>
      <c r="Q233" s="177">
        <f t="shared" si="90"/>
        <v>0</v>
      </c>
      <c r="S233" s="233" t="b">
        <f t="shared" si="59"/>
        <v>0</v>
      </c>
    </row>
    <row r="234" spans="1:19">
      <c r="A234" s="126" t="s">
        <v>3649</v>
      </c>
      <c r="B234" s="126" t="str">
        <f t="shared" si="78"/>
        <v>D0113</v>
      </c>
      <c r="C234" s="126">
        <v>399</v>
      </c>
      <c r="D234" s="126" t="s">
        <v>951</v>
      </c>
      <c r="E234" s="126">
        <v>41</v>
      </c>
      <c r="F234" s="126">
        <v>0</v>
      </c>
      <c r="G234" s="126">
        <v>6</v>
      </c>
      <c r="H234" s="126">
        <v>0</v>
      </c>
      <c r="I234" s="126">
        <v>14.63</v>
      </c>
      <c r="J234" s="126">
        <v>0</v>
      </c>
      <c r="K234" s="126">
        <v>0</v>
      </c>
      <c r="L234" s="126">
        <f t="shared" ref="L234:L256" si="91">SUM(E234:F234)</f>
        <v>41</v>
      </c>
      <c r="M234" s="126">
        <f t="shared" ref="M234:M256" si="92">SUM(G234:H234)</f>
        <v>6</v>
      </c>
      <c r="N234" s="171">
        <f t="shared" ref="N234:N256" si="93">IF(ISERROR(M234/L234),0,M234/L234)</f>
        <v>0.14630000000000001</v>
      </c>
      <c r="O234" s="132">
        <f t="shared" ref="O234:O256" si="94">IF(AND((N234-35%)&gt;0,N234&lt;50%),M234*(N234-35%)*0.7,0)</f>
        <v>0</v>
      </c>
      <c r="P234" s="177">
        <f t="shared" ref="P234:P256" si="95">IF(N234&gt;=50%,M234*10.5%,0)</f>
        <v>0</v>
      </c>
      <c r="Q234" s="177">
        <f t="shared" ref="Q234:Q256" si="96">MAX(O234,P234)</f>
        <v>0</v>
      </c>
      <c r="S234" s="233" t="b">
        <f t="shared" si="59"/>
        <v>0</v>
      </c>
    </row>
    <row r="235" spans="1:19">
      <c r="A235" s="126" t="s">
        <v>3649</v>
      </c>
      <c r="B235" s="126" t="str">
        <f t="shared" si="78"/>
        <v>D0113</v>
      </c>
      <c r="C235" s="126">
        <v>409</v>
      </c>
      <c r="D235" s="126" t="s">
        <v>953</v>
      </c>
      <c r="E235" s="126">
        <v>377</v>
      </c>
      <c r="F235" s="126">
        <v>0</v>
      </c>
      <c r="G235" s="126">
        <v>101</v>
      </c>
      <c r="H235" s="126">
        <v>0</v>
      </c>
      <c r="I235" s="126">
        <v>26.79</v>
      </c>
      <c r="J235" s="126">
        <v>0</v>
      </c>
      <c r="K235" s="126">
        <v>0</v>
      </c>
      <c r="L235" s="126">
        <f t="shared" si="91"/>
        <v>377</v>
      </c>
      <c r="M235" s="126">
        <f t="shared" si="92"/>
        <v>101</v>
      </c>
      <c r="N235" s="171">
        <f t="shared" si="93"/>
        <v>0.26790000000000003</v>
      </c>
      <c r="O235" s="132">
        <f t="shared" si="94"/>
        <v>0</v>
      </c>
      <c r="P235" s="177">
        <f t="shared" si="95"/>
        <v>0</v>
      </c>
      <c r="Q235" s="177">
        <f t="shared" si="96"/>
        <v>0</v>
      </c>
      <c r="S235" s="233" t="b">
        <f t="shared" si="59"/>
        <v>0</v>
      </c>
    </row>
    <row r="236" spans="1:19">
      <c r="A236" s="126" t="s">
        <v>3649</v>
      </c>
      <c r="B236" s="126" t="str">
        <f t="shared" si="78"/>
        <v>D0113</v>
      </c>
      <c r="C236" s="126">
        <v>410</v>
      </c>
      <c r="D236" s="126" t="s">
        <v>955</v>
      </c>
      <c r="E236" s="126">
        <v>249</v>
      </c>
      <c r="F236" s="126">
        <v>0</v>
      </c>
      <c r="G236" s="126">
        <v>44</v>
      </c>
      <c r="H236" s="126">
        <v>0</v>
      </c>
      <c r="I236" s="126">
        <v>17.670000000000002</v>
      </c>
      <c r="J236" s="126">
        <v>0</v>
      </c>
      <c r="K236" s="126">
        <v>0</v>
      </c>
      <c r="L236" s="126">
        <f t="shared" si="91"/>
        <v>249</v>
      </c>
      <c r="M236" s="126">
        <f t="shared" si="92"/>
        <v>44</v>
      </c>
      <c r="N236" s="171">
        <f t="shared" si="93"/>
        <v>0.1767</v>
      </c>
      <c r="O236" s="132">
        <f t="shared" si="94"/>
        <v>0</v>
      </c>
      <c r="P236" s="177">
        <f t="shared" si="95"/>
        <v>0</v>
      </c>
      <c r="Q236" s="177">
        <f t="shared" si="96"/>
        <v>0</v>
      </c>
      <c r="S236" s="233" t="b">
        <f t="shared" si="59"/>
        <v>0</v>
      </c>
    </row>
    <row r="237" spans="1:19">
      <c r="A237" s="126" t="s">
        <v>3649</v>
      </c>
      <c r="B237" s="126" t="str">
        <f t="shared" si="78"/>
        <v>D0113</v>
      </c>
      <c r="C237" s="126">
        <v>411</v>
      </c>
      <c r="D237" s="126" t="s">
        <v>957</v>
      </c>
      <c r="E237" s="126">
        <v>178</v>
      </c>
      <c r="F237" s="126">
        <v>0</v>
      </c>
      <c r="G237" s="126">
        <v>32</v>
      </c>
      <c r="H237" s="126">
        <v>0</v>
      </c>
      <c r="I237" s="126">
        <v>17.98</v>
      </c>
      <c r="J237" s="126">
        <v>0</v>
      </c>
      <c r="K237" s="126">
        <v>0</v>
      </c>
      <c r="L237" s="126">
        <f t="shared" si="91"/>
        <v>178</v>
      </c>
      <c r="M237" s="126">
        <f t="shared" si="92"/>
        <v>32</v>
      </c>
      <c r="N237" s="171">
        <f t="shared" si="93"/>
        <v>0.17979999999999999</v>
      </c>
      <c r="O237" s="132">
        <f t="shared" si="94"/>
        <v>0</v>
      </c>
      <c r="P237" s="177">
        <f t="shared" si="95"/>
        <v>0</v>
      </c>
      <c r="Q237" s="177">
        <f t="shared" si="96"/>
        <v>0</v>
      </c>
      <c r="S237" s="233" t="b">
        <f t="shared" si="59"/>
        <v>0</v>
      </c>
    </row>
    <row r="238" spans="1:19">
      <c r="A238" s="126" t="s">
        <v>3649</v>
      </c>
      <c r="B238" s="126" t="str">
        <f t="shared" si="78"/>
        <v>D0113</v>
      </c>
      <c r="C238" s="126">
        <v>413</v>
      </c>
      <c r="D238" s="126" t="s">
        <v>959</v>
      </c>
      <c r="E238" s="126">
        <v>98</v>
      </c>
      <c r="F238" s="126">
        <v>0</v>
      </c>
      <c r="G238" s="126">
        <v>39</v>
      </c>
      <c r="H238" s="126">
        <v>0</v>
      </c>
      <c r="I238" s="126">
        <v>39.799999999999997</v>
      </c>
      <c r="J238" s="126">
        <v>0</v>
      </c>
      <c r="K238" s="126">
        <v>1.3</v>
      </c>
      <c r="L238" s="126">
        <f t="shared" si="91"/>
        <v>98</v>
      </c>
      <c r="M238" s="126">
        <f t="shared" si="92"/>
        <v>39</v>
      </c>
      <c r="N238" s="171">
        <f t="shared" si="93"/>
        <v>0.39800000000000002</v>
      </c>
      <c r="O238" s="132">
        <f t="shared" si="94"/>
        <v>1.3</v>
      </c>
      <c r="P238" s="177">
        <f t="shared" si="95"/>
        <v>0</v>
      </c>
      <c r="Q238" s="177">
        <f t="shared" si="96"/>
        <v>1.3</v>
      </c>
      <c r="S238" s="233" t="b">
        <f t="shared" si="59"/>
        <v>0</v>
      </c>
    </row>
    <row r="239" spans="1:19">
      <c r="A239" s="126" t="s">
        <v>3649</v>
      </c>
      <c r="B239" s="126" t="str">
        <f t="shared" si="78"/>
        <v>D0113</v>
      </c>
      <c r="C239" s="126">
        <v>414</v>
      </c>
      <c r="D239" s="126" t="s">
        <v>961</v>
      </c>
      <c r="E239" s="126">
        <v>54</v>
      </c>
      <c r="F239" s="126">
        <v>0</v>
      </c>
      <c r="G239" s="126">
        <v>19</v>
      </c>
      <c r="H239" s="126">
        <v>0</v>
      </c>
      <c r="I239" s="126">
        <v>35.19</v>
      </c>
      <c r="J239" s="126">
        <v>0</v>
      </c>
      <c r="K239" s="126">
        <v>0</v>
      </c>
      <c r="L239" s="126">
        <f t="shared" si="91"/>
        <v>54</v>
      </c>
      <c r="M239" s="126">
        <f t="shared" si="92"/>
        <v>19</v>
      </c>
      <c r="N239" s="171">
        <f t="shared" si="93"/>
        <v>0.35189999999999999</v>
      </c>
      <c r="O239" s="132">
        <f t="shared" si="94"/>
        <v>0</v>
      </c>
      <c r="P239" s="177">
        <f t="shared" si="95"/>
        <v>0</v>
      </c>
      <c r="Q239" s="177">
        <f t="shared" si="96"/>
        <v>0</v>
      </c>
      <c r="S239" s="233" t="b">
        <f t="shared" si="59"/>
        <v>0</v>
      </c>
    </row>
    <row r="240" spans="1:19">
      <c r="A240" s="126" t="s">
        <v>3649</v>
      </c>
      <c r="B240" s="126" t="str">
        <f t="shared" si="78"/>
        <v>D0113</v>
      </c>
      <c r="C240" s="126">
        <v>462</v>
      </c>
      <c r="D240" s="126" t="s">
        <v>963</v>
      </c>
      <c r="E240" s="126">
        <v>122</v>
      </c>
      <c r="F240" s="126">
        <v>0</v>
      </c>
      <c r="G240" s="126">
        <v>29</v>
      </c>
      <c r="H240" s="126">
        <v>0</v>
      </c>
      <c r="I240" s="126">
        <v>23.77</v>
      </c>
      <c r="J240" s="126">
        <v>0</v>
      </c>
      <c r="K240" s="126">
        <v>0</v>
      </c>
      <c r="L240" s="126">
        <f t="shared" si="91"/>
        <v>122</v>
      </c>
      <c r="M240" s="126">
        <f t="shared" si="92"/>
        <v>29</v>
      </c>
      <c r="N240" s="171">
        <f t="shared" si="93"/>
        <v>0.23769999999999999</v>
      </c>
      <c r="O240" s="132">
        <f t="shared" si="94"/>
        <v>0</v>
      </c>
      <c r="P240" s="177">
        <f t="shared" si="95"/>
        <v>0</v>
      </c>
      <c r="Q240" s="177">
        <f t="shared" si="96"/>
        <v>0</v>
      </c>
      <c r="S240" s="233" t="b">
        <f t="shared" si="59"/>
        <v>0</v>
      </c>
    </row>
    <row r="241" spans="1:19">
      <c r="A241" s="126" t="s">
        <v>3728</v>
      </c>
      <c r="B241" s="126" t="str">
        <f t="shared" si="78"/>
        <v>D0204</v>
      </c>
      <c r="C241" s="126">
        <v>210</v>
      </c>
      <c r="D241" s="126" t="s">
        <v>1004</v>
      </c>
      <c r="E241" s="126">
        <v>432</v>
      </c>
      <c r="F241" s="126">
        <v>0</v>
      </c>
      <c r="G241" s="126">
        <v>181</v>
      </c>
      <c r="H241" s="126">
        <v>0</v>
      </c>
      <c r="I241" s="126">
        <v>41.9</v>
      </c>
      <c r="J241" s="126">
        <v>0</v>
      </c>
      <c r="K241" s="126">
        <v>8.6999999999999993</v>
      </c>
      <c r="L241" s="126">
        <f t="shared" si="91"/>
        <v>432</v>
      </c>
      <c r="M241" s="126">
        <f t="shared" si="92"/>
        <v>181</v>
      </c>
      <c r="N241" s="171">
        <f t="shared" si="93"/>
        <v>0.41899999999999998</v>
      </c>
      <c r="O241" s="132">
        <f t="shared" si="94"/>
        <v>8.6999999999999993</v>
      </c>
      <c r="P241" s="177">
        <f t="shared" si="95"/>
        <v>0</v>
      </c>
      <c r="Q241" s="177">
        <f t="shared" si="96"/>
        <v>8.6999999999999993</v>
      </c>
      <c r="S241" s="233" t="b">
        <f t="shared" si="59"/>
        <v>0</v>
      </c>
    </row>
    <row r="242" spans="1:19">
      <c r="A242" s="126" t="s">
        <v>3728</v>
      </c>
      <c r="B242" s="126" t="str">
        <f t="shared" si="78"/>
        <v>D0204</v>
      </c>
      <c r="C242" s="126">
        <v>214</v>
      </c>
      <c r="D242" s="126" t="s">
        <v>1006</v>
      </c>
      <c r="E242" s="126">
        <v>754</v>
      </c>
      <c r="F242" s="126">
        <v>0</v>
      </c>
      <c r="G242" s="126">
        <v>213</v>
      </c>
      <c r="H242" s="126">
        <v>0</v>
      </c>
      <c r="I242" s="126">
        <v>28.25</v>
      </c>
      <c r="J242" s="126">
        <v>0</v>
      </c>
      <c r="K242" s="126">
        <v>0</v>
      </c>
      <c r="L242" s="126">
        <f t="shared" si="91"/>
        <v>754</v>
      </c>
      <c r="M242" s="126">
        <f t="shared" si="92"/>
        <v>213</v>
      </c>
      <c r="N242" s="171">
        <f t="shared" si="93"/>
        <v>0.28249999999999997</v>
      </c>
      <c r="O242" s="132">
        <f t="shared" si="94"/>
        <v>0</v>
      </c>
      <c r="P242" s="177">
        <f t="shared" si="95"/>
        <v>0</v>
      </c>
      <c r="Q242" s="177">
        <f t="shared" si="96"/>
        <v>0</v>
      </c>
      <c r="S242" s="233" t="b">
        <f t="shared" si="59"/>
        <v>0</v>
      </c>
    </row>
    <row r="243" spans="1:19">
      <c r="A243" s="126" t="s">
        <v>3728</v>
      </c>
      <c r="B243" s="126" t="str">
        <f t="shared" si="78"/>
        <v>D0204</v>
      </c>
      <c r="C243" s="126">
        <v>216</v>
      </c>
      <c r="D243" s="126" t="s">
        <v>1008</v>
      </c>
      <c r="E243" s="126">
        <v>431</v>
      </c>
      <c r="F243" s="126">
        <v>0</v>
      </c>
      <c r="G243" s="126">
        <v>182</v>
      </c>
      <c r="H243" s="126">
        <v>0</v>
      </c>
      <c r="I243" s="126">
        <v>42.23</v>
      </c>
      <c r="J243" s="126">
        <v>0</v>
      </c>
      <c r="K243" s="126">
        <v>9.1999999999999993</v>
      </c>
      <c r="L243" s="126">
        <f t="shared" si="91"/>
        <v>431</v>
      </c>
      <c r="M243" s="126">
        <f t="shared" si="92"/>
        <v>182</v>
      </c>
      <c r="N243" s="171">
        <f t="shared" si="93"/>
        <v>0.42230000000000001</v>
      </c>
      <c r="O243" s="132">
        <f t="shared" si="94"/>
        <v>9.1999999999999993</v>
      </c>
      <c r="P243" s="177">
        <f t="shared" si="95"/>
        <v>0</v>
      </c>
      <c r="Q243" s="177">
        <f t="shared" si="96"/>
        <v>9.1999999999999993</v>
      </c>
      <c r="S243" s="233" t="b">
        <f t="shared" si="59"/>
        <v>0</v>
      </c>
    </row>
    <row r="244" spans="1:19">
      <c r="A244" s="126" t="s">
        <v>3728</v>
      </c>
      <c r="B244" s="126" t="str">
        <f t="shared" si="78"/>
        <v>D0204</v>
      </c>
      <c r="C244" s="126">
        <v>221</v>
      </c>
      <c r="D244" s="126" t="s">
        <v>1010</v>
      </c>
      <c r="E244" s="126">
        <v>614</v>
      </c>
      <c r="F244" s="126">
        <v>0</v>
      </c>
      <c r="G244" s="126">
        <v>223</v>
      </c>
      <c r="H244" s="126">
        <v>0</v>
      </c>
      <c r="I244" s="126">
        <v>36.32</v>
      </c>
      <c r="J244" s="126">
        <v>0</v>
      </c>
      <c r="K244" s="126">
        <v>2.1</v>
      </c>
      <c r="L244" s="126">
        <f t="shared" si="91"/>
        <v>614</v>
      </c>
      <c r="M244" s="126">
        <f t="shared" si="92"/>
        <v>223</v>
      </c>
      <c r="N244" s="171">
        <f t="shared" si="93"/>
        <v>0.36320000000000002</v>
      </c>
      <c r="O244" s="132">
        <f t="shared" si="94"/>
        <v>2.1</v>
      </c>
      <c r="P244" s="177">
        <f t="shared" si="95"/>
        <v>0</v>
      </c>
      <c r="Q244" s="177">
        <f t="shared" si="96"/>
        <v>2.1</v>
      </c>
      <c r="S244" s="233" t="b">
        <f t="shared" si="59"/>
        <v>0</v>
      </c>
    </row>
    <row r="245" spans="1:19">
      <c r="A245" s="126" t="s">
        <v>3728</v>
      </c>
      <c r="B245" s="126" t="str">
        <f t="shared" si="78"/>
        <v>D0204</v>
      </c>
      <c r="C245" s="126">
        <v>228</v>
      </c>
      <c r="D245" s="126" t="s">
        <v>1012</v>
      </c>
      <c r="E245" s="126">
        <v>372</v>
      </c>
      <c r="F245" s="126">
        <v>0</v>
      </c>
      <c r="G245" s="126">
        <v>124</v>
      </c>
      <c r="H245" s="126">
        <v>0</v>
      </c>
      <c r="I245" s="126">
        <v>33.33</v>
      </c>
      <c r="J245" s="126">
        <v>0</v>
      </c>
      <c r="K245" s="126">
        <v>0</v>
      </c>
      <c r="L245" s="126">
        <f t="shared" si="91"/>
        <v>372</v>
      </c>
      <c r="M245" s="126">
        <f t="shared" si="92"/>
        <v>124</v>
      </c>
      <c r="N245" s="171">
        <f t="shared" si="93"/>
        <v>0.33329999999999999</v>
      </c>
      <c r="O245" s="132">
        <f t="shared" si="94"/>
        <v>0</v>
      </c>
      <c r="P245" s="177">
        <f t="shared" si="95"/>
        <v>0</v>
      </c>
      <c r="Q245" s="177">
        <f t="shared" si="96"/>
        <v>0</v>
      </c>
      <c r="S245" s="233" t="b">
        <f t="shared" si="59"/>
        <v>0</v>
      </c>
    </row>
    <row r="246" spans="1:19">
      <c r="A246" s="126" t="s">
        <v>3724</v>
      </c>
      <c r="B246" s="126" t="str">
        <f t="shared" si="78"/>
        <v>D0235</v>
      </c>
      <c r="C246" s="126">
        <v>964</v>
      </c>
      <c r="D246" s="126" t="s">
        <v>1365</v>
      </c>
      <c r="E246" s="126">
        <v>196</v>
      </c>
      <c r="F246" s="126">
        <v>0</v>
      </c>
      <c r="G246" s="126">
        <v>59</v>
      </c>
      <c r="H246" s="126">
        <v>0</v>
      </c>
      <c r="I246" s="126">
        <v>30.1</v>
      </c>
      <c r="J246" s="126">
        <v>0</v>
      </c>
      <c r="K246" s="126">
        <v>0</v>
      </c>
      <c r="L246" s="126">
        <f t="shared" si="91"/>
        <v>196</v>
      </c>
      <c r="M246" s="126">
        <f t="shared" si="92"/>
        <v>59</v>
      </c>
      <c r="N246" s="171">
        <f t="shared" si="93"/>
        <v>0.30099999999999999</v>
      </c>
      <c r="O246" s="132">
        <f t="shared" si="94"/>
        <v>0</v>
      </c>
      <c r="P246" s="177">
        <f t="shared" si="95"/>
        <v>0</v>
      </c>
      <c r="Q246" s="177">
        <f t="shared" si="96"/>
        <v>0</v>
      </c>
      <c r="S246" s="233" t="b">
        <f t="shared" si="59"/>
        <v>0</v>
      </c>
    </row>
    <row r="247" spans="1:19">
      <c r="A247" s="126" t="s">
        <v>3724</v>
      </c>
      <c r="B247" s="126" t="str">
        <f t="shared" si="78"/>
        <v>D0235</v>
      </c>
      <c r="C247" s="126">
        <v>966</v>
      </c>
      <c r="D247" s="126" t="s">
        <v>1367</v>
      </c>
      <c r="E247" s="126">
        <v>249</v>
      </c>
      <c r="F247" s="126">
        <v>0</v>
      </c>
      <c r="G247" s="126">
        <v>106</v>
      </c>
      <c r="H247" s="126">
        <v>0</v>
      </c>
      <c r="I247" s="126">
        <v>42.57</v>
      </c>
      <c r="J247" s="126">
        <v>0</v>
      </c>
      <c r="K247" s="126">
        <v>5.6</v>
      </c>
      <c r="L247" s="126">
        <f t="shared" si="91"/>
        <v>249</v>
      </c>
      <c r="M247" s="126">
        <f t="shared" si="92"/>
        <v>106</v>
      </c>
      <c r="N247" s="171">
        <f t="shared" si="93"/>
        <v>0.42570000000000002</v>
      </c>
      <c r="O247" s="132">
        <f t="shared" si="94"/>
        <v>5.6</v>
      </c>
      <c r="P247" s="177">
        <f t="shared" si="95"/>
        <v>0</v>
      </c>
      <c r="Q247" s="177">
        <f t="shared" si="96"/>
        <v>5.6</v>
      </c>
      <c r="S247" s="233" t="b">
        <f t="shared" si="59"/>
        <v>0</v>
      </c>
    </row>
    <row r="248" spans="1:19">
      <c r="A248" s="126" t="s">
        <v>3725</v>
      </c>
      <c r="B248" s="126" t="str">
        <f t="shared" si="78"/>
        <v>D0379</v>
      </c>
      <c r="C248" s="126">
        <v>4970</v>
      </c>
      <c r="D248" s="126" t="s">
        <v>1881</v>
      </c>
      <c r="E248" s="126">
        <v>173</v>
      </c>
      <c r="F248" s="126">
        <v>0</v>
      </c>
      <c r="G248" s="126">
        <v>55</v>
      </c>
      <c r="H248" s="126">
        <v>0</v>
      </c>
      <c r="I248" s="126">
        <v>31.79</v>
      </c>
      <c r="J248" s="126">
        <v>0</v>
      </c>
      <c r="K248" s="126">
        <v>0</v>
      </c>
      <c r="L248" s="126">
        <f t="shared" si="91"/>
        <v>173</v>
      </c>
      <c r="M248" s="126">
        <f t="shared" si="92"/>
        <v>55</v>
      </c>
      <c r="N248" s="171">
        <f t="shared" si="93"/>
        <v>0.31790000000000002</v>
      </c>
      <c r="O248" s="132">
        <f t="shared" si="94"/>
        <v>0</v>
      </c>
      <c r="P248" s="177">
        <f t="shared" si="95"/>
        <v>0</v>
      </c>
      <c r="Q248" s="177">
        <f t="shared" si="96"/>
        <v>0</v>
      </c>
      <c r="S248" s="233" t="b">
        <f t="shared" si="59"/>
        <v>0</v>
      </c>
    </row>
    <row r="249" spans="1:19">
      <c r="A249" s="126" t="s">
        <v>3725</v>
      </c>
      <c r="B249" s="126" t="str">
        <f t="shared" si="78"/>
        <v>D0379</v>
      </c>
      <c r="C249" s="126">
        <v>4972</v>
      </c>
      <c r="D249" s="126" t="s">
        <v>1490</v>
      </c>
      <c r="E249" s="126">
        <v>362</v>
      </c>
      <c r="F249" s="126">
        <v>0</v>
      </c>
      <c r="G249" s="126">
        <v>122</v>
      </c>
      <c r="H249" s="126">
        <v>0</v>
      </c>
      <c r="I249" s="126">
        <v>33.700000000000003</v>
      </c>
      <c r="J249" s="126">
        <v>0</v>
      </c>
      <c r="K249" s="126">
        <v>0</v>
      </c>
      <c r="L249" s="126">
        <f t="shared" si="91"/>
        <v>362</v>
      </c>
      <c r="M249" s="126">
        <f t="shared" si="92"/>
        <v>122</v>
      </c>
      <c r="N249" s="171">
        <f t="shared" si="93"/>
        <v>0.33700000000000002</v>
      </c>
      <c r="O249" s="132">
        <f t="shared" si="94"/>
        <v>0</v>
      </c>
      <c r="P249" s="177">
        <f t="shared" si="95"/>
        <v>0</v>
      </c>
      <c r="Q249" s="177">
        <f t="shared" si="96"/>
        <v>0</v>
      </c>
      <c r="S249" s="233" t="b">
        <f t="shared" si="59"/>
        <v>0</v>
      </c>
    </row>
    <row r="250" spans="1:19">
      <c r="A250" s="126" t="s">
        <v>3725</v>
      </c>
      <c r="B250" s="126" t="str">
        <f t="shared" si="78"/>
        <v>D0379</v>
      </c>
      <c r="C250" s="126">
        <v>4974</v>
      </c>
      <c r="D250" s="126" t="s">
        <v>2366</v>
      </c>
      <c r="E250" s="126">
        <v>276</v>
      </c>
      <c r="F250" s="126">
        <v>0</v>
      </c>
      <c r="G250" s="126">
        <v>87</v>
      </c>
      <c r="H250" s="126">
        <v>0</v>
      </c>
      <c r="I250" s="126">
        <v>31.52</v>
      </c>
      <c r="J250" s="126">
        <v>0</v>
      </c>
      <c r="K250" s="126">
        <v>0</v>
      </c>
      <c r="L250" s="126">
        <f t="shared" si="91"/>
        <v>276</v>
      </c>
      <c r="M250" s="126">
        <f t="shared" si="92"/>
        <v>87</v>
      </c>
      <c r="N250" s="171">
        <f t="shared" si="93"/>
        <v>0.31519999999999998</v>
      </c>
      <c r="O250" s="132">
        <f t="shared" si="94"/>
        <v>0</v>
      </c>
      <c r="P250" s="177">
        <f t="shared" si="95"/>
        <v>0</v>
      </c>
      <c r="Q250" s="177">
        <f t="shared" si="96"/>
        <v>0</v>
      </c>
      <c r="S250" s="233" t="b">
        <f t="shared" si="59"/>
        <v>0</v>
      </c>
    </row>
    <row r="251" spans="1:19">
      <c r="A251" s="126" t="s">
        <v>3725</v>
      </c>
      <c r="B251" s="126" t="str">
        <f t="shared" si="78"/>
        <v>D0379</v>
      </c>
      <c r="C251" s="126">
        <v>4976</v>
      </c>
      <c r="D251" s="126" t="s">
        <v>2368</v>
      </c>
      <c r="E251" s="126">
        <v>304</v>
      </c>
      <c r="F251" s="126">
        <v>0</v>
      </c>
      <c r="G251" s="126">
        <v>72</v>
      </c>
      <c r="H251" s="126">
        <v>0</v>
      </c>
      <c r="I251" s="126">
        <v>23.68</v>
      </c>
      <c r="J251" s="126">
        <v>0</v>
      </c>
      <c r="K251" s="126">
        <v>0</v>
      </c>
      <c r="L251" s="126">
        <f t="shared" si="91"/>
        <v>304</v>
      </c>
      <c r="M251" s="126">
        <f t="shared" si="92"/>
        <v>72</v>
      </c>
      <c r="N251" s="171">
        <f t="shared" si="93"/>
        <v>0.23680000000000001</v>
      </c>
      <c r="O251" s="132">
        <f t="shared" si="94"/>
        <v>0</v>
      </c>
      <c r="P251" s="177">
        <f t="shared" si="95"/>
        <v>0</v>
      </c>
      <c r="Q251" s="177">
        <f t="shared" si="96"/>
        <v>0</v>
      </c>
      <c r="S251" s="233" t="b">
        <f t="shared" si="59"/>
        <v>0</v>
      </c>
    </row>
    <row r="252" spans="1:19">
      <c r="A252" s="126" t="s">
        <v>3725</v>
      </c>
      <c r="B252" s="126" t="str">
        <f t="shared" si="78"/>
        <v>D0379</v>
      </c>
      <c r="C252" s="126">
        <v>5014</v>
      </c>
      <c r="D252" s="126" t="s">
        <v>2370</v>
      </c>
      <c r="E252" s="126">
        <v>122</v>
      </c>
      <c r="F252" s="126">
        <v>0</v>
      </c>
      <c r="G252" s="126">
        <v>41</v>
      </c>
      <c r="H252" s="126">
        <v>0</v>
      </c>
      <c r="I252" s="126">
        <v>33.61</v>
      </c>
      <c r="J252" s="126">
        <v>0</v>
      </c>
      <c r="K252" s="126">
        <v>0</v>
      </c>
      <c r="L252" s="126">
        <f t="shared" si="91"/>
        <v>122</v>
      </c>
      <c r="M252" s="126">
        <f t="shared" si="92"/>
        <v>41</v>
      </c>
      <c r="N252" s="171">
        <f t="shared" si="93"/>
        <v>0.33610000000000001</v>
      </c>
      <c r="O252" s="132">
        <f t="shared" si="94"/>
        <v>0</v>
      </c>
      <c r="P252" s="177">
        <f t="shared" si="95"/>
        <v>0</v>
      </c>
      <c r="Q252" s="177">
        <f t="shared" si="96"/>
        <v>0</v>
      </c>
      <c r="S252" s="233" t="b">
        <f t="shared" si="59"/>
        <v>0</v>
      </c>
    </row>
    <row r="253" spans="1:19">
      <c r="A253" s="126" t="s">
        <v>3725</v>
      </c>
      <c r="B253" s="126" t="str">
        <f t="shared" si="78"/>
        <v>D0379</v>
      </c>
      <c r="C253" s="126">
        <v>5016</v>
      </c>
      <c r="D253" s="126" t="s">
        <v>2372</v>
      </c>
      <c r="E253" s="126">
        <v>76</v>
      </c>
      <c r="F253" s="126">
        <v>0</v>
      </c>
      <c r="G253" s="126">
        <v>18</v>
      </c>
      <c r="H253" s="126">
        <v>0</v>
      </c>
      <c r="I253" s="126">
        <v>23.68</v>
      </c>
      <c r="J253" s="126">
        <v>0</v>
      </c>
      <c r="K253" s="126">
        <v>0</v>
      </c>
      <c r="L253" s="126">
        <f t="shared" si="91"/>
        <v>76</v>
      </c>
      <c r="M253" s="126">
        <f t="shared" si="92"/>
        <v>18</v>
      </c>
      <c r="N253" s="171">
        <f t="shared" si="93"/>
        <v>0.23680000000000001</v>
      </c>
      <c r="O253" s="132">
        <f t="shared" si="94"/>
        <v>0</v>
      </c>
      <c r="P253" s="177">
        <f t="shared" si="95"/>
        <v>0</v>
      </c>
      <c r="Q253" s="177">
        <f t="shared" si="96"/>
        <v>0</v>
      </c>
      <c r="S253" s="233" t="b">
        <f t="shared" si="59"/>
        <v>0</v>
      </c>
    </row>
    <row r="254" spans="1:19">
      <c r="A254" s="126" t="s">
        <v>3727</v>
      </c>
      <c r="B254" s="126" t="str">
        <f t="shared" si="78"/>
        <v>D0461</v>
      </c>
      <c r="C254" s="126">
        <v>7226</v>
      </c>
      <c r="D254" s="126" t="s">
        <v>2874</v>
      </c>
      <c r="E254" s="126">
        <v>241</v>
      </c>
      <c r="F254" s="126">
        <v>0</v>
      </c>
      <c r="G254" s="126">
        <v>130</v>
      </c>
      <c r="H254" s="126">
        <v>0</v>
      </c>
      <c r="I254" s="126">
        <v>53.94</v>
      </c>
      <c r="J254" s="126">
        <v>13.6</v>
      </c>
      <c r="K254" s="126">
        <v>0</v>
      </c>
      <c r="L254" s="126">
        <f t="shared" si="91"/>
        <v>241</v>
      </c>
      <c r="M254" s="126">
        <f t="shared" si="92"/>
        <v>130</v>
      </c>
      <c r="N254" s="171">
        <f t="shared" si="93"/>
        <v>0.53939999999999999</v>
      </c>
      <c r="O254" s="132">
        <f t="shared" si="94"/>
        <v>0</v>
      </c>
      <c r="P254" s="177">
        <f t="shared" si="95"/>
        <v>13.7</v>
      </c>
      <c r="Q254" s="177">
        <f t="shared" si="96"/>
        <v>13.7</v>
      </c>
      <c r="S254" s="233" t="b">
        <f t="shared" si="59"/>
        <v>0</v>
      </c>
    </row>
    <row r="255" spans="1:19">
      <c r="A255" s="126" t="s">
        <v>3727</v>
      </c>
      <c r="B255" s="126" t="str">
        <f t="shared" si="78"/>
        <v>D0461</v>
      </c>
      <c r="C255" s="126">
        <v>7228</v>
      </c>
      <c r="D255" s="126" t="s">
        <v>2876</v>
      </c>
      <c r="E255" s="126">
        <v>169</v>
      </c>
      <c r="F255" s="126">
        <v>0</v>
      </c>
      <c r="G255" s="126">
        <v>73</v>
      </c>
      <c r="H255" s="126">
        <v>0</v>
      </c>
      <c r="I255" s="126">
        <v>43.2</v>
      </c>
      <c r="J255" s="126">
        <v>0</v>
      </c>
      <c r="K255" s="126">
        <v>4.2</v>
      </c>
      <c r="L255" s="126">
        <f t="shared" si="91"/>
        <v>169</v>
      </c>
      <c r="M255" s="126">
        <f t="shared" si="92"/>
        <v>73</v>
      </c>
      <c r="N255" s="171">
        <f t="shared" si="93"/>
        <v>0.432</v>
      </c>
      <c r="O255" s="132">
        <f t="shared" si="94"/>
        <v>4.2</v>
      </c>
      <c r="P255" s="177">
        <f t="shared" si="95"/>
        <v>0</v>
      </c>
      <c r="Q255" s="177">
        <f t="shared" si="96"/>
        <v>4.2</v>
      </c>
      <c r="S255" s="233" t="b">
        <f t="shared" si="59"/>
        <v>0</v>
      </c>
    </row>
    <row r="256" spans="1:19">
      <c r="A256" s="126" t="s">
        <v>3727</v>
      </c>
      <c r="B256" s="126" t="str">
        <f t="shared" si="78"/>
        <v>D0461</v>
      </c>
      <c r="C256" s="126">
        <v>7232</v>
      </c>
      <c r="D256" s="126" t="s">
        <v>2878</v>
      </c>
      <c r="E256" s="126">
        <v>306</v>
      </c>
      <c r="F256" s="126">
        <v>0</v>
      </c>
      <c r="G256" s="126">
        <v>131</v>
      </c>
      <c r="H256" s="126">
        <v>0</v>
      </c>
      <c r="I256" s="126">
        <v>42.81</v>
      </c>
      <c r="J256" s="126">
        <v>0</v>
      </c>
      <c r="K256" s="126">
        <v>7.2</v>
      </c>
      <c r="L256" s="126">
        <f t="shared" si="91"/>
        <v>306</v>
      </c>
      <c r="M256" s="126">
        <f t="shared" si="92"/>
        <v>131</v>
      </c>
      <c r="N256" s="171">
        <f t="shared" si="93"/>
        <v>0.42809999999999998</v>
      </c>
      <c r="O256" s="132">
        <f t="shared" si="94"/>
        <v>7.2</v>
      </c>
      <c r="P256" s="177">
        <f t="shared" si="95"/>
        <v>0</v>
      </c>
      <c r="Q256" s="177">
        <f t="shared" si="96"/>
        <v>7.2</v>
      </c>
      <c r="S256" s="233" t="b">
        <f t="shared" si="59"/>
        <v>0</v>
      </c>
    </row>
    <row r="257" spans="1:19">
      <c r="A257" s="126" t="s">
        <v>3730</v>
      </c>
      <c r="B257" s="126" t="str">
        <f t="shared" si="78"/>
        <v>D0219</v>
      </c>
      <c r="C257" s="126">
        <v>536</v>
      </c>
      <c r="D257" s="126" t="s">
        <v>1093</v>
      </c>
      <c r="E257" s="126">
        <v>159</v>
      </c>
      <c r="F257" s="126">
        <v>0</v>
      </c>
      <c r="G257" s="126">
        <v>57</v>
      </c>
      <c r="H257" s="126">
        <v>0</v>
      </c>
      <c r="I257" s="126">
        <v>35.85</v>
      </c>
      <c r="J257" s="126">
        <v>0</v>
      </c>
      <c r="K257" s="126">
        <v>0.3</v>
      </c>
      <c r="L257" s="126">
        <f t="shared" ref="L257:L309" si="97">SUM(E257:F257)</f>
        <v>159</v>
      </c>
      <c r="M257" s="126">
        <f t="shared" ref="M257:M309" si="98">SUM(G257:H257)</f>
        <v>57</v>
      </c>
      <c r="N257" s="171">
        <f t="shared" ref="N257:N309" si="99">IF(ISERROR(M257/L257),0,M257/L257)</f>
        <v>0.35849999999999999</v>
      </c>
      <c r="O257" s="132">
        <f t="shared" ref="O257:O309" si="100">IF(AND((N257-35%)&gt;0,N257&lt;50%),M257*(N257-35%)*0.7,0)</f>
        <v>0.3</v>
      </c>
      <c r="P257" s="177">
        <f t="shared" ref="P257:P309" si="101">IF(N257&gt;=50%,M257*10.5%,0)</f>
        <v>0</v>
      </c>
      <c r="Q257" s="177">
        <f t="shared" ref="Q257:Q309" si="102">MAX(O257,P257)</f>
        <v>0.3</v>
      </c>
      <c r="S257" s="233" t="b">
        <f t="shared" si="59"/>
        <v>0</v>
      </c>
    </row>
    <row r="258" spans="1:19">
      <c r="A258" s="126" t="s">
        <v>3730</v>
      </c>
      <c r="B258" s="126" t="str">
        <f t="shared" si="78"/>
        <v>D0219</v>
      </c>
      <c r="C258" s="126">
        <v>538</v>
      </c>
      <c r="D258" s="126" t="s">
        <v>1095</v>
      </c>
      <c r="E258" s="126">
        <v>81</v>
      </c>
      <c r="F258" s="126">
        <v>0</v>
      </c>
      <c r="G258" s="126">
        <v>24</v>
      </c>
      <c r="H258" s="126">
        <v>0</v>
      </c>
      <c r="I258" s="126">
        <v>29.63</v>
      </c>
      <c r="J258" s="126">
        <v>0</v>
      </c>
      <c r="K258" s="126">
        <v>0</v>
      </c>
      <c r="L258" s="126">
        <f t="shared" si="97"/>
        <v>81</v>
      </c>
      <c r="M258" s="126">
        <f t="shared" si="98"/>
        <v>24</v>
      </c>
      <c r="N258" s="171">
        <f t="shared" si="99"/>
        <v>0.29630000000000001</v>
      </c>
      <c r="O258" s="132">
        <f t="shared" si="100"/>
        <v>0</v>
      </c>
      <c r="P258" s="177">
        <f t="shared" si="101"/>
        <v>0</v>
      </c>
      <c r="Q258" s="177">
        <f t="shared" si="102"/>
        <v>0</v>
      </c>
      <c r="S258" s="233" t="b">
        <f t="shared" si="59"/>
        <v>0</v>
      </c>
    </row>
    <row r="259" spans="1:19">
      <c r="A259" s="126" t="s">
        <v>3731</v>
      </c>
      <c r="B259" s="126" t="str">
        <f t="shared" si="78"/>
        <v>D0225</v>
      </c>
      <c r="C259" s="126">
        <v>684</v>
      </c>
      <c r="D259" s="126" t="s">
        <v>1117</v>
      </c>
      <c r="E259" s="126">
        <v>63</v>
      </c>
      <c r="F259" s="126">
        <v>0</v>
      </c>
      <c r="G259" s="126">
        <v>37</v>
      </c>
      <c r="H259" s="126">
        <v>0</v>
      </c>
      <c r="I259" s="126">
        <v>58.73</v>
      </c>
      <c r="J259" s="126">
        <v>3.9</v>
      </c>
      <c r="K259" s="126">
        <v>0</v>
      </c>
      <c r="L259" s="126">
        <f t="shared" si="97"/>
        <v>63</v>
      </c>
      <c r="M259" s="126">
        <f t="shared" si="98"/>
        <v>37</v>
      </c>
      <c r="N259" s="171">
        <f t="shared" si="99"/>
        <v>0.58730000000000004</v>
      </c>
      <c r="O259" s="132">
        <f t="shared" si="100"/>
        <v>0</v>
      </c>
      <c r="P259" s="177">
        <f t="shared" si="101"/>
        <v>3.9</v>
      </c>
      <c r="Q259" s="177">
        <f t="shared" si="102"/>
        <v>3.9</v>
      </c>
      <c r="S259" s="233" t="b">
        <f t="shared" si="59"/>
        <v>0</v>
      </c>
    </row>
    <row r="260" spans="1:19">
      <c r="A260" s="126" t="s">
        <v>3731</v>
      </c>
      <c r="B260" s="126" t="str">
        <f t="shared" si="78"/>
        <v>D0225</v>
      </c>
      <c r="C260" s="126">
        <v>686</v>
      </c>
      <c r="D260" s="126" t="s">
        <v>1119</v>
      </c>
      <c r="E260" s="126">
        <v>74</v>
      </c>
      <c r="F260" s="126">
        <v>0</v>
      </c>
      <c r="G260" s="126">
        <v>36</v>
      </c>
      <c r="H260" s="126">
        <v>0</v>
      </c>
      <c r="I260" s="126">
        <v>48.65</v>
      </c>
      <c r="J260" s="126">
        <v>0</v>
      </c>
      <c r="K260" s="126">
        <v>3.4</v>
      </c>
      <c r="L260" s="126">
        <f t="shared" si="97"/>
        <v>74</v>
      </c>
      <c r="M260" s="126">
        <f t="shared" si="98"/>
        <v>36</v>
      </c>
      <c r="N260" s="171">
        <f t="shared" si="99"/>
        <v>0.48649999999999999</v>
      </c>
      <c r="O260" s="132">
        <f t="shared" si="100"/>
        <v>3.4</v>
      </c>
      <c r="P260" s="177">
        <f t="shared" si="101"/>
        <v>0</v>
      </c>
      <c r="Q260" s="177">
        <f t="shared" si="102"/>
        <v>3.4</v>
      </c>
      <c r="S260" s="233" t="b">
        <f t="shared" si="59"/>
        <v>0</v>
      </c>
    </row>
    <row r="261" spans="1:19">
      <c r="A261" s="126" t="s">
        <v>3732</v>
      </c>
      <c r="B261" s="126" t="str">
        <f t="shared" si="78"/>
        <v>D0232</v>
      </c>
      <c r="C261" s="126">
        <v>825</v>
      </c>
      <c r="D261" s="126" t="s">
        <v>1235</v>
      </c>
      <c r="E261" s="126">
        <v>580</v>
      </c>
      <c r="F261" s="126">
        <v>0</v>
      </c>
      <c r="G261" s="126">
        <v>22</v>
      </c>
      <c r="H261" s="126">
        <v>0</v>
      </c>
      <c r="I261" s="126">
        <v>3.79</v>
      </c>
      <c r="J261" s="126">
        <v>0</v>
      </c>
      <c r="K261" s="126">
        <v>0</v>
      </c>
      <c r="L261" s="126">
        <f t="shared" si="97"/>
        <v>580</v>
      </c>
      <c r="M261" s="126">
        <f t="shared" si="98"/>
        <v>22</v>
      </c>
      <c r="N261" s="171">
        <f t="shared" si="99"/>
        <v>3.7900000000000003E-2</v>
      </c>
      <c r="O261" s="132">
        <f t="shared" si="100"/>
        <v>0</v>
      </c>
      <c r="P261" s="177">
        <f t="shared" si="101"/>
        <v>0</v>
      </c>
      <c r="Q261" s="177">
        <f t="shared" si="102"/>
        <v>0</v>
      </c>
      <c r="S261" s="233" t="b">
        <f t="shared" ref="S261:S324" si="103">COUNTIF(C:C,C261)&gt;1</f>
        <v>0</v>
      </c>
    </row>
    <row r="262" spans="1:19">
      <c r="A262" s="126" t="s">
        <v>3732</v>
      </c>
      <c r="B262" s="126" t="str">
        <f t="shared" si="78"/>
        <v>D0232</v>
      </c>
      <c r="C262" s="126">
        <v>829</v>
      </c>
      <c r="D262" s="126" t="s">
        <v>1237</v>
      </c>
      <c r="E262" s="126">
        <v>430</v>
      </c>
      <c r="F262" s="126">
        <v>0</v>
      </c>
      <c r="G262" s="126">
        <v>21</v>
      </c>
      <c r="H262" s="126">
        <v>0</v>
      </c>
      <c r="I262" s="126">
        <v>4.88</v>
      </c>
      <c r="J262" s="126">
        <v>0</v>
      </c>
      <c r="K262" s="126">
        <v>0</v>
      </c>
      <c r="L262" s="126">
        <f t="shared" si="97"/>
        <v>430</v>
      </c>
      <c r="M262" s="126">
        <f t="shared" si="98"/>
        <v>21</v>
      </c>
      <c r="N262" s="171">
        <f t="shared" si="99"/>
        <v>4.8800000000000003E-2</v>
      </c>
      <c r="O262" s="132">
        <f t="shared" si="100"/>
        <v>0</v>
      </c>
      <c r="P262" s="177">
        <f t="shared" si="101"/>
        <v>0</v>
      </c>
      <c r="Q262" s="177">
        <f t="shared" si="102"/>
        <v>0</v>
      </c>
      <c r="S262" s="233" t="b">
        <f t="shared" si="103"/>
        <v>0</v>
      </c>
    </row>
    <row r="263" spans="1:19">
      <c r="A263" s="126" t="s">
        <v>3732</v>
      </c>
      <c r="B263" s="126" t="str">
        <f t="shared" si="78"/>
        <v>D0232</v>
      </c>
      <c r="C263" s="126">
        <v>832</v>
      </c>
      <c r="D263" s="126" t="s">
        <v>3733</v>
      </c>
      <c r="E263" s="126">
        <v>950</v>
      </c>
      <c r="F263" s="126">
        <v>0</v>
      </c>
      <c r="G263" s="126">
        <v>132</v>
      </c>
      <c r="H263" s="126">
        <v>0</v>
      </c>
      <c r="I263" s="126">
        <v>13.89</v>
      </c>
      <c r="J263" s="126">
        <v>0</v>
      </c>
      <c r="K263" s="126">
        <v>0</v>
      </c>
      <c r="L263" s="126">
        <f t="shared" si="97"/>
        <v>950</v>
      </c>
      <c r="M263" s="126">
        <f t="shared" si="98"/>
        <v>132</v>
      </c>
      <c r="N263" s="171">
        <f t="shared" si="99"/>
        <v>0.1389</v>
      </c>
      <c r="O263" s="132">
        <f t="shared" si="100"/>
        <v>0</v>
      </c>
      <c r="P263" s="177">
        <f t="shared" si="101"/>
        <v>0</v>
      </c>
      <c r="Q263" s="177">
        <f t="shared" si="102"/>
        <v>0</v>
      </c>
      <c r="S263" s="233" t="b">
        <f t="shared" si="103"/>
        <v>0</v>
      </c>
    </row>
    <row r="264" spans="1:19">
      <c r="A264" s="126" t="s">
        <v>3732</v>
      </c>
      <c r="B264" s="126" t="str">
        <f t="shared" si="78"/>
        <v>D0232</v>
      </c>
      <c r="C264" s="126">
        <v>833</v>
      </c>
      <c r="D264" s="126" t="s">
        <v>1241</v>
      </c>
      <c r="E264" s="126">
        <v>1382</v>
      </c>
      <c r="F264" s="126">
        <v>0</v>
      </c>
      <c r="G264" s="126">
        <v>38</v>
      </c>
      <c r="H264" s="126">
        <v>0</v>
      </c>
      <c r="I264" s="126">
        <v>2.75</v>
      </c>
      <c r="J264" s="126">
        <v>0</v>
      </c>
      <c r="K264" s="126">
        <v>0</v>
      </c>
      <c r="L264" s="126">
        <f t="shared" si="97"/>
        <v>1382</v>
      </c>
      <c r="M264" s="126">
        <f t="shared" si="98"/>
        <v>38</v>
      </c>
      <c r="N264" s="171">
        <f t="shared" si="99"/>
        <v>2.75E-2</v>
      </c>
      <c r="O264" s="132">
        <f t="shared" si="100"/>
        <v>0</v>
      </c>
      <c r="P264" s="177">
        <f t="shared" si="101"/>
        <v>0</v>
      </c>
      <c r="Q264" s="177">
        <f t="shared" si="102"/>
        <v>0</v>
      </c>
      <c r="S264" s="233" t="b">
        <f t="shared" si="103"/>
        <v>0</v>
      </c>
    </row>
    <row r="265" spans="1:19">
      <c r="A265" s="126" t="s">
        <v>3732</v>
      </c>
      <c r="B265" s="126" t="str">
        <f t="shared" si="78"/>
        <v>D0232</v>
      </c>
      <c r="C265" s="126">
        <v>835</v>
      </c>
      <c r="D265" s="126" t="s">
        <v>1243</v>
      </c>
      <c r="E265" s="126">
        <v>672</v>
      </c>
      <c r="F265" s="126">
        <v>0</v>
      </c>
      <c r="G265" s="126">
        <v>19</v>
      </c>
      <c r="H265" s="126">
        <v>0</v>
      </c>
      <c r="I265" s="126">
        <v>2.83</v>
      </c>
      <c r="J265" s="126">
        <v>0</v>
      </c>
      <c r="K265" s="126">
        <v>0</v>
      </c>
      <c r="L265" s="126">
        <f t="shared" si="97"/>
        <v>672</v>
      </c>
      <c r="M265" s="126">
        <f t="shared" si="98"/>
        <v>19</v>
      </c>
      <c r="N265" s="171">
        <f t="shared" si="99"/>
        <v>2.8299999999999999E-2</v>
      </c>
      <c r="O265" s="132">
        <f t="shared" si="100"/>
        <v>0</v>
      </c>
      <c r="P265" s="177">
        <f t="shared" si="101"/>
        <v>0</v>
      </c>
      <c r="Q265" s="177">
        <f t="shared" si="102"/>
        <v>0</v>
      </c>
      <c r="S265" s="233" t="b">
        <f t="shared" si="103"/>
        <v>0</v>
      </c>
    </row>
    <row r="266" spans="1:19">
      <c r="A266" s="126" t="s">
        <v>3732</v>
      </c>
      <c r="B266" s="126" t="str">
        <f t="shared" si="78"/>
        <v>D0232</v>
      </c>
      <c r="C266" s="126">
        <v>836</v>
      </c>
      <c r="D266" s="126" t="s">
        <v>1245</v>
      </c>
      <c r="E266" s="126">
        <v>366</v>
      </c>
      <c r="F266" s="126">
        <v>0</v>
      </c>
      <c r="G266" s="126">
        <v>79</v>
      </c>
      <c r="H266" s="126">
        <v>0</v>
      </c>
      <c r="I266" s="126">
        <v>21.58</v>
      </c>
      <c r="J266" s="126">
        <v>0</v>
      </c>
      <c r="K266" s="126">
        <v>0</v>
      </c>
      <c r="L266" s="126">
        <f t="shared" si="97"/>
        <v>366</v>
      </c>
      <c r="M266" s="126">
        <f t="shared" si="98"/>
        <v>79</v>
      </c>
      <c r="N266" s="171">
        <f t="shared" si="99"/>
        <v>0.21579999999999999</v>
      </c>
      <c r="O266" s="132">
        <f t="shared" si="100"/>
        <v>0</v>
      </c>
      <c r="P266" s="177">
        <f t="shared" si="101"/>
        <v>0</v>
      </c>
      <c r="Q266" s="177">
        <f t="shared" si="102"/>
        <v>0</v>
      </c>
      <c r="S266" s="233" t="b">
        <f t="shared" si="103"/>
        <v>0</v>
      </c>
    </row>
    <row r="267" spans="1:19">
      <c r="A267" s="126" t="s">
        <v>3732</v>
      </c>
      <c r="B267" s="126" t="str">
        <f t="shared" si="78"/>
        <v>D0232</v>
      </c>
      <c r="C267" s="126">
        <v>837</v>
      </c>
      <c r="D267" s="126" t="s">
        <v>1247</v>
      </c>
      <c r="E267" s="126">
        <v>475</v>
      </c>
      <c r="F267" s="126">
        <v>0</v>
      </c>
      <c r="G267" s="126">
        <v>161</v>
      </c>
      <c r="H267" s="126">
        <v>0</v>
      </c>
      <c r="I267" s="126">
        <v>33.89</v>
      </c>
      <c r="J267" s="126">
        <v>0</v>
      </c>
      <c r="K267" s="126">
        <v>0</v>
      </c>
      <c r="L267" s="126">
        <f t="shared" si="97"/>
        <v>475</v>
      </c>
      <c r="M267" s="126">
        <f t="shared" si="98"/>
        <v>161</v>
      </c>
      <c r="N267" s="171">
        <f t="shared" si="99"/>
        <v>0.33889999999999998</v>
      </c>
      <c r="O267" s="132">
        <f t="shared" si="100"/>
        <v>0</v>
      </c>
      <c r="P267" s="177">
        <f t="shared" si="101"/>
        <v>0</v>
      </c>
      <c r="Q267" s="177">
        <f t="shared" si="102"/>
        <v>0</v>
      </c>
      <c r="S267" s="233" t="b">
        <f t="shared" si="103"/>
        <v>0</v>
      </c>
    </row>
    <row r="268" spans="1:19">
      <c r="A268" s="126" t="s">
        <v>3732</v>
      </c>
      <c r="B268" s="126" t="str">
        <f t="shared" si="78"/>
        <v>D0232</v>
      </c>
      <c r="C268" s="126">
        <v>841</v>
      </c>
      <c r="D268" s="126" t="s">
        <v>1249</v>
      </c>
      <c r="E268" s="126">
        <v>547</v>
      </c>
      <c r="F268" s="126">
        <v>0</v>
      </c>
      <c r="G268" s="126">
        <v>5</v>
      </c>
      <c r="H268" s="126">
        <v>0</v>
      </c>
      <c r="I268" s="126">
        <v>0.91</v>
      </c>
      <c r="J268" s="126">
        <v>0</v>
      </c>
      <c r="K268" s="126">
        <v>0</v>
      </c>
      <c r="L268" s="126">
        <f t="shared" si="97"/>
        <v>547</v>
      </c>
      <c r="M268" s="126">
        <f t="shared" si="98"/>
        <v>5</v>
      </c>
      <c r="N268" s="171">
        <f t="shared" si="99"/>
        <v>9.1000000000000004E-3</v>
      </c>
      <c r="O268" s="132">
        <f t="shared" si="100"/>
        <v>0</v>
      </c>
      <c r="P268" s="177">
        <f t="shared" si="101"/>
        <v>0</v>
      </c>
      <c r="Q268" s="177">
        <f t="shared" si="102"/>
        <v>0</v>
      </c>
      <c r="S268" s="233" t="b">
        <f t="shared" si="103"/>
        <v>0</v>
      </c>
    </row>
    <row r="269" spans="1:19">
      <c r="A269" s="126" t="s">
        <v>3732</v>
      </c>
      <c r="B269" s="126" t="str">
        <f t="shared" si="78"/>
        <v>D0232</v>
      </c>
      <c r="C269" s="126">
        <v>842</v>
      </c>
      <c r="D269" s="126" t="s">
        <v>1251</v>
      </c>
      <c r="E269" s="126">
        <v>434</v>
      </c>
      <c r="F269" s="126">
        <v>0</v>
      </c>
      <c r="G269" s="126">
        <v>11</v>
      </c>
      <c r="H269" s="126">
        <v>0</v>
      </c>
      <c r="I269" s="126">
        <v>2.5299999999999998</v>
      </c>
      <c r="J269" s="126">
        <v>0</v>
      </c>
      <c r="K269" s="126">
        <v>0</v>
      </c>
      <c r="L269" s="126">
        <f t="shared" si="97"/>
        <v>434</v>
      </c>
      <c r="M269" s="126">
        <f t="shared" si="98"/>
        <v>11</v>
      </c>
      <c r="N269" s="171">
        <f t="shared" si="99"/>
        <v>2.53E-2</v>
      </c>
      <c r="O269" s="132">
        <f t="shared" si="100"/>
        <v>0</v>
      </c>
      <c r="P269" s="177">
        <f t="shared" si="101"/>
        <v>0</v>
      </c>
      <c r="Q269" s="177">
        <f t="shared" si="102"/>
        <v>0</v>
      </c>
      <c r="S269" s="233" t="b">
        <f t="shared" si="103"/>
        <v>0</v>
      </c>
    </row>
    <row r="270" spans="1:19">
      <c r="A270" s="126" t="s">
        <v>3732</v>
      </c>
      <c r="B270" s="126" t="str">
        <f t="shared" si="78"/>
        <v>D0232</v>
      </c>
      <c r="C270" s="126">
        <v>843</v>
      </c>
      <c r="D270" s="126" t="s">
        <v>1253</v>
      </c>
      <c r="E270" s="126">
        <v>420</v>
      </c>
      <c r="F270" s="126">
        <v>0</v>
      </c>
      <c r="G270" s="126">
        <v>12</v>
      </c>
      <c r="H270" s="126">
        <v>0</v>
      </c>
      <c r="I270" s="126">
        <v>2.86</v>
      </c>
      <c r="J270" s="126">
        <v>0</v>
      </c>
      <c r="K270" s="126">
        <v>0</v>
      </c>
      <c r="L270" s="126">
        <f t="shared" si="97"/>
        <v>420</v>
      </c>
      <c r="M270" s="126">
        <f t="shared" si="98"/>
        <v>12</v>
      </c>
      <c r="N270" s="171">
        <f t="shared" si="99"/>
        <v>2.86E-2</v>
      </c>
      <c r="O270" s="132">
        <f t="shared" si="100"/>
        <v>0</v>
      </c>
      <c r="P270" s="177">
        <f t="shared" si="101"/>
        <v>0</v>
      </c>
      <c r="Q270" s="177">
        <f t="shared" si="102"/>
        <v>0</v>
      </c>
      <c r="S270" s="233" t="b">
        <f t="shared" si="103"/>
        <v>0</v>
      </c>
    </row>
    <row r="271" spans="1:19">
      <c r="A271" s="126" t="s">
        <v>3732</v>
      </c>
      <c r="B271" s="126" t="str">
        <f t="shared" si="78"/>
        <v>D0232</v>
      </c>
      <c r="C271" s="126">
        <v>844</v>
      </c>
      <c r="D271" s="126" t="s">
        <v>1255</v>
      </c>
      <c r="E271" s="126">
        <v>661</v>
      </c>
      <c r="F271" s="126">
        <v>0</v>
      </c>
      <c r="G271" s="126">
        <v>34</v>
      </c>
      <c r="H271" s="126">
        <v>0</v>
      </c>
      <c r="I271" s="126">
        <v>5.14</v>
      </c>
      <c r="J271" s="126">
        <v>0</v>
      </c>
      <c r="K271" s="126">
        <v>0</v>
      </c>
      <c r="L271" s="126">
        <f t="shared" si="97"/>
        <v>661</v>
      </c>
      <c r="M271" s="126">
        <f t="shared" si="98"/>
        <v>34</v>
      </c>
      <c r="N271" s="171">
        <f t="shared" si="99"/>
        <v>5.1400000000000001E-2</v>
      </c>
      <c r="O271" s="132">
        <f t="shared" si="100"/>
        <v>0</v>
      </c>
      <c r="P271" s="177">
        <f t="shared" si="101"/>
        <v>0</v>
      </c>
      <c r="Q271" s="177">
        <f t="shared" si="102"/>
        <v>0</v>
      </c>
      <c r="S271" s="233" t="b">
        <f t="shared" si="103"/>
        <v>0</v>
      </c>
    </row>
    <row r="272" spans="1:19">
      <c r="A272" s="126" t="s">
        <v>3732</v>
      </c>
      <c r="B272" s="126" t="str">
        <f t="shared" ref="B272:B311" si="104">LEFT(A272,5)</f>
        <v>D0232</v>
      </c>
      <c r="C272" s="126">
        <v>912</v>
      </c>
      <c r="D272" s="126" t="s">
        <v>1257</v>
      </c>
      <c r="E272" s="126">
        <v>424</v>
      </c>
      <c r="F272" s="126">
        <v>0</v>
      </c>
      <c r="G272" s="126">
        <v>32</v>
      </c>
      <c r="H272" s="126">
        <v>0</v>
      </c>
      <c r="I272" s="126">
        <v>7.55</v>
      </c>
      <c r="J272" s="126">
        <v>0</v>
      </c>
      <c r="K272" s="126">
        <v>0</v>
      </c>
      <c r="L272" s="126">
        <f t="shared" si="97"/>
        <v>424</v>
      </c>
      <c r="M272" s="126">
        <f t="shared" si="98"/>
        <v>32</v>
      </c>
      <c r="N272" s="171">
        <f t="shared" si="99"/>
        <v>7.5499999999999998E-2</v>
      </c>
      <c r="O272" s="132">
        <f t="shared" si="100"/>
        <v>0</v>
      </c>
      <c r="P272" s="177">
        <f t="shared" si="101"/>
        <v>0</v>
      </c>
      <c r="Q272" s="177">
        <f t="shared" si="102"/>
        <v>0</v>
      </c>
      <c r="S272" s="233" t="b">
        <f t="shared" si="103"/>
        <v>0</v>
      </c>
    </row>
    <row r="273" spans="1:19">
      <c r="A273" s="126" t="s">
        <v>3734</v>
      </c>
      <c r="B273" s="126" t="str">
        <f t="shared" si="104"/>
        <v>D0246</v>
      </c>
      <c r="C273" s="126">
        <v>1194</v>
      </c>
      <c r="D273" s="126" t="s">
        <v>1415</v>
      </c>
      <c r="E273" s="126">
        <v>311</v>
      </c>
      <c r="F273" s="126">
        <v>0</v>
      </c>
      <c r="G273" s="126">
        <v>186</v>
      </c>
      <c r="H273" s="126">
        <v>0</v>
      </c>
      <c r="I273" s="126">
        <v>59.81</v>
      </c>
      <c r="J273" s="126">
        <v>19.5</v>
      </c>
      <c r="K273" s="126">
        <v>0</v>
      </c>
      <c r="L273" s="126">
        <f t="shared" si="97"/>
        <v>311</v>
      </c>
      <c r="M273" s="126">
        <f t="shared" si="98"/>
        <v>186</v>
      </c>
      <c r="N273" s="171">
        <f t="shared" si="99"/>
        <v>0.59809999999999997</v>
      </c>
      <c r="O273" s="132">
        <f t="shared" si="100"/>
        <v>0</v>
      </c>
      <c r="P273" s="177">
        <f t="shared" si="101"/>
        <v>19.5</v>
      </c>
      <c r="Q273" s="177">
        <f t="shared" si="102"/>
        <v>19.5</v>
      </c>
      <c r="S273" s="233" t="b">
        <f t="shared" si="103"/>
        <v>0</v>
      </c>
    </row>
    <row r="274" spans="1:19">
      <c r="A274" s="126" t="s">
        <v>3734</v>
      </c>
      <c r="B274" s="126" t="str">
        <f t="shared" si="104"/>
        <v>D0246</v>
      </c>
      <c r="C274" s="126">
        <v>1198</v>
      </c>
      <c r="D274" s="126" t="s">
        <v>1417</v>
      </c>
      <c r="E274" s="126">
        <v>144</v>
      </c>
      <c r="F274" s="126">
        <v>0</v>
      </c>
      <c r="G274" s="126">
        <v>66</v>
      </c>
      <c r="H274" s="126">
        <v>0</v>
      </c>
      <c r="I274" s="126">
        <v>45.83</v>
      </c>
      <c r="J274" s="126">
        <v>0</v>
      </c>
      <c r="K274" s="126">
        <v>5</v>
      </c>
      <c r="L274" s="126">
        <f t="shared" si="97"/>
        <v>144</v>
      </c>
      <c r="M274" s="126">
        <f t="shared" si="98"/>
        <v>66</v>
      </c>
      <c r="N274" s="171">
        <f t="shared" si="99"/>
        <v>0.45829999999999999</v>
      </c>
      <c r="O274" s="132">
        <f t="shared" si="100"/>
        <v>5</v>
      </c>
      <c r="P274" s="177">
        <f t="shared" si="101"/>
        <v>0</v>
      </c>
      <c r="Q274" s="177">
        <f t="shared" si="102"/>
        <v>5</v>
      </c>
      <c r="S274" s="233" t="b">
        <f t="shared" si="103"/>
        <v>0</v>
      </c>
    </row>
    <row r="275" spans="1:19">
      <c r="A275" s="126" t="s">
        <v>3735</v>
      </c>
      <c r="B275" s="126" t="str">
        <f t="shared" si="104"/>
        <v>D0247</v>
      </c>
      <c r="C275" s="126">
        <v>1230</v>
      </c>
      <c r="D275" s="126" t="s">
        <v>1421</v>
      </c>
      <c r="E275" s="126">
        <v>166</v>
      </c>
      <c r="F275" s="126">
        <v>0</v>
      </c>
      <c r="G275" s="126">
        <v>72</v>
      </c>
      <c r="H275" s="126">
        <v>0</v>
      </c>
      <c r="I275" s="126">
        <v>43.37</v>
      </c>
      <c r="J275" s="126">
        <v>0</v>
      </c>
      <c r="K275" s="126">
        <v>4.2</v>
      </c>
      <c r="L275" s="126">
        <f t="shared" si="97"/>
        <v>166</v>
      </c>
      <c r="M275" s="126">
        <f t="shared" si="98"/>
        <v>72</v>
      </c>
      <c r="N275" s="171">
        <f t="shared" si="99"/>
        <v>0.43369999999999997</v>
      </c>
      <c r="O275" s="132">
        <f t="shared" si="100"/>
        <v>4.2</v>
      </c>
      <c r="P275" s="177">
        <f t="shared" si="101"/>
        <v>0</v>
      </c>
      <c r="Q275" s="177">
        <f t="shared" si="102"/>
        <v>4.2</v>
      </c>
      <c r="S275" s="233" t="b">
        <f t="shared" si="103"/>
        <v>0</v>
      </c>
    </row>
    <row r="276" spans="1:19">
      <c r="A276" s="126" t="s">
        <v>3735</v>
      </c>
      <c r="B276" s="126" t="str">
        <f t="shared" si="104"/>
        <v>D0247</v>
      </c>
      <c r="C276" s="126">
        <v>1232</v>
      </c>
      <c r="D276" s="126" t="s">
        <v>1423</v>
      </c>
      <c r="E276" s="126">
        <v>174</v>
      </c>
      <c r="F276" s="126">
        <v>0</v>
      </c>
      <c r="G276" s="126">
        <v>102</v>
      </c>
      <c r="H276" s="126">
        <v>0</v>
      </c>
      <c r="I276" s="126">
        <v>58.62</v>
      </c>
      <c r="J276" s="126">
        <v>10.7</v>
      </c>
      <c r="K276" s="126">
        <v>0</v>
      </c>
      <c r="L276" s="126">
        <f t="shared" si="97"/>
        <v>174</v>
      </c>
      <c r="M276" s="126">
        <f t="shared" si="98"/>
        <v>102</v>
      </c>
      <c r="N276" s="171">
        <f t="shared" si="99"/>
        <v>0.58620000000000005</v>
      </c>
      <c r="O276" s="132">
        <f t="shared" si="100"/>
        <v>0</v>
      </c>
      <c r="P276" s="177">
        <f t="shared" si="101"/>
        <v>10.7</v>
      </c>
      <c r="Q276" s="177">
        <f t="shared" si="102"/>
        <v>10.7</v>
      </c>
      <c r="S276" s="233" t="b">
        <f t="shared" si="103"/>
        <v>0</v>
      </c>
    </row>
    <row r="277" spans="1:19">
      <c r="A277" s="126" t="s">
        <v>3736</v>
      </c>
      <c r="B277" s="126" t="str">
        <f t="shared" si="104"/>
        <v>D0248</v>
      </c>
      <c r="C277" s="126">
        <v>1258</v>
      </c>
      <c r="D277" s="126" t="s">
        <v>1425</v>
      </c>
      <c r="E277" s="126">
        <v>470</v>
      </c>
      <c r="F277" s="126">
        <v>0</v>
      </c>
      <c r="G277" s="126">
        <v>184</v>
      </c>
      <c r="H277" s="126">
        <v>0</v>
      </c>
      <c r="I277" s="126">
        <v>39.15</v>
      </c>
      <c r="J277" s="126">
        <v>0</v>
      </c>
      <c r="K277" s="126">
        <v>5.3</v>
      </c>
      <c r="L277" s="126">
        <f t="shared" si="97"/>
        <v>470</v>
      </c>
      <c r="M277" s="126">
        <f t="shared" si="98"/>
        <v>184</v>
      </c>
      <c r="N277" s="171">
        <f t="shared" si="99"/>
        <v>0.39150000000000001</v>
      </c>
      <c r="O277" s="132">
        <f t="shared" si="100"/>
        <v>5.3</v>
      </c>
      <c r="P277" s="177">
        <f t="shared" si="101"/>
        <v>0</v>
      </c>
      <c r="Q277" s="177">
        <f t="shared" si="102"/>
        <v>5.3</v>
      </c>
      <c r="S277" s="233" t="b">
        <f t="shared" si="103"/>
        <v>0</v>
      </c>
    </row>
    <row r="278" spans="1:19">
      <c r="A278" s="126" t="s">
        <v>3736</v>
      </c>
      <c r="B278" s="126" t="str">
        <f t="shared" si="104"/>
        <v>D0248</v>
      </c>
      <c r="C278" s="126">
        <v>1260</v>
      </c>
      <c r="D278" s="126" t="s">
        <v>1427</v>
      </c>
      <c r="E278" s="126">
        <v>268</v>
      </c>
      <c r="F278" s="126">
        <v>0</v>
      </c>
      <c r="G278" s="126">
        <v>87</v>
      </c>
      <c r="H278" s="126">
        <v>0</v>
      </c>
      <c r="I278" s="126">
        <v>32.46</v>
      </c>
      <c r="J278" s="126">
        <v>0</v>
      </c>
      <c r="K278" s="126">
        <v>0</v>
      </c>
      <c r="L278" s="126">
        <f t="shared" si="97"/>
        <v>268</v>
      </c>
      <c r="M278" s="126">
        <f t="shared" si="98"/>
        <v>87</v>
      </c>
      <c r="N278" s="171">
        <f t="shared" si="99"/>
        <v>0.3246</v>
      </c>
      <c r="O278" s="132">
        <f t="shared" si="100"/>
        <v>0</v>
      </c>
      <c r="P278" s="177">
        <f t="shared" si="101"/>
        <v>0</v>
      </c>
      <c r="Q278" s="177">
        <f t="shared" si="102"/>
        <v>0</v>
      </c>
      <c r="S278" s="233" t="b">
        <f t="shared" si="103"/>
        <v>0</v>
      </c>
    </row>
    <row r="279" spans="1:19">
      <c r="A279" s="126" t="s">
        <v>3736</v>
      </c>
      <c r="B279" s="126" t="str">
        <f t="shared" si="104"/>
        <v>D0248</v>
      </c>
      <c r="C279" s="126">
        <v>1262</v>
      </c>
      <c r="D279" s="126" t="s">
        <v>1429</v>
      </c>
      <c r="E279" s="126">
        <v>298</v>
      </c>
      <c r="F279" s="126">
        <v>0</v>
      </c>
      <c r="G279" s="126">
        <v>96</v>
      </c>
      <c r="H279" s="126">
        <v>0</v>
      </c>
      <c r="I279" s="126">
        <v>32.21</v>
      </c>
      <c r="J279" s="126">
        <v>0</v>
      </c>
      <c r="K279" s="126">
        <v>0</v>
      </c>
      <c r="L279" s="126">
        <f t="shared" si="97"/>
        <v>298</v>
      </c>
      <c r="M279" s="126">
        <f t="shared" si="98"/>
        <v>96</v>
      </c>
      <c r="N279" s="171">
        <f t="shared" si="99"/>
        <v>0.3221</v>
      </c>
      <c r="O279" s="132">
        <f t="shared" si="100"/>
        <v>0</v>
      </c>
      <c r="P279" s="177">
        <f t="shared" si="101"/>
        <v>0</v>
      </c>
      <c r="Q279" s="177">
        <f t="shared" si="102"/>
        <v>0</v>
      </c>
      <c r="S279" s="233" t="b">
        <f t="shared" si="103"/>
        <v>0</v>
      </c>
    </row>
    <row r="280" spans="1:19">
      <c r="A280" s="126" t="s">
        <v>3737</v>
      </c>
      <c r="B280" s="126" t="str">
        <f t="shared" si="104"/>
        <v>D0252</v>
      </c>
      <c r="C280" s="126">
        <v>1382</v>
      </c>
      <c r="D280" s="126" t="s">
        <v>1452</v>
      </c>
      <c r="E280" s="126">
        <v>115</v>
      </c>
      <c r="F280" s="126">
        <v>0</v>
      </c>
      <c r="G280" s="126">
        <v>49</v>
      </c>
      <c r="H280" s="126">
        <v>0</v>
      </c>
      <c r="I280" s="126">
        <v>42.61</v>
      </c>
      <c r="J280" s="126">
        <v>0</v>
      </c>
      <c r="K280" s="126">
        <v>2.6</v>
      </c>
      <c r="L280" s="126">
        <f t="shared" si="97"/>
        <v>115</v>
      </c>
      <c r="M280" s="126">
        <f t="shared" si="98"/>
        <v>49</v>
      </c>
      <c r="N280" s="171">
        <f t="shared" si="99"/>
        <v>0.42609999999999998</v>
      </c>
      <c r="O280" s="132">
        <f t="shared" si="100"/>
        <v>2.6</v>
      </c>
      <c r="P280" s="177">
        <f t="shared" si="101"/>
        <v>0</v>
      </c>
      <c r="Q280" s="177">
        <f t="shared" si="102"/>
        <v>2.6</v>
      </c>
      <c r="S280" s="233" t="b">
        <f t="shared" si="103"/>
        <v>0</v>
      </c>
    </row>
    <row r="281" spans="1:19">
      <c r="A281" s="126" t="s">
        <v>3737</v>
      </c>
      <c r="B281" s="126" t="str">
        <f t="shared" si="104"/>
        <v>D0252</v>
      </c>
      <c r="C281" s="126">
        <v>1388</v>
      </c>
      <c r="D281" s="126" t="s">
        <v>1454</v>
      </c>
      <c r="E281" s="126">
        <v>101</v>
      </c>
      <c r="F281" s="126">
        <v>0</v>
      </c>
      <c r="G281" s="126">
        <v>72</v>
      </c>
      <c r="H281" s="126">
        <v>0</v>
      </c>
      <c r="I281" s="126">
        <v>71.290000000000006</v>
      </c>
      <c r="J281" s="126">
        <v>7.6</v>
      </c>
      <c r="K281" s="126">
        <v>0</v>
      </c>
      <c r="L281" s="126">
        <f t="shared" si="97"/>
        <v>101</v>
      </c>
      <c r="M281" s="126">
        <f t="shared" si="98"/>
        <v>72</v>
      </c>
      <c r="N281" s="171">
        <f t="shared" si="99"/>
        <v>0.71289999999999998</v>
      </c>
      <c r="O281" s="132">
        <f t="shared" si="100"/>
        <v>0</v>
      </c>
      <c r="P281" s="177">
        <f t="shared" si="101"/>
        <v>7.6</v>
      </c>
      <c r="Q281" s="177">
        <f t="shared" si="102"/>
        <v>7.6</v>
      </c>
      <c r="S281" s="233" t="b">
        <f t="shared" si="103"/>
        <v>0</v>
      </c>
    </row>
    <row r="282" spans="1:19">
      <c r="A282" s="126" t="s">
        <v>3737</v>
      </c>
      <c r="B282" s="126" t="str">
        <f t="shared" si="104"/>
        <v>D0252</v>
      </c>
      <c r="C282" s="126">
        <v>1392</v>
      </c>
      <c r="D282" s="126" t="s">
        <v>1456</v>
      </c>
      <c r="E282" s="126">
        <v>126</v>
      </c>
      <c r="F282" s="126">
        <v>0</v>
      </c>
      <c r="G282" s="126">
        <v>21</v>
      </c>
      <c r="H282" s="126">
        <v>0</v>
      </c>
      <c r="I282" s="126">
        <v>16.670000000000002</v>
      </c>
      <c r="J282" s="126">
        <v>0</v>
      </c>
      <c r="K282" s="126">
        <v>0</v>
      </c>
      <c r="L282" s="126">
        <f t="shared" si="97"/>
        <v>126</v>
      </c>
      <c r="M282" s="126">
        <f t="shared" si="98"/>
        <v>21</v>
      </c>
      <c r="N282" s="171">
        <f t="shared" si="99"/>
        <v>0.16669999999999999</v>
      </c>
      <c r="O282" s="132">
        <f t="shared" si="100"/>
        <v>0</v>
      </c>
      <c r="P282" s="177">
        <f t="shared" si="101"/>
        <v>0</v>
      </c>
      <c r="Q282" s="177">
        <f t="shared" si="102"/>
        <v>0</v>
      </c>
      <c r="S282" s="233" t="b">
        <f t="shared" si="103"/>
        <v>0</v>
      </c>
    </row>
    <row r="283" spans="1:19">
      <c r="A283" s="126" t="s">
        <v>3737</v>
      </c>
      <c r="B283" s="126" t="str">
        <f t="shared" si="104"/>
        <v>D0252</v>
      </c>
      <c r="C283" s="126">
        <v>1394</v>
      </c>
      <c r="D283" s="126" t="s">
        <v>1458</v>
      </c>
      <c r="E283" s="126">
        <v>133</v>
      </c>
      <c r="F283" s="126">
        <v>0</v>
      </c>
      <c r="G283" s="126">
        <v>19</v>
      </c>
      <c r="H283" s="126">
        <v>0</v>
      </c>
      <c r="I283" s="126">
        <v>14.29</v>
      </c>
      <c r="J283" s="126">
        <v>0</v>
      </c>
      <c r="K283" s="126">
        <v>0</v>
      </c>
      <c r="L283" s="126">
        <f t="shared" si="97"/>
        <v>133</v>
      </c>
      <c r="M283" s="126">
        <f t="shared" si="98"/>
        <v>19</v>
      </c>
      <c r="N283" s="171">
        <f t="shared" si="99"/>
        <v>0.1429</v>
      </c>
      <c r="O283" s="132">
        <f t="shared" si="100"/>
        <v>0</v>
      </c>
      <c r="P283" s="177">
        <f t="shared" si="101"/>
        <v>0</v>
      </c>
      <c r="Q283" s="177">
        <f t="shared" si="102"/>
        <v>0</v>
      </c>
      <c r="S283" s="233" t="b">
        <f t="shared" si="103"/>
        <v>0</v>
      </c>
    </row>
    <row r="284" spans="1:19">
      <c r="A284" s="126" t="s">
        <v>3738</v>
      </c>
      <c r="B284" s="126" t="str">
        <f t="shared" si="104"/>
        <v>D0254</v>
      </c>
      <c r="C284" s="126">
        <v>1472</v>
      </c>
      <c r="D284" s="126" t="s">
        <v>1476</v>
      </c>
      <c r="E284" s="126">
        <v>287</v>
      </c>
      <c r="F284" s="126">
        <v>0</v>
      </c>
      <c r="G284" s="126">
        <v>119</v>
      </c>
      <c r="H284" s="126">
        <v>0</v>
      </c>
      <c r="I284" s="126">
        <v>41.46</v>
      </c>
      <c r="J284" s="126">
        <v>0</v>
      </c>
      <c r="K284" s="126">
        <v>5.4</v>
      </c>
      <c r="L284" s="126">
        <f t="shared" si="97"/>
        <v>287</v>
      </c>
      <c r="M284" s="126">
        <f t="shared" si="98"/>
        <v>119</v>
      </c>
      <c r="N284" s="171">
        <f t="shared" si="99"/>
        <v>0.41460000000000002</v>
      </c>
      <c r="O284" s="132">
        <f t="shared" si="100"/>
        <v>5.4</v>
      </c>
      <c r="P284" s="177">
        <f t="shared" si="101"/>
        <v>0</v>
      </c>
      <c r="Q284" s="177">
        <f t="shared" si="102"/>
        <v>5.4</v>
      </c>
      <c r="S284" s="233" t="b">
        <f t="shared" si="103"/>
        <v>0</v>
      </c>
    </row>
    <row r="285" spans="1:19">
      <c r="A285" s="126" t="s">
        <v>3738</v>
      </c>
      <c r="B285" s="126" t="str">
        <f t="shared" si="104"/>
        <v>D0254</v>
      </c>
      <c r="C285" s="126">
        <v>1475</v>
      </c>
      <c r="D285" s="126" t="s">
        <v>1478</v>
      </c>
      <c r="E285" s="126">
        <v>205</v>
      </c>
      <c r="F285" s="126">
        <v>0</v>
      </c>
      <c r="G285" s="126">
        <v>54</v>
      </c>
      <c r="H285" s="126">
        <v>0</v>
      </c>
      <c r="I285" s="126">
        <v>26.34</v>
      </c>
      <c r="J285" s="126">
        <v>0</v>
      </c>
      <c r="K285" s="126">
        <v>0</v>
      </c>
      <c r="L285" s="126">
        <f t="shared" si="97"/>
        <v>205</v>
      </c>
      <c r="M285" s="126">
        <f t="shared" si="98"/>
        <v>54</v>
      </c>
      <c r="N285" s="171">
        <f t="shared" si="99"/>
        <v>0.26340000000000002</v>
      </c>
      <c r="O285" s="132">
        <f t="shared" si="100"/>
        <v>0</v>
      </c>
      <c r="P285" s="177">
        <f t="shared" si="101"/>
        <v>0</v>
      </c>
      <c r="Q285" s="177">
        <f t="shared" si="102"/>
        <v>0</v>
      </c>
      <c r="S285" s="233" t="b">
        <f t="shared" si="103"/>
        <v>0</v>
      </c>
    </row>
    <row r="286" spans="1:19">
      <c r="A286" s="126" t="s">
        <v>3739</v>
      </c>
      <c r="B286" s="126" t="str">
        <f t="shared" si="104"/>
        <v>D0268</v>
      </c>
      <c r="C286" s="126">
        <v>2090</v>
      </c>
      <c r="D286" s="126" t="s">
        <v>1801</v>
      </c>
      <c r="E286" s="126">
        <v>370</v>
      </c>
      <c r="F286" s="126">
        <v>0</v>
      </c>
      <c r="G286" s="126">
        <v>72</v>
      </c>
      <c r="H286" s="126">
        <v>0</v>
      </c>
      <c r="I286" s="126">
        <v>19.46</v>
      </c>
      <c r="J286" s="126">
        <v>0</v>
      </c>
      <c r="K286" s="126">
        <v>0</v>
      </c>
      <c r="L286" s="126">
        <f t="shared" si="97"/>
        <v>370</v>
      </c>
      <c r="M286" s="126">
        <f t="shared" si="98"/>
        <v>72</v>
      </c>
      <c r="N286" s="171">
        <f t="shared" si="99"/>
        <v>0.1946</v>
      </c>
      <c r="O286" s="132">
        <f t="shared" si="100"/>
        <v>0</v>
      </c>
      <c r="P286" s="177">
        <f t="shared" si="101"/>
        <v>0</v>
      </c>
      <c r="Q286" s="177">
        <f t="shared" si="102"/>
        <v>0</v>
      </c>
      <c r="S286" s="233" t="b">
        <f t="shared" si="103"/>
        <v>0</v>
      </c>
    </row>
    <row r="287" spans="1:19">
      <c r="A287" s="126" t="s">
        <v>3739</v>
      </c>
      <c r="B287" s="126" t="str">
        <f t="shared" si="104"/>
        <v>D0268</v>
      </c>
      <c r="C287" s="126">
        <v>2091</v>
      </c>
      <c r="D287" s="126" t="s">
        <v>3740</v>
      </c>
      <c r="E287" s="126">
        <v>179</v>
      </c>
      <c r="F287" s="126">
        <v>0</v>
      </c>
      <c r="G287" s="126">
        <v>29</v>
      </c>
      <c r="H287" s="126">
        <v>0</v>
      </c>
      <c r="I287" s="126">
        <v>16.2</v>
      </c>
      <c r="J287" s="126">
        <v>0</v>
      </c>
      <c r="K287" s="126">
        <v>0</v>
      </c>
      <c r="L287" s="126">
        <f t="shared" si="97"/>
        <v>179</v>
      </c>
      <c r="M287" s="126">
        <f t="shared" si="98"/>
        <v>29</v>
      </c>
      <c r="N287" s="171">
        <f t="shared" si="99"/>
        <v>0.16200000000000001</v>
      </c>
      <c r="O287" s="132">
        <f t="shared" si="100"/>
        <v>0</v>
      </c>
      <c r="P287" s="177">
        <f t="shared" si="101"/>
        <v>0</v>
      </c>
      <c r="Q287" s="177">
        <f t="shared" si="102"/>
        <v>0</v>
      </c>
      <c r="S287" s="233" t="b">
        <f t="shared" si="103"/>
        <v>0</v>
      </c>
    </row>
    <row r="288" spans="1:19">
      <c r="A288" s="126" t="s">
        <v>3739</v>
      </c>
      <c r="B288" s="126" t="str">
        <f t="shared" si="104"/>
        <v>D0268</v>
      </c>
      <c r="C288" s="126">
        <v>2092</v>
      </c>
      <c r="D288" s="126" t="s">
        <v>1805</v>
      </c>
      <c r="E288" s="126">
        <v>235</v>
      </c>
      <c r="F288" s="126">
        <v>0</v>
      </c>
      <c r="G288" s="126">
        <v>24</v>
      </c>
      <c r="H288" s="126">
        <v>0</v>
      </c>
      <c r="I288" s="126">
        <v>10.210000000000001</v>
      </c>
      <c r="J288" s="126">
        <v>0</v>
      </c>
      <c r="K288" s="126">
        <v>0</v>
      </c>
      <c r="L288" s="126">
        <f t="shared" si="97"/>
        <v>235</v>
      </c>
      <c r="M288" s="126">
        <f t="shared" si="98"/>
        <v>24</v>
      </c>
      <c r="N288" s="171">
        <f t="shared" si="99"/>
        <v>0.1021</v>
      </c>
      <c r="O288" s="132">
        <f t="shared" si="100"/>
        <v>0</v>
      </c>
      <c r="P288" s="177">
        <f t="shared" si="101"/>
        <v>0</v>
      </c>
      <c r="Q288" s="177">
        <f t="shared" si="102"/>
        <v>0</v>
      </c>
      <c r="S288" s="233" t="b">
        <f t="shared" si="103"/>
        <v>0</v>
      </c>
    </row>
    <row r="289" spans="1:19">
      <c r="A289" s="126" t="s">
        <v>3743</v>
      </c>
      <c r="B289" s="126" t="str">
        <f t="shared" si="104"/>
        <v>D0332</v>
      </c>
      <c r="C289" s="126">
        <v>3748</v>
      </c>
      <c r="D289" s="126" t="s">
        <v>2099</v>
      </c>
      <c r="E289" s="126">
        <v>110</v>
      </c>
      <c r="F289" s="126">
        <v>0</v>
      </c>
      <c r="G289" s="126">
        <v>21</v>
      </c>
      <c r="H289" s="126">
        <v>0</v>
      </c>
      <c r="I289" s="126">
        <v>19.09</v>
      </c>
      <c r="J289" s="126">
        <v>0</v>
      </c>
      <c r="K289" s="126">
        <v>0</v>
      </c>
      <c r="L289" s="126">
        <f t="shared" si="97"/>
        <v>110</v>
      </c>
      <c r="M289" s="126">
        <f t="shared" si="98"/>
        <v>21</v>
      </c>
      <c r="N289" s="171">
        <f t="shared" si="99"/>
        <v>0.19089999999999999</v>
      </c>
      <c r="O289" s="132">
        <f t="shared" si="100"/>
        <v>0</v>
      </c>
      <c r="P289" s="177">
        <f t="shared" si="101"/>
        <v>0</v>
      </c>
      <c r="Q289" s="177">
        <f t="shared" si="102"/>
        <v>0</v>
      </c>
      <c r="S289" s="233" t="b">
        <f t="shared" si="103"/>
        <v>0</v>
      </c>
    </row>
    <row r="290" spans="1:19">
      <c r="A290" s="126" t="s">
        <v>3743</v>
      </c>
      <c r="B290" s="126" t="str">
        <f t="shared" si="104"/>
        <v>D0332</v>
      </c>
      <c r="C290" s="126">
        <v>3750</v>
      </c>
      <c r="D290" s="126" t="s">
        <v>2101</v>
      </c>
      <c r="E290" s="126">
        <v>67</v>
      </c>
      <c r="F290" s="126">
        <v>0</v>
      </c>
      <c r="G290" s="126">
        <v>27</v>
      </c>
      <c r="H290" s="126">
        <v>0</v>
      </c>
      <c r="I290" s="126">
        <v>40.299999999999997</v>
      </c>
      <c r="J290" s="126">
        <v>0</v>
      </c>
      <c r="K290" s="126">
        <v>1</v>
      </c>
      <c r="L290" s="126">
        <f t="shared" si="97"/>
        <v>67</v>
      </c>
      <c r="M290" s="126">
        <f t="shared" si="98"/>
        <v>27</v>
      </c>
      <c r="N290" s="171">
        <f t="shared" si="99"/>
        <v>0.40300000000000002</v>
      </c>
      <c r="O290" s="132">
        <f t="shared" si="100"/>
        <v>1</v>
      </c>
      <c r="P290" s="177">
        <f t="shared" si="101"/>
        <v>0</v>
      </c>
      <c r="Q290" s="177">
        <f t="shared" si="102"/>
        <v>1</v>
      </c>
      <c r="S290" s="233" t="b">
        <f t="shared" si="103"/>
        <v>0</v>
      </c>
    </row>
    <row r="291" spans="1:19">
      <c r="A291" s="126" t="s">
        <v>3744</v>
      </c>
      <c r="B291" s="126" t="str">
        <f t="shared" si="104"/>
        <v>D0336</v>
      </c>
      <c r="C291" s="126">
        <v>3887</v>
      </c>
      <c r="D291" s="126" t="s">
        <v>2121</v>
      </c>
      <c r="E291" s="126">
        <v>516</v>
      </c>
      <c r="F291" s="126">
        <v>0</v>
      </c>
      <c r="G291" s="126">
        <v>181</v>
      </c>
      <c r="H291" s="126">
        <v>0</v>
      </c>
      <c r="I291" s="126">
        <v>35.08</v>
      </c>
      <c r="J291" s="126">
        <v>0</v>
      </c>
      <c r="K291" s="126">
        <v>0.1</v>
      </c>
      <c r="L291" s="126">
        <f t="shared" si="97"/>
        <v>516</v>
      </c>
      <c r="M291" s="126">
        <f t="shared" si="98"/>
        <v>181</v>
      </c>
      <c r="N291" s="171">
        <f t="shared" si="99"/>
        <v>0.3508</v>
      </c>
      <c r="O291" s="132">
        <f t="shared" si="100"/>
        <v>0.1</v>
      </c>
      <c r="P291" s="177">
        <f t="shared" si="101"/>
        <v>0</v>
      </c>
      <c r="Q291" s="177">
        <f t="shared" si="102"/>
        <v>0.1</v>
      </c>
      <c r="S291" s="233" t="b">
        <f t="shared" si="103"/>
        <v>0</v>
      </c>
    </row>
    <row r="292" spans="1:19">
      <c r="A292" s="126" t="s">
        <v>3744</v>
      </c>
      <c r="B292" s="126" t="str">
        <f t="shared" si="104"/>
        <v>D0336</v>
      </c>
      <c r="C292" s="126">
        <v>3890</v>
      </c>
      <c r="D292" s="126" t="s">
        <v>2123</v>
      </c>
      <c r="E292" s="126">
        <v>258</v>
      </c>
      <c r="F292" s="126">
        <v>0</v>
      </c>
      <c r="G292" s="126">
        <v>67</v>
      </c>
      <c r="H292" s="126">
        <v>0</v>
      </c>
      <c r="I292" s="126">
        <v>25.97</v>
      </c>
      <c r="J292" s="126">
        <v>0</v>
      </c>
      <c r="K292" s="126">
        <v>0</v>
      </c>
      <c r="L292" s="126">
        <f t="shared" si="97"/>
        <v>258</v>
      </c>
      <c r="M292" s="126">
        <f t="shared" si="98"/>
        <v>67</v>
      </c>
      <c r="N292" s="171">
        <f t="shared" si="99"/>
        <v>0.25969999999999999</v>
      </c>
      <c r="O292" s="132">
        <f t="shared" si="100"/>
        <v>0</v>
      </c>
      <c r="P292" s="177">
        <f t="shared" si="101"/>
        <v>0</v>
      </c>
      <c r="Q292" s="177">
        <f t="shared" si="102"/>
        <v>0</v>
      </c>
      <c r="S292" s="233" t="b">
        <f t="shared" si="103"/>
        <v>0</v>
      </c>
    </row>
    <row r="293" spans="1:19">
      <c r="A293" s="126" t="s">
        <v>3744</v>
      </c>
      <c r="B293" s="126" t="str">
        <f t="shared" si="104"/>
        <v>D0336</v>
      </c>
      <c r="C293" s="126">
        <v>3892</v>
      </c>
      <c r="D293" s="126" t="s">
        <v>2125</v>
      </c>
      <c r="E293" s="126">
        <v>317</v>
      </c>
      <c r="F293" s="126">
        <v>0</v>
      </c>
      <c r="G293" s="126">
        <v>99</v>
      </c>
      <c r="H293" s="126">
        <v>0</v>
      </c>
      <c r="I293" s="126">
        <v>31.23</v>
      </c>
      <c r="J293" s="126">
        <v>0</v>
      </c>
      <c r="K293" s="126">
        <v>0</v>
      </c>
      <c r="L293" s="126">
        <f t="shared" si="97"/>
        <v>317</v>
      </c>
      <c r="M293" s="126">
        <f t="shared" si="98"/>
        <v>99</v>
      </c>
      <c r="N293" s="171">
        <f t="shared" si="99"/>
        <v>0.31230000000000002</v>
      </c>
      <c r="O293" s="132">
        <f t="shared" si="100"/>
        <v>0</v>
      </c>
      <c r="P293" s="177">
        <f t="shared" si="101"/>
        <v>0</v>
      </c>
      <c r="Q293" s="177">
        <f t="shared" si="102"/>
        <v>0</v>
      </c>
      <c r="S293" s="233" t="b">
        <f t="shared" si="103"/>
        <v>0</v>
      </c>
    </row>
    <row r="294" spans="1:19">
      <c r="A294" s="126" t="s">
        <v>3745</v>
      </c>
      <c r="B294" s="126" t="str">
        <f t="shared" si="104"/>
        <v>D0341</v>
      </c>
      <c r="C294" s="126">
        <v>3988</v>
      </c>
      <c r="D294" s="126" t="s">
        <v>2147</v>
      </c>
      <c r="E294" s="126">
        <v>343</v>
      </c>
      <c r="F294" s="126">
        <v>0</v>
      </c>
      <c r="G294" s="126">
        <v>133</v>
      </c>
      <c r="H294" s="126">
        <v>0</v>
      </c>
      <c r="I294" s="126">
        <v>38.78</v>
      </c>
      <c r="J294" s="126">
        <v>0</v>
      </c>
      <c r="K294" s="126">
        <v>3.5</v>
      </c>
      <c r="L294" s="126">
        <f t="shared" si="97"/>
        <v>343</v>
      </c>
      <c r="M294" s="126">
        <f t="shared" si="98"/>
        <v>133</v>
      </c>
      <c r="N294" s="171">
        <f t="shared" si="99"/>
        <v>0.38779999999999998</v>
      </c>
      <c r="O294" s="132">
        <f t="shared" si="100"/>
        <v>3.5</v>
      </c>
      <c r="P294" s="177">
        <f t="shared" si="101"/>
        <v>0</v>
      </c>
      <c r="Q294" s="177">
        <f t="shared" si="102"/>
        <v>3.5</v>
      </c>
      <c r="S294" s="233" t="b">
        <f t="shared" si="103"/>
        <v>0</v>
      </c>
    </row>
    <row r="295" spans="1:19">
      <c r="A295" s="126" t="s">
        <v>3745</v>
      </c>
      <c r="B295" s="126" t="str">
        <f t="shared" si="104"/>
        <v>D0341</v>
      </c>
      <c r="C295" s="126">
        <v>3991</v>
      </c>
      <c r="D295" s="126" t="s">
        <v>2149</v>
      </c>
      <c r="E295" s="126">
        <v>260</v>
      </c>
      <c r="F295" s="126">
        <v>0</v>
      </c>
      <c r="G295" s="126">
        <v>118</v>
      </c>
      <c r="H295" s="126">
        <v>0</v>
      </c>
      <c r="I295" s="126">
        <v>45.38</v>
      </c>
      <c r="J295" s="126">
        <v>0</v>
      </c>
      <c r="K295" s="126">
        <v>8.6</v>
      </c>
      <c r="L295" s="126">
        <f t="shared" si="97"/>
        <v>260</v>
      </c>
      <c r="M295" s="126">
        <f t="shared" si="98"/>
        <v>118</v>
      </c>
      <c r="N295" s="171">
        <f t="shared" si="99"/>
        <v>0.45379999999999998</v>
      </c>
      <c r="O295" s="132">
        <f t="shared" si="100"/>
        <v>8.6</v>
      </c>
      <c r="P295" s="177">
        <f t="shared" si="101"/>
        <v>0</v>
      </c>
      <c r="Q295" s="177">
        <f t="shared" si="102"/>
        <v>8.6</v>
      </c>
      <c r="S295" s="233" t="b">
        <f t="shared" si="103"/>
        <v>0</v>
      </c>
    </row>
    <row r="296" spans="1:19">
      <c r="A296" s="126" t="s">
        <v>3746</v>
      </c>
      <c r="B296" s="126" t="str">
        <f t="shared" si="104"/>
        <v>D0345</v>
      </c>
      <c r="C296" s="126">
        <v>4054</v>
      </c>
      <c r="D296" s="126" t="s">
        <v>2167</v>
      </c>
      <c r="E296" s="126">
        <v>565</v>
      </c>
      <c r="F296" s="126">
        <v>0</v>
      </c>
      <c r="G296" s="126">
        <v>319</v>
      </c>
      <c r="H296" s="126">
        <v>0</v>
      </c>
      <c r="I296" s="126">
        <v>56.46</v>
      </c>
      <c r="J296" s="126">
        <v>33.5</v>
      </c>
      <c r="K296" s="126">
        <v>0</v>
      </c>
      <c r="L296" s="126">
        <f t="shared" si="97"/>
        <v>565</v>
      </c>
      <c r="M296" s="126">
        <f t="shared" si="98"/>
        <v>319</v>
      </c>
      <c r="N296" s="171">
        <f t="shared" si="99"/>
        <v>0.56459999999999999</v>
      </c>
      <c r="O296" s="132">
        <f t="shared" si="100"/>
        <v>0</v>
      </c>
      <c r="P296" s="177">
        <f t="shared" si="101"/>
        <v>33.5</v>
      </c>
      <c r="Q296" s="177">
        <f t="shared" si="102"/>
        <v>33.5</v>
      </c>
      <c r="S296" s="233" t="b">
        <f t="shared" si="103"/>
        <v>0</v>
      </c>
    </row>
    <row r="297" spans="1:19">
      <c r="A297" s="126" t="s">
        <v>3746</v>
      </c>
      <c r="B297" s="126" t="str">
        <f t="shared" si="104"/>
        <v>D0345</v>
      </c>
      <c r="C297" s="126">
        <v>4055</v>
      </c>
      <c r="D297" s="126" t="s">
        <v>2169</v>
      </c>
      <c r="E297" s="126">
        <v>317</v>
      </c>
      <c r="F297" s="126">
        <v>0</v>
      </c>
      <c r="G297" s="126">
        <v>46</v>
      </c>
      <c r="H297" s="126">
        <v>0</v>
      </c>
      <c r="I297" s="126">
        <v>14.51</v>
      </c>
      <c r="J297" s="126">
        <v>0</v>
      </c>
      <c r="K297" s="126">
        <v>0</v>
      </c>
      <c r="L297" s="126">
        <f t="shared" si="97"/>
        <v>317</v>
      </c>
      <c r="M297" s="126">
        <f t="shared" si="98"/>
        <v>46</v>
      </c>
      <c r="N297" s="171">
        <f t="shared" si="99"/>
        <v>0.14510000000000001</v>
      </c>
      <c r="O297" s="132">
        <f t="shared" si="100"/>
        <v>0</v>
      </c>
      <c r="P297" s="177">
        <f t="shared" si="101"/>
        <v>0</v>
      </c>
      <c r="Q297" s="177">
        <f t="shared" si="102"/>
        <v>0</v>
      </c>
      <c r="S297" s="233" t="b">
        <f t="shared" si="103"/>
        <v>0</v>
      </c>
    </row>
    <row r="298" spans="1:19">
      <c r="A298" s="126" t="s">
        <v>3746</v>
      </c>
      <c r="B298" s="126" t="str">
        <f t="shared" si="104"/>
        <v>D0345</v>
      </c>
      <c r="C298" s="126">
        <v>4058</v>
      </c>
      <c r="D298" s="126" t="s">
        <v>2171</v>
      </c>
      <c r="E298" s="126">
        <v>337</v>
      </c>
      <c r="F298" s="126">
        <v>0</v>
      </c>
      <c r="G298" s="126">
        <v>52</v>
      </c>
      <c r="H298" s="126">
        <v>0</v>
      </c>
      <c r="I298" s="126">
        <v>15.43</v>
      </c>
      <c r="J298" s="126">
        <v>0</v>
      </c>
      <c r="K298" s="126">
        <v>0</v>
      </c>
      <c r="L298" s="126">
        <f t="shared" si="97"/>
        <v>337</v>
      </c>
      <c r="M298" s="126">
        <f t="shared" si="98"/>
        <v>52</v>
      </c>
      <c r="N298" s="171">
        <f t="shared" si="99"/>
        <v>0.15429999999999999</v>
      </c>
      <c r="O298" s="132">
        <f t="shared" si="100"/>
        <v>0</v>
      </c>
      <c r="P298" s="177">
        <f t="shared" si="101"/>
        <v>0</v>
      </c>
      <c r="Q298" s="177">
        <f t="shared" si="102"/>
        <v>0</v>
      </c>
      <c r="S298" s="233" t="b">
        <f t="shared" si="103"/>
        <v>0</v>
      </c>
    </row>
    <row r="299" spans="1:19">
      <c r="A299" s="126" t="s">
        <v>3746</v>
      </c>
      <c r="B299" s="126" t="str">
        <f t="shared" si="104"/>
        <v>D0345</v>
      </c>
      <c r="C299" s="126">
        <v>4069</v>
      </c>
      <c r="D299" s="126" t="s">
        <v>2173</v>
      </c>
      <c r="E299" s="126">
        <v>406</v>
      </c>
      <c r="F299" s="126">
        <v>0</v>
      </c>
      <c r="G299" s="126">
        <v>103</v>
      </c>
      <c r="H299" s="126">
        <v>0</v>
      </c>
      <c r="I299" s="126">
        <v>25.37</v>
      </c>
      <c r="J299" s="126">
        <v>0</v>
      </c>
      <c r="K299" s="126">
        <v>0</v>
      </c>
      <c r="L299" s="126">
        <f t="shared" si="97"/>
        <v>406</v>
      </c>
      <c r="M299" s="126">
        <f t="shared" si="98"/>
        <v>103</v>
      </c>
      <c r="N299" s="171">
        <f t="shared" si="99"/>
        <v>0.25369999999999998</v>
      </c>
      <c r="O299" s="132">
        <f t="shared" si="100"/>
        <v>0</v>
      </c>
      <c r="P299" s="177">
        <f t="shared" si="101"/>
        <v>0</v>
      </c>
      <c r="Q299" s="177">
        <f t="shared" si="102"/>
        <v>0</v>
      </c>
      <c r="S299" s="233" t="b">
        <f t="shared" si="103"/>
        <v>0</v>
      </c>
    </row>
    <row r="300" spans="1:19">
      <c r="A300" s="126" t="s">
        <v>3746</v>
      </c>
      <c r="B300" s="126" t="str">
        <f t="shared" si="104"/>
        <v>D0345</v>
      </c>
      <c r="C300" s="126">
        <v>4072</v>
      </c>
      <c r="D300" s="126" t="s">
        <v>2175</v>
      </c>
      <c r="E300" s="126">
        <v>465</v>
      </c>
      <c r="F300" s="126">
        <v>0</v>
      </c>
      <c r="G300" s="126">
        <v>75</v>
      </c>
      <c r="H300" s="126">
        <v>0</v>
      </c>
      <c r="I300" s="126">
        <v>16.13</v>
      </c>
      <c r="J300" s="126">
        <v>0</v>
      </c>
      <c r="K300" s="126">
        <v>0</v>
      </c>
      <c r="L300" s="126">
        <f t="shared" si="97"/>
        <v>465</v>
      </c>
      <c r="M300" s="126">
        <f t="shared" si="98"/>
        <v>75</v>
      </c>
      <c r="N300" s="171">
        <f t="shared" si="99"/>
        <v>0.1613</v>
      </c>
      <c r="O300" s="132">
        <f t="shared" si="100"/>
        <v>0</v>
      </c>
      <c r="P300" s="177">
        <f t="shared" si="101"/>
        <v>0</v>
      </c>
      <c r="Q300" s="177">
        <f t="shared" si="102"/>
        <v>0</v>
      </c>
      <c r="S300" s="233" t="b">
        <f t="shared" si="103"/>
        <v>0</v>
      </c>
    </row>
    <row r="301" spans="1:19">
      <c r="A301" s="126" t="s">
        <v>3746</v>
      </c>
      <c r="B301" s="126" t="str">
        <f t="shared" si="104"/>
        <v>D0345</v>
      </c>
      <c r="C301" s="126">
        <v>4075</v>
      </c>
      <c r="D301" s="126" t="s">
        <v>2177</v>
      </c>
      <c r="E301" s="126">
        <v>591</v>
      </c>
      <c r="F301" s="126">
        <v>0</v>
      </c>
      <c r="G301" s="126">
        <v>142</v>
      </c>
      <c r="H301" s="126">
        <v>0</v>
      </c>
      <c r="I301" s="126">
        <v>24.03</v>
      </c>
      <c r="J301" s="126">
        <v>0</v>
      </c>
      <c r="K301" s="126">
        <v>0</v>
      </c>
      <c r="L301" s="126">
        <f t="shared" si="97"/>
        <v>591</v>
      </c>
      <c r="M301" s="126">
        <f t="shared" si="98"/>
        <v>142</v>
      </c>
      <c r="N301" s="171">
        <f t="shared" si="99"/>
        <v>0.24030000000000001</v>
      </c>
      <c r="O301" s="132">
        <f t="shared" si="100"/>
        <v>0</v>
      </c>
      <c r="P301" s="177">
        <f t="shared" si="101"/>
        <v>0</v>
      </c>
      <c r="Q301" s="177">
        <f t="shared" si="102"/>
        <v>0</v>
      </c>
      <c r="S301" s="233" t="b">
        <f t="shared" si="103"/>
        <v>0</v>
      </c>
    </row>
    <row r="302" spans="1:19">
      <c r="A302" s="126" t="s">
        <v>3746</v>
      </c>
      <c r="B302" s="126" t="str">
        <f t="shared" si="104"/>
        <v>D0345</v>
      </c>
      <c r="C302" s="126">
        <v>4076</v>
      </c>
      <c r="D302" s="126" t="s">
        <v>2179</v>
      </c>
      <c r="E302" s="126">
        <v>1218</v>
      </c>
      <c r="F302" s="126">
        <v>0</v>
      </c>
      <c r="G302" s="126">
        <v>276</v>
      </c>
      <c r="H302" s="126">
        <v>0</v>
      </c>
      <c r="I302" s="126">
        <v>22.66</v>
      </c>
      <c r="J302" s="126">
        <v>0</v>
      </c>
      <c r="K302" s="126">
        <v>0</v>
      </c>
      <c r="L302" s="126">
        <f t="shared" si="97"/>
        <v>1218</v>
      </c>
      <c r="M302" s="126">
        <f t="shared" si="98"/>
        <v>276</v>
      </c>
      <c r="N302" s="171">
        <f t="shared" si="99"/>
        <v>0.2266</v>
      </c>
      <c r="O302" s="132">
        <f t="shared" si="100"/>
        <v>0</v>
      </c>
      <c r="P302" s="177">
        <f t="shared" si="101"/>
        <v>0</v>
      </c>
      <c r="Q302" s="177">
        <f t="shared" si="102"/>
        <v>0</v>
      </c>
      <c r="S302" s="233" t="b">
        <f t="shared" si="103"/>
        <v>0</v>
      </c>
    </row>
    <row r="303" spans="1:19">
      <c r="A303" s="126" t="s">
        <v>3748</v>
      </c>
      <c r="B303" s="126" t="str">
        <f t="shared" si="104"/>
        <v>D0362</v>
      </c>
      <c r="C303" s="126">
        <v>4496</v>
      </c>
      <c r="D303" s="126" t="s">
        <v>2258</v>
      </c>
      <c r="E303" s="126">
        <v>199</v>
      </c>
      <c r="F303" s="126">
        <v>0</v>
      </c>
      <c r="G303" s="126">
        <v>92</v>
      </c>
      <c r="H303" s="126">
        <v>0</v>
      </c>
      <c r="I303" s="126">
        <v>46.23</v>
      </c>
      <c r="J303" s="126">
        <v>0</v>
      </c>
      <c r="K303" s="126">
        <v>7.2</v>
      </c>
      <c r="L303" s="126">
        <f t="shared" si="97"/>
        <v>199</v>
      </c>
      <c r="M303" s="126">
        <f t="shared" si="98"/>
        <v>92</v>
      </c>
      <c r="N303" s="171">
        <f t="shared" si="99"/>
        <v>0.46229999999999999</v>
      </c>
      <c r="O303" s="132">
        <f t="shared" si="100"/>
        <v>7.2</v>
      </c>
      <c r="P303" s="177">
        <f t="shared" si="101"/>
        <v>0</v>
      </c>
      <c r="Q303" s="177">
        <f t="shared" si="102"/>
        <v>7.2</v>
      </c>
      <c r="S303" s="233" t="b">
        <f t="shared" si="103"/>
        <v>0</v>
      </c>
    </row>
    <row r="304" spans="1:19">
      <c r="A304" s="126" t="s">
        <v>3748</v>
      </c>
      <c r="B304" s="126" t="str">
        <f t="shared" si="104"/>
        <v>D0362</v>
      </c>
      <c r="C304" s="126">
        <v>4502</v>
      </c>
      <c r="D304" s="126" t="s">
        <v>2260</v>
      </c>
      <c r="E304" s="126">
        <v>170</v>
      </c>
      <c r="F304" s="126">
        <v>0</v>
      </c>
      <c r="G304" s="126">
        <v>48</v>
      </c>
      <c r="H304" s="126">
        <v>0</v>
      </c>
      <c r="I304" s="126">
        <v>28.24</v>
      </c>
      <c r="J304" s="126">
        <v>0</v>
      </c>
      <c r="K304" s="126">
        <v>0</v>
      </c>
      <c r="L304" s="126">
        <f t="shared" si="97"/>
        <v>170</v>
      </c>
      <c r="M304" s="126">
        <f t="shared" si="98"/>
        <v>48</v>
      </c>
      <c r="N304" s="171">
        <f t="shared" si="99"/>
        <v>0.28239999999999998</v>
      </c>
      <c r="O304" s="132">
        <f t="shared" si="100"/>
        <v>0</v>
      </c>
      <c r="P304" s="177">
        <f t="shared" si="101"/>
        <v>0</v>
      </c>
      <c r="Q304" s="177">
        <f t="shared" si="102"/>
        <v>0</v>
      </c>
      <c r="S304" s="233" t="b">
        <f t="shared" si="103"/>
        <v>0</v>
      </c>
    </row>
    <row r="305" spans="1:19">
      <c r="A305" s="126" t="s">
        <v>3748</v>
      </c>
      <c r="B305" s="126" t="str">
        <f t="shared" si="104"/>
        <v>D0362</v>
      </c>
      <c r="C305" s="126">
        <v>4504</v>
      </c>
      <c r="D305" s="126" t="s">
        <v>2262</v>
      </c>
      <c r="E305" s="126">
        <v>197</v>
      </c>
      <c r="F305" s="126">
        <v>0</v>
      </c>
      <c r="G305" s="126">
        <v>73</v>
      </c>
      <c r="H305" s="126">
        <v>0</v>
      </c>
      <c r="I305" s="126">
        <v>37.06</v>
      </c>
      <c r="J305" s="126">
        <v>0</v>
      </c>
      <c r="K305" s="126">
        <v>1.1000000000000001</v>
      </c>
      <c r="L305" s="126">
        <f t="shared" si="97"/>
        <v>197</v>
      </c>
      <c r="M305" s="126">
        <f t="shared" si="98"/>
        <v>73</v>
      </c>
      <c r="N305" s="171">
        <f t="shared" si="99"/>
        <v>0.37059999999999998</v>
      </c>
      <c r="O305" s="132">
        <f t="shared" si="100"/>
        <v>1.1000000000000001</v>
      </c>
      <c r="P305" s="177">
        <f t="shared" si="101"/>
        <v>0</v>
      </c>
      <c r="Q305" s="177">
        <f t="shared" si="102"/>
        <v>1.1000000000000001</v>
      </c>
      <c r="S305" s="233" t="b">
        <f t="shared" si="103"/>
        <v>0</v>
      </c>
    </row>
    <row r="306" spans="1:19">
      <c r="A306" s="126" t="s">
        <v>3748</v>
      </c>
      <c r="B306" s="126" t="str">
        <f t="shared" si="104"/>
        <v>D0362</v>
      </c>
      <c r="C306" s="126">
        <v>4505</v>
      </c>
      <c r="D306" s="126" t="s">
        <v>2264</v>
      </c>
      <c r="E306" s="126">
        <v>304</v>
      </c>
      <c r="F306" s="126">
        <v>0</v>
      </c>
      <c r="G306" s="126">
        <v>100</v>
      </c>
      <c r="H306" s="126">
        <v>0</v>
      </c>
      <c r="I306" s="126">
        <v>32.89</v>
      </c>
      <c r="J306" s="126">
        <v>0</v>
      </c>
      <c r="K306" s="126">
        <v>0</v>
      </c>
      <c r="L306" s="126">
        <f t="shared" si="97"/>
        <v>304</v>
      </c>
      <c r="M306" s="126">
        <f t="shared" si="98"/>
        <v>100</v>
      </c>
      <c r="N306" s="171">
        <f t="shared" si="99"/>
        <v>0.32890000000000003</v>
      </c>
      <c r="O306" s="132">
        <f t="shared" si="100"/>
        <v>0</v>
      </c>
      <c r="P306" s="177">
        <f t="shared" si="101"/>
        <v>0</v>
      </c>
      <c r="Q306" s="177">
        <f t="shared" si="102"/>
        <v>0</v>
      </c>
      <c r="S306" s="233" t="b">
        <f t="shared" si="103"/>
        <v>0</v>
      </c>
    </row>
    <row r="307" spans="1:19">
      <c r="A307" s="126" t="s">
        <v>3749</v>
      </c>
      <c r="B307" s="126" t="str">
        <f t="shared" si="104"/>
        <v>D0365</v>
      </c>
      <c r="C307" s="126">
        <v>4580</v>
      </c>
      <c r="D307" s="126" t="s">
        <v>2278</v>
      </c>
      <c r="E307" s="126">
        <v>431</v>
      </c>
      <c r="F307" s="126">
        <v>0</v>
      </c>
      <c r="G307" s="126">
        <v>182</v>
      </c>
      <c r="H307" s="126">
        <v>0</v>
      </c>
      <c r="I307" s="126">
        <v>42.23</v>
      </c>
      <c r="J307" s="126">
        <v>0</v>
      </c>
      <c r="K307" s="126">
        <v>9.1999999999999993</v>
      </c>
      <c r="L307" s="126">
        <f t="shared" si="97"/>
        <v>431</v>
      </c>
      <c r="M307" s="126">
        <f t="shared" si="98"/>
        <v>182</v>
      </c>
      <c r="N307" s="171">
        <f t="shared" si="99"/>
        <v>0.42230000000000001</v>
      </c>
      <c r="O307" s="132">
        <f t="shared" si="100"/>
        <v>9.1999999999999993</v>
      </c>
      <c r="P307" s="177">
        <f t="shared" si="101"/>
        <v>0</v>
      </c>
      <c r="Q307" s="177">
        <f t="shared" si="102"/>
        <v>9.1999999999999993</v>
      </c>
      <c r="S307" s="233" t="b">
        <f t="shared" si="103"/>
        <v>0</v>
      </c>
    </row>
    <row r="308" spans="1:19">
      <c r="A308" s="126" t="s">
        <v>3749</v>
      </c>
      <c r="B308" s="126" t="str">
        <f t="shared" si="104"/>
        <v>D0365</v>
      </c>
      <c r="C308" s="126">
        <v>4592</v>
      </c>
      <c r="D308" s="126" t="s">
        <v>2280</v>
      </c>
      <c r="E308" s="126">
        <v>42</v>
      </c>
      <c r="F308" s="126">
        <v>0</v>
      </c>
      <c r="G308" s="126">
        <v>18</v>
      </c>
      <c r="H308" s="126">
        <v>0</v>
      </c>
      <c r="I308" s="126">
        <v>42.86</v>
      </c>
      <c r="J308" s="126">
        <v>0</v>
      </c>
      <c r="K308" s="126">
        <v>1</v>
      </c>
      <c r="L308" s="126">
        <f t="shared" si="97"/>
        <v>42</v>
      </c>
      <c r="M308" s="126">
        <f t="shared" si="98"/>
        <v>18</v>
      </c>
      <c r="N308" s="171">
        <f t="shared" si="99"/>
        <v>0.42859999999999998</v>
      </c>
      <c r="O308" s="132">
        <f t="shared" si="100"/>
        <v>1</v>
      </c>
      <c r="P308" s="177">
        <f t="shared" si="101"/>
        <v>0</v>
      </c>
      <c r="Q308" s="177">
        <f t="shared" si="102"/>
        <v>1</v>
      </c>
      <c r="S308" s="233" t="b">
        <f t="shared" si="103"/>
        <v>0</v>
      </c>
    </row>
    <row r="309" spans="1:19">
      <c r="A309" s="126" t="s">
        <v>3749</v>
      </c>
      <c r="B309" s="126" t="str">
        <f t="shared" si="104"/>
        <v>D0365</v>
      </c>
      <c r="C309" s="126">
        <v>4610</v>
      </c>
      <c r="D309" s="126" t="s">
        <v>2282</v>
      </c>
      <c r="E309" s="126">
        <v>47</v>
      </c>
      <c r="F309" s="126">
        <v>0</v>
      </c>
      <c r="G309" s="126">
        <v>20</v>
      </c>
      <c r="H309" s="126">
        <v>0</v>
      </c>
      <c r="I309" s="126">
        <v>42.55</v>
      </c>
      <c r="J309" s="126">
        <v>0</v>
      </c>
      <c r="K309" s="126">
        <v>1.1000000000000001</v>
      </c>
      <c r="L309" s="126">
        <f t="shared" si="97"/>
        <v>47</v>
      </c>
      <c r="M309" s="126">
        <f t="shared" si="98"/>
        <v>20</v>
      </c>
      <c r="N309" s="171">
        <f t="shared" si="99"/>
        <v>0.42549999999999999</v>
      </c>
      <c r="O309" s="132">
        <f t="shared" si="100"/>
        <v>1.1000000000000001</v>
      </c>
      <c r="P309" s="177">
        <f t="shared" si="101"/>
        <v>0</v>
      </c>
      <c r="Q309" s="177">
        <f t="shared" si="102"/>
        <v>1.1000000000000001</v>
      </c>
      <c r="S309" s="233" t="b">
        <f t="shared" si="103"/>
        <v>0</v>
      </c>
    </row>
    <row r="310" spans="1:19">
      <c r="A310" s="126" t="s">
        <v>3749</v>
      </c>
      <c r="B310" s="126" t="str">
        <f t="shared" si="104"/>
        <v>D0365</v>
      </c>
      <c r="C310" s="126">
        <v>4612</v>
      </c>
      <c r="D310" s="126" t="s">
        <v>2284</v>
      </c>
      <c r="E310" s="126">
        <v>478</v>
      </c>
      <c r="F310" s="126">
        <v>0</v>
      </c>
      <c r="G310" s="126">
        <v>143</v>
      </c>
      <c r="H310" s="126">
        <v>0</v>
      </c>
      <c r="I310" s="126">
        <v>29.92</v>
      </c>
      <c r="J310" s="126">
        <v>0</v>
      </c>
      <c r="K310" s="126">
        <v>0</v>
      </c>
      <c r="L310" s="126">
        <f t="shared" ref="L310:L321" si="105">SUM(E310:F310)</f>
        <v>478</v>
      </c>
      <c r="M310" s="126">
        <f t="shared" ref="M310:M321" si="106">SUM(G310:H310)</f>
        <v>143</v>
      </c>
      <c r="N310" s="171">
        <f t="shared" ref="N310:N321" si="107">IF(ISERROR(M310/L310),0,M310/L310)</f>
        <v>0.29920000000000002</v>
      </c>
      <c r="O310" s="132">
        <f t="shared" ref="O310:O321" si="108">IF(AND((N310-35%)&gt;0,N310&lt;50%),M310*(N310-35%)*0.7,0)</f>
        <v>0</v>
      </c>
      <c r="P310" s="177">
        <f t="shared" ref="P310:P321" si="109">IF(N310&gt;=50%,M310*10.5%,0)</f>
        <v>0</v>
      </c>
      <c r="Q310" s="177">
        <f t="shared" ref="Q310:Q321" si="110">MAX(O310,P310)</f>
        <v>0</v>
      </c>
      <c r="S310" s="233" t="b">
        <f t="shared" si="103"/>
        <v>0</v>
      </c>
    </row>
    <row r="311" spans="1:19">
      <c r="A311" s="126" t="s">
        <v>3750</v>
      </c>
      <c r="B311" s="126" t="str">
        <f t="shared" si="104"/>
        <v>D0387</v>
      </c>
      <c r="C311" s="126">
        <v>5215</v>
      </c>
      <c r="D311" s="126" t="s">
        <v>2443</v>
      </c>
      <c r="E311" s="126">
        <v>66</v>
      </c>
      <c r="F311" s="126">
        <v>0</v>
      </c>
      <c r="G311" s="126">
        <v>38</v>
      </c>
      <c r="H311" s="126">
        <v>0</v>
      </c>
      <c r="I311" s="126">
        <v>57.58</v>
      </c>
      <c r="J311" s="126">
        <v>4</v>
      </c>
      <c r="K311" s="126">
        <v>0</v>
      </c>
      <c r="L311" s="126">
        <f t="shared" si="105"/>
        <v>66</v>
      </c>
      <c r="M311" s="126">
        <f t="shared" si="106"/>
        <v>38</v>
      </c>
      <c r="N311" s="171">
        <f t="shared" si="107"/>
        <v>0.57579999999999998</v>
      </c>
      <c r="O311" s="132">
        <f t="shared" si="108"/>
        <v>0</v>
      </c>
      <c r="P311" s="177">
        <f t="shared" si="109"/>
        <v>4</v>
      </c>
      <c r="Q311" s="177">
        <f t="shared" si="110"/>
        <v>4</v>
      </c>
      <c r="S311" s="233" t="b">
        <f t="shared" si="103"/>
        <v>0</v>
      </c>
    </row>
    <row r="312" spans="1:19">
      <c r="A312" s="126" t="s">
        <v>3750</v>
      </c>
      <c r="B312" s="126" t="str">
        <f t="shared" ref="B312:B358" si="111">LEFT(A312,5)</f>
        <v>D0387</v>
      </c>
      <c r="C312" s="126">
        <v>5223</v>
      </c>
      <c r="D312" s="126" t="s">
        <v>2445</v>
      </c>
      <c r="E312" s="126">
        <v>110</v>
      </c>
      <c r="F312" s="126">
        <v>0</v>
      </c>
      <c r="G312" s="126">
        <v>50</v>
      </c>
      <c r="H312" s="126">
        <v>0</v>
      </c>
      <c r="I312" s="126">
        <v>45.45</v>
      </c>
      <c r="J312" s="126">
        <v>0</v>
      </c>
      <c r="K312" s="126">
        <v>3.7</v>
      </c>
      <c r="L312" s="126">
        <f t="shared" si="105"/>
        <v>110</v>
      </c>
      <c r="M312" s="126">
        <f t="shared" si="106"/>
        <v>50</v>
      </c>
      <c r="N312" s="171">
        <f t="shared" si="107"/>
        <v>0.45450000000000002</v>
      </c>
      <c r="O312" s="132">
        <f t="shared" si="108"/>
        <v>3.7</v>
      </c>
      <c r="P312" s="177">
        <f t="shared" si="109"/>
        <v>0</v>
      </c>
      <c r="Q312" s="177">
        <f t="shared" si="110"/>
        <v>3.7</v>
      </c>
      <c r="S312" s="233" t="b">
        <f t="shared" si="103"/>
        <v>0</v>
      </c>
    </row>
    <row r="313" spans="1:19">
      <c r="A313" s="126" t="s">
        <v>3751</v>
      </c>
      <c r="B313" s="126" t="str">
        <f t="shared" si="111"/>
        <v>D0416</v>
      </c>
      <c r="C313" s="126">
        <v>5970</v>
      </c>
      <c r="D313" s="126" t="s">
        <v>2582</v>
      </c>
      <c r="E313" s="126">
        <v>373</v>
      </c>
      <c r="F313" s="126">
        <v>0</v>
      </c>
      <c r="G313" s="126">
        <v>60</v>
      </c>
      <c r="H313" s="126">
        <v>0</v>
      </c>
      <c r="I313" s="126">
        <v>16.09</v>
      </c>
      <c r="J313" s="126">
        <v>0</v>
      </c>
      <c r="K313" s="126">
        <v>0</v>
      </c>
      <c r="L313" s="126">
        <f t="shared" si="105"/>
        <v>373</v>
      </c>
      <c r="M313" s="126">
        <f t="shared" si="106"/>
        <v>60</v>
      </c>
      <c r="N313" s="171">
        <f t="shared" si="107"/>
        <v>0.16089999999999999</v>
      </c>
      <c r="O313" s="132">
        <f t="shared" si="108"/>
        <v>0</v>
      </c>
      <c r="P313" s="177">
        <f t="shared" si="109"/>
        <v>0</v>
      </c>
      <c r="Q313" s="177">
        <f t="shared" si="110"/>
        <v>0</v>
      </c>
      <c r="S313" s="233" t="b">
        <f t="shared" si="103"/>
        <v>0</v>
      </c>
    </row>
    <row r="314" spans="1:19">
      <c r="A314" s="126" t="s">
        <v>3751</v>
      </c>
      <c r="B314" s="126" t="str">
        <f t="shared" si="111"/>
        <v>D0416</v>
      </c>
      <c r="C314" s="126">
        <v>5972</v>
      </c>
      <c r="D314" s="126" t="s">
        <v>2584</v>
      </c>
      <c r="E314" s="126">
        <v>530</v>
      </c>
      <c r="F314" s="126">
        <v>0</v>
      </c>
      <c r="G314" s="126">
        <v>74</v>
      </c>
      <c r="H314" s="126">
        <v>0</v>
      </c>
      <c r="I314" s="126">
        <v>13.96</v>
      </c>
      <c r="J314" s="126">
        <v>0</v>
      </c>
      <c r="K314" s="126">
        <v>0</v>
      </c>
      <c r="L314" s="126">
        <f t="shared" si="105"/>
        <v>530</v>
      </c>
      <c r="M314" s="126">
        <f t="shared" si="106"/>
        <v>74</v>
      </c>
      <c r="N314" s="171">
        <f t="shared" si="107"/>
        <v>0.1396</v>
      </c>
      <c r="O314" s="132">
        <f t="shared" si="108"/>
        <v>0</v>
      </c>
      <c r="P314" s="177">
        <f t="shared" si="109"/>
        <v>0</v>
      </c>
      <c r="Q314" s="177">
        <f t="shared" si="110"/>
        <v>0</v>
      </c>
      <c r="S314" s="233" t="b">
        <f t="shared" si="103"/>
        <v>0</v>
      </c>
    </row>
    <row r="315" spans="1:19">
      <c r="A315" s="126" t="s">
        <v>3751</v>
      </c>
      <c r="B315" s="126" t="str">
        <f t="shared" si="111"/>
        <v>D0416</v>
      </c>
      <c r="C315" s="126">
        <v>5978</v>
      </c>
      <c r="D315" s="126" t="s">
        <v>2586</v>
      </c>
      <c r="E315" s="126">
        <v>425</v>
      </c>
      <c r="F315" s="126">
        <v>0</v>
      </c>
      <c r="G315" s="126">
        <v>71</v>
      </c>
      <c r="H315" s="126">
        <v>0</v>
      </c>
      <c r="I315" s="126">
        <v>16.71</v>
      </c>
      <c r="J315" s="126">
        <v>0</v>
      </c>
      <c r="K315" s="126">
        <v>0</v>
      </c>
      <c r="L315" s="126">
        <f t="shared" si="105"/>
        <v>425</v>
      </c>
      <c r="M315" s="126">
        <f t="shared" si="106"/>
        <v>71</v>
      </c>
      <c r="N315" s="171">
        <f t="shared" si="107"/>
        <v>0.1671</v>
      </c>
      <c r="O315" s="132">
        <f t="shared" si="108"/>
        <v>0</v>
      </c>
      <c r="P315" s="177">
        <f t="shared" si="109"/>
        <v>0</v>
      </c>
      <c r="Q315" s="177">
        <f t="shared" si="110"/>
        <v>0</v>
      </c>
      <c r="S315" s="233" t="b">
        <f t="shared" si="103"/>
        <v>0</v>
      </c>
    </row>
    <row r="316" spans="1:19">
      <c r="A316" s="126" t="s">
        <v>3751</v>
      </c>
      <c r="B316" s="126" t="str">
        <f t="shared" si="111"/>
        <v>D0416</v>
      </c>
      <c r="C316" s="126">
        <v>5980</v>
      </c>
      <c r="D316" s="126" t="s">
        <v>2588</v>
      </c>
      <c r="E316" s="126">
        <v>371</v>
      </c>
      <c r="F316" s="126">
        <v>0</v>
      </c>
      <c r="G316" s="126">
        <v>60</v>
      </c>
      <c r="H316" s="126">
        <v>0</v>
      </c>
      <c r="I316" s="126">
        <v>16.170000000000002</v>
      </c>
      <c r="J316" s="126">
        <v>0</v>
      </c>
      <c r="K316" s="126">
        <v>0</v>
      </c>
      <c r="L316" s="126">
        <f t="shared" si="105"/>
        <v>371</v>
      </c>
      <c r="M316" s="126">
        <f t="shared" si="106"/>
        <v>60</v>
      </c>
      <c r="N316" s="171">
        <f t="shared" si="107"/>
        <v>0.16170000000000001</v>
      </c>
      <c r="O316" s="132">
        <f t="shared" si="108"/>
        <v>0</v>
      </c>
      <c r="P316" s="177">
        <f t="shared" si="109"/>
        <v>0</v>
      </c>
      <c r="Q316" s="177">
        <f t="shared" si="110"/>
        <v>0</v>
      </c>
      <c r="S316" s="233" t="b">
        <f t="shared" si="103"/>
        <v>0</v>
      </c>
    </row>
    <row r="317" spans="1:19">
      <c r="A317" s="126" t="s">
        <v>3753</v>
      </c>
      <c r="B317" s="126" t="str">
        <f t="shared" si="111"/>
        <v>D0447</v>
      </c>
      <c r="C317" s="126">
        <v>6870</v>
      </c>
      <c r="D317" s="126" t="s">
        <v>2765</v>
      </c>
      <c r="E317" s="126">
        <v>351</v>
      </c>
      <c r="F317" s="126">
        <v>0</v>
      </c>
      <c r="G317" s="126">
        <v>224</v>
      </c>
      <c r="H317" s="126">
        <v>0</v>
      </c>
      <c r="I317" s="126">
        <v>63.82</v>
      </c>
      <c r="J317" s="126">
        <v>23.5</v>
      </c>
      <c r="K317" s="126">
        <v>0</v>
      </c>
      <c r="L317" s="126">
        <f t="shared" si="105"/>
        <v>351</v>
      </c>
      <c r="M317" s="126">
        <f t="shared" si="106"/>
        <v>224</v>
      </c>
      <c r="N317" s="171">
        <f t="shared" si="107"/>
        <v>0.63819999999999999</v>
      </c>
      <c r="O317" s="132">
        <f t="shared" si="108"/>
        <v>0</v>
      </c>
      <c r="P317" s="177">
        <f t="shared" si="109"/>
        <v>23.5</v>
      </c>
      <c r="Q317" s="177">
        <f t="shared" si="110"/>
        <v>23.5</v>
      </c>
      <c r="S317" s="233" t="b">
        <f t="shared" si="103"/>
        <v>0</v>
      </c>
    </row>
    <row r="318" spans="1:19">
      <c r="A318" s="126" t="s">
        <v>3753</v>
      </c>
      <c r="B318" s="126" t="str">
        <f t="shared" si="111"/>
        <v>D0447</v>
      </c>
      <c r="C318" s="126">
        <v>6871</v>
      </c>
      <c r="D318" s="126" t="s">
        <v>2767</v>
      </c>
      <c r="E318" s="126">
        <v>115</v>
      </c>
      <c r="F318" s="126">
        <v>0</v>
      </c>
      <c r="G318" s="126">
        <v>47</v>
      </c>
      <c r="H318" s="126">
        <v>0</v>
      </c>
      <c r="I318" s="126">
        <v>40.869999999999997</v>
      </c>
      <c r="J318" s="126">
        <v>0</v>
      </c>
      <c r="K318" s="126">
        <v>1.9</v>
      </c>
      <c r="L318" s="126">
        <f t="shared" si="105"/>
        <v>115</v>
      </c>
      <c r="M318" s="126">
        <f t="shared" si="106"/>
        <v>47</v>
      </c>
      <c r="N318" s="171">
        <f t="shared" si="107"/>
        <v>0.40870000000000001</v>
      </c>
      <c r="O318" s="132">
        <f t="shared" si="108"/>
        <v>1.9</v>
      </c>
      <c r="P318" s="177">
        <f t="shared" si="109"/>
        <v>0</v>
      </c>
      <c r="Q318" s="177">
        <f t="shared" si="110"/>
        <v>1.9</v>
      </c>
      <c r="S318" s="233" t="b">
        <f t="shared" si="103"/>
        <v>0</v>
      </c>
    </row>
    <row r="319" spans="1:19">
      <c r="A319" s="126" t="s">
        <v>3753</v>
      </c>
      <c r="B319" s="126" t="str">
        <f t="shared" si="111"/>
        <v>D0447</v>
      </c>
      <c r="C319" s="126">
        <v>6876</v>
      </c>
      <c r="D319" s="126" t="s">
        <v>2769</v>
      </c>
      <c r="E319" s="126">
        <v>332</v>
      </c>
      <c r="F319" s="126">
        <v>0</v>
      </c>
      <c r="G319" s="126">
        <v>166</v>
      </c>
      <c r="H319" s="126">
        <v>0</v>
      </c>
      <c r="I319" s="126">
        <v>50</v>
      </c>
      <c r="J319" s="126">
        <v>17.399999999999999</v>
      </c>
      <c r="K319" s="126">
        <v>0</v>
      </c>
      <c r="L319" s="126">
        <f t="shared" si="105"/>
        <v>332</v>
      </c>
      <c r="M319" s="126">
        <f t="shared" si="106"/>
        <v>166</v>
      </c>
      <c r="N319" s="171">
        <f t="shared" si="107"/>
        <v>0.5</v>
      </c>
      <c r="O319" s="132">
        <f t="shared" si="108"/>
        <v>0</v>
      </c>
      <c r="P319" s="177">
        <f t="shared" si="109"/>
        <v>17.399999999999999</v>
      </c>
      <c r="Q319" s="177">
        <f t="shared" si="110"/>
        <v>17.399999999999999</v>
      </c>
      <c r="S319" s="233" t="b">
        <f t="shared" si="103"/>
        <v>0</v>
      </c>
    </row>
    <row r="320" spans="1:19">
      <c r="A320" s="126" t="s">
        <v>3755</v>
      </c>
      <c r="B320" s="126" t="str">
        <f t="shared" si="111"/>
        <v>D0459</v>
      </c>
      <c r="C320" s="126">
        <v>7184</v>
      </c>
      <c r="D320" s="126" t="s">
        <v>2864</v>
      </c>
      <c r="E320" s="126">
        <v>169</v>
      </c>
      <c r="F320" s="126">
        <v>0</v>
      </c>
      <c r="G320" s="126">
        <v>81</v>
      </c>
      <c r="H320" s="126">
        <v>0</v>
      </c>
      <c r="I320" s="126">
        <v>47.93</v>
      </c>
      <c r="J320" s="126">
        <v>0</v>
      </c>
      <c r="K320" s="126">
        <v>7.3</v>
      </c>
      <c r="L320" s="126">
        <f t="shared" si="105"/>
        <v>169</v>
      </c>
      <c r="M320" s="126">
        <f t="shared" si="106"/>
        <v>81</v>
      </c>
      <c r="N320" s="171">
        <f t="shared" si="107"/>
        <v>0.4793</v>
      </c>
      <c r="O320" s="132">
        <f t="shared" si="108"/>
        <v>7.3</v>
      </c>
      <c r="P320" s="177">
        <f t="shared" si="109"/>
        <v>0</v>
      </c>
      <c r="Q320" s="177">
        <f t="shared" si="110"/>
        <v>7.3</v>
      </c>
      <c r="S320" s="233" t="b">
        <f t="shared" si="103"/>
        <v>0</v>
      </c>
    </row>
    <row r="321" spans="1:19">
      <c r="A321" s="126" t="s">
        <v>3755</v>
      </c>
      <c r="B321" s="126" t="str">
        <f t="shared" si="111"/>
        <v>D0459</v>
      </c>
      <c r="C321" s="126">
        <v>7186</v>
      </c>
      <c r="D321" s="126" t="s">
        <v>2866</v>
      </c>
      <c r="E321" s="126">
        <v>67</v>
      </c>
      <c r="F321" s="126">
        <v>0</v>
      </c>
      <c r="G321" s="126">
        <v>27</v>
      </c>
      <c r="H321" s="126">
        <v>0</v>
      </c>
      <c r="I321" s="126">
        <v>40.299999999999997</v>
      </c>
      <c r="J321" s="126">
        <v>0</v>
      </c>
      <c r="K321" s="126">
        <v>1</v>
      </c>
      <c r="L321" s="126">
        <f t="shared" si="105"/>
        <v>67</v>
      </c>
      <c r="M321" s="126">
        <f t="shared" si="106"/>
        <v>27</v>
      </c>
      <c r="N321" s="171">
        <f t="shared" si="107"/>
        <v>0.40300000000000002</v>
      </c>
      <c r="O321" s="132">
        <f t="shared" si="108"/>
        <v>1</v>
      </c>
      <c r="P321" s="177">
        <f t="shared" si="109"/>
        <v>0</v>
      </c>
      <c r="Q321" s="177">
        <f t="shared" si="110"/>
        <v>1</v>
      </c>
      <c r="S321" s="233" t="b">
        <f t="shared" si="103"/>
        <v>0</v>
      </c>
    </row>
    <row r="322" spans="1:19">
      <c r="A322" s="126" t="s">
        <v>3757</v>
      </c>
      <c r="B322" s="126" t="str">
        <f t="shared" si="111"/>
        <v>D0102</v>
      </c>
      <c r="C322" s="126">
        <v>124</v>
      </c>
      <c r="D322" s="126" t="s">
        <v>901</v>
      </c>
      <c r="E322" s="126">
        <v>357</v>
      </c>
      <c r="F322" s="126">
        <v>0</v>
      </c>
      <c r="G322" s="126">
        <v>129</v>
      </c>
      <c r="H322" s="126">
        <v>0</v>
      </c>
      <c r="I322" s="126">
        <v>36.130000000000003</v>
      </c>
      <c r="J322" s="126">
        <v>0</v>
      </c>
      <c r="K322" s="126">
        <v>1</v>
      </c>
      <c r="L322" s="126">
        <f t="shared" ref="L322:L373" si="112">SUM(E322:F322)</f>
        <v>357</v>
      </c>
      <c r="M322" s="126">
        <f t="shared" ref="M322:M373" si="113">SUM(G322:H322)</f>
        <v>129</v>
      </c>
      <c r="N322" s="171">
        <f t="shared" ref="N322:N373" si="114">IF(ISERROR(M322/L322),0,M322/L322)</f>
        <v>0.36130000000000001</v>
      </c>
      <c r="O322" s="132">
        <f t="shared" ref="O322:O373" si="115">IF(AND((N322-35%)&gt;0,N322&lt;50%),M322*(N322-35%)*0.7,0)</f>
        <v>1</v>
      </c>
      <c r="P322" s="177">
        <f t="shared" ref="P322:P373" si="116">IF(N322&gt;=50%,M322*10.5%,0)</f>
        <v>0</v>
      </c>
      <c r="Q322" s="177">
        <f t="shared" ref="Q322:Q373" si="117">MAX(O322,P322)</f>
        <v>1</v>
      </c>
      <c r="S322" s="233" t="b">
        <f t="shared" si="103"/>
        <v>0</v>
      </c>
    </row>
    <row r="323" spans="1:19">
      <c r="A323" s="126" t="s">
        <v>3757</v>
      </c>
      <c r="B323" s="126" t="str">
        <f t="shared" si="111"/>
        <v>D0102</v>
      </c>
      <c r="C323" s="126">
        <v>125</v>
      </c>
      <c r="D323" s="126" t="s">
        <v>903</v>
      </c>
      <c r="E323" s="126">
        <v>322</v>
      </c>
      <c r="F323" s="126">
        <v>0</v>
      </c>
      <c r="G323" s="126">
        <v>83</v>
      </c>
      <c r="H323" s="126">
        <v>0</v>
      </c>
      <c r="I323" s="126">
        <v>25.78</v>
      </c>
      <c r="J323" s="126">
        <v>0</v>
      </c>
      <c r="K323" s="126">
        <v>0</v>
      </c>
      <c r="L323" s="126">
        <f t="shared" si="112"/>
        <v>322</v>
      </c>
      <c r="M323" s="126">
        <f t="shared" si="113"/>
        <v>83</v>
      </c>
      <c r="N323" s="171">
        <f t="shared" si="114"/>
        <v>0.25779999999999997</v>
      </c>
      <c r="O323" s="132">
        <f t="shared" si="115"/>
        <v>0</v>
      </c>
      <c r="P323" s="177">
        <f t="shared" si="116"/>
        <v>0</v>
      </c>
      <c r="Q323" s="177">
        <f t="shared" si="117"/>
        <v>0</v>
      </c>
      <c r="S323" s="233" t="b">
        <f t="shared" si="103"/>
        <v>0</v>
      </c>
    </row>
    <row r="324" spans="1:19">
      <c r="A324" s="126" t="s">
        <v>239</v>
      </c>
      <c r="B324" s="126" t="str">
        <f t="shared" si="111"/>
        <v>D0233</v>
      </c>
      <c r="C324" s="126">
        <v>845</v>
      </c>
      <c r="D324" s="126" t="s">
        <v>1259</v>
      </c>
      <c r="E324" s="126">
        <v>1938</v>
      </c>
      <c r="F324" s="126">
        <v>0</v>
      </c>
      <c r="G324" s="126">
        <v>169</v>
      </c>
      <c r="H324" s="126">
        <v>0</v>
      </c>
      <c r="I324" s="126">
        <v>8.7200000000000006</v>
      </c>
      <c r="J324" s="126">
        <v>0</v>
      </c>
      <c r="K324" s="126">
        <v>0</v>
      </c>
      <c r="L324" s="126">
        <f t="shared" si="112"/>
        <v>1938</v>
      </c>
      <c r="M324" s="126">
        <f t="shared" si="113"/>
        <v>169</v>
      </c>
      <c r="N324" s="171">
        <f t="shared" si="114"/>
        <v>8.72E-2</v>
      </c>
      <c r="O324" s="132">
        <f t="shared" si="115"/>
        <v>0</v>
      </c>
      <c r="P324" s="177">
        <f t="shared" si="116"/>
        <v>0</v>
      </c>
      <c r="Q324" s="177">
        <f t="shared" si="117"/>
        <v>0</v>
      </c>
      <c r="S324" s="233" t="b">
        <f t="shared" si="103"/>
        <v>0</v>
      </c>
    </row>
    <row r="325" spans="1:19">
      <c r="A325" s="126" t="s">
        <v>239</v>
      </c>
      <c r="B325" s="126" t="str">
        <f t="shared" si="111"/>
        <v>D0233</v>
      </c>
      <c r="C325" s="126">
        <v>846</v>
      </c>
      <c r="D325" s="126" t="s">
        <v>1261</v>
      </c>
      <c r="E325" s="126">
        <v>412</v>
      </c>
      <c r="F325" s="126">
        <v>0</v>
      </c>
      <c r="G325" s="126">
        <v>18</v>
      </c>
      <c r="H325" s="126">
        <v>0</v>
      </c>
      <c r="I325" s="126">
        <v>4.37</v>
      </c>
      <c r="J325" s="126">
        <v>0</v>
      </c>
      <c r="K325" s="126">
        <v>0</v>
      </c>
      <c r="L325" s="126">
        <f t="shared" si="112"/>
        <v>412</v>
      </c>
      <c r="M325" s="126">
        <f t="shared" si="113"/>
        <v>18</v>
      </c>
      <c r="N325" s="171">
        <f t="shared" si="114"/>
        <v>4.3700000000000003E-2</v>
      </c>
      <c r="O325" s="132">
        <f t="shared" si="115"/>
        <v>0</v>
      </c>
      <c r="P325" s="177">
        <f t="shared" si="116"/>
        <v>0</v>
      </c>
      <c r="Q325" s="177">
        <f t="shared" si="117"/>
        <v>0</v>
      </c>
      <c r="S325" s="233" t="b">
        <f t="shared" ref="S325:S388" si="118">COUNTIF(C:C,C325)&gt;1</f>
        <v>0</v>
      </c>
    </row>
    <row r="326" spans="1:19">
      <c r="A326" s="126" t="s">
        <v>239</v>
      </c>
      <c r="B326" s="126" t="str">
        <f t="shared" si="111"/>
        <v>D0233</v>
      </c>
      <c r="C326" s="126">
        <v>847</v>
      </c>
      <c r="D326" s="126" t="s">
        <v>1263</v>
      </c>
      <c r="E326" s="126">
        <v>797</v>
      </c>
      <c r="F326" s="126">
        <v>0</v>
      </c>
      <c r="G326" s="126">
        <v>90</v>
      </c>
      <c r="H326" s="126">
        <v>0</v>
      </c>
      <c r="I326" s="126">
        <v>11.29</v>
      </c>
      <c r="J326" s="126">
        <v>0</v>
      </c>
      <c r="K326" s="126">
        <v>0</v>
      </c>
      <c r="L326" s="126">
        <f t="shared" si="112"/>
        <v>797</v>
      </c>
      <c r="M326" s="126">
        <f t="shared" si="113"/>
        <v>90</v>
      </c>
      <c r="N326" s="171">
        <f t="shared" si="114"/>
        <v>0.1129</v>
      </c>
      <c r="O326" s="132">
        <f t="shared" si="115"/>
        <v>0</v>
      </c>
      <c r="P326" s="177">
        <f t="shared" si="116"/>
        <v>0</v>
      </c>
      <c r="Q326" s="177">
        <f t="shared" si="117"/>
        <v>0</v>
      </c>
      <c r="S326" s="233" t="b">
        <f t="shared" si="118"/>
        <v>0</v>
      </c>
    </row>
    <row r="327" spans="1:19">
      <c r="A327" s="126" t="s">
        <v>239</v>
      </c>
      <c r="B327" s="126" t="str">
        <f t="shared" si="111"/>
        <v>D0233</v>
      </c>
      <c r="C327" s="126">
        <v>849</v>
      </c>
      <c r="D327" s="126" t="s">
        <v>1265</v>
      </c>
      <c r="E327" s="126">
        <v>319</v>
      </c>
      <c r="F327" s="126">
        <v>0</v>
      </c>
      <c r="G327" s="126">
        <v>16</v>
      </c>
      <c r="H327" s="126">
        <v>0</v>
      </c>
      <c r="I327" s="126">
        <v>5.0199999999999996</v>
      </c>
      <c r="J327" s="126">
        <v>0</v>
      </c>
      <c r="K327" s="126">
        <v>0</v>
      </c>
      <c r="L327" s="126">
        <f t="shared" si="112"/>
        <v>319</v>
      </c>
      <c r="M327" s="126">
        <f t="shared" si="113"/>
        <v>16</v>
      </c>
      <c r="N327" s="171">
        <f t="shared" si="114"/>
        <v>5.0200000000000002E-2</v>
      </c>
      <c r="O327" s="132">
        <f t="shared" si="115"/>
        <v>0</v>
      </c>
      <c r="P327" s="177">
        <f t="shared" si="116"/>
        <v>0</v>
      </c>
      <c r="Q327" s="177">
        <f t="shared" si="117"/>
        <v>0</v>
      </c>
      <c r="S327" s="233" t="b">
        <f t="shared" si="118"/>
        <v>0</v>
      </c>
    </row>
    <row r="328" spans="1:19">
      <c r="A328" s="126" t="s">
        <v>239</v>
      </c>
      <c r="B328" s="126" t="str">
        <f t="shared" si="111"/>
        <v>D0233</v>
      </c>
      <c r="C328" s="126">
        <v>850</v>
      </c>
      <c r="D328" s="126" t="s">
        <v>1267</v>
      </c>
      <c r="E328" s="126">
        <v>268</v>
      </c>
      <c r="F328" s="126">
        <v>0</v>
      </c>
      <c r="G328" s="126">
        <v>156</v>
      </c>
      <c r="H328" s="126">
        <v>0</v>
      </c>
      <c r="I328" s="126">
        <v>58.21</v>
      </c>
      <c r="J328" s="126">
        <v>16.399999999999999</v>
      </c>
      <c r="K328" s="126">
        <v>0</v>
      </c>
      <c r="L328" s="126">
        <f t="shared" si="112"/>
        <v>268</v>
      </c>
      <c r="M328" s="126">
        <f t="shared" si="113"/>
        <v>156</v>
      </c>
      <c r="N328" s="171">
        <f t="shared" si="114"/>
        <v>0.58209999999999995</v>
      </c>
      <c r="O328" s="132">
        <f t="shared" si="115"/>
        <v>0</v>
      </c>
      <c r="P328" s="177">
        <f t="shared" si="116"/>
        <v>16.399999999999999</v>
      </c>
      <c r="Q328" s="177">
        <f t="shared" si="117"/>
        <v>16.399999999999999</v>
      </c>
      <c r="S328" s="233" t="b">
        <f t="shared" si="118"/>
        <v>0</v>
      </c>
    </row>
    <row r="329" spans="1:19">
      <c r="A329" s="126" t="s">
        <v>239</v>
      </c>
      <c r="B329" s="126" t="str">
        <f t="shared" si="111"/>
        <v>D0233</v>
      </c>
      <c r="C329" s="126">
        <v>851</v>
      </c>
      <c r="D329" s="126" t="s">
        <v>1269</v>
      </c>
      <c r="E329" s="126">
        <v>391</v>
      </c>
      <c r="F329" s="126">
        <v>0</v>
      </c>
      <c r="G329" s="126">
        <v>156</v>
      </c>
      <c r="H329" s="126">
        <v>0</v>
      </c>
      <c r="I329" s="126">
        <v>39.9</v>
      </c>
      <c r="J329" s="126">
        <v>0</v>
      </c>
      <c r="K329" s="126">
        <v>5.4</v>
      </c>
      <c r="L329" s="126">
        <f t="shared" si="112"/>
        <v>391</v>
      </c>
      <c r="M329" s="126">
        <f t="shared" si="113"/>
        <v>156</v>
      </c>
      <c r="N329" s="171">
        <f t="shared" si="114"/>
        <v>0.39900000000000002</v>
      </c>
      <c r="O329" s="132">
        <f t="shared" si="115"/>
        <v>5.4</v>
      </c>
      <c r="P329" s="177">
        <f t="shared" si="116"/>
        <v>0</v>
      </c>
      <c r="Q329" s="177">
        <f t="shared" si="117"/>
        <v>5.4</v>
      </c>
      <c r="S329" s="233" t="b">
        <f t="shared" si="118"/>
        <v>0</v>
      </c>
    </row>
    <row r="330" spans="1:19">
      <c r="A330" s="126" t="s">
        <v>239</v>
      </c>
      <c r="B330" s="126" t="str">
        <f t="shared" si="111"/>
        <v>D0233</v>
      </c>
      <c r="C330" s="126">
        <v>852</v>
      </c>
      <c r="D330" s="126" t="s">
        <v>1271</v>
      </c>
      <c r="E330" s="126">
        <v>299</v>
      </c>
      <c r="F330" s="126">
        <v>0</v>
      </c>
      <c r="G330" s="126">
        <v>152</v>
      </c>
      <c r="H330" s="126">
        <v>0</v>
      </c>
      <c r="I330" s="126">
        <v>50.84</v>
      </c>
      <c r="J330" s="126">
        <v>16</v>
      </c>
      <c r="K330" s="126">
        <v>0</v>
      </c>
      <c r="L330" s="126">
        <f t="shared" si="112"/>
        <v>299</v>
      </c>
      <c r="M330" s="126">
        <f t="shared" si="113"/>
        <v>152</v>
      </c>
      <c r="N330" s="171">
        <f t="shared" si="114"/>
        <v>0.50839999999999996</v>
      </c>
      <c r="O330" s="132">
        <f t="shared" si="115"/>
        <v>0</v>
      </c>
      <c r="P330" s="177">
        <f t="shared" si="116"/>
        <v>16</v>
      </c>
      <c r="Q330" s="177">
        <f t="shared" si="117"/>
        <v>16</v>
      </c>
      <c r="S330" s="233" t="b">
        <f t="shared" si="118"/>
        <v>0</v>
      </c>
    </row>
    <row r="331" spans="1:19">
      <c r="A331" s="126" t="s">
        <v>239</v>
      </c>
      <c r="B331" s="126" t="str">
        <f t="shared" si="111"/>
        <v>D0233</v>
      </c>
      <c r="C331" s="126">
        <v>853</v>
      </c>
      <c r="D331" s="126" t="s">
        <v>1273</v>
      </c>
      <c r="E331" s="126">
        <v>380</v>
      </c>
      <c r="F331" s="126">
        <v>0</v>
      </c>
      <c r="G331" s="126">
        <v>66</v>
      </c>
      <c r="H331" s="126">
        <v>0</v>
      </c>
      <c r="I331" s="126">
        <v>17.37</v>
      </c>
      <c r="J331" s="126">
        <v>0</v>
      </c>
      <c r="K331" s="126">
        <v>0</v>
      </c>
      <c r="L331" s="126">
        <f t="shared" si="112"/>
        <v>380</v>
      </c>
      <c r="M331" s="126">
        <f t="shared" si="113"/>
        <v>66</v>
      </c>
      <c r="N331" s="171">
        <f t="shared" si="114"/>
        <v>0.17369999999999999</v>
      </c>
      <c r="O331" s="132">
        <f t="shared" si="115"/>
        <v>0</v>
      </c>
      <c r="P331" s="177">
        <f t="shared" si="116"/>
        <v>0</v>
      </c>
      <c r="Q331" s="177">
        <f t="shared" si="117"/>
        <v>0</v>
      </c>
      <c r="S331" s="233" t="b">
        <f t="shared" si="118"/>
        <v>0</v>
      </c>
    </row>
    <row r="332" spans="1:19">
      <c r="A332" s="126" t="s">
        <v>239</v>
      </c>
      <c r="B332" s="126" t="str">
        <f t="shared" si="111"/>
        <v>D0233</v>
      </c>
      <c r="C332" s="126">
        <v>854</v>
      </c>
      <c r="D332" s="126" t="s">
        <v>1275</v>
      </c>
      <c r="E332" s="126">
        <v>230</v>
      </c>
      <c r="F332" s="126">
        <v>0</v>
      </c>
      <c r="G332" s="126">
        <v>141</v>
      </c>
      <c r="H332" s="126">
        <v>0</v>
      </c>
      <c r="I332" s="126">
        <v>61.3</v>
      </c>
      <c r="J332" s="126">
        <v>14.8</v>
      </c>
      <c r="K332" s="126">
        <v>0</v>
      </c>
      <c r="L332" s="126">
        <f t="shared" si="112"/>
        <v>230</v>
      </c>
      <c r="M332" s="126">
        <f t="shared" si="113"/>
        <v>141</v>
      </c>
      <c r="N332" s="171">
        <f t="shared" si="114"/>
        <v>0.61299999999999999</v>
      </c>
      <c r="O332" s="132">
        <f t="shared" si="115"/>
        <v>0</v>
      </c>
      <c r="P332" s="177">
        <f t="shared" si="116"/>
        <v>14.8</v>
      </c>
      <c r="Q332" s="177">
        <f t="shared" si="117"/>
        <v>14.8</v>
      </c>
      <c r="S332" s="233" t="b">
        <f t="shared" si="118"/>
        <v>0</v>
      </c>
    </row>
    <row r="333" spans="1:19">
      <c r="A333" s="126" t="s">
        <v>239</v>
      </c>
      <c r="B333" s="126" t="str">
        <f t="shared" si="111"/>
        <v>D0233</v>
      </c>
      <c r="C333" s="126">
        <v>855</v>
      </c>
      <c r="D333" s="126" t="s">
        <v>1277</v>
      </c>
      <c r="E333" s="126">
        <v>360</v>
      </c>
      <c r="F333" s="126">
        <v>0</v>
      </c>
      <c r="G333" s="126">
        <v>73</v>
      </c>
      <c r="H333" s="126">
        <v>0</v>
      </c>
      <c r="I333" s="126">
        <v>20.28</v>
      </c>
      <c r="J333" s="126">
        <v>0</v>
      </c>
      <c r="K333" s="126">
        <v>0</v>
      </c>
      <c r="L333" s="126">
        <f t="shared" si="112"/>
        <v>360</v>
      </c>
      <c r="M333" s="126">
        <f t="shared" si="113"/>
        <v>73</v>
      </c>
      <c r="N333" s="171">
        <f t="shared" si="114"/>
        <v>0.20280000000000001</v>
      </c>
      <c r="O333" s="132">
        <f t="shared" si="115"/>
        <v>0</v>
      </c>
      <c r="P333" s="177">
        <f t="shared" si="116"/>
        <v>0</v>
      </c>
      <c r="Q333" s="177">
        <f t="shared" si="117"/>
        <v>0</v>
      </c>
      <c r="S333" s="233" t="b">
        <f t="shared" si="118"/>
        <v>0</v>
      </c>
    </row>
    <row r="334" spans="1:19">
      <c r="A334" s="126" t="s">
        <v>239</v>
      </c>
      <c r="B334" s="126" t="str">
        <f t="shared" si="111"/>
        <v>D0233</v>
      </c>
      <c r="C334" s="126">
        <v>856</v>
      </c>
      <c r="D334" s="126" t="s">
        <v>1279</v>
      </c>
      <c r="E334" s="126">
        <v>364</v>
      </c>
      <c r="F334" s="126">
        <v>0</v>
      </c>
      <c r="G334" s="126">
        <v>44</v>
      </c>
      <c r="H334" s="126">
        <v>0</v>
      </c>
      <c r="I334" s="126">
        <v>12.09</v>
      </c>
      <c r="J334" s="126">
        <v>0</v>
      </c>
      <c r="K334" s="126">
        <v>0</v>
      </c>
      <c r="L334" s="126">
        <f t="shared" si="112"/>
        <v>364</v>
      </c>
      <c r="M334" s="126">
        <f t="shared" si="113"/>
        <v>44</v>
      </c>
      <c r="N334" s="171">
        <f t="shared" si="114"/>
        <v>0.12089999999999999</v>
      </c>
      <c r="O334" s="132">
        <f t="shared" si="115"/>
        <v>0</v>
      </c>
      <c r="P334" s="177">
        <f t="shared" si="116"/>
        <v>0</v>
      </c>
      <c r="Q334" s="177">
        <f t="shared" si="117"/>
        <v>0</v>
      </c>
      <c r="S334" s="233" t="b">
        <f t="shared" si="118"/>
        <v>0</v>
      </c>
    </row>
    <row r="335" spans="1:19">
      <c r="A335" s="126" t="s">
        <v>239</v>
      </c>
      <c r="B335" s="126" t="str">
        <f t="shared" si="111"/>
        <v>D0233</v>
      </c>
      <c r="C335" s="126">
        <v>857</v>
      </c>
      <c r="D335" s="126" t="s">
        <v>1281</v>
      </c>
      <c r="E335" s="126">
        <v>683</v>
      </c>
      <c r="F335" s="126">
        <v>0</v>
      </c>
      <c r="G335" s="126">
        <v>254</v>
      </c>
      <c r="H335" s="126">
        <v>0</v>
      </c>
      <c r="I335" s="126">
        <v>37.19</v>
      </c>
      <c r="J335" s="126">
        <v>0</v>
      </c>
      <c r="K335" s="126">
        <v>3.9</v>
      </c>
      <c r="L335" s="126">
        <f t="shared" si="112"/>
        <v>683</v>
      </c>
      <c r="M335" s="126">
        <f t="shared" si="113"/>
        <v>254</v>
      </c>
      <c r="N335" s="171">
        <f t="shared" si="114"/>
        <v>0.37190000000000001</v>
      </c>
      <c r="O335" s="132">
        <f t="shared" si="115"/>
        <v>3.9</v>
      </c>
      <c r="P335" s="177">
        <f t="shared" si="116"/>
        <v>0</v>
      </c>
      <c r="Q335" s="177">
        <f t="shared" si="117"/>
        <v>3.9</v>
      </c>
      <c r="S335" s="233" t="b">
        <f t="shared" si="118"/>
        <v>0</v>
      </c>
    </row>
    <row r="336" spans="1:19">
      <c r="A336" s="126" t="s">
        <v>239</v>
      </c>
      <c r="B336" s="126" t="str">
        <f t="shared" si="111"/>
        <v>D0233</v>
      </c>
      <c r="C336" s="126">
        <v>858</v>
      </c>
      <c r="D336" s="126" t="s">
        <v>1283</v>
      </c>
      <c r="E336" s="126">
        <v>444</v>
      </c>
      <c r="F336" s="126">
        <v>0</v>
      </c>
      <c r="G336" s="126">
        <v>300</v>
      </c>
      <c r="H336" s="126">
        <v>0</v>
      </c>
      <c r="I336" s="126">
        <v>67.569999999999993</v>
      </c>
      <c r="J336" s="126">
        <v>31.5</v>
      </c>
      <c r="K336" s="126">
        <v>0</v>
      </c>
      <c r="L336" s="126">
        <f t="shared" si="112"/>
        <v>444</v>
      </c>
      <c r="M336" s="126">
        <f t="shared" si="113"/>
        <v>300</v>
      </c>
      <c r="N336" s="171">
        <f t="shared" si="114"/>
        <v>0.67569999999999997</v>
      </c>
      <c r="O336" s="132">
        <f t="shared" si="115"/>
        <v>0</v>
      </c>
      <c r="P336" s="177">
        <f t="shared" si="116"/>
        <v>31.5</v>
      </c>
      <c r="Q336" s="177">
        <f t="shared" si="117"/>
        <v>31.5</v>
      </c>
      <c r="S336" s="233" t="b">
        <f t="shared" si="118"/>
        <v>0</v>
      </c>
    </row>
    <row r="337" spans="1:19">
      <c r="A337" s="126" t="s">
        <v>239</v>
      </c>
      <c r="B337" s="126" t="str">
        <f t="shared" si="111"/>
        <v>D0233</v>
      </c>
      <c r="C337" s="126">
        <v>859</v>
      </c>
      <c r="D337" s="126" t="s">
        <v>1285</v>
      </c>
      <c r="E337" s="126">
        <v>364</v>
      </c>
      <c r="F337" s="126">
        <v>0</v>
      </c>
      <c r="G337" s="126">
        <v>136</v>
      </c>
      <c r="H337" s="126">
        <v>0</v>
      </c>
      <c r="I337" s="126">
        <v>37.36</v>
      </c>
      <c r="J337" s="126">
        <v>0</v>
      </c>
      <c r="K337" s="126">
        <v>2.2000000000000002</v>
      </c>
      <c r="L337" s="126">
        <f t="shared" si="112"/>
        <v>364</v>
      </c>
      <c r="M337" s="126">
        <f t="shared" si="113"/>
        <v>136</v>
      </c>
      <c r="N337" s="171">
        <f t="shared" si="114"/>
        <v>0.37359999999999999</v>
      </c>
      <c r="O337" s="132">
        <f t="shared" si="115"/>
        <v>2.2000000000000002</v>
      </c>
      <c r="P337" s="177">
        <f t="shared" si="116"/>
        <v>0</v>
      </c>
      <c r="Q337" s="177">
        <f t="shared" si="117"/>
        <v>2.2000000000000002</v>
      </c>
      <c r="S337" s="233" t="b">
        <f t="shared" si="118"/>
        <v>0</v>
      </c>
    </row>
    <row r="338" spans="1:19">
      <c r="A338" s="126" t="s">
        <v>239</v>
      </c>
      <c r="B338" s="126" t="str">
        <f t="shared" si="111"/>
        <v>D0233</v>
      </c>
      <c r="C338" s="126">
        <v>860</v>
      </c>
      <c r="D338" s="126" t="s">
        <v>1287</v>
      </c>
      <c r="E338" s="126">
        <v>176</v>
      </c>
      <c r="F338" s="126">
        <v>0</v>
      </c>
      <c r="G338" s="126">
        <v>106</v>
      </c>
      <c r="H338" s="126">
        <v>0</v>
      </c>
      <c r="I338" s="126">
        <v>60.23</v>
      </c>
      <c r="J338" s="126">
        <v>11.1</v>
      </c>
      <c r="K338" s="126">
        <v>0</v>
      </c>
      <c r="L338" s="126">
        <f t="shared" si="112"/>
        <v>176</v>
      </c>
      <c r="M338" s="126">
        <f t="shared" si="113"/>
        <v>106</v>
      </c>
      <c r="N338" s="171">
        <f t="shared" si="114"/>
        <v>0.60229999999999995</v>
      </c>
      <c r="O338" s="132">
        <f t="shared" si="115"/>
        <v>0</v>
      </c>
      <c r="P338" s="177">
        <f t="shared" si="116"/>
        <v>11.1</v>
      </c>
      <c r="Q338" s="177">
        <f t="shared" si="117"/>
        <v>11.1</v>
      </c>
      <c r="S338" s="233" t="b">
        <f t="shared" si="118"/>
        <v>0</v>
      </c>
    </row>
    <row r="339" spans="1:19">
      <c r="A339" s="126" t="s">
        <v>239</v>
      </c>
      <c r="B339" s="126" t="str">
        <f t="shared" si="111"/>
        <v>D0233</v>
      </c>
      <c r="C339" s="126">
        <v>861</v>
      </c>
      <c r="D339" s="126" t="s">
        <v>1289</v>
      </c>
      <c r="E339" s="126">
        <v>713</v>
      </c>
      <c r="F339" s="126">
        <v>0</v>
      </c>
      <c r="G339" s="126">
        <v>291</v>
      </c>
      <c r="H339" s="126">
        <v>0</v>
      </c>
      <c r="I339" s="126">
        <v>40.81</v>
      </c>
      <c r="J339" s="126">
        <v>0</v>
      </c>
      <c r="K339" s="126">
        <v>11.8</v>
      </c>
      <c r="L339" s="126">
        <f t="shared" si="112"/>
        <v>713</v>
      </c>
      <c r="M339" s="126">
        <f t="shared" si="113"/>
        <v>291</v>
      </c>
      <c r="N339" s="171">
        <f t="shared" si="114"/>
        <v>0.40810000000000002</v>
      </c>
      <c r="O339" s="132">
        <f t="shared" si="115"/>
        <v>11.8</v>
      </c>
      <c r="P339" s="177">
        <f t="shared" si="116"/>
        <v>0</v>
      </c>
      <c r="Q339" s="177">
        <f t="shared" si="117"/>
        <v>11.8</v>
      </c>
      <c r="S339" s="233" t="b">
        <f t="shared" si="118"/>
        <v>0</v>
      </c>
    </row>
    <row r="340" spans="1:19">
      <c r="A340" s="126" t="s">
        <v>239</v>
      </c>
      <c r="B340" s="126" t="str">
        <f t="shared" si="111"/>
        <v>D0233</v>
      </c>
      <c r="C340" s="126">
        <v>862</v>
      </c>
      <c r="D340" s="126" t="s">
        <v>1291</v>
      </c>
      <c r="E340" s="126">
        <v>673</v>
      </c>
      <c r="F340" s="126">
        <v>0</v>
      </c>
      <c r="G340" s="126">
        <v>257</v>
      </c>
      <c r="H340" s="126">
        <v>0</v>
      </c>
      <c r="I340" s="126">
        <v>38.19</v>
      </c>
      <c r="J340" s="126">
        <v>0</v>
      </c>
      <c r="K340" s="126">
        <v>5.7</v>
      </c>
      <c r="L340" s="126">
        <f t="shared" si="112"/>
        <v>673</v>
      </c>
      <c r="M340" s="126">
        <f t="shared" si="113"/>
        <v>257</v>
      </c>
      <c r="N340" s="171">
        <f t="shared" si="114"/>
        <v>0.38190000000000002</v>
      </c>
      <c r="O340" s="132">
        <f t="shared" si="115"/>
        <v>5.7</v>
      </c>
      <c r="P340" s="177">
        <f t="shared" si="116"/>
        <v>0</v>
      </c>
      <c r="Q340" s="177">
        <f t="shared" si="117"/>
        <v>5.7</v>
      </c>
      <c r="S340" s="233" t="b">
        <f t="shared" si="118"/>
        <v>0</v>
      </c>
    </row>
    <row r="341" spans="1:19">
      <c r="A341" s="126" t="s">
        <v>239</v>
      </c>
      <c r="B341" s="126" t="str">
        <f t="shared" si="111"/>
        <v>D0233</v>
      </c>
      <c r="C341" s="126">
        <v>863</v>
      </c>
      <c r="D341" s="126" t="s">
        <v>1293</v>
      </c>
      <c r="E341" s="126">
        <v>651</v>
      </c>
      <c r="F341" s="126">
        <v>0</v>
      </c>
      <c r="G341" s="126">
        <v>224</v>
      </c>
      <c r="H341" s="126">
        <v>0</v>
      </c>
      <c r="I341" s="126">
        <v>34.409999999999997</v>
      </c>
      <c r="J341" s="126">
        <v>0</v>
      </c>
      <c r="K341" s="126">
        <v>0</v>
      </c>
      <c r="L341" s="126">
        <f t="shared" si="112"/>
        <v>651</v>
      </c>
      <c r="M341" s="126">
        <f t="shared" si="113"/>
        <v>224</v>
      </c>
      <c r="N341" s="171">
        <f t="shared" si="114"/>
        <v>0.34410000000000002</v>
      </c>
      <c r="O341" s="132">
        <f t="shared" si="115"/>
        <v>0</v>
      </c>
      <c r="P341" s="177">
        <f t="shared" si="116"/>
        <v>0</v>
      </c>
      <c r="Q341" s="177">
        <f t="shared" si="117"/>
        <v>0</v>
      </c>
      <c r="S341" s="233" t="b">
        <f t="shared" si="118"/>
        <v>0</v>
      </c>
    </row>
    <row r="342" spans="1:19">
      <c r="A342" s="126" t="s">
        <v>239</v>
      </c>
      <c r="B342" s="126" t="str">
        <f t="shared" si="111"/>
        <v>D0233</v>
      </c>
      <c r="C342" s="126">
        <v>864</v>
      </c>
      <c r="D342" s="126" t="s">
        <v>1295</v>
      </c>
      <c r="E342" s="126">
        <v>2083</v>
      </c>
      <c r="F342" s="126">
        <v>0</v>
      </c>
      <c r="G342" s="126">
        <v>615</v>
      </c>
      <c r="H342" s="126">
        <v>0</v>
      </c>
      <c r="I342" s="126">
        <v>29.52</v>
      </c>
      <c r="J342" s="126">
        <v>0</v>
      </c>
      <c r="K342" s="126">
        <v>0</v>
      </c>
      <c r="L342" s="126">
        <f t="shared" si="112"/>
        <v>2083</v>
      </c>
      <c r="M342" s="126">
        <f t="shared" si="113"/>
        <v>615</v>
      </c>
      <c r="N342" s="171">
        <f t="shared" si="114"/>
        <v>0.29520000000000002</v>
      </c>
      <c r="O342" s="132">
        <f t="shared" si="115"/>
        <v>0</v>
      </c>
      <c r="P342" s="177">
        <f t="shared" si="116"/>
        <v>0</v>
      </c>
      <c r="Q342" s="177">
        <f t="shared" si="117"/>
        <v>0</v>
      </c>
      <c r="S342" s="233" t="b">
        <f t="shared" si="118"/>
        <v>0</v>
      </c>
    </row>
    <row r="343" spans="1:19">
      <c r="A343" s="126" t="s">
        <v>239</v>
      </c>
      <c r="B343" s="126" t="str">
        <f t="shared" si="111"/>
        <v>D0233</v>
      </c>
      <c r="C343" s="126">
        <v>865</v>
      </c>
      <c r="D343" s="126" t="s">
        <v>1297</v>
      </c>
      <c r="E343" s="126">
        <v>2040</v>
      </c>
      <c r="F343" s="126">
        <v>0</v>
      </c>
      <c r="G343" s="126">
        <v>249</v>
      </c>
      <c r="H343" s="126">
        <v>0</v>
      </c>
      <c r="I343" s="126">
        <v>12.21</v>
      </c>
      <c r="J343" s="126">
        <v>0</v>
      </c>
      <c r="K343" s="126">
        <v>0</v>
      </c>
      <c r="L343" s="126">
        <f t="shared" si="112"/>
        <v>2040</v>
      </c>
      <c r="M343" s="126">
        <f t="shared" si="113"/>
        <v>249</v>
      </c>
      <c r="N343" s="171">
        <f t="shared" si="114"/>
        <v>0.1221</v>
      </c>
      <c r="O343" s="132">
        <f t="shared" si="115"/>
        <v>0</v>
      </c>
      <c r="P343" s="177">
        <f t="shared" si="116"/>
        <v>0</v>
      </c>
      <c r="Q343" s="177">
        <f t="shared" si="117"/>
        <v>0</v>
      </c>
      <c r="S343" s="233" t="b">
        <f t="shared" si="118"/>
        <v>0</v>
      </c>
    </row>
    <row r="344" spans="1:19">
      <c r="A344" s="126" t="s">
        <v>239</v>
      </c>
      <c r="B344" s="126" t="str">
        <f t="shared" si="111"/>
        <v>D0233</v>
      </c>
      <c r="C344" s="126">
        <v>868</v>
      </c>
      <c r="D344" s="126" t="s">
        <v>1299</v>
      </c>
      <c r="E344" s="126">
        <v>422</v>
      </c>
      <c r="F344" s="126">
        <v>0</v>
      </c>
      <c r="G344" s="126">
        <v>13</v>
      </c>
      <c r="H344" s="126">
        <v>0</v>
      </c>
      <c r="I344" s="126">
        <v>3.08</v>
      </c>
      <c r="J344" s="126">
        <v>0</v>
      </c>
      <c r="K344" s="126">
        <v>0</v>
      </c>
      <c r="L344" s="126">
        <f t="shared" si="112"/>
        <v>422</v>
      </c>
      <c r="M344" s="126">
        <f t="shared" si="113"/>
        <v>13</v>
      </c>
      <c r="N344" s="171">
        <f t="shared" si="114"/>
        <v>3.0800000000000001E-2</v>
      </c>
      <c r="O344" s="132">
        <f t="shared" si="115"/>
        <v>0</v>
      </c>
      <c r="P344" s="177">
        <f t="shared" si="116"/>
        <v>0</v>
      </c>
      <c r="Q344" s="177">
        <f t="shared" si="117"/>
        <v>0</v>
      </c>
      <c r="S344" s="233" t="b">
        <f t="shared" si="118"/>
        <v>0</v>
      </c>
    </row>
    <row r="345" spans="1:19">
      <c r="A345" s="126" t="s">
        <v>239</v>
      </c>
      <c r="B345" s="126" t="str">
        <f t="shared" si="111"/>
        <v>D0233</v>
      </c>
      <c r="C345" s="126">
        <v>870</v>
      </c>
      <c r="D345" s="126" t="s">
        <v>1301</v>
      </c>
      <c r="E345" s="126">
        <v>456</v>
      </c>
      <c r="F345" s="126">
        <v>0</v>
      </c>
      <c r="G345" s="126">
        <v>246</v>
      </c>
      <c r="H345" s="126">
        <v>0</v>
      </c>
      <c r="I345" s="126">
        <v>53.95</v>
      </c>
      <c r="J345" s="126">
        <v>25.8</v>
      </c>
      <c r="K345" s="126">
        <v>0</v>
      </c>
      <c r="L345" s="126">
        <f t="shared" si="112"/>
        <v>456</v>
      </c>
      <c r="M345" s="126">
        <f t="shared" si="113"/>
        <v>246</v>
      </c>
      <c r="N345" s="171">
        <f t="shared" si="114"/>
        <v>0.53949999999999998</v>
      </c>
      <c r="O345" s="132">
        <f t="shared" si="115"/>
        <v>0</v>
      </c>
      <c r="P345" s="177">
        <f t="shared" si="116"/>
        <v>25.8</v>
      </c>
      <c r="Q345" s="177">
        <f t="shared" si="117"/>
        <v>25.8</v>
      </c>
      <c r="S345" s="233" t="b">
        <f t="shared" si="118"/>
        <v>0</v>
      </c>
    </row>
    <row r="346" spans="1:19">
      <c r="A346" s="126" t="s">
        <v>239</v>
      </c>
      <c r="B346" s="126" t="str">
        <f t="shared" si="111"/>
        <v>D0233</v>
      </c>
      <c r="C346" s="126">
        <v>871</v>
      </c>
      <c r="D346" s="126" t="s">
        <v>1303</v>
      </c>
      <c r="E346" s="126">
        <v>242</v>
      </c>
      <c r="F346" s="126">
        <v>0</v>
      </c>
      <c r="G346" s="126">
        <v>108</v>
      </c>
      <c r="H346" s="126">
        <v>0</v>
      </c>
      <c r="I346" s="126">
        <v>44.63</v>
      </c>
      <c r="J346" s="126">
        <v>0</v>
      </c>
      <c r="K346" s="126">
        <v>7.3</v>
      </c>
      <c r="L346" s="126">
        <f t="shared" si="112"/>
        <v>242</v>
      </c>
      <c r="M346" s="126">
        <f t="shared" si="113"/>
        <v>108</v>
      </c>
      <c r="N346" s="171">
        <f t="shared" si="114"/>
        <v>0.44629999999999997</v>
      </c>
      <c r="O346" s="132">
        <f t="shared" si="115"/>
        <v>7.3</v>
      </c>
      <c r="P346" s="177">
        <f t="shared" si="116"/>
        <v>0</v>
      </c>
      <c r="Q346" s="177">
        <f t="shared" si="117"/>
        <v>7.3</v>
      </c>
      <c r="S346" s="233" t="b">
        <f t="shared" si="118"/>
        <v>0</v>
      </c>
    </row>
    <row r="347" spans="1:19">
      <c r="A347" s="126" t="s">
        <v>239</v>
      </c>
      <c r="B347" s="126" t="str">
        <f t="shared" si="111"/>
        <v>D0233</v>
      </c>
      <c r="C347" s="126">
        <v>872</v>
      </c>
      <c r="D347" s="126" t="s">
        <v>1305</v>
      </c>
      <c r="E347" s="126">
        <v>312</v>
      </c>
      <c r="F347" s="126">
        <v>0</v>
      </c>
      <c r="G347" s="126">
        <v>127</v>
      </c>
      <c r="H347" s="126">
        <v>0</v>
      </c>
      <c r="I347" s="126">
        <v>40.71</v>
      </c>
      <c r="J347" s="126">
        <v>0</v>
      </c>
      <c r="K347" s="126">
        <v>5.0999999999999996</v>
      </c>
      <c r="L347" s="126">
        <f t="shared" si="112"/>
        <v>312</v>
      </c>
      <c r="M347" s="126">
        <f t="shared" si="113"/>
        <v>127</v>
      </c>
      <c r="N347" s="171">
        <f t="shared" si="114"/>
        <v>0.40710000000000002</v>
      </c>
      <c r="O347" s="132">
        <f t="shared" si="115"/>
        <v>5.0999999999999996</v>
      </c>
      <c r="P347" s="177">
        <f t="shared" si="116"/>
        <v>0</v>
      </c>
      <c r="Q347" s="177">
        <f t="shared" si="117"/>
        <v>5.0999999999999996</v>
      </c>
      <c r="S347" s="233" t="b">
        <f t="shared" si="118"/>
        <v>0</v>
      </c>
    </row>
    <row r="348" spans="1:19">
      <c r="A348" s="126" t="s">
        <v>239</v>
      </c>
      <c r="B348" s="126" t="str">
        <f t="shared" si="111"/>
        <v>D0233</v>
      </c>
      <c r="C348" s="126">
        <v>874</v>
      </c>
      <c r="D348" s="126" t="s">
        <v>1307</v>
      </c>
      <c r="E348" s="126">
        <v>329</v>
      </c>
      <c r="F348" s="126">
        <v>0</v>
      </c>
      <c r="G348" s="126">
        <v>60</v>
      </c>
      <c r="H348" s="126">
        <v>0</v>
      </c>
      <c r="I348" s="126">
        <v>18.239999999999998</v>
      </c>
      <c r="J348" s="126">
        <v>0</v>
      </c>
      <c r="K348" s="126">
        <v>0</v>
      </c>
      <c r="L348" s="126">
        <f t="shared" si="112"/>
        <v>329</v>
      </c>
      <c r="M348" s="126">
        <f t="shared" si="113"/>
        <v>60</v>
      </c>
      <c r="N348" s="171">
        <f t="shared" si="114"/>
        <v>0.18240000000000001</v>
      </c>
      <c r="O348" s="132">
        <f t="shared" si="115"/>
        <v>0</v>
      </c>
      <c r="P348" s="177">
        <f t="shared" si="116"/>
        <v>0</v>
      </c>
      <c r="Q348" s="177">
        <f t="shared" si="117"/>
        <v>0</v>
      </c>
      <c r="S348" s="233" t="b">
        <f t="shared" si="118"/>
        <v>0</v>
      </c>
    </row>
    <row r="349" spans="1:19">
      <c r="A349" s="126" t="s">
        <v>239</v>
      </c>
      <c r="B349" s="126" t="str">
        <f t="shared" si="111"/>
        <v>D0233</v>
      </c>
      <c r="C349" s="126">
        <v>875</v>
      </c>
      <c r="D349" s="126" t="s">
        <v>1309</v>
      </c>
      <c r="E349" s="126">
        <v>353</v>
      </c>
      <c r="F349" s="126">
        <v>0</v>
      </c>
      <c r="G349" s="126">
        <v>70</v>
      </c>
      <c r="H349" s="126">
        <v>0</v>
      </c>
      <c r="I349" s="126">
        <v>19.829999999999998</v>
      </c>
      <c r="J349" s="126">
        <v>0</v>
      </c>
      <c r="K349" s="126">
        <v>0</v>
      </c>
      <c r="L349" s="126">
        <f t="shared" si="112"/>
        <v>353</v>
      </c>
      <c r="M349" s="126">
        <f t="shared" si="113"/>
        <v>70</v>
      </c>
      <c r="N349" s="171">
        <f t="shared" si="114"/>
        <v>0.1983</v>
      </c>
      <c r="O349" s="132">
        <f t="shared" si="115"/>
        <v>0</v>
      </c>
      <c r="P349" s="177">
        <f t="shared" si="116"/>
        <v>0</v>
      </c>
      <c r="Q349" s="177">
        <f t="shared" si="117"/>
        <v>0</v>
      </c>
      <c r="S349" s="233" t="b">
        <f t="shared" si="118"/>
        <v>0</v>
      </c>
    </row>
    <row r="350" spans="1:19">
      <c r="A350" s="126" t="s">
        <v>239</v>
      </c>
      <c r="B350" s="126" t="str">
        <f t="shared" si="111"/>
        <v>D0233</v>
      </c>
      <c r="C350" s="126">
        <v>876</v>
      </c>
      <c r="D350" s="126" t="s">
        <v>1311</v>
      </c>
      <c r="E350" s="126">
        <v>283</v>
      </c>
      <c r="F350" s="126">
        <v>0</v>
      </c>
      <c r="G350" s="126">
        <v>44</v>
      </c>
      <c r="H350" s="126">
        <v>0</v>
      </c>
      <c r="I350" s="126">
        <v>15.55</v>
      </c>
      <c r="J350" s="126">
        <v>0</v>
      </c>
      <c r="K350" s="126">
        <v>0</v>
      </c>
      <c r="L350" s="126">
        <f t="shared" si="112"/>
        <v>283</v>
      </c>
      <c r="M350" s="126">
        <f t="shared" si="113"/>
        <v>44</v>
      </c>
      <c r="N350" s="171">
        <f t="shared" si="114"/>
        <v>0.1555</v>
      </c>
      <c r="O350" s="132">
        <f t="shared" si="115"/>
        <v>0</v>
      </c>
      <c r="P350" s="177">
        <f t="shared" si="116"/>
        <v>0</v>
      </c>
      <c r="Q350" s="177">
        <f t="shared" si="117"/>
        <v>0</v>
      </c>
      <c r="S350" s="233" t="b">
        <f t="shared" si="118"/>
        <v>0</v>
      </c>
    </row>
    <row r="351" spans="1:19">
      <c r="A351" s="126" t="s">
        <v>239</v>
      </c>
      <c r="B351" s="126" t="str">
        <f t="shared" si="111"/>
        <v>D0233</v>
      </c>
      <c r="C351" s="126">
        <v>877</v>
      </c>
      <c r="D351" s="126" t="s">
        <v>1313</v>
      </c>
      <c r="E351" s="126">
        <v>294</v>
      </c>
      <c r="F351" s="126">
        <v>0</v>
      </c>
      <c r="G351" s="126">
        <v>76</v>
      </c>
      <c r="H351" s="126">
        <v>0</v>
      </c>
      <c r="I351" s="126">
        <v>25.85</v>
      </c>
      <c r="J351" s="126">
        <v>0</v>
      </c>
      <c r="K351" s="126">
        <v>0</v>
      </c>
      <c r="L351" s="126">
        <f t="shared" si="112"/>
        <v>294</v>
      </c>
      <c r="M351" s="126">
        <f t="shared" si="113"/>
        <v>76</v>
      </c>
      <c r="N351" s="171">
        <f t="shared" si="114"/>
        <v>0.25850000000000001</v>
      </c>
      <c r="O351" s="132">
        <f t="shared" si="115"/>
        <v>0</v>
      </c>
      <c r="P351" s="177">
        <f t="shared" si="116"/>
        <v>0</v>
      </c>
      <c r="Q351" s="177">
        <f t="shared" si="117"/>
        <v>0</v>
      </c>
      <c r="S351" s="233" t="b">
        <f t="shared" si="118"/>
        <v>0</v>
      </c>
    </row>
    <row r="352" spans="1:19">
      <c r="A352" s="126" t="s">
        <v>239</v>
      </c>
      <c r="B352" s="126" t="str">
        <f t="shared" si="111"/>
        <v>D0233</v>
      </c>
      <c r="C352" s="126">
        <v>885</v>
      </c>
      <c r="D352" s="126" t="s">
        <v>1315</v>
      </c>
      <c r="E352" s="126">
        <v>1901</v>
      </c>
      <c r="F352" s="126">
        <v>0</v>
      </c>
      <c r="G352" s="126">
        <v>325</v>
      </c>
      <c r="H352" s="126">
        <v>0</v>
      </c>
      <c r="I352" s="126">
        <v>17.100000000000001</v>
      </c>
      <c r="J352" s="126">
        <v>0</v>
      </c>
      <c r="K352" s="126">
        <v>0</v>
      </c>
      <c r="L352" s="126">
        <f t="shared" si="112"/>
        <v>1901</v>
      </c>
      <c r="M352" s="126">
        <f t="shared" si="113"/>
        <v>325</v>
      </c>
      <c r="N352" s="171">
        <f t="shared" si="114"/>
        <v>0.17100000000000001</v>
      </c>
      <c r="O352" s="132">
        <f t="shared" si="115"/>
        <v>0</v>
      </c>
      <c r="P352" s="177">
        <f t="shared" si="116"/>
        <v>0</v>
      </c>
      <c r="Q352" s="177">
        <f t="shared" si="117"/>
        <v>0</v>
      </c>
      <c r="S352" s="233" t="b">
        <f t="shared" si="118"/>
        <v>0</v>
      </c>
    </row>
    <row r="353" spans="1:19">
      <c r="A353" s="126" t="s">
        <v>239</v>
      </c>
      <c r="B353" s="126" t="str">
        <f t="shared" si="111"/>
        <v>D0233</v>
      </c>
      <c r="C353" s="126">
        <v>913</v>
      </c>
      <c r="D353" s="126" t="s">
        <v>1317</v>
      </c>
      <c r="E353" s="126">
        <v>793</v>
      </c>
      <c r="F353" s="126">
        <v>0</v>
      </c>
      <c r="G353" s="126">
        <v>39</v>
      </c>
      <c r="H353" s="126">
        <v>0</v>
      </c>
      <c r="I353" s="126">
        <v>4.92</v>
      </c>
      <c r="J353" s="126">
        <v>0</v>
      </c>
      <c r="K353" s="126">
        <v>0</v>
      </c>
      <c r="L353" s="126">
        <f t="shared" si="112"/>
        <v>793</v>
      </c>
      <c r="M353" s="126">
        <f t="shared" si="113"/>
        <v>39</v>
      </c>
      <c r="N353" s="171">
        <f t="shared" si="114"/>
        <v>4.9200000000000001E-2</v>
      </c>
      <c r="O353" s="132">
        <f t="shared" si="115"/>
        <v>0</v>
      </c>
      <c r="P353" s="177">
        <f t="shared" si="116"/>
        <v>0</v>
      </c>
      <c r="Q353" s="177">
        <f t="shared" si="117"/>
        <v>0</v>
      </c>
      <c r="S353" s="233" t="b">
        <f t="shared" si="118"/>
        <v>0</v>
      </c>
    </row>
    <row r="354" spans="1:19">
      <c r="A354" s="126" t="s">
        <v>239</v>
      </c>
      <c r="B354" s="126" t="str">
        <f t="shared" si="111"/>
        <v>D0233</v>
      </c>
      <c r="C354" s="126">
        <v>934</v>
      </c>
      <c r="D354" s="126" t="s">
        <v>1319</v>
      </c>
      <c r="E354" s="126">
        <v>457</v>
      </c>
      <c r="F354" s="126">
        <v>0</v>
      </c>
      <c r="G354" s="126">
        <v>44</v>
      </c>
      <c r="H354" s="126">
        <v>0</v>
      </c>
      <c r="I354" s="126">
        <v>9.6300000000000008</v>
      </c>
      <c r="J354" s="126">
        <v>0</v>
      </c>
      <c r="K354" s="126">
        <v>0</v>
      </c>
      <c r="L354" s="126">
        <f t="shared" si="112"/>
        <v>457</v>
      </c>
      <c r="M354" s="126">
        <f t="shared" si="113"/>
        <v>44</v>
      </c>
      <c r="N354" s="171">
        <f t="shared" si="114"/>
        <v>9.6299999999999997E-2</v>
      </c>
      <c r="O354" s="132">
        <f t="shared" si="115"/>
        <v>0</v>
      </c>
      <c r="P354" s="177">
        <f t="shared" si="116"/>
        <v>0</v>
      </c>
      <c r="Q354" s="177">
        <f t="shared" si="117"/>
        <v>0</v>
      </c>
      <c r="S354" s="233" t="b">
        <f t="shared" si="118"/>
        <v>0</v>
      </c>
    </row>
    <row r="355" spans="1:19">
      <c r="A355" s="126" t="s">
        <v>239</v>
      </c>
      <c r="B355" s="126" t="str">
        <f t="shared" si="111"/>
        <v>D0233</v>
      </c>
      <c r="C355" s="126">
        <v>939</v>
      </c>
      <c r="D355" s="126" t="s">
        <v>1321</v>
      </c>
      <c r="E355" s="126">
        <v>1328</v>
      </c>
      <c r="F355" s="126">
        <v>0</v>
      </c>
      <c r="G355" s="126">
        <v>288</v>
      </c>
      <c r="H355" s="126">
        <v>0</v>
      </c>
      <c r="I355" s="126">
        <v>21.69</v>
      </c>
      <c r="J355" s="126">
        <v>0</v>
      </c>
      <c r="K355" s="126">
        <v>0</v>
      </c>
      <c r="L355" s="126">
        <f t="shared" si="112"/>
        <v>1328</v>
      </c>
      <c r="M355" s="126">
        <f t="shared" si="113"/>
        <v>288</v>
      </c>
      <c r="N355" s="171">
        <f t="shared" si="114"/>
        <v>0.21690000000000001</v>
      </c>
      <c r="O355" s="132">
        <f t="shared" si="115"/>
        <v>0</v>
      </c>
      <c r="P355" s="177">
        <f t="shared" si="116"/>
        <v>0</v>
      </c>
      <c r="Q355" s="177">
        <f t="shared" si="117"/>
        <v>0</v>
      </c>
      <c r="S355" s="233" t="b">
        <f t="shared" si="118"/>
        <v>0</v>
      </c>
    </row>
    <row r="356" spans="1:19">
      <c r="A356" s="126" t="s">
        <v>239</v>
      </c>
      <c r="B356" s="126" t="str">
        <f t="shared" si="111"/>
        <v>D0233</v>
      </c>
      <c r="C356" s="126">
        <v>950</v>
      </c>
      <c r="D356" s="126" t="s">
        <v>3602</v>
      </c>
      <c r="E356" s="126">
        <v>513</v>
      </c>
      <c r="F356" s="126">
        <v>0</v>
      </c>
      <c r="G356" s="126">
        <v>120</v>
      </c>
      <c r="H356" s="126">
        <v>0</v>
      </c>
      <c r="I356" s="126">
        <v>23.39</v>
      </c>
      <c r="J356" s="126">
        <v>0</v>
      </c>
      <c r="K356" s="126">
        <v>0</v>
      </c>
      <c r="L356" s="126">
        <f t="shared" si="112"/>
        <v>513</v>
      </c>
      <c r="M356" s="126">
        <f t="shared" si="113"/>
        <v>120</v>
      </c>
      <c r="N356" s="171">
        <f t="shared" si="114"/>
        <v>0.2339</v>
      </c>
      <c r="O356" s="132">
        <f t="shared" si="115"/>
        <v>0</v>
      </c>
      <c r="P356" s="177">
        <f t="shared" si="116"/>
        <v>0</v>
      </c>
      <c r="Q356" s="177">
        <f t="shared" si="117"/>
        <v>0</v>
      </c>
      <c r="S356" s="233" t="b">
        <f t="shared" si="118"/>
        <v>0</v>
      </c>
    </row>
    <row r="357" spans="1:19">
      <c r="A357" s="126" t="s">
        <v>239</v>
      </c>
      <c r="B357" s="126" t="str">
        <f t="shared" si="111"/>
        <v>D0233</v>
      </c>
      <c r="C357" s="126">
        <v>2781</v>
      </c>
      <c r="D357" s="126" t="s">
        <v>1323</v>
      </c>
      <c r="E357" s="126">
        <v>288</v>
      </c>
      <c r="F357" s="126">
        <v>0</v>
      </c>
      <c r="G357" s="126">
        <v>40</v>
      </c>
      <c r="H357" s="126">
        <v>0</v>
      </c>
      <c r="I357" s="126">
        <v>13.89</v>
      </c>
      <c r="J357" s="126">
        <v>0</v>
      </c>
      <c r="K357" s="126">
        <v>0</v>
      </c>
      <c r="L357" s="126">
        <f t="shared" si="112"/>
        <v>288</v>
      </c>
      <c r="M357" s="126">
        <f t="shared" si="113"/>
        <v>40</v>
      </c>
      <c r="N357" s="171">
        <f t="shared" si="114"/>
        <v>0.1389</v>
      </c>
      <c r="O357" s="132">
        <f t="shared" si="115"/>
        <v>0</v>
      </c>
      <c r="P357" s="177">
        <f t="shared" si="116"/>
        <v>0</v>
      </c>
      <c r="Q357" s="177">
        <f t="shared" si="117"/>
        <v>0</v>
      </c>
      <c r="S357" s="233" t="b">
        <f t="shared" si="118"/>
        <v>0</v>
      </c>
    </row>
    <row r="358" spans="1:19">
      <c r="A358" s="126" t="s">
        <v>239</v>
      </c>
      <c r="B358" s="126" t="str">
        <f t="shared" si="111"/>
        <v>D0233</v>
      </c>
      <c r="C358" s="126">
        <v>2782</v>
      </c>
      <c r="D358" s="126" t="s">
        <v>1325</v>
      </c>
      <c r="E358" s="126">
        <v>413</v>
      </c>
      <c r="F358" s="126">
        <v>0</v>
      </c>
      <c r="G358" s="126">
        <v>98</v>
      </c>
      <c r="H358" s="126">
        <v>0</v>
      </c>
      <c r="I358" s="126">
        <v>23.73</v>
      </c>
      <c r="J358" s="126">
        <v>0</v>
      </c>
      <c r="K358" s="126">
        <v>0</v>
      </c>
      <c r="L358" s="126">
        <f t="shared" si="112"/>
        <v>413</v>
      </c>
      <c r="M358" s="126">
        <f t="shared" si="113"/>
        <v>98</v>
      </c>
      <c r="N358" s="171">
        <f t="shared" si="114"/>
        <v>0.23730000000000001</v>
      </c>
      <c r="O358" s="132">
        <f t="shared" si="115"/>
        <v>0</v>
      </c>
      <c r="P358" s="177">
        <f t="shared" si="116"/>
        <v>0</v>
      </c>
      <c r="Q358" s="177">
        <f t="shared" si="117"/>
        <v>0</v>
      </c>
      <c r="S358" s="233" t="b">
        <f t="shared" si="118"/>
        <v>0</v>
      </c>
    </row>
    <row r="359" spans="1:19">
      <c r="A359" s="126" t="s">
        <v>239</v>
      </c>
      <c r="B359" s="126" t="str">
        <f t="shared" ref="B359:B380" si="119">LEFT(A359,5)</f>
        <v>D0233</v>
      </c>
      <c r="C359" s="126">
        <v>2783</v>
      </c>
      <c r="D359" s="126" t="s">
        <v>1327</v>
      </c>
      <c r="E359" s="126">
        <v>296</v>
      </c>
      <c r="F359" s="126">
        <v>0</v>
      </c>
      <c r="G359" s="126">
        <v>28</v>
      </c>
      <c r="H359" s="126">
        <v>0</v>
      </c>
      <c r="I359" s="126">
        <v>9.4600000000000009</v>
      </c>
      <c r="J359" s="126">
        <v>0</v>
      </c>
      <c r="K359" s="126">
        <v>0</v>
      </c>
      <c r="L359" s="126">
        <f t="shared" si="112"/>
        <v>296</v>
      </c>
      <c r="M359" s="126">
        <f t="shared" si="113"/>
        <v>28</v>
      </c>
      <c r="N359" s="171">
        <f t="shared" si="114"/>
        <v>9.4600000000000004E-2</v>
      </c>
      <c r="O359" s="132">
        <f t="shared" si="115"/>
        <v>0</v>
      </c>
      <c r="P359" s="177">
        <f t="shared" si="116"/>
        <v>0</v>
      </c>
      <c r="Q359" s="177">
        <f t="shared" si="117"/>
        <v>0</v>
      </c>
      <c r="S359" s="233" t="b">
        <f t="shared" si="118"/>
        <v>0</v>
      </c>
    </row>
    <row r="360" spans="1:19">
      <c r="A360" s="126" t="s">
        <v>239</v>
      </c>
      <c r="B360" s="126" t="str">
        <f t="shared" si="119"/>
        <v>D0233</v>
      </c>
      <c r="C360" s="126">
        <v>2784</v>
      </c>
      <c r="D360" s="126" t="s">
        <v>1329</v>
      </c>
      <c r="E360" s="126">
        <v>462</v>
      </c>
      <c r="F360" s="126">
        <v>0</v>
      </c>
      <c r="G360" s="126">
        <v>86</v>
      </c>
      <c r="H360" s="126">
        <v>0</v>
      </c>
      <c r="I360" s="126">
        <v>18.61</v>
      </c>
      <c r="J360" s="126">
        <v>0</v>
      </c>
      <c r="K360" s="126">
        <v>0</v>
      </c>
      <c r="L360" s="126">
        <f t="shared" si="112"/>
        <v>462</v>
      </c>
      <c r="M360" s="126">
        <f t="shared" si="113"/>
        <v>86</v>
      </c>
      <c r="N360" s="171">
        <f t="shared" si="114"/>
        <v>0.18609999999999999</v>
      </c>
      <c r="O360" s="132">
        <f t="shared" si="115"/>
        <v>0</v>
      </c>
      <c r="P360" s="177">
        <f t="shared" si="116"/>
        <v>0</v>
      </c>
      <c r="Q360" s="177">
        <f t="shared" si="117"/>
        <v>0</v>
      </c>
      <c r="S360" s="233" t="b">
        <f t="shared" si="118"/>
        <v>0</v>
      </c>
    </row>
    <row r="361" spans="1:19">
      <c r="A361" s="126" t="s">
        <v>239</v>
      </c>
      <c r="B361" s="126" t="str">
        <f t="shared" si="119"/>
        <v>D0233</v>
      </c>
      <c r="C361" s="126">
        <v>2785</v>
      </c>
      <c r="D361" s="126" t="s">
        <v>1331</v>
      </c>
      <c r="E361" s="126">
        <v>335</v>
      </c>
      <c r="F361" s="126">
        <v>0</v>
      </c>
      <c r="G361" s="126">
        <v>29</v>
      </c>
      <c r="H361" s="126">
        <v>0</v>
      </c>
      <c r="I361" s="126">
        <v>8.66</v>
      </c>
      <c r="J361" s="126">
        <v>0</v>
      </c>
      <c r="K361" s="126">
        <v>0</v>
      </c>
      <c r="L361" s="126">
        <f t="shared" si="112"/>
        <v>335</v>
      </c>
      <c r="M361" s="126">
        <f t="shared" si="113"/>
        <v>29</v>
      </c>
      <c r="N361" s="171">
        <f t="shared" si="114"/>
        <v>8.6599999999999996E-2</v>
      </c>
      <c r="O361" s="132">
        <f t="shared" si="115"/>
        <v>0</v>
      </c>
      <c r="P361" s="177">
        <f t="shared" si="116"/>
        <v>0</v>
      </c>
      <c r="Q361" s="177">
        <f t="shared" si="117"/>
        <v>0</v>
      </c>
      <c r="S361" s="233" t="b">
        <f t="shared" si="118"/>
        <v>0</v>
      </c>
    </row>
    <row r="362" spans="1:19">
      <c r="A362" s="126" t="s">
        <v>239</v>
      </c>
      <c r="B362" s="126" t="str">
        <f t="shared" si="119"/>
        <v>D0233</v>
      </c>
      <c r="C362" s="126">
        <v>2786</v>
      </c>
      <c r="D362" s="126" t="s">
        <v>1333</v>
      </c>
      <c r="E362" s="126">
        <v>705</v>
      </c>
      <c r="F362" s="126">
        <v>0</v>
      </c>
      <c r="G362" s="126">
        <v>40</v>
      </c>
      <c r="H362" s="126">
        <v>0</v>
      </c>
      <c r="I362" s="126">
        <v>5.67</v>
      </c>
      <c r="J362" s="126">
        <v>0</v>
      </c>
      <c r="K362" s="126">
        <v>0</v>
      </c>
      <c r="L362" s="126">
        <f t="shared" si="112"/>
        <v>705</v>
      </c>
      <c r="M362" s="126">
        <f t="shared" si="113"/>
        <v>40</v>
      </c>
      <c r="N362" s="171">
        <f t="shared" si="114"/>
        <v>5.67E-2</v>
      </c>
      <c r="O362" s="132">
        <f t="shared" si="115"/>
        <v>0</v>
      </c>
      <c r="P362" s="177">
        <f t="shared" si="116"/>
        <v>0</v>
      </c>
      <c r="Q362" s="177">
        <f t="shared" si="117"/>
        <v>0</v>
      </c>
      <c r="S362" s="233" t="b">
        <f t="shared" si="118"/>
        <v>0</v>
      </c>
    </row>
    <row r="363" spans="1:19">
      <c r="A363" s="126" t="s">
        <v>239</v>
      </c>
      <c r="B363" s="126" t="str">
        <f t="shared" si="119"/>
        <v>D0233</v>
      </c>
      <c r="C363" s="126">
        <v>2787</v>
      </c>
      <c r="D363" s="126" t="s">
        <v>1335</v>
      </c>
      <c r="E363" s="126">
        <v>655</v>
      </c>
      <c r="F363" s="126">
        <v>0</v>
      </c>
      <c r="G363" s="126">
        <v>6</v>
      </c>
      <c r="H363" s="126">
        <v>0</v>
      </c>
      <c r="I363" s="126">
        <v>0.92</v>
      </c>
      <c r="J363" s="126">
        <v>0</v>
      </c>
      <c r="K363" s="126">
        <v>0</v>
      </c>
      <c r="L363" s="126">
        <f t="shared" si="112"/>
        <v>655</v>
      </c>
      <c r="M363" s="126">
        <f t="shared" si="113"/>
        <v>6</v>
      </c>
      <c r="N363" s="171">
        <f t="shared" si="114"/>
        <v>9.1999999999999998E-3</v>
      </c>
      <c r="O363" s="132">
        <f t="shared" si="115"/>
        <v>0</v>
      </c>
      <c r="P363" s="177">
        <f t="shared" si="116"/>
        <v>0</v>
      </c>
      <c r="Q363" s="177">
        <f t="shared" si="117"/>
        <v>0</v>
      </c>
      <c r="S363" s="233" t="b">
        <f t="shared" si="118"/>
        <v>0</v>
      </c>
    </row>
    <row r="364" spans="1:19">
      <c r="A364" s="126" t="s">
        <v>239</v>
      </c>
      <c r="B364" s="126" t="str">
        <f t="shared" si="119"/>
        <v>D0233</v>
      </c>
      <c r="C364" s="126">
        <v>2789</v>
      </c>
      <c r="D364" s="126" t="s">
        <v>1337</v>
      </c>
      <c r="E364" s="126">
        <v>449</v>
      </c>
      <c r="F364" s="126">
        <v>0</v>
      </c>
      <c r="G364" s="126">
        <v>54</v>
      </c>
      <c r="H364" s="126">
        <v>0</v>
      </c>
      <c r="I364" s="126">
        <v>12.03</v>
      </c>
      <c r="J364" s="126">
        <v>0</v>
      </c>
      <c r="K364" s="126">
        <v>0</v>
      </c>
      <c r="L364" s="126">
        <f t="shared" si="112"/>
        <v>449</v>
      </c>
      <c r="M364" s="126">
        <f t="shared" si="113"/>
        <v>54</v>
      </c>
      <c r="N364" s="171">
        <f t="shared" si="114"/>
        <v>0.1203</v>
      </c>
      <c r="O364" s="132">
        <f t="shared" si="115"/>
        <v>0</v>
      </c>
      <c r="P364" s="177">
        <f t="shared" si="116"/>
        <v>0</v>
      </c>
      <c r="Q364" s="177">
        <f t="shared" si="117"/>
        <v>0</v>
      </c>
      <c r="S364" s="233" t="b">
        <f t="shared" si="118"/>
        <v>0</v>
      </c>
    </row>
    <row r="365" spans="1:19">
      <c r="A365" s="126" t="s">
        <v>239</v>
      </c>
      <c r="B365" s="126" t="str">
        <f t="shared" si="119"/>
        <v>D0233</v>
      </c>
      <c r="C365" s="126">
        <v>2790</v>
      </c>
      <c r="D365" s="126" t="s">
        <v>1339</v>
      </c>
      <c r="E365" s="126">
        <v>346</v>
      </c>
      <c r="F365" s="126">
        <v>0</v>
      </c>
      <c r="G365" s="126">
        <v>58</v>
      </c>
      <c r="H365" s="126">
        <v>0</v>
      </c>
      <c r="I365" s="126">
        <v>16.760000000000002</v>
      </c>
      <c r="J365" s="126">
        <v>0</v>
      </c>
      <c r="K365" s="126">
        <v>0</v>
      </c>
      <c r="L365" s="126">
        <f t="shared" si="112"/>
        <v>346</v>
      </c>
      <c r="M365" s="126">
        <f t="shared" si="113"/>
        <v>58</v>
      </c>
      <c r="N365" s="171">
        <f t="shared" si="114"/>
        <v>0.1676</v>
      </c>
      <c r="O365" s="132">
        <f t="shared" si="115"/>
        <v>0</v>
      </c>
      <c r="P365" s="177">
        <f t="shared" si="116"/>
        <v>0</v>
      </c>
      <c r="Q365" s="177">
        <f t="shared" si="117"/>
        <v>0</v>
      </c>
      <c r="S365" s="233" t="b">
        <f t="shared" si="118"/>
        <v>0</v>
      </c>
    </row>
    <row r="366" spans="1:19">
      <c r="A366" s="126" t="s">
        <v>239</v>
      </c>
      <c r="B366" s="126" t="str">
        <f t="shared" si="119"/>
        <v>D0233</v>
      </c>
      <c r="C366" s="126">
        <v>9300</v>
      </c>
      <c r="D366" s="126" t="s">
        <v>1341</v>
      </c>
      <c r="E366" s="126">
        <v>396</v>
      </c>
      <c r="F366" s="126">
        <v>0</v>
      </c>
      <c r="G366" s="126">
        <v>10</v>
      </c>
      <c r="H366" s="126">
        <v>0</v>
      </c>
      <c r="I366" s="126">
        <v>2.5299999999999998</v>
      </c>
      <c r="J366" s="126">
        <v>0</v>
      </c>
      <c r="K366" s="126">
        <v>0</v>
      </c>
      <c r="L366" s="126">
        <f t="shared" si="112"/>
        <v>396</v>
      </c>
      <c r="M366" s="126">
        <f t="shared" si="113"/>
        <v>10</v>
      </c>
      <c r="N366" s="171">
        <f t="shared" si="114"/>
        <v>2.53E-2</v>
      </c>
      <c r="O366" s="132">
        <f t="shared" si="115"/>
        <v>0</v>
      </c>
      <c r="P366" s="177">
        <f t="shared" si="116"/>
        <v>0</v>
      </c>
      <c r="Q366" s="177">
        <f t="shared" si="117"/>
        <v>0</v>
      </c>
      <c r="S366" s="233" t="b">
        <f t="shared" si="118"/>
        <v>0</v>
      </c>
    </row>
    <row r="367" spans="1:19">
      <c r="A367" s="126" t="s">
        <v>239</v>
      </c>
      <c r="B367" s="126" t="str">
        <f t="shared" si="119"/>
        <v>D0233</v>
      </c>
      <c r="C367" s="126">
        <v>9301</v>
      </c>
      <c r="D367" s="126" t="s">
        <v>1343</v>
      </c>
      <c r="E367" s="126">
        <v>729</v>
      </c>
      <c r="F367" s="126">
        <v>0</v>
      </c>
      <c r="G367" s="126">
        <v>32</v>
      </c>
      <c r="H367" s="126">
        <v>0</v>
      </c>
      <c r="I367" s="126">
        <v>4.3899999999999997</v>
      </c>
      <c r="J367" s="126">
        <v>0</v>
      </c>
      <c r="K367" s="126">
        <v>0</v>
      </c>
      <c r="L367" s="126">
        <f t="shared" si="112"/>
        <v>729</v>
      </c>
      <c r="M367" s="126">
        <f t="shared" si="113"/>
        <v>32</v>
      </c>
      <c r="N367" s="171">
        <f t="shared" si="114"/>
        <v>4.3900000000000002E-2</v>
      </c>
      <c r="O367" s="132">
        <f t="shared" si="115"/>
        <v>0</v>
      </c>
      <c r="P367" s="177">
        <f t="shared" si="116"/>
        <v>0</v>
      </c>
      <c r="Q367" s="177">
        <f t="shared" si="117"/>
        <v>0</v>
      </c>
      <c r="S367" s="233" t="b">
        <f t="shared" si="118"/>
        <v>0</v>
      </c>
    </row>
    <row r="368" spans="1:19">
      <c r="A368" s="126" t="s">
        <v>239</v>
      </c>
      <c r="B368" s="126" t="str">
        <f t="shared" si="119"/>
        <v>D0233</v>
      </c>
      <c r="C368" s="126">
        <v>9302</v>
      </c>
      <c r="D368" s="126" t="s">
        <v>1345</v>
      </c>
      <c r="E368" s="126">
        <v>410</v>
      </c>
      <c r="F368" s="126">
        <v>0</v>
      </c>
      <c r="G368" s="126">
        <v>26</v>
      </c>
      <c r="H368" s="126">
        <v>0</v>
      </c>
      <c r="I368" s="126">
        <v>6.34</v>
      </c>
      <c r="J368" s="126">
        <v>0</v>
      </c>
      <c r="K368" s="126">
        <v>0</v>
      </c>
      <c r="L368" s="126">
        <f t="shared" si="112"/>
        <v>410</v>
      </c>
      <c r="M368" s="126">
        <f t="shared" si="113"/>
        <v>26</v>
      </c>
      <c r="N368" s="171">
        <f t="shared" si="114"/>
        <v>6.3399999999999998E-2</v>
      </c>
      <c r="O368" s="132">
        <f t="shared" si="115"/>
        <v>0</v>
      </c>
      <c r="P368" s="177">
        <f t="shared" si="116"/>
        <v>0</v>
      </c>
      <c r="Q368" s="177">
        <f t="shared" si="117"/>
        <v>0</v>
      </c>
      <c r="S368" s="233" t="b">
        <f t="shared" si="118"/>
        <v>0</v>
      </c>
    </row>
    <row r="369" spans="1:19">
      <c r="A369" s="126" t="s">
        <v>239</v>
      </c>
      <c r="B369" s="126" t="str">
        <f t="shared" si="119"/>
        <v>D0233</v>
      </c>
      <c r="C369" s="126">
        <v>9304</v>
      </c>
      <c r="D369" s="126" t="s">
        <v>1347</v>
      </c>
      <c r="E369" s="126">
        <v>554</v>
      </c>
      <c r="F369" s="126">
        <v>0</v>
      </c>
      <c r="G369" s="126">
        <v>14</v>
      </c>
      <c r="H369" s="126">
        <v>0</v>
      </c>
      <c r="I369" s="126">
        <v>2.5299999999999998</v>
      </c>
      <c r="J369" s="126">
        <v>0</v>
      </c>
      <c r="K369" s="126">
        <v>0</v>
      </c>
      <c r="L369" s="126">
        <f t="shared" si="112"/>
        <v>554</v>
      </c>
      <c r="M369" s="126">
        <f t="shared" si="113"/>
        <v>14</v>
      </c>
      <c r="N369" s="171">
        <f t="shared" si="114"/>
        <v>2.53E-2</v>
      </c>
      <c r="O369" s="132">
        <f t="shared" si="115"/>
        <v>0</v>
      </c>
      <c r="P369" s="177">
        <f t="shared" si="116"/>
        <v>0</v>
      </c>
      <c r="Q369" s="177">
        <f t="shared" si="117"/>
        <v>0</v>
      </c>
      <c r="S369" s="233" t="b">
        <f t="shared" si="118"/>
        <v>0</v>
      </c>
    </row>
    <row r="370" spans="1:19">
      <c r="A370" s="126" t="s">
        <v>239</v>
      </c>
      <c r="B370" s="126" t="str">
        <f t="shared" si="119"/>
        <v>D0233</v>
      </c>
      <c r="C370" s="126">
        <v>9305</v>
      </c>
      <c r="D370" s="126" t="s">
        <v>1349</v>
      </c>
      <c r="E370" s="126">
        <v>568</v>
      </c>
      <c r="F370" s="126">
        <v>0</v>
      </c>
      <c r="G370" s="126">
        <v>40</v>
      </c>
      <c r="H370" s="126">
        <v>0</v>
      </c>
      <c r="I370" s="126">
        <v>7.04</v>
      </c>
      <c r="J370" s="126">
        <v>0</v>
      </c>
      <c r="K370" s="126">
        <v>0</v>
      </c>
      <c r="L370" s="126">
        <f t="shared" si="112"/>
        <v>568</v>
      </c>
      <c r="M370" s="126">
        <f t="shared" si="113"/>
        <v>40</v>
      </c>
      <c r="N370" s="171">
        <f t="shared" si="114"/>
        <v>7.0400000000000004E-2</v>
      </c>
      <c r="O370" s="132">
        <f t="shared" si="115"/>
        <v>0</v>
      </c>
      <c r="P370" s="177">
        <f t="shared" si="116"/>
        <v>0</v>
      </c>
      <c r="Q370" s="177">
        <f t="shared" si="117"/>
        <v>0</v>
      </c>
      <c r="S370" s="233" t="b">
        <f t="shared" si="118"/>
        <v>0</v>
      </c>
    </row>
    <row r="371" spans="1:19">
      <c r="A371" s="126" t="s">
        <v>239</v>
      </c>
      <c r="B371" s="126" t="str">
        <f t="shared" si="119"/>
        <v>D0233</v>
      </c>
      <c r="C371" s="126">
        <v>9306</v>
      </c>
      <c r="D371" s="126" t="s">
        <v>1351</v>
      </c>
      <c r="E371" s="126">
        <v>700</v>
      </c>
      <c r="F371" s="126">
        <v>0</v>
      </c>
      <c r="G371" s="126">
        <v>14</v>
      </c>
      <c r="H371" s="126">
        <v>0</v>
      </c>
      <c r="I371" s="126">
        <v>2</v>
      </c>
      <c r="J371" s="126">
        <v>0</v>
      </c>
      <c r="K371" s="126">
        <v>0</v>
      </c>
      <c r="L371" s="126">
        <f t="shared" si="112"/>
        <v>700</v>
      </c>
      <c r="M371" s="126">
        <f t="shared" si="113"/>
        <v>14</v>
      </c>
      <c r="N371" s="171">
        <f t="shared" si="114"/>
        <v>0.02</v>
      </c>
      <c r="O371" s="132">
        <f t="shared" si="115"/>
        <v>0</v>
      </c>
      <c r="P371" s="177">
        <f t="shared" si="116"/>
        <v>0</v>
      </c>
      <c r="Q371" s="177">
        <f t="shared" si="117"/>
        <v>0</v>
      </c>
      <c r="S371" s="233" t="b">
        <f t="shared" si="118"/>
        <v>0</v>
      </c>
    </row>
    <row r="372" spans="1:19">
      <c r="A372" s="126" t="s">
        <v>239</v>
      </c>
      <c r="B372" s="126" t="str">
        <f t="shared" si="119"/>
        <v>D0233</v>
      </c>
      <c r="C372" s="126">
        <v>9307</v>
      </c>
      <c r="D372" s="126" t="s">
        <v>1353</v>
      </c>
      <c r="E372" s="126">
        <v>479</v>
      </c>
      <c r="F372" s="126">
        <v>0</v>
      </c>
      <c r="G372" s="126">
        <v>77</v>
      </c>
      <c r="H372" s="126">
        <v>0</v>
      </c>
      <c r="I372" s="126">
        <v>16.079999999999998</v>
      </c>
      <c r="J372" s="126">
        <v>0</v>
      </c>
      <c r="K372" s="126">
        <v>0</v>
      </c>
      <c r="L372" s="126">
        <f t="shared" si="112"/>
        <v>479</v>
      </c>
      <c r="M372" s="126">
        <f t="shared" si="113"/>
        <v>77</v>
      </c>
      <c r="N372" s="171">
        <f t="shared" si="114"/>
        <v>0.1608</v>
      </c>
      <c r="O372" s="132">
        <f t="shared" si="115"/>
        <v>0</v>
      </c>
      <c r="P372" s="177">
        <f t="shared" si="116"/>
        <v>0</v>
      </c>
      <c r="Q372" s="177">
        <f t="shared" si="117"/>
        <v>0</v>
      </c>
      <c r="S372" s="233" t="b">
        <f t="shared" si="118"/>
        <v>0</v>
      </c>
    </row>
    <row r="373" spans="1:19">
      <c r="A373" s="126" t="s">
        <v>239</v>
      </c>
      <c r="B373" s="126" t="str">
        <f t="shared" si="119"/>
        <v>D0233</v>
      </c>
      <c r="C373" s="126">
        <v>9311</v>
      </c>
      <c r="D373" s="126" t="s">
        <v>1355</v>
      </c>
      <c r="E373" s="126">
        <v>512</v>
      </c>
      <c r="F373" s="126">
        <v>0</v>
      </c>
      <c r="G373" s="126">
        <v>38</v>
      </c>
      <c r="H373" s="126">
        <v>0</v>
      </c>
      <c r="I373" s="126">
        <v>7.42</v>
      </c>
      <c r="J373" s="126">
        <v>0</v>
      </c>
      <c r="K373" s="126">
        <v>0</v>
      </c>
      <c r="L373" s="126">
        <f t="shared" si="112"/>
        <v>512</v>
      </c>
      <c r="M373" s="126">
        <f t="shared" si="113"/>
        <v>38</v>
      </c>
      <c r="N373" s="171">
        <f t="shared" si="114"/>
        <v>7.4200000000000002E-2</v>
      </c>
      <c r="O373" s="132">
        <f t="shared" si="115"/>
        <v>0</v>
      </c>
      <c r="P373" s="177">
        <f t="shared" si="116"/>
        <v>0</v>
      </c>
      <c r="Q373" s="177">
        <f t="shared" si="117"/>
        <v>0</v>
      </c>
      <c r="S373" s="233" t="b">
        <f t="shared" si="118"/>
        <v>0</v>
      </c>
    </row>
    <row r="374" spans="1:19">
      <c r="A374" s="126" t="s">
        <v>3758</v>
      </c>
      <c r="B374" s="126" t="str">
        <f t="shared" si="119"/>
        <v>D0284</v>
      </c>
      <c r="C374" s="126">
        <v>2489</v>
      </c>
      <c r="D374" s="126" t="s">
        <v>1851</v>
      </c>
      <c r="E374" s="126">
        <v>152</v>
      </c>
      <c r="F374" s="126">
        <v>0</v>
      </c>
      <c r="G374" s="126">
        <v>42</v>
      </c>
      <c r="H374" s="126">
        <v>0</v>
      </c>
      <c r="I374" s="126">
        <v>27.63</v>
      </c>
      <c r="J374" s="126">
        <v>0</v>
      </c>
      <c r="K374" s="126">
        <v>0</v>
      </c>
      <c r="L374" s="126">
        <f t="shared" ref="L374:L380" si="120">SUM(E374:F374)</f>
        <v>152</v>
      </c>
      <c r="M374" s="126">
        <f t="shared" ref="M374:M380" si="121">SUM(G374:H374)</f>
        <v>42</v>
      </c>
      <c r="N374" s="171">
        <f t="shared" ref="N374:N380" si="122">IF(ISERROR(M374/L374),0,M374/L374)</f>
        <v>0.27629999999999999</v>
      </c>
      <c r="O374" s="132">
        <f t="shared" ref="O374:O380" si="123">IF(AND((N374-35%)&gt;0,N374&lt;50%),M374*(N374-35%)*0.7,0)</f>
        <v>0</v>
      </c>
      <c r="P374" s="177">
        <f t="shared" ref="P374:P380" si="124">IF(N374&gt;=50%,M374*10.5%,0)</f>
        <v>0</v>
      </c>
      <c r="Q374" s="177">
        <f t="shared" ref="Q374:Q380" si="125">MAX(O374,P374)</f>
        <v>0</v>
      </c>
      <c r="S374" s="233" t="b">
        <f t="shared" si="118"/>
        <v>0</v>
      </c>
    </row>
    <row r="375" spans="1:19">
      <c r="A375" s="126" t="s">
        <v>3758</v>
      </c>
      <c r="B375" s="126" t="str">
        <f t="shared" si="119"/>
        <v>D0284</v>
      </c>
      <c r="C375" s="126">
        <v>2491</v>
      </c>
      <c r="D375" s="126" t="s">
        <v>1853</v>
      </c>
      <c r="E375" s="126">
        <v>196</v>
      </c>
      <c r="F375" s="126">
        <v>0</v>
      </c>
      <c r="G375" s="126">
        <v>50</v>
      </c>
      <c r="H375" s="126">
        <v>0</v>
      </c>
      <c r="I375" s="126">
        <v>25.51</v>
      </c>
      <c r="J375" s="126">
        <v>0</v>
      </c>
      <c r="K375" s="126">
        <v>0</v>
      </c>
      <c r="L375" s="126">
        <f t="shared" si="120"/>
        <v>196</v>
      </c>
      <c r="M375" s="126">
        <f t="shared" si="121"/>
        <v>50</v>
      </c>
      <c r="N375" s="171">
        <f t="shared" si="122"/>
        <v>0.25509999999999999</v>
      </c>
      <c r="O375" s="132">
        <f t="shared" si="123"/>
        <v>0</v>
      </c>
      <c r="P375" s="177">
        <f t="shared" si="124"/>
        <v>0</v>
      </c>
      <c r="Q375" s="177">
        <f t="shared" si="125"/>
        <v>0</v>
      </c>
      <c r="S375" s="233" t="b">
        <f t="shared" si="118"/>
        <v>0</v>
      </c>
    </row>
    <row r="376" spans="1:19">
      <c r="A376" s="126" t="s">
        <v>3759</v>
      </c>
      <c r="B376" s="126" t="str">
        <f t="shared" si="119"/>
        <v>D0286</v>
      </c>
      <c r="C376" s="126">
        <v>2544</v>
      </c>
      <c r="D376" s="126" t="s">
        <v>1859</v>
      </c>
      <c r="E376" s="126">
        <v>206</v>
      </c>
      <c r="F376" s="126">
        <v>0</v>
      </c>
      <c r="G376" s="126">
        <v>107</v>
      </c>
      <c r="H376" s="126">
        <v>0</v>
      </c>
      <c r="I376" s="126">
        <v>51.94</v>
      </c>
      <c r="J376" s="126">
        <v>11.2</v>
      </c>
      <c r="K376" s="126">
        <v>0</v>
      </c>
      <c r="L376" s="126">
        <f t="shared" si="120"/>
        <v>206</v>
      </c>
      <c r="M376" s="126">
        <f t="shared" si="121"/>
        <v>107</v>
      </c>
      <c r="N376" s="171">
        <f t="shared" si="122"/>
        <v>0.51939999999999997</v>
      </c>
      <c r="O376" s="132">
        <f t="shared" si="123"/>
        <v>0</v>
      </c>
      <c r="P376" s="177">
        <f t="shared" si="124"/>
        <v>11.2</v>
      </c>
      <c r="Q376" s="177">
        <f t="shared" si="125"/>
        <v>11.2</v>
      </c>
      <c r="S376" s="233" t="b">
        <f t="shared" si="118"/>
        <v>0</v>
      </c>
    </row>
    <row r="377" spans="1:19">
      <c r="A377" s="126" t="s">
        <v>3759</v>
      </c>
      <c r="B377" s="126" t="str">
        <f t="shared" si="119"/>
        <v>D0286</v>
      </c>
      <c r="C377" s="126">
        <v>2546</v>
      </c>
      <c r="D377" s="126" t="s">
        <v>1861</v>
      </c>
      <c r="E377" s="126">
        <v>163</v>
      </c>
      <c r="F377" s="126">
        <v>0</v>
      </c>
      <c r="G377" s="126">
        <v>67</v>
      </c>
      <c r="H377" s="126">
        <v>0</v>
      </c>
      <c r="I377" s="126">
        <v>41.1</v>
      </c>
      <c r="J377" s="126">
        <v>0</v>
      </c>
      <c r="K377" s="126">
        <v>2.9</v>
      </c>
      <c r="L377" s="126">
        <f t="shared" si="120"/>
        <v>163</v>
      </c>
      <c r="M377" s="126">
        <f t="shared" si="121"/>
        <v>67</v>
      </c>
      <c r="N377" s="171">
        <f t="shared" si="122"/>
        <v>0.41099999999999998</v>
      </c>
      <c r="O377" s="132">
        <f t="shared" si="123"/>
        <v>2.9</v>
      </c>
      <c r="P377" s="177">
        <f t="shared" si="124"/>
        <v>0</v>
      </c>
      <c r="Q377" s="177">
        <f t="shared" si="125"/>
        <v>2.9</v>
      </c>
      <c r="S377" s="233" t="b">
        <f t="shared" si="118"/>
        <v>0</v>
      </c>
    </row>
    <row r="378" spans="1:19">
      <c r="A378" s="126" t="s">
        <v>3760</v>
      </c>
      <c r="B378" s="126" t="str">
        <f t="shared" si="119"/>
        <v>D0456</v>
      </c>
      <c r="C378" s="126">
        <v>7094</v>
      </c>
      <c r="D378" s="126" t="s">
        <v>2814</v>
      </c>
      <c r="E378" s="126">
        <v>105</v>
      </c>
      <c r="F378" s="126">
        <v>0</v>
      </c>
      <c r="G378" s="126">
        <v>51</v>
      </c>
      <c r="H378" s="126">
        <v>0</v>
      </c>
      <c r="I378" s="126">
        <v>48.57</v>
      </c>
      <c r="J378" s="126">
        <v>0</v>
      </c>
      <c r="K378" s="126">
        <v>4.8</v>
      </c>
      <c r="L378" s="126">
        <f t="shared" si="120"/>
        <v>105</v>
      </c>
      <c r="M378" s="126">
        <f t="shared" si="121"/>
        <v>51</v>
      </c>
      <c r="N378" s="171">
        <f t="shared" si="122"/>
        <v>0.48570000000000002</v>
      </c>
      <c r="O378" s="132">
        <f t="shared" si="123"/>
        <v>4.8</v>
      </c>
      <c r="P378" s="177">
        <f t="shared" si="124"/>
        <v>0</v>
      </c>
      <c r="Q378" s="177">
        <f t="shared" si="125"/>
        <v>4.8</v>
      </c>
      <c r="S378" s="233" t="b">
        <f t="shared" si="118"/>
        <v>0</v>
      </c>
    </row>
    <row r="379" spans="1:19">
      <c r="A379" s="126" t="s">
        <v>3760</v>
      </c>
      <c r="B379" s="126" t="str">
        <f t="shared" si="119"/>
        <v>D0456</v>
      </c>
      <c r="C379" s="126">
        <v>7096</v>
      </c>
      <c r="D379" s="126" t="s">
        <v>2816</v>
      </c>
      <c r="E379" s="126">
        <v>58</v>
      </c>
      <c r="F379" s="126">
        <v>0</v>
      </c>
      <c r="G379" s="126">
        <v>22</v>
      </c>
      <c r="H379" s="126">
        <v>0</v>
      </c>
      <c r="I379" s="126">
        <v>37.93</v>
      </c>
      <c r="J379" s="126">
        <v>0</v>
      </c>
      <c r="K379" s="126">
        <v>0.5</v>
      </c>
      <c r="L379" s="126">
        <f t="shared" si="120"/>
        <v>58</v>
      </c>
      <c r="M379" s="126">
        <f t="shared" si="121"/>
        <v>22</v>
      </c>
      <c r="N379" s="171">
        <f t="shared" si="122"/>
        <v>0.37930000000000003</v>
      </c>
      <c r="O379" s="132">
        <f t="shared" si="123"/>
        <v>0.5</v>
      </c>
      <c r="P379" s="177">
        <f t="shared" si="124"/>
        <v>0</v>
      </c>
      <c r="Q379" s="177">
        <f t="shared" si="125"/>
        <v>0.5</v>
      </c>
      <c r="S379" s="233" t="b">
        <f t="shared" si="118"/>
        <v>0</v>
      </c>
    </row>
    <row r="380" spans="1:19">
      <c r="A380" s="126" t="s">
        <v>3760</v>
      </c>
      <c r="B380" s="126" t="str">
        <f t="shared" si="119"/>
        <v>D0456</v>
      </c>
      <c r="C380" s="126">
        <v>7104</v>
      </c>
      <c r="D380" s="126" t="s">
        <v>2818</v>
      </c>
      <c r="E380" s="126">
        <v>50</v>
      </c>
      <c r="F380" s="126">
        <v>0</v>
      </c>
      <c r="G380" s="126">
        <v>22</v>
      </c>
      <c r="H380" s="126">
        <v>0</v>
      </c>
      <c r="I380" s="126">
        <v>44</v>
      </c>
      <c r="J380" s="126">
        <v>0</v>
      </c>
      <c r="K380" s="126">
        <v>1.4</v>
      </c>
      <c r="L380" s="126">
        <f t="shared" si="120"/>
        <v>50</v>
      </c>
      <c r="M380" s="126">
        <f t="shared" si="121"/>
        <v>22</v>
      </c>
      <c r="N380" s="171">
        <f t="shared" si="122"/>
        <v>0.44</v>
      </c>
      <c r="O380" s="132">
        <f t="shared" si="123"/>
        <v>1.4</v>
      </c>
      <c r="P380" s="177">
        <f t="shared" si="124"/>
        <v>0</v>
      </c>
      <c r="Q380" s="177">
        <f t="shared" si="125"/>
        <v>1.4</v>
      </c>
      <c r="S380" s="233" t="b">
        <f t="shared" si="118"/>
        <v>0</v>
      </c>
    </row>
    <row r="381" spans="1:19">
      <c r="A381" s="126" t="s">
        <v>3703</v>
      </c>
      <c r="B381" s="126" t="str">
        <f t="shared" ref="B381:B393" si="126">LEFT(A381,5)</f>
        <v>D0285</v>
      </c>
      <c r="C381" s="126">
        <v>2518</v>
      </c>
      <c r="D381" s="126" t="s">
        <v>1855</v>
      </c>
      <c r="E381" s="126">
        <v>63</v>
      </c>
      <c r="F381" s="126">
        <v>0</v>
      </c>
      <c r="G381" s="126">
        <v>33</v>
      </c>
      <c r="H381" s="126">
        <v>0</v>
      </c>
      <c r="I381" s="126">
        <v>52.38</v>
      </c>
      <c r="J381" s="126">
        <v>3.5</v>
      </c>
      <c r="K381" s="126">
        <v>0</v>
      </c>
      <c r="L381" s="126">
        <f t="shared" ref="L381:L425" si="127">SUM(E381:F381)</f>
        <v>63</v>
      </c>
      <c r="M381" s="126">
        <f t="shared" ref="M381:M425" si="128">SUM(G381:H381)</f>
        <v>33</v>
      </c>
      <c r="N381" s="171">
        <f t="shared" ref="N381:N425" si="129">IF(ISERROR(M381/L381),0,M381/L381)</f>
        <v>0.52380000000000004</v>
      </c>
      <c r="O381" s="132">
        <f t="shared" ref="O381:O425" si="130">IF(AND((N381-35%)&gt;0,N381&lt;50%),M381*(N381-35%)*0.7,0)</f>
        <v>0</v>
      </c>
      <c r="P381" s="177">
        <f t="shared" ref="P381:P425" si="131">IF(N381&gt;=50%,M381*10.5%,0)</f>
        <v>3.5</v>
      </c>
      <c r="Q381" s="177">
        <f t="shared" ref="Q381:Q425" si="132">MAX(O381,P381)</f>
        <v>3.5</v>
      </c>
      <c r="S381" s="233" t="b">
        <f t="shared" si="118"/>
        <v>0</v>
      </c>
    </row>
    <row r="382" spans="1:19">
      <c r="A382" s="126" t="s">
        <v>3703</v>
      </c>
      <c r="B382" s="126" t="str">
        <f t="shared" si="126"/>
        <v>D0285</v>
      </c>
      <c r="C382" s="126">
        <v>2520</v>
      </c>
      <c r="D382" s="126" t="s">
        <v>1857</v>
      </c>
      <c r="E382" s="126">
        <v>74</v>
      </c>
      <c r="F382" s="126">
        <v>0</v>
      </c>
      <c r="G382" s="126">
        <v>38</v>
      </c>
      <c r="H382" s="126">
        <v>0</v>
      </c>
      <c r="I382" s="126">
        <v>51.35</v>
      </c>
      <c r="J382" s="126">
        <v>4</v>
      </c>
      <c r="K382" s="126">
        <v>0</v>
      </c>
      <c r="L382" s="126">
        <f t="shared" si="127"/>
        <v>74</v>
      </c>
      <c r="M382" s="126">
        <f t="shared" si="128"/>
        <v>38</v>
      </c>
      <c r="N382" s="171">
        <f t="shared" si="129"/>
        <v>0.51349999999999996</v>
      </c>
      <c r="O382" s="132">
        <f t="shared" si="130"/>
        <v>0</v>
      </c>
      <c r="P382" s="177">
        <f t="shared" si="131"/>
        <v>4</v>
      </c>
      <c r="Q382" s="177">
        <f t="shared" si="132"/>
        <v>4</v>
      </c>
      <c r="S382" s="233" t="b">
        <f t="shared" si="118"/>
        <v>0</v>
      </c>
    </row>
    <row r="383" spans="1:19">
      <c r="A383" s="126" t="s">
        <v>3763</v>
      </c>
      <c r="B383" s="126" t="str">
        <f t="shared" si="126"/>
        <v>D0112</v>
      </c>
      <c r="C383" s="126">
        <v>393</v>
      </c>
      <c r="D383" s="126" t="s">
        <v>941</v>
      </c>
      <c r="E383" s="126">
        <v>60</v>
      </c>
      <c r="F383" s="126">
        <v>0</v>
      </c>
      <c r="G383" s="126">
        <v>24</v>
      </c>
      <c r="H383" s="126">
        <v>0</v>
      </c>
      <c r="I383" s="126">
        <v>40</v>
      </c>
      <c r="J383" s="126">
        <v>0</v>
      </c>
      <c r="K383" s="126">
        <v>0.8</v>
      </c>
      <c r="L383" s="126">
        <f t="shared" si="127"/>
        <v>60</v>
      </c>
      <c r="M383" s="126">
        <f t="shared" si="128"/>
        <v>24</v>
      </c>
      <c r="N383" s="171">
        <f t="shared" si="129"/>
        <v>0.4</v>
      </c>
      <c r="O383" s="132">
        <f t="shared" si="130"/>
        <v>0.8</v>
      </c>
      <c r="P383" s="177">
        <f t="shared" si="131"/>
        <v>0</v>
      </c>
      <c r="Q383" s="177">
        <f t="shared" si="132"/>
        <v>0.8</v>
      </c>
      <c r="S383" s="233" t="b">
        <f t="shared" si="118"/>
        <v>0</v>
      </c>
    </row>
    <row r="384" spans="1:19">
      <c r="A384" s="126" t="s">
        <v>3763</v>
      </c>
      <c r="B384" s="126" t="str">
        <f t="shared" si="126"/>
        <v>D0112</v>
      </c>
      <c r="C384" s="126">
        <v>415</v>
      </c>
      <c r="D384" s="126" t="s">
        <v>943</v>
      </c>
      <c r="E384" s="126">
        <v>86</v>
      </c>
      <c r="F384" s="126">
        <v>0</v>
      </c>
      <c r="G384" s="126">
        <v>38</v>
      </c>
      <c r="H384" s="126">
        <v>0</v>
      </c>
      <c r="I384" s="126">
        <v>44.19</v>
      </c>
      <c r="J384" s="126">
        <v>0</v>
      </c>
      <c r="K384" s="126">
        <v>2.4</v>
      </c>
      <c r="L384" s="126">
        <f t="shared" si="127"/>
        <v>86</v>
      </c>
      <c r="M384" s="126">
        <f t="shared" si="128"/>
        <v>38</v>
      </c>
      <c r="N384" s="171">
        <f t="shared" si="129"/>
        <v>0.44190000000000002</v>
      </c>
      <c r="O384" s="132">
        <f t="shared" si="130"/>
        <v>2.4</v>
      </c>
      <c r="P384" s="177">
        <f t="shared" si="131"/>
        <v>0</v>
      </c>
      <c r="Q384" s="177">
        <f t="shared" si="132"/>
        <v>2.4</v>
      </c>
      <c r="S384" s="233" t="b">
        <f t="shared" si="118"/>
        <v>0</v>
      </c>
    </row>
    <row r="385" spans="1:19">
      <c r="A385" s="126" t="s">
        <v>3763</v>
      </c>
      <c r="B385" s="126" t="str">
        <f t="shared" si="126"/>
        <v>D0112</v>
      </c>
      <c r="C385" s="126">
        <v>416</v>
      </c>
      <c r="D385" s="126" t="s">
        <v>945</v>
      </c>
      <c r="E385" s="126">
        <v>143</v>
      </c>
      <c r="F385" s="126">
        <v>0</v>
      </c>
      <c r="G385" s="126">
        <v>39</v>
      </c>
      <c r="H385" s="126">
        <v>0</v>
      </c>
      <c r="I385" s="126">
        <v>27.27</v>
      </c>
      <c r="J385" s="126">
        <v>0</v>
      </c>
      <c r="K385" s="126">
        <v>0</v>
      </c>
      <c r="L385" s="126">
        <f t="shared" si="127"/>
        <v>143</v>
      </c>
      <c r="M385" s="126">
        <f t="shared" si="128"/>
        <v>39</v>
      </c>
      <c r="N385" s="171">
        <f t="shared" si="129"/>
        <v>0.2727</v>
      </c>
      <c r="O385" s="132">
        <f t="shared" si="130"/>
        <v>0</v>
      </c>
      <c r="P385" s="177">
        <f t="shared" si="131"/>
        <v>0</v>
      </c>
      <c r="Q385" s="177">
        <f t="shared" si="132"/>
        <v>0</v>
      </c>
      <c r="S385" s="233" t="b">
        <f t="shared" si="118"/>
        <v>0</v>
      </c>
    </row>
    <row r="386" spans="1:19">
      <c r="A386" s="126" t="s">
        <v>3763</v>
      </c>
      <c r="B386" s="126" t="str">
        <f t="shared" si="126"/>
        <v>D0112</v>
      </c>
      <c r="C386" s="126">
        <v>417</v>
      </c>
      <c r="D386" s="126" t="s">
        <v>947</v>
      </c>
      <c r="E386" s="126">
        <v>87</v>
      </c>
      <c r="F386" s="126">
        <v>0</v>
      </c>
      <c r="G386" s="126">
        <v>27</v>
      </c>
      <c r="H386" s="126">
        <v>0</v>
      </c>
      <c r="I386" s="126">
        <v>31.03</v>
      </c>
      <c r="J386" s="126">
        <v>0</v>
      </c>
      <c r="K386" s="126">
        <v>0</v>
      </c>
      <c r="L386" s="126">
        <f t="shared" si="127"/>
        <v>87</v>
      </c>
      <c r="M386" s="126">
        <f t="shared" si="128"/>
        <v>27</v>
      </c>
      <c r="N386" s="171">
        <f t="shared" si="129"/>
        <v>0.31030000000000002</v>
      </c>
      <c r="O386" s="132">
        <f t="shared" si="130"/>
        <v>0</v>
      </c>
      <c r="P386" s="177">
        <f t="shared" si="131"/>
        <v>0</v>
      </c>
      <c r="Q386" s="177">
        <f t="shared" si="132"/>
        <v>0</v>
      </c>
      <c r="S386" s="233" t="b">
        <f t="shared" si="118"/>
        <v>0</v>
      </c>
    </row>
    <row r="387" spans="1:19">
      <c r="A387" s="126" t="s">
        <v>3763</v>
      </c>
      <c r="B387" s="126" t="str">
        <f t="shared" si="126"/>
        <v>D0112</v>
      </c>
      <c r="C387" s="126">
        <v>418</v>
      </c>
      <c r="D387" s="126" t="s">
        <v>949</v>
      </c>
      <c r="E387" s="126">
        <v>92</v>
      </c>
      <c r="F387" s="126">
        <v>0</v>
      </c>
      <c r="G387" s="126">
        <v>28</v>
      </c>
      <c r="H387" s="126">
        <v>0</v>
      </c>
      <c r="I387" s="126">
        <v>30.43</v>
      </c>
      <c r="J387" s="126">
        <v>0</v>
      </c>
      <c r="K387" s="126">
        <v>0</v>
      </c>
      <c r="L387" s="126">
        <f t="shared" si="127"/>
        <v>92</v>
      </c>
      <c r="M387" s="126">
        <f t="shared" si="128"/>
        <v>28</v>
      </c>
      <c r="N387" s="171">
        <f t="shared" si="129"/>
        <v>0.30430000000000001</v>
      </c>
      <c r="O387" s="132">
        <f t="shared" si="130"/>
        <v>0</v>
      </c>
      <c r="P387" s="177">
        <f t="shared" si="131"/>
        <v>0</v>
      </c>
      <c r="Q387" s="177">
        <f t="shared" si="132"/>
        <v>0</v>
      </c>
      <c r="S387" s="233" t="b">
        <f t="shared" si="118"/>
        <v>0</v>
      </c>
    </row>
    <row r="388" spans="1:19">
      <c r="A388" s="126" t="s">
        <v>3764</v>
      </c>
      <c r="B388" s="126" t="str">
        <f t="shared" si="126"/>
        <v>D0258</v>
      </c>
      <c r="C388" s="126">
        <v>1592</v>
      </c>
      <c r="D388" s="126" t="s">
        <v>1498</v>
      </c>
      <c r="E388" s="126">
        <v>170</v>
      </c>
      <c r="F388" s="126">
        <v>0</v>
      </c>
      <c r="G388" s="126">
        <v>56</v>
      </c>
      <c r="H388" s="126">
        <v>0</v>
      </c>
      <c r="I388" s="126">
        <v>32.94</v>
      </c>
      <c r="J388" s="126">
        <v>0</v>
      </c>
      <c r="K388" s="126">
        <v>0</v>
      </c>
      <c r="L388" s="126">
        <f t="shared" si="127"/>
        <v>170</v>
      </c>
      <c r="M388" s="126">
        <f t="shared" si="128"/>
        <v>56</v>
      </c>
      <c r="N388" s="171">
        <f t="shared" si="129"/>
        <v>0.32940000000000003</v>
      </c>
      <c r="O388" s="132">
        <f t="shared" si="130"/>
        <v>0</v>
      </c>
      <c r="P388" s="177">
        <f t="shared" si="131"/>
        <v>0</v>
      </c>
      <c r="Q388" s="177">
        <f t="shared" si="132"/>
        <v>0</v>
      </c>
      <c r="S388" s="233" t="b">
        <f t="shared" si="118"/>
        <v>0</v>
      </c>
    </row>
    <row r="389" spans="1:19">
      <c r="A389" s="126" t="s">
        <v>3764</v>
      </c>
      <c r="B389" s="126" t="str">
        <f t="shared" si="126"/>
        <v>D0258</v>
      </c>
      <c r="C389" s="126">
        <v>1596</v>
      </c>
      <c r="D389" s="126" t="s">
        <v>1500</v>
      </c>
      <c r="E389" s="126">
        <v>280</v>
      </c>
      <c r="F389" s="126">
        <v>0</v>
      </c>
      <c r="G389" s="126">
        <v>99</v>
      </c>
      <c r="H389" s="126">
        <v>0</v>
      </c>
      <c r="I389" s="126">
        <v>35.36</v>
      </c>
      <c r="J389" s="126">
        <v>0</v>
      </c>
      <c r="K389" s="126">
        <v>0.2</v>
      </c>
      <c r="L389" s="126">
        <f t="shared" si="127"/>
        <v>280</v>
      </c>
      <c r="M389" s="126">
        <f t="shared" si="128"/>
        <v>99</v>
      </c>
      <c r="N389" s="171">
        <f t="shared" si="129"/>
        <v>0.35360000000000003</v>
      </c>
      <c r="O389" s="132">
        <f t="shared" si="130"/>
        <v>0.2</v>
      </c>
      <c r="P389" s="177">
        <f t="shared" si="131"/>
        <v>0</v>
      </c>
      <c r="Q389" s="177">
        <f t="shared" si="132"/>
        <v>0.2</v>
      </c>
      <c r="S389" s="233" t="b">
        <f t="shared" ref="S389:S452" si="133">COUNTIF(C:C,C389)&gt;1</f>
        <v>0</v>
      </c>
    </row>
    <row r="390" spans="1:19">
      <c r="A390" s="126" t="s">
        <v>3764</v>
      </c>
      <c r="B390" s="126" t="str">
        <f t="shared" si="126"/>
        <v>D0258</v>
      </c>
      <c r="C390" s="126">
        <v>1600</v>
      </c>
      <c r="D390" s="126" t="s">
        <v>1502</v>
      </c>
      <c r="E390" s="126">
        <v>148</v>
      </c>
      <c r="F390" s="126">
        <v>0</v>
      </c>
      <c r="G390" s="126">
        <v>54</v>
      </c>
      <c r="H390" s="126">
        <v>0</v>
      </c>
      <c r="I390" s="126">
        <v>36.49</v>
      </c>
      <c r="J390" s="126">
        <v>0</v>
      </c>
      <c r="K390" s="126">
        <v>0.6</v>
      </c>
      <c r="L390" s="126">
        <f t="shared" si="127"/>
        <v>148</v>
      </c>
      <c r="M390" s="126">
        <f t="shared" si="128"/>
        <v>54</v>
      </c>
      <c r="N390" s="171">
        <f t="shared" si="129"/>
        <v>0.3649</v>
      </c>
      <c r="O390" s="132">
        <f t="shared" si="130"/>
        <v>0.6</v>
      </c>
      <c r="P390" s="177">
        <f t="shared" si="131"/>
        <v>0</v>
      </c>
      <c r="Q390" s="177">
        <f t="shared" si="132"/>
        <v>0.6</v>
      </c>
      <c r="S390" s="233" t="b">
        <f t="shared" si="133"/>
        <v>0</v>
      </c>
    </row>
    <row r="391" spans="1:19">
      <c r="A391" s="126" t="s">
        <v>3765</v>
      </c>
      <c r="B391" s="126" t="str">
        <f t="shared" si="126"/>
        <v>D0272</v>
      </c>
      <c r="C391" s="126">
        <v>2171</v>
      </c>
      <c r="D391" s="126" t="s">
        <v>1821</v>
      </c>
      <c r="E391" s="126">
        <v>127</v>
      </c>
      <c r="F391" s="126">
        <v>0</v>
      </c>
      <c r="G391" s="126">
        <v>46</v>
      </c>
      <c r="H391" s="126">
        <v>0</v>
      </c>
      <c r="I391" s="126">
        <v>36.22</v>
      </c>
      <c r="J391" s="126">
        <v>0</v>
      </c>
      <c r="K391" s="126">
        <v>0.4</v>
      </c>
      <c r="L391" s="126">
        <f t="shared" si="127"/>
        <v>127</v>
      </c>
      <c r="M391" s="126">
        <f t="shared" si="128"/>
        <v>46</v>
      </c>
      <c r="N391" s="171">
        <f t="shared" si="129"/>
        <v>0.36220000000000002</v>
      </c>
      <c r="O391" s="132">
        <f t="shared" si="130"/>
        <v>0.4</v>
      </c>
      <c r="P391" s="177">
        <f t="shared" si="131"/>
        <v>0</v>
      </c>
      <c r="Q391" s="177">
        <f t="shared" si="132"/>
        <v>0.4</v>
      </c>
      <c r="S391" s="233" t="b">
        <f t="shared" si="133"/>
        <v>0</v>
      </c>
    </row>
    <row r="392" spans="1:19">
      <c r="A392" s="126" t="s">
        <v>3765</v>
      </c>
      <c r="B392" s="126" t="str">
        <f t="shared" si="126"/>
        <v>D0272</v>
      </c>
      <c r="C392" s="126">
        <v>2176</v>
      </c>
      <c r="D392" s="126" t="s">
        <v>1823</v>
      </c>
      <c r="E392" s="126">
        <v>133</v>
      </c>
      <c r="F392" s="126">
        <v>0</v>
      </c>
      <c r="G392" s="126">
        <v>42</v>
      </c>
      <c r="H392" s="126">
        <v>0</v>
      </c>
      <c r="I392" s="126">
        <v>31.58</v>
      </c>
      <c r="J392" s="126">
        <v>0</v>
      </c>
      <c r="K392" s="126">
        <v>0</v>
      </c>
      <c r="L392" s="126">
        <f t="shared" si="127"/>
        <v>133</v>
      </c>
      <c r="M392" s="126">
        <f t="shared" si="128"/>
        <v>42</v>
      </c>
      <c r="N392" s="171">
        <f t="shared" si="129"/>
        <v>0.31580000000000003</v>
      </c>
      <c r="O392" s="132">
        <f t="shared" si="130"/>
        <v>0</v>
      </c>
      <c r="P392" s="177">
        <f t="shared" si="131"/>
        <v>0</v>
      </c>
      <c r="Q392" s="177">
        <f t="shared" si="132"/>
        <v>0</v>
      </c>
      <c r="S392" s="233" t="b">
        <f t="shared" si="133"/>
        <v>0</v>
      </c>
    </row>
    <row r="393" spans="1:19">
      <c r="A393" s="126" t="s">
        <v>3765</v>
      </c>
      <c r="B393" s="126" t="str">
        <f t="shared" si="126"/>
        <v>D0272</v>
      </c>
      <c r="C393" s="126">
        <v>2179</v>
      </c>
      <c r="D393" s="126" t="s">
        <v>1825</v>
      </c>
      <c r="E393" s="126">
        <v>40</v>
      </c>
      <c r="F393" s="126">
        <v>0</v>
      </c>
      <c r="G393" s="126">
        <v>2</v>
      </c>
      <c r="H393" s="126">
        <v>0</v>
      </c>
      <c r="I393" s="126">
        <v>5</v>
      </c>
      <c r="J393" s="126">
        <v>0</v>
      </c>
      <c r="K393" s="126">
        <v>0</v>
      </c>
      <c r="L393" s="126">
        <f t="shared" si="127"/>
        <v>40</v>
      </c>
      <c r="M393" s="126">
        <f t="shared" si="128"/>
        <v>2</v>
      </c>
      <c r="N393" s="171">
        <f t="shared" si="129"/>
        <v>0.05</v>
      </c>
      <c r="O393" s="132">
        <f t="shared" si="130"/>
        <v>0</v>
      </c>
      <c r="P393" s="177">
        <f t="shared" si="131"/>
        <v>0</v>
      </c>
      <c r="Q393" s="177">
        <f t="shared" si="132"/>
        <v>0</v>
      </c>
      <c r="S393" s="233" t="b">
        <f t="shared" si="133"/>
        <v>0</v>
      </c>
    </row>
    <row r="394" spans="1:19">
      <c r="A394" s="126" t="s">
        <v>3766</v>
      </c>
      <c r="B394" s="126" t="str">
        <f t="shared" ref="B394:B441" si="134">LEFT(A394,5)</f>
        <v>D0320</v>
      </c>
      <c r="C394" s="126">
        <v>3388</v>
      </c>
      <c r="D394" s="126" t="s">
        <v>2031</v>
      </c>
      <c r="E394" s="126">
        <v>372</v>
      </c>
      <c r="F394" s="126">
        <v>0</v>
      </c>
      <c r="G394" s="126">
        <v>71</v>
      </c>
      <c r="H394" s="126">
        <v>0</v>
      </c>
      <c r="I394" s="126">
        <v>19.09</v>
      </c>
      <c r="J394" s="126">
        <v>0</v>
      </c>
      <c r="K394" s="126">
        <v>0</v>
      </c>
      <c r="L394" s="126">
        <f t="shared" si="127"/>
        <v>372</v>
      </c>
      <c r="M394" s="126">
        <f t="shared" si="128"/>
        <v>71</v>
      </c>
      <c r="N394" s="171">
        <f t="shared" si="129"/>
        <v>0.19089999999999999</v>
      </c>
      <c r="O394" s="132">
        <f t="shared" si="130"/>
        <v>0</v>
      </c>
      <c r="P394" s="177">
        <f t="shared" si="131"/>
        <v>0</v>
      </c>
      <c r="Q394" s="177">
        <f t="shared" si="132"/>
        <v>0</v>
      </c>
      <c r="S394" s="233" t="b">
        <f t="shared" si="133"/>
        <v>0</v>
      </c>
    </row>
    <row r="395" spans="1:19">
      <c r="A395" s="126" t="s">
        <v>3766</v>
      </c>
      <c r="B395" s="126" t="str">
        <f t="shared" si="134"/>
        <v>D0320</v>
      </c>
      <c r="C395" s="126">
        <v>3396</v>
      </c>
      <c r="D395" s="126" t="s">
        <v>1267</v>
      </c>
      <c r="E395" s="126">
        <v>392</v>
      </c>
      <c r="F395" s="126">
        <v>0</v>
      </c>
      <c r="G395" s="126">
        <v>73</v>
      </c>
      <c r="H395" s="126">
        <v>0</v>
      </c>
      <c r="I395" s="126">
        <v>18.62</v>
      </c>
      <c r="J395" s="126">
        <v>0</v>
      </c>
      <c r="K395" s="126">
        <v>0</v>
      </c>
      <c r="L395" s="126">
        <f t="shared" si="127"/>
        <v>392</v>
      </c>
      <c r="M395" s="126">
        <f t="shared" si="128"/>
        <v>73</v>
      </c>
      <c r="N395" s="171">
        <f t="shared" si="129"/>
        <v>0.1862</v>
      </c>
      <c r="O395" s="132">
        <f t="shared" si="130"/>
        <v>0</v>
      </c>
      <c r="P395" s="177">
        <f t="shared" si="131"/>
        <v>0</v>
      </c>
      <c r="Q395" s="177">
        <f t="shared" si="132"/>
        <v>0</v>
      </c>
      <c r="S395" s="233" t="b">
        <f t="shared" si="133"/>
        <v>0</v>
      </c>
    </row>
    <row r="396" spans="1:19">
      <c r="A396" s="126" t="s">
        <v>3766</v>
      </c>
      <c r="B396" s="126" t="str">
        <f t="shared" si="134"/>
        <v>D0320</v>
      </c>
      <c r="C396" s="126">
        <v>3398</v>
      </c>
      <c r="D396" s="126" t="s">
        <v>2034</v>
      </c>
      <c r="E396" s="126">
        <v>426</v>
      </c>
      <c r="F396" s="126">
        <v>0</v>
      </c>
      <c r="G396" s="126">
        <v>90</v>
      </c>
      <c r="H396" s="126">
        <v>0</v>
      </c>
      <c r="I396" s="126">
        <v>21.13</v>
      </c>
      <c r="J396" s="126">
        <v>0</v>
      </c>
      <c r="K396" s="126">
        <v>0</v>
      </c>
      <c r="L396" s="126">
        <f t="shared" si="127"/>
        <v>426</v>
      </c>
      <c r="M396" s="126">
        <f t="shared" si="128"/>
        <v>90</v>
      </c>
      <c r="N396" s="171">
        <f t="shared" si="129"/>
        <v>0.21129999999999999</v>
      </c>
      <c r="O396" s="132">
        <f t="shared" si="130"/>
        <v>0</v>
      </c>
      <c r="P396" s="177">
        <f t="shared" si="131"/>
        <v>0</v>
      </c>
      <c r="Q396" s="177">
        <f t="shared" si="132"/>
        <v>0</v>
      </c>
      <c r="S396" s="233" t="b">
        <f t="shared" si="133"/>
        <v>0</v>
      </c>
    </row>
    <row r="397" spans="1:19">
      <c r="A397" s="126" t="s">
        <v>3766</v>
      </c>
      <c r="B397" s="126" t="str">
        <f t="shared" si="134"/>
        <v>D0320</v>
      </c>
      <c r="C397" s="126">
        <v>3399</v>
      </c>
      <c r="D397" s="126" t="s">
        <v>1726</v>
      </c>
      <c r="E397" s="126">
        <v>343</v>
      </c>
      <c r="F397" s="126">
        <v>0</v>
      </c>
      <c r="G397" s="126">
        <v>79</v>
      </c>
      <c r="H397" s="126">
        <v>0</v>
      </c>
      <c r="I397" s="126">
        <v>23.03</v>
      </c>
      <c r="J397" s="126">
        <v>0</v>
      </c>
      <c r="K397" s="126">
        <v>0</v>
      </c>
      <c r="L397" s="126">
        <f t="shared" si="127"/>
        <v>343</v>
      </c>
      <c r="M397" s="126">
        <f t="shared" si="128"/>
        <v>79</v>
      </c>
      <c r="N397" s="171">
        <f t="shared" si="129"/>
        <v>0.2303</v>
      </c>
      <c r="O397" s="132">
        <f t="shared" si="130"/>
        <v>0</v>
      </c>
      <c r="P397" s="177">
        <f t="shared" si="131"/>
        <v>0</v>
      </c>
      <c r="Q397" s="177">
        <f t="shared" si="132"/>
        <v>0</v>
      </c>
      <c r="S397" s="233" t="b">
        <f t="shared" si="133"/>
        <v>0</v>
      </c>
    </row>
    <row r="398" spans="1:19">
      <c r="A398" s="126" t="s">
        <v>3742</v>
      </c>
      <c r="B398" s="126" t="str">
        <f t="shared" si="134"/>
        <v>D0321</v>
      </c>
      <c r="C398" s="126">
        <v>3426</v>
      </c>
      <c r="D398" s="126" t="s">
        <v>2037</v>
      </c>
      <c r="E398" s="126">
        <v>268</v>
      </c>
      <c r="F398" s="126">
        <v>0</v>
      </c>
      <c r="G398" s="126">
        <v>81</v>
      </c>
      <c r="H398" s="126">
        <v>0</v>
      </c>
      <c r="I398" s="126">
        <v>30.22</v>
      </c>
      <c r="J398" s="126">
        <v>0</v>
      </c>
      <c r="K398" s="126">
        <v>0</v>
      </c>
      <c r="L398" s="126">
        <f t="shared" si="127"/>
        <v>268</v>
      </c>
      <c r="M398" s="126">
        <f t="shared" si="128"/>
        <v>81</v>
      </c>
      <c r="N398" s="171">
        <f t="shared" si="129"/>
        <v>0.30220000000000002</v>
      </c>
      <c r="O398" s="132">
        <f t="shared" si="130"/>
        <v>0</v>
      </c>
      <c r="P398" s="177">
        <f t="shared" si="131"/>
        <v>0</v>
      </c>
      <c r="Q398" s="177">
        <f t="shared" si="132"/>
        <v>0</v>
      </c>
      <c r="S398" s="233" t="b">
        <f t="shared" si="133"/>
        <v>0</v>
      </c>
    </row>
    <row r="399" spans="1:19">
      <c r="A399" s="126" t="s">
        <v>3742</v>
      </c>
      <c r="B399" s="126" t="str">
        <f t="shared" si="134"/>
        <v>D0321</v>
      </c>
      <c r="C399" s="126">
        <v>3428</v>
      </c>
      <c r="D399" s="126" t="s">
        <v>2039</v>
      </c>
      <c r="E399" s="126">
        <v>258</v>
      </c>
      <c r="F399" s="126">
        <v>0</v>
      </c>
      <c r="G399" s="126">
        <v>61</v>
      </c>
      <c r="H399" s="126">
        <v>0</v>
      </c>
      <c r="I399" s="126">
        <v>23.64</v>
      </c>
      <c r="J399" s="126">
        <v>0</v>
      </c>
      <c r="K399" s="126">
        <v>0</v>
      </c>
      <c r="L399" s="126">
        <f t="shared" si="127"/>
        <v>258</v>
      </c>
      <c r="M399" s="126">
        <f t="shared" si="128"/>
        <v>61</v>
      </c>
      <c r="N399" s="171">
        <f t="shared" si="129"/>
        <v>0.2364</v>
      </c>
      <c r="O399" s="132">
        <f t="shared" si="130"/>
        <v>0</v>
      </c>
      <c r="P399" s="177">
        <f t="shared" si="131"/>
        <v>0</v>
      </c>
      <c r="Q399" s="177">
        <f t="shared" si="132"/>
        <v>0</v>
      </c>
      <c r="S399" s="233" t="b">
        <f t="shared" si="133"/>
        <v>0</v>
      </c>
    </row>
    <row r="400" spans="1:19">
      <c r="A400" s="126" t="s">
        <v>3742</v>
      </c>
      <c r="B400" s="126" t="str">
        <f t="shared" si="134"/>
        <v>D0321</v>
      </c>
      <c r="C400" s="126">
        <v>3430</v>
      </c>
      <c r="D400" s="126" t="s">
        <v>2041</v>
      </c>
      <c r="E400" s="126">
        <v>305</v>
      </c>
      <c r="F400" s="126">
        <v>0</v>
      </c>
      <c r="G400" s="126">
        <v>101</v>
      </c>
      <c r="H400" s="126">
        <v>0</v>
      </c>
      <c r="I400" s="126">
        <v>33.11</v>
      </c>
      <c r="J400" s="126">
        <v>0</v>
      </c>
      <c r="K400" s="126">
        <v>0</v>
      </c>
      <c r="L400" s="126">
        <f t="shared" si="127"/>
        <v>305</v>
      </c>
      <c r="M400" s="126">
        <f t="shared" si="128"/>
        <v>101</v>
      </c>
      <c r="N400" s="171">
        <f t="shared" si="129"/>
        <v>0.33110000000000001</v>
      </c>
      <c r="O400" s="132">
        <f t="shared" si="130"/>
        <v>0</v>
      </c>
      <c r="P400" s="177">
        <f t="shared" si="131"/>
        <v>0</v>
      </c>
      <c r="Q400" s="177">
        <f t="shared" si="132"/>
        <v>0</v>
      </c>
      <c r="S400" s="233" t="b">
        <f t="shared" si="133"/>
        <v>0</v>
      </c>
    </row>
    <row r="401" spans="1:19">
      <c r="A401" s="126" t="s">
        <v>3742</v>
      </c>
      <c r="B401" s="126" t="str">
        <f t="shared" si="134"/>
        <v>D0321</v>
      </c>
      <c r="C401" s="126">
        <v>3432</v>
      </c>
      <c r="D401" s="126" t="s">
        <v>2043</v>
      </c>
      <c r="E401" s="126">
        <v>282</v>
      </c>
      <c r="F401" s="126">
        <v>0</v>
      </c>
      <c r="G401" s="126">
        <v>67</v>
      </c>
      <c r="H401" s="126">
        <v>0</v>
      </c>
      <c r="I401" s="126">
        <v>23.76</v>
      </c>
      <c r="J401" s="126">
        <v>0</v>
      </c>
      <c r="K401" s="126">
        <v>0</v>
      </c>
      <c r="L401" s="126">
        <f t="shared" si="127"/>
        <v>282</v>
      </c>
      <c r="M401" s="126">
        <f t="shared" si="128"/>
        <v>67</v>
      </c>
      <c r="N401" s="171">
        <f t="shared" si="129"/>
        <v>0.23760000000000001</v>
      </c>
      <c r="O401" s="132">
        <f t="shared" si="130"/>
        <v>0</v>
      </c>
      <c r="P401" s="177">
        <f t="shared" si="131"/>
        <v>0</v>
      </c>
      <c r="Q401" s="177">
        <f t="shared" si="132"/>
        <v>0</v>
      </c>
      <c r="S401" s="233" t="b">
        <f t="shared" si="133"/>
        <v>0</v>
      </c>
    </row>
    <row r="402" spans="1:19">
      <c r="A402" s="126" t="s">
        <v>3767</v>
      </c>
      <c r="B402" s="126" t="str">
        <f t="shared" si="134"/>
        <v>D0367</v>
      </c>
      <c r="C402" s="126">
        <v>4662</v>
      </c>
      <c r="D402" s="126" t="s">
        <v>2290</v>
      </c>
      <c r="E402" s="126">
        <v>414</v>
      </c>
      <c r="F402" s="126">
        <v>0</v>
      </c>
      <c r="G402" s="126">
        <v>230</v>
      </c>
      <c r="H402" s="126">
        <v>0</v>
      </c>
      <c r="I402" s="126">
        <v>55.56</v>
      </c>
      <c r="J402" s="126">
        <v>24.1</v>
      </c>
      <c r="K402" s="126">
        <v>0</v>
      </c>
      <c r="L402" s="126">
        <f t="shared" si="127"/>
        <v>414</v>
      </c>
      <c r="M402" s="126">
        <f t="shared" si="128"/>
        <v>230</v>
      </c>
      <c r="N402" s="171">
        <f t="shared" si="129"/>
        <v>0.55559999999999998</v>
      </c>
      <c r="O402" s="132">
        <f t="shared" si="130"/>
        <v>0</v>
      </c>
      <c r="P402" s="177">
        <f t="shared" si="131"/>
        <v>24.2</v>
      </c>
      <c r="Q402" s="177">
        <f t="shared" si="132"/>
        <v>24.2</v>
      </c>
      <c r="S402" s="233" t="b">
        <f t="shared" si="133"/>
        <v>0</v>
      </c>
    </row>
    <row r="403" spans="1:19">
      <c r="A403" s="126" t="s">
        <v>3767</v>
      </c>
      <c r="B403" s="126" t="str">
        <f t="shared" si="134"/>
        <v>D0367</v>
      </c>
      <c r="C403" s="126">
        <v>4664</v>
      </c>
      <c r="D403" s="126" t="s">
        <v>2292</v>
      </c>
      <c r="E403" s="126">
        <v>143</v>
      </c>
      <c r="F403" s="126">
        <v>0</v>
      </c>
      <c r="G403" s="126">
        <v>83</v>
      </c>
      <c r="H403" s="126">
        <v>0</v>
      </c>
      <c r="I403" s="126">
        <v>58.04</v>
      </c>
      <c r="J403" s="126">
        <v>8.6999999999999993</v>
      </c>
      <c r="K403" s="126">
        <v>0</v>
      </c>
      <c r="L403" s="126">
        <f t="shared" si="127"/>
        <v>143</v>
      </c>
      <c r="M403" s="126">
        <f t="shared" si="128"/>
        <v>83</v>
      </c>
      <c r="N403" s="171">
        <f t="shared" si="129"/>
        <v>0.58040000000000003</v>
      </c>
      <c r="O403" s="132">
        <f t="shared" si="130"/>
        <v>0</v>
      </c>
      <c r="P403" s="177">
        <f t="shared" si="131"/>
        <v>8.6999999999999993</v>
      </c>
      <c r="Q403" s="177">
        <f t="shared" si="132"/>
        <v>8.6999999999999993</v>
      </c>
      <c r="S403" s="233" t="b">
        <f t="shared" si="133"/>
        <v>0</v>
      </c>
    </row>
    <row r="404" spans="1:19">
      <c r="A404" s="126" t="s">
        <v>3767</v>
      </c>
      <c r="B404" s="126" t="str">
        <f t="shared" si="134"/>
        <v>D0367</v>
      </c>
      <c r="C404" s="126">
        <v>4665</v>
      </c>
      <c r="D404" s="126" t="s">
        <v>2294</v>
      </c>
      <c r="E404" s="126">
        <v>227</v>
      </c>
      <c r="F404" s="126">
        <v>0</v>
      </c>
      <c r="G404" s="126">
        <v>118</v>
      </c>
      <c r="H404" s="126">
        <v>0</v>
      </c>
      <c r="I404" s="126">
        <v>51.98</v>
      </c>
      <c r="J404" s="126">
        <v>12.4</v>
      </c>
      <c r="K404" s="126">
        <v>0</v>
      </c>
      <c r="L404" s="126">
        <f t="shared" si="127"/>
        <v>227</v>
      </c>
      <c r="M404" s="126">
        <f t="shared" si="128"/>
        <v>118</v>
      </c>
      <c r="N404" s="171">
        <f t="shared" si="129"/>
        <v>0.51980000000000004</v>
      </c>
      <c r="O404" s="132">
        <f t="shared" si="130"/>
        <v>0</v>
      </c>
      <c r="P404" s="177">
        <f t="shared" si="131"/>
        <v>12.4</v>
      </c>
      <c r="Q404" s="177">
        <f t="shared" si="132"/>
        <v>12.4</v>
      </c>
      <c r="S404" s="233" t="b">
        <f t="shared" si="133"/>
        <v>0</v>
      </c>
    </row>
    <row r="405" spans="1:19">
      <c r="A405" s="126" t="s">
        <v>3767</v>
      </c>
      <c r="B405" s="126" t="str">
        <f t="shared" si="134"/>
        <v>D0367</v>
      </c>
      <c r="C405" s="126">
        <v>4666</v>
      </c>
      <c r="D405" s="126" t="s">
        <v>2296</v>
      </c>
      <c r="E405" s="126">
        <v>348</v>
      </c>
      <c r="F405" s="126">
        <v>0</v>
      </c>
      <c r="G405" s="126">
        <v>164</v>
      </c>
      <c r="H405" s="126">
        <v>0</v>
      </c>
      <c r="I405" s="126">
        <v>47.13</v>
      </c>
      <c r="J405" s="126">
        <v>0</v>
      </c>
      <c r="K405" s="126">
        <v>13.9</v>
      </c>
      <c r="L405" s="126">
        <f t="shared" si="127"/>
        <v>348</v>
      </c>
      <c r="M405" s="126">
        <f t="shared" si="128"/>
        <v>164</v>
      </c>
      <c r="N405" s="171">
        <f t="shared" si="129"/>
        <v>0.4713</v>
      </c>
      <c r="O405" s="132">
        <f t="shared" si="130"/>
        <v>13.9</v>
      </c>
      <c r="P405" s="177">
        <f t="shared" si="131"/>
        <v>0</v>
      </c>
      <c r="Q405" s="177">
        <f t="shared" si="132"/>
        <v>13.9</v>
      </c>
      <c r="S405" s="233" t="b">
        <f t="shared" si="133"/>
        <v>0</v>
      </c>
    </row>
    <row r="406" spans="1:19">
      <c r="A406" s="126" t="s">
        <v>3768</v>
      </c>
      <c r="B406" s="126" t="str">
        <f t="shared" si="134"/>
        <v>D0388</v>
      </c>
      <c r="C406" s="126">
        <v>5236</v>
      </c>
      <c r="D406" s="126" t="s">
        <v>1283</v>
      </c>
      <c r="E406" s="126">
        <v>242</v>
      </c>
      <c r="F406" s="126">
        <v>0</v>
      </c>
      <c r="G406" s="126">
        <v>44</v>
      </c>
      <c r="H406" s="126">
        <v>0</v>
      </c>
      <c r="I406" s="126">
        <v>18.18</v>
      </c>
      <c r="J406" s="126">
        <v>0</v>
      </c>
      <c r="K406" s="126">
        <v>0</v>
      </c>
      <c r="L406" s="126">
        <f t="shared" si="127"/>
        <v>242</v>
      </c>
      <c r="M406" s="126">
        <f t="shared" si="128"/>
        <v>44</v>
      </c>
      <c r="N406" s="171">
        <f t="shared" si="129"/>
        <v>0.18179999999999999</v>
      </c>
      <c r="O406" s="132">
        <f t="shared" si="130"/>
        <v>0</v>
      </c>
      <c r="P406" s="177">
        <f t="shared" si="131"/>
        <v>0</v>
      </c>
      <c r="Q406" s="177">
        <f t="shared" si="132"/>
        <v>0</v>
      </c>
      <c r="S406" s="233" t="b">
        <f t="shared" si="133"/>
        <v>0</v>
      </c>
    </row>
    <row r="407" spans="1:19">
      <c r="A407" s="126" t="s">
        <v>3768</v>
      </c>
      <c r="B407" s="126" t="str">
        <f t="shared" si="134"/>
        <v>D0388</v>
      </c>
      <c r="C407" s="126">
        <v>5238</v>
      </c>
      <c r="D407" s="126" t="s">
        <v>2448</v>
      </c>
      <c r="E407" s="126">
        <v>217</v>
      </c>
      <c r="F407" s="126">
        <v>0</v>
      </c>
      <c r="G407" s="126">
        <v>45</v>
      </c>
      <c r="H407" s="126">
        <v>0</v>
      </c>
      <c r="I407" s="126">
        <v>20.74</v>
      </c>
      <c r="J407" s="126">
        <v>0</v>
      </c>
      <c r="K407" s="126">
        <v>0</v>
      </c>
      <c r="L407" s="126">
        <f t="shared" si="127"/>
        <v>217</v>
      </c>
      <c r="M407" s="126">
        <f t="shared" si="128"/>
        <v>45</v>
      </c>
      <c r="N407" s="171">
        <f t="shared" si="129"/>
        <v>0.2074</v>
      </c>
      <c r="O407" s="132">
        <f t="shared" si="130"/>
        <v>0</v>
      </c>
      <c r="P407" s="177">
        <f t="shared" si="131"/>
        <v>0</v>
      </c>
      <c r="Q407" s="177">
        <f t="shared" si="132"/>
        <v>0</v>
      </c>
      <c r="S407" s="233" t="b">
        <f t="shared" si="133"/>
        <v>0</v>
      </c>
    </row>
    <row r="408" spans="1:19">
      <c r="A408" s="126" t="s">
        <v>3769</v>
      </c>
      <c r="B408" s="126" t="str">
        <f t="shared" si="134"/>
        <v>D0389</v>
      </c>
      <c r="C408" s="126">
        <v>5268</v>
      </c>
      <c r="D408" s="126" t="s">
        <v>2450</v>
      </c>
      <c r="E408" s="126">
        <v>279</v>
      </c>
      <c r="F408" s="126">
        <v>0</v>
      </c>
      <c r="G408" s="126">
        <v>133</v>
      </c>
      <c r="H408" s="126">
        <v>0</v>
      </c>
      <c r="I408" s="126">
        <v>47.67</v>
      </c>
      <c r="J408" s="126">
        <v>0</v>
      </c>
      <c r="K408" s="126">
        <v>11.8</v>
      </c>
      <c r="L408" s="126">
        <f t="shared" si="127"/>
        <v>279</v>
      </c>
      <c r="M408" s="126">
        <f t="shared" si="128"/>
        <v>133</v>
      </c>
      <c r="N408" s="171">
        <f t="shared" si="129"/>
        <v>0.47670000000000001</v>
      </c>
      <c r="O408" s="132">
        <f t="shared" si="130"/>
        <v>11.8</v>
      </c>
      <c r="P408" s="177">
        <f t="shared" si="131"/>
        <v>0</v>
      </c>
      <c r="Q408" s="177">
        <f t="shared" si="132"/>
        <v>11.8</v>
      </c>
      <c r="S408" s="233" t="b">
        <f t="shared" si="133"/>
        <v>0</v>
      </c>
    </row>
    <row r="409" spans="1:19">
      <c r="A409" s="126" t="s">
        <v>3769</v>
      </c>
      <c r="B409" s="126" t="str">
        <f t="shared" si="134"/>
        <v>D0389</v>
      </c>
      <c r="C409" s="126">
        <v>5287</v>
      </c>
      <c r="D409" s="126" t="s">
        <v>2452</v>
      </c>
      <c r="E409" s="126">
        <v>382</v>
      </c>
      <c r="F409" s="126">
        <v>0</v>
      </c>
      <c r="G409" s="126">
        <v>223</v>
      </c>
      <c r="H409" s="126">
        <v>0</v>
      </c>
      <c r="I409" s="126">
        <v>58.38</v>
      </c>
      <c r="J409" s="126">
        <v>23.4</v>
      </c>
      <c r="K409" s="126">
        <v>0</v>
      </c>
      <c r="L409" s="126">
        <f t="shared" si="127"/>
        <v>382</v>
      </c>
      <c r="M409" s="126">
        <f t="shared" si="128"/>
        <v>223</v>
      </c>
      <c r="N409" s="171">
        <f t="shared" si="129"/>
        <v>0.58379999999999999</v>
      </c>
      <c r="O409" s="132">
        <f t="shared" si="130"/>
        <v>0</v>
      </c>
      <c r="P409" s="177">
        <f t="shared" si="131"/>
        <v>23.4</v>
      </c>
      <c r="Q409" s="177">
        <f t="shared" si="132"/>
        <v>23.4</v>
      </c>
      <c r="S409" s="233" t="b">
        <f t="shared" si="133"/>
        <v>0</v>
      </c>
    </row>
    <row r="410" spans="1:19">
      <c r="A410" s="126" t="s">
        <v>3770</v>
      </c>
      <c r="B410" s="126" t="str">
        <f t="shared" si="134"/>
        <v>D0428</v>
      </c>
      <c r="C410" s="126">
        <v>6256</v>
      </c>
      <c r="D410" s="126" t="s">
        <v>1026</v>
      </c>
      <c r="E410" s="126">
        <v>290</v>
      </c>
      <c r="F410" s="126">
        <v>0</v>
      </c>
      <c r="G410" s="126">
        <v>162</v>
      </c>
      <c r="H410" s="126">
        <v>0</v>
      </c>
      <c r="I410" s="126">
        <v>55.86</v>
      </c>
      <c r="J410" s="126">
        <v>17</v>
      </c>
      <c r="K410" s="126">
        <v>0</v>
      </c>
      <c r="L410" s="126">
        <f t="shared" si="127"/>
        <v>290</v>
      </c>
      <c r="M410" s="126">
        <f t="shared" si="128"/>
        <v>162</v>
      </c>
      <c r="N410" s="171">
        <f t="shared" si="129"/>
        <v>0.55859999999999999</v>
      </c>
      <c r="O410" s="132">
        <f t="shared" si="130"/>
        <v>0</v>
      </c>
      <c r="P410" s="177">
        <f t="shared" si="131"/>
        <v>17</v>
      </c>
      <c r="Q410" s="177">
        <f t="shared" si="132"/>
        <v>17</v>
      </c>
      <c r="S410" s="233" t="b">
        <f t="shared" si="133"/>
        <v>0</v>
      </c>
    </row>
    <row r="411" spans="1:19">
      <c r="A411" s="126" t="s">
        <v>3770</v>
      </c>
      <c r="B411" s="126" t="str">
        <f t="shared" si="134"/>
        <v>D0428</v>
      </c>
      <c r="C411" s="126">
        <v>6268</v>
      </c>
      <c r="D411" s="126" t="s">
        <v>1488</v>
      </c>
      <c r="E411" s="126">
        <v>289</v>
      </c>
      <c r="F411" s="126">
        <v>0</v>
      </c>
      <c r="G411" s="126">
        <v>107</v>
      </c>
      <c r="H411" s="126">
        <v>0</v>
      </c>
      <c r="I411" s="126">
        <v>37.020000000000003</v>
      </c>
      <c r="J411" s="126">
        <v>0</v>
      </c>
      <c r="K411" s="126">
        <v>1.5</v>
      </c>
      <c r="L411" s="126">
        <f t="shared" si="127"/>
        <v>289</v>
      </c>
      <c r="M411" s="126">
        <f t="shared" si="128"/>
        <v>107</v>
      </c>
      <c r="N411" s="171">
        <f t="shared" si="129"/>
        <v>0.37019999999999997</v>
      </c>
      <c r="O411" s="132">
        <f t="shared" si="130"/>
        <v>1.5</v>
      </c>
      <c r="P411" s="177">
        <f t="shared" si="131"/>
        <v>0</v>
      </c>
      <c r="Q411" s="177">
        <f t="shared" si="132"/>
        <v>1.5</v>
      </c>
      <c r="S411" s="233" t="b">
        <f t="shared" si="133"/>
        <v>0</v>
      </c>
    </row>
    <row r="412" spans="1:19">
      <c r="A412" s="126" t="s">
        <v>3770</v>
      </c>
      <c r="B412" s="126" t="str">
        <f t="shared" si="134"/>
        <v>D0428</v>
      </c>
      <c r="C412" s="126">
        <v>6270</v>
      </c>
      <c r="D412" s="126" t="s">
        <v>1490</v>
      </c>
      <c r="E412" s="126">
        <v>292</v>
      </c>
      <c r="F412" s="126">
        <v>0</v>
      </c>
      <c r="G412" s="126">
        <v>150</v>
      </c>
      <c r="H412" s="126">
        <v>0</v>
      </c>
      <c r="I412" s="126">
        <v>51.37</v>
      </c>
      <c r="J412" s="126">
        <v>15.7</v>
      </c>
      <c r="K412" s="126">
        <v>0</v>
      </c>
      <c r="L412" s="126">
        <f t="shared" si="127"/>
        <v>292</v>
      </c>
      <c r="M412" s="126">
        <f t="shared" si="128"/>
        <v>150</v>
      </c>
      <c r="N412" s="171">
        <f t="shared" si="129"/>
        <v>0.51370000000000005</v>
      </c>
      <c r="O412" s="132">
        <f t="shared" si="130"/>
        <v>0</v>
      </c>
      <c r="P412" s="177">
        <f t="shared" si="131"/>
        <v>15.8</v>
      </c>
      <c r="Q412" s="177">
        <f t="shared" si="132"/>
        <v>15.8</v>
      </c>
      <c r="S412" s="233" t="b">
        <f t="shared" si="133"/>
        <v>0</v>
      </c>
    </row>
    <row r="413" spans="1:19">
      <c r="A413" s="126" t="s">
        <v>3770</v>
      </c>
      <c r="B413" s="126" t="str">
        <f t="shared" si="134"/>
        <v>D0428</v>
      </c>
      <c r="C413" s="126">
        <v>6274</v>
      </c>
      <c r="D413" s="126" t="s">
        <v>2641</v>
      </c>
      <c r="E413" s="126">
        <v>267</v>
      </c>
      <c r="F413" s="126">
        <v>0</v>
      </c>
      <c r="G413" s="126">
        <v>199</v>
      </c>
      <c r="H413" s="126">
        <v>0</v>
      </c>
      <c r="I413" s="126">
        <v>74.53</v>
      </c>
      <c r="J413" s="126">
        <v>20.9</v>
      </c>
      <c r="K413" s="126">
        <v>0</v>
      </c>
      <c r="L413" s="126">
        <f t="shared" si="127"/>
        <v>267</v>
      </c>
      <c r="M413" s="126">
        <f t="shared" si="128"/>
        <v>199</v>
      </c>
      <c r="N413" s="171">
        <f t="shared" si="129"/>
        <v>0.74529999999999996</v>
      </c>
      <c r="O413" s="132">
        <f t="shared" si="130"/>
        <v>0</v>
      </c>
      <c r="P413" s="177">
        <f t="shared" si="131"/>
        <v>20.9</v>
      </c>
      <c r="Q413" s="177">
        <f t="shared" si="132"/>
        <v>20.9</v>
      </c>
      <c r="S413" s="233" t="b">
        <f t="shared" si="133"/>
        <v>0</v>
      </c>
    </row>
    <row r="414" spans="1:19">
      <c r="A414" s="126" t="s">
        <v>3770</v>
      </c>
      <c r="B414" s="126" t="str">
        <f t="shared" si="134"/>
        <v>D0428</v>
      </c>
      <c r="C414" s="126">
        <v>6276</v>
      </c>
      <c r="D414" s="126" t="s">
        <v>2643</v>
      </c>
      <c r="E414" s="126">
        <v>305</v>
      </c>
      <c r="F414" s="126">
        <v>0</v>
      </c>
      <c r="G414" s="126">
        <v>256</v>
      </c>
      <c r="H414" s="126">
        <v>0</v>
      </c>
      <c r="I414" s="126">
        <v>83.93</v>
      </c>
      <c r="J414" s="126">
        <v>26.9</v>
      </c>
      <c r="K414" s="126">
        <v>0</v>
      </c>
      <c r="L414" s="126">
        <f t="shared" si="127"/>
        <v>305</v>
      </c>
      <c r="M414" s="126">
        <f t="shared" si="128"/>
        <v>256</v>
      </c>
      <c r="N414" s="171">
        <f t="shared" si="129"/>
        <v>0.83930000000000005</v>
      </c>
      <c r="O414" s="132">
        <f t="shared" si="130"/>
        <v>0</v>
      </c>
      <c r="P414" s="177">
        <f t="shared" si="131"/>
        <v>26.9</v>
      </c>
      <c r="Q414" s="177">
        <f t="shared" si="132"/>
        <v>26.9</v>
      </c>
      <c r="S414" s="233" t="b">
        <f t="shared" si="133"/>
        <v>0</v>
      </c>
    </row>
    <row r="415" spans="1:19">
      <c r="A415" s="126" t="s">
        <v>3770</v>
      </c>
      <c r="B415" s="126" t="str">
        <f t="shared" si="134"/>
        <v>D0428</v>
      </c>
      <c r="C415" s="126">
        <v>6280</v>
      </c>
      <c r="D415" s="126" t="s">
        <v>2645</v>
      </c>
      <c r="E415" s="126">
        <v>440</v>
      </c>
      <c r="F415" s="126">
        <v>0</v>
      </c>
      <c r="G415" s="126">
        <v>251</v>
      </c>
      <c r="H415" s="126">
        <v>0</v>
      </c>
      <c r="I415" s="126">
        <v>57.05</v>
      </c>
      <c r="J415" s="126">
        <v>26.4</v>
      </c>
      <c r="K415" s="126">
        <v>0</v>
      </c>
      <c r="L415" s="126">
        <f t="shared" si="127"/>
        <v>440</v>
      </c>
      <c r="M415" s="126">
        <f t="shared" si="128"/>
        <v>251</v>
      </c>
      <c r="N415" s="171">
        <f t="shared" si="129"/>
        <v>0.57050000000000001</v>
      </c>
      <c r="O415" s="132">
        <f t="shared" si="130"/>
        <v>0</v>
      </c>
      <c r="P415" s="177">
        <f t="shared" si="131"/>
        <v>26.4</v>
      </c>
      <c r="Q415" s="177">
        <f t="shared" si="132"/>
        <v>26.4</v>
      </c>
      <c r="S415" s="233" t="b">
        <f t="shared" si="133"/>
        <v>0</v>
      </c>
    </row>
    <row r="416" spans="1:19">
      <c r="A416" s="126" t="s">
        <v>3770</v>
      </c>
      <c r="B416" s="126" t="str">
        <f t="shared" si="134"/>
        <v>D0428</v>
      </c>
      <c r="C416" s="126">
        <v>6284</v>
      </c>
      <c r="D416" s="126" t="s">
        <v>2647</v>
      </c>
      <c r="E416" s="126">
        <v>860</v>
      </c>
      <c r="F416" s="126">
        <v>0</v>
      </c>
      <c r="G416" s="126">
        <v>422</v>
      </c>
      <c r="H416" s="126">
        <v>0</v>
      </c>
      <c r="I416" s="126">
        <v>49.07</v>
      </c>
      <c r="J416" s="126">
        <v>0</v>
      </c>
      <c r="K416" s="126">
        <v>41.6</v>
      </c>
      <c r="L416" s="126">
        <f t="shared" si="127"/>
        <v>860</v>
      </c>
      <c r="M416" s="126">
        <f t="shared" si="128"/>
        <v>422</v>
      </c>
      <c r="N416" s="171">
        <f t="shared" si="129"/>
        <v>0.49070000000000003</v>
      </c>
      <c r="O416" s="132">
        <f t="shared" si="130"/>
        <v>41.6</v>
      </c>
      <c r="P416" s="177">
        <f t="shared" si="131"/>
        <v>0</v>
      </c>
      <c r="Q416" s="177">
        <f t="shared" si="132"/>
        <v>41.6</v>
      </c>
      <c r="S416" s="233" t="b">
        <f t="shared" si="133"/>
        <v>0</v>
      </c>
    </row>
    <row r="417" spans="1:19">
      <c r="A417" s="126" t="s">
        <v>3773</v>
      </c>
      <c r="B417" s="126" t="str">
        <f t="shared" si="134"/>
        <v>D0512</v>
      </c>
      <c r="C417" s="126">
        <v>8774</v>
      </c>
      <c r="D417" s="126" t="s">
        <v>3333</v>
      </c>
      <c r="E417" s="126">
        <v>343</v>
      </c>
      <c r="F417" s="126">
        <v>0</v>
      </c>
      <c r="G417" s="126">
        <v>103</v>
      </c>
      <c r="H417" s="126">
        <v>0</v>
      </c>
      <c r="I417" s="126">
        <v>30.03</v>
      </c>
      <c r="J417" s="126">
        <v>0</v>
      </c>
      <c r="K417" s="126">
        <v>0</v>
      </c>
      <c r="L417" s="126">
        <f t="shared" si="127"/>
        <v>343</v>
      </c>
      <c r="M417" s="126">
        <f t="shared" si="128"/>
        <v>103</v>
      </c>
      <c r="N417" s="171">
        <f t="shared" si="129"/>
        <v>0.30030000000000001</v>
      </c>
      <c r="O417" s="132">
        <f t="shared" si="130"/>
        <v>0</v>
      </c>
      <c r="P417" s="177">
        <f t="shared" si="131"/>
        <v>0</v>
      </c>
      <c r="Q417" s="177">
        <f t="shared" si="132"/>
        <v>0</v>
      </c>
      <c r="S417" s="233" t="b">
        <f t="shared" si="133"/>
        <v>0</v>
      </c>
    </row>
    <row r="418" spans="1:19">
      <c r="A418" s="126" t="s">
        <v>3773</v>
      </c>
      <c r="B418" s="126" t="str">
        <f t="shared" si="134"/>
        <v>D0512</v>
      </c>
      <c r="C418" s="126">
        <v>8776</v>
      </c>
      <c r="D418" s="126" t="s">
        <v>3335</v>
      </c>
      <c r="E418" s="126">
        <v>572</v>
      </c>
      <c r="F418" s="126">
        <v>0</v>
      </c>
      <c r="G418" s="126">
        <v>308</v>
      </c>
      <c r="H418" s="126">
        <v>0</v>
      </c>
      <c r="I418" s="126">
        <v>53.85</v>
      </c>
      <c r="J418" s="126">
        <v>32.299999999999997</v>
      </c>
      <c r="K418" s="126">
        <v>0</v>
      </c>
      <c r="L418" s="126">
        <f t="shared" si="127"/>
        <v>572</v>
      </c>
      <c r="M418" s="126">
        <f t="shared" si="128"/>
        <v>308</v>
      </c>
      <c r="N418" s="171">
        <f t="shared" si="129"/>
        <v>0.53849999999999998</v>
      </c>
      <c r="O418" s="132">
        <f t="shared" si="130"/>
        <v>0</v>
      </c>
      <c r="P418" s="177">
        <f t="shared" si="131"/>
        <v>32.299999999999997</v>
      </c>
      <c r="Q418" s="177">
        <f t="shared" si="132"/>
        <v>32.299999999999997</v>
      </c>
      <c r="S418" s="233" t="b">
        <f t="shared" si="133"/>
        <v>0</v>
      </c>
    </row>
    <row r="419" spans="1:19">
      <c r="A419" s="126" t="s">
        <v>3773</v>
      </c>
      <c r="B419" s="126" t="str">
        <f t="shared" si="134"/>
        <v>D0512</v>
      </c>
      <c r="C419" s="126">
        <v>8782</v>
      </c>
      <c r="D419" s="126" t="s">
        <v>3337</v>
      </c>
      <c r="E419" s="126">
        <v>481</v>
      </c>
      <c r="F419" s="126">
        <v>0</v>
      </c>
      <c r="G419" s="126">
        <v>24</v>
      </c>
      <c r="H419" s="126">
        <v>0</v>
      </c>
      <c r="I419" s="126">
        <v>4.99</v>
      </c>
      <c r="J419" s="126">
        <v>0</v>
      </c>
      <c r="K419" s="126">
        <v>0</v>
      </c>
      <c r="L419" s="126">
        <f t="shared" si="127"/>
        <v>481</v>
      </c>
      <c r="M419" s="126">
        <f t="shared" si="128"/>
        <v>24</v>
      </c>
      <c r="N419" s="171">
        <f t="shared" si="129"/>
        <v>4.99E-2</v>
      </c>
      <c r="O419" s="132">
        <f t="shared" si="130"/>
        <v>0</v>
      </c>
      <c r="P419" s="177">
        <f t="shared" si="131"/>
        <v>0</v>
      </c>
      <c r="Q419" s="177">
        <f t="shared" si="132"/>
        <v>0</v>
      </c>
      <c r="S419" s="233" t="b">
        <f t="shared" si="133"/>
        <v>0</v>
      </c>
    </row>
    <row r="420" spans="1:19">
      <c r="A420" s="126" t="s">
        <v>3773</v>
      </c>
      <c r="B420" s="126" t="str">
        <f t="shared" si="134"/>
        <v>D0512</v>
      </c>
      <c r="C420" s="126">
        <v>8784</v>
      </c>
      <c r="D420" s="126" t="s">
        <v>3339</v>
      </c>
      <c r="E420" s="126">
        <v>402</v>
      </c>
      <c r="F420" s="126">
        <v>0</v>
      </c>
      <c r="G420" s="126">
        <v>135</v>
      </c>
      <c r="H420" s="126">
        <v>0</v>
      </c>
      <c r="I420" s="126">
        <v>33.58</v>
      </c>
      <c r="J420" s="126">
        <v>0</v>
      </c>
      <c r="K420" s="126">
        <v>0</v>
      </c>
      <c r="L420" s="126">
        <f t="shared" si="127"/>
        <v>402</v>
      </c>
      <c r="M420" s="126">
        <f t="shared" si="128"/>
        <v>135</v>
      </c>
      <c r="N420" s="171">
        <f t="shared" si="129"/>
        <v>0.33579999999999999</v>
      </c>
      <c r="O420" s="132">
        <f t="shared" si="130"/>
        <v>0</v>
      </c>
      <c r="P420" s="177">
        <f t="shared" si="131"/>
        <v>0</v>
      </c>
      <c r="Q420" s="177">
        <f t="shared" si="132"/>
        <v>0</v>
      </c>
      <c r="S420" s="233" t="b">
        <f t="shared" si="133"/>
        <v>0</v>
      </c>
    </row>
    <row r="421" spans="1:19">
      <c r="A421" s="126" t="s">
        <v>3773</v>
      </c>
      <c r="B421" s="126" t="str">
        <f t="shared" si="134"/>
        <v>D0512</v>
      </c>
      <c r="C421" s="126">
        <v>8786</v>
      </c>
      <c r="D421" s="126" t="s">
        <v>1273</v>
      </c>
      <c r="E421" s="126">
        <v>594</v>
      </c>
      <c r="F421" s="126">
        <v>0</v>
      </c>
      <c r="G421" s="126">
        <v>75</v>
      </c>
      <c r="H421" s="126">
        <v>0</v>
      </c>
      <c r="I421" s="126">
        <v>12.63</v>
      </c>
      <c r="J421" s="126">
        <v>0</v>
      </c>
      <c r="K421" s="126">
        <v>0</v>
      </c>
      <c r="L421" s="126">
        <f t="shared" si="127"/>
        <v>594</v>
      </c>
      <c r="M421" s="126">
        <f t="shared" si="128"/>
        <v>75</v>
      </c>
      <c r="N421" s="171">
        <f t="shared" si="129"/>
        <v>0.1263</v>
      </c>
      <c r="O421" s="132">
        <f t="shared" si="130"/>
        <v>0</v>
      </c>
      <c r="P421" s="177">
        <f t="shared" si="131"/>
        <v>0</v>
      </c>
      <c r="Q421" s="177">
        <f t="shared" si="132"/>
        <v>0</v>
      </c>
      <c r="S421" s="233" t="b">
        <f t="shared" si="133"/>
        <v>0</v>
      </c>
    </row>
    <row r="422" spans="1:19">
      <c r="A422" s="126" t="s">
        <v>3773</v>
      </c>
      <c r="B422" s="126" t="str">
        <f t="shared" si="134"/>
        <v>D0512</v>
      </c>
      <c r="C422" s="126">
        <v>8787</v>
      </c>
      <c r="D422" s="126" t="s">
        <v>3088</v>
      </c>
      <c r="E422" s="126">
        <v>361</v>
      </c>
      <c r="F422" s="126">
        <v>0</v>
      </c>
      <c r="G422" s="126">
        <v>143</v>
      </c>
      <c r="H422" s="126">
        <v>0</v>
      </c>
      <c r="I422" s="126">
        <v>39.61</v>
      </c>
      <c r="J422" s="126">
        <v>0</v>
      </c>
      <c r="K422" s="126">
        <v>4.5999999999999996</v>
      </c>
      <c r="L422" s="126">
        <f t="shared" si="127"/>
        <v>361</v>
      </c>
      <c r="M422" s="126">
        <f t="shared" si="128"/>
        <v>143</v>
      </c>
      <c r="N422" s="171">
        <f t="shared" si="129"/>
        <v>0.39610000000000001</v>
      </c>
      <c r="O422" s="132">
        <f t="shared" si="130"/>
        <v>4.5999999999999996</v>
      </c>
      <c r="P422" s="177">
        <f t="shared" si="131"/>
        <v>0</v>
      </c>
      <c r="Q422" s="177">
        <f t="shared" si="132"/>
        <v>4.5999999999999996</v>
      </c>
      <c r="S422" s="233" t="b">
        <f t="shared" si="133"/>
        <v>0</v>
      </c>
    </row>
    <row r="423" spans="1:19">
      <c r="A423" s="126" t="s">
        <v>3773</v>
      </c>
      <c r="B423" s="126" t="str">
        <f t="shared" si="134"/>
        <v>D0512</v>
      </c>
      <c r="C423" s="126">
        <v>8788</v>
      </c>
      <c r="D423" s="126" t="s">
        <v>3343</v>
      </c>
      <c r="E423" s="126">
        <v>572</v>
      </c>
      <c r="F423" s="126">
        <v>0</v>
      </c>
      <c r="G423" s="126">
        <v>204</v>
      </c>
      <c r="H423" s="126">
        <v>0</v>
      </c>
      <c r="I423" s="126">
        <v>35.659999999999997</v>
      </c>
      <c r="J423" s="126">
        <v>0</v>
      </c>
      <c r="K423" s="126">
        <v>0.9</v>
      </c>
      <c r="L423" s="126">
        <f t="shared" si="127"/>
        <v>572</v>
      </c>
      <c r="M423" s="126">
        <f t="shared" si="128"/>
        <v>204</v>
      </c>
      <c r="N423" s="171">
        <f t="shared" si="129"/>
        <v>0.35659999999999997</v>
      </c>
      <c r="O423" s="132">
        <f t="shared" si="130"/>
        <v>0.9</v>
      </c>
      <c r="P423" s="177">
        <f t="shared" si="131"/>
        <v>0</v>
      </c>
      <c r="Q423" s="177">
        <f t="shared" si="132"/>
        <v>0.9</v>
      </c>
      <c r="S423" s="233" t="b">
        <f t="shared" si="133"/>
        <v>0</v>
      </c>
    </row>
    <row r="424" spans="1:19">
      <c r="A424" s="126" t="s">
        <v>3773</v>
      </c>
      <c r="B424" s="126" t="str">
        <f t="shared" si="134"/>
        <v>D0512</v>
      </c>
      <c r="C424" s="126">
        <v>8790</v>
      </c>
      <c r="D424" s="126" t="s">
        <v>3345</v>
      </c>
      <c r="E424" s="126">
        <v>401</v>
      </c>
      <c r="F424" s="126">
        <v>0</v>
      </c>
      <c r="G424" s="126">
        <v>8</v>
      </c>
      <c r="H424" s="126">
        <v>0</v>
      </c>
      <c r="I424" s="126">
        <v>2</v>
      </c>
      <c r="J424" s="126">
        <v>0</v>
      </c>
      <c r="K424" s="126">
        <v>0</v>
      </c>
      <c r="L424" s="126">
        <f t="shared" si="127"/>
        <v>401</v>
      </c>
      <c r="M424" s="126">
        <f t="shared" si="128"/>
        <v>8</v>
      </c>
      <c r="N424" s="171">
        <f t="shared" si="129"/>
        <v>0.02</v>
      </c>
      <c r="O424" s="132">
        <f t="shared" si="130"/>
        <v>0</v>
      </c>
      <c r="P424" s="177">
        <f t="shared" si="131"/>
        <v>0</v>
      </c>
      <c r="Q424" s="177">
        <f t="shared" si="132"/>
        <v>0</v>
      </c>
      <c r="S424" s="233" t="b">
        <f t="shared" si="133"/>
        <v>0</v>
      </c>
    </row>
    <row r="425" spans="1:19">
      <c r="A425" s="126" t="s">
        <v>3773</v>
      </c>
      <c r="B425" s="126" t="str">
        <f t="shared" si="134"/>
        <v>D0512</v>
      </c>
      <c r="C425" s="126">
        <v>8791</v>
      </c>
      <c r="D425" s="126" t="s">
        <v>3347</v>
      </c>
      <c r="E425" s="126">
        <v>420</v>
      </c>
      <c r="F425" s="126">
        <v>0</v>
      </c>
      <c r="G425" s="126">
        <v>58</v>
      </c>
      <c r="H425" s="126">
        <v>0</v>
      </c>
      <c r="I425" s="126">
        <v>13.81</v>
      </c>
      <c r="J425" s="126">
        <v>0</v>
      </c>
      <c r="K425" s="126">
        <v>0</v>
      </c>
      <c r="L425" s="126">
        <f t="shared" si="127"/>
        <v>420</v>
      </c>
      <c r="M425" s="126">
        <f t="shared" si="128"/>
        <v>58</v>
      </c>
      <c r="N425" s="171">
        <f t="shared" si="129"/>
        <v>0.1381</v>
      </c>
      <c r="O425" s="132">
        <f t="shared" si="130"/>
        <v>0</v>
      </c>
      <c r="P425" s="177">
        <f t="shared" si="131"/>
        <v>0</v>
      </c>
      <c r="Q425" s="177">
        <f t="shared" si="132"/>
        <v>0</v>
      </c>
      <c r="S425" s="233" t="b">
        <f t="shared" si="133"/>
        <v>0</v>
      </c>
    </row>
    <row r="426" spans="1:19">
      <c r="A426" s="126" t="s">
        <v>3773</v>
      </c>
      <c r="B426" s="126" t="str">
        <f t="shared" si="134"/>
        <v>D0512</v>
      </c>
      <c r="C426" s="126">
        <v>8793</v>
      </c>
      <c r="D426" s="126" t="s">
        <v>3349</v>
      </c>
      <c r="E426" s="126">
        <v>463</v>
      </c>
      <c r="F426" s="126">
        <v>0</v>
      </c>
      <c r="G426" s="126">
        <v>307</v>
      </c>
      <c r="H426" s="126">
        <v>0</v>
      </c>
      <c r="I426" s="126">
        <v>66.31</v>
      </c>
      <c r="J426" s="126">
        <v>32.200000000000003</v>
      </c>
      <c r="K426" s="126">
        <v>0</v>
      </c>
      <c r="L426" s="126">
        <f t="shared" ref="L426:L460" si="135">SUM(E426:F426)</f>
        <v>463</v>
      </c>
      <c r="M426" s="126">
        <f t="shared" ref="M426:M460" si="136">SUM(G426:H426)</f>
        <v>307</v>
      </c>
      <c r="N426" s="171">
        <f t="shared" ref="N426:N460" si="137">IF(ISERROR(M426/L426),0,M426/L426)</f>
        <v>0.66310000000000002</v>
      </c>
      <c r="O426" s="132">
        <f t="shared" ref="O426:O460" si="138">IF(AND((N426-35%)&gt;0,N426&lt;50%),M426*(N426-35%)*0.7,0)</f>
        <v>0</v>
      </c>
      <c r="P426" s="177">
        <f t="shared" ref="P426:P460" si="139">IF(N426&gt;=50%,M426*10.5%,0)</f>
        <v>32.200000000000003</v>
      </c>
      <c r="Q426" s="177">
        <f t="shared" ref="Q426:Q460" si="140">MAX(O426,P426)</f>
        <v>32.200000000000003</v>
      </c>
      <c r="S426" s="233" t="b">
        <f t="shared" si="133"/>
        <v>0</v>
      </c>
    </row>
    <row r="427" spans="1:19">
      <c r="A427" s="126" t="s">
        <v>3773</v>
      </c>
      <c r="B427" s="126" t="str">
        <f t="shared" si="134"/>
        <v>D0512</v>
      </c>
      <c r="C427" s="126">
        <v>8794</v>
      </c>
      <c r="D427" s="126" t="s">
        <v>3351</v>
      </c>
      <c r="E427" s="126">
        <v>558</v>
      </c>
      <c r="F427" s="126">
        <v>0</v>
      </c>
      <c r="G427" s="126">
        <v>8</v>
      </c>
      <c r="H427" s="126">
        <v>0</v>
      </c>
      <c r="I427" s="126">
        <v>1.43</v>
      </c>
      <c r="J427" s="126">
        <v>0</v>
      </c>
      <c r="K427" s="126">
        <v>0</v>
      </c>
      <c r="L427" s="126">
        <f t="shared" si="135"/>
        <v>558</v>
      </c>
      <c r="M427" s="126">
        <f t="shared" si="136"/>
        <v>8</v>
      </c>
      <c r="N427" s="171">
        <f t="shared" si="137"/>
        <v>1.43E-2</v>
      </c>
      <c r="O427" s="132">
        <f t="shared" si="138"/>
        <v>0</v>
      </c>
      <c r="P427" s="177">
        <f t="shared" si="139"/>
        <v>0</v>
      </c>
      <c r="Q427" s="177">
        <f t="shared" si="140"/>
        <v>0</v>
      </c>
      <c r="S427" s="233" t="b">
        <f t="shared" si="133"/>
        <v>0</v>
      </c>
    </row>
    <row r="428" spans="1:19">
      <c r="A428" s="126" t="s">
        <v>3773</v>
      </c>
      <c r="B428" s="126" t="str">
        <f t="shared" si="134"/>
        <v>D0512</v>
      </c>
      <c r="C428" s="126">
        <v>8796</v>
      </c>
      <c r="D428" s="126" t="s">
        <v>3353</v>
      </c>
      <c r="E428" s="126">
        <v>367</v>
      </c>
      <c r="F428" s="126">
        <v>0</v>
      </c>
      <c r="G428" s="126">
        <v>163</v>
      </c>
      <c r="H428" s="126">
        <v>0</v>
      </c>
      <c r="I428" s="126">
        <v>44.41</v>
      </c>
      <c r="J428" s="126">
        <v>0</v>
      </c>
      <c r="K428" s="126">
        <v>10.7</v>
      </c>
      <c r="L428" s="126">
        <f t="shared" si="135"/>
        <v>367</v>
      </c>
      <c r="M428" s="126">
        <f t="shared" si="136"/>
        <v>163</v>
      </c>
      <c r="N428" s="171">
        <f t="shared" si="137"/>
        <v>0.44409999999999999</v>
      </c>
      <c r="O428" s="132">
        <f t="shared" si="138"/>
        <v>10.7</v>
      </c>
      <c r="P428" s="177">
        <f t="shared" si="139"/>
        <v>0</v>
      </c>
      <c r="Q428" s="177">
        <f t="shared" si="140"/>
        <v>10.7</v>
      </c>
      <c r="S428" s="233" t="b">
        <f t="shared" si="133"/>
        <v>0</v>
      </c>
    </row>
    <row r="429" spans="1:19">
      <c r="A429" s="126" t="s">
        <v>3773</v>
      </c>
      <c r="B429" s="126" t="str">
        <f t="shared" si="134"/>
        <v>D0512</v>
      </c>
      <c r="C429" s="126">
        <v>8805</v>
      </c>
      <c r="D429" s="126" t="s">
        <v>3615</v>
      </c>
      <c r="E429" s="126">
        <v>224</v>
      </c>
      <c r="F429" s="126">
        <v>0</v>
      </c>
      <c r="G429" s="126">
        <v>75</v>
      </c>
      <c r="H429" s="126">
        <v>0</v>
      </c>
      <c r="I429" s="126">
        <v>33.479999999999997</v>
      </c>
      <c r="J429" s="126">
        <v>0</v>
      </c>
      <c r="K429" s="126">
        <v>0</v>
      </c>
      <c r="L429" s="126">
        <f t="shared" si="135"/>
        <v>224</v>
      </c>
      <c r="M429" s="126">
        <f t="shared" si="136"/>
        <v>75</v>
      </c>
      <c r="N429" s="171">
        <f t="shared" si="137"/>
        <v>0.33479999999999999</v>
      </c>
      <c r="O429" s="132">
        <f t="shared" si="138"/>
        <v>0</v>
      </c>
      <c r="P429" s="177">
        <f t="shared" si="139"/>
        <v>0</v>
      </c>
      <c r="Q429" s="177">
        <f t="shared" si="140"/>
        <v>0</v>
      </c>
      <c r="S429" s="233" t="b">
        <f t="shared" si="133"/>
        <v>0</v>
      </c>
    </row>
    <row r="430" spans="1:19">
      <c r="A430" s="126" t="s">
        <v>3773</v>
      </c>
      <c r="B430" s="126" t="str">
        <f t="shared" si="134"/>
        <v>D0512</v>
      </c>
      <c r="C430" s="126">
        <v>8806</v>
      </c>
      <c r="D430" s="126" t="s">
        <v>3355</v>
      </c>
      <c r="E430" s="126">
        <v>337</v>
      </c>
      <c r="F430" s="126">
        <v>0</v>
      </c>
      <c r="G430" s="126">
        <v>31</v>
      </c>
      <c r="H430" s="126">
        <v>0</v>
      </c>
      <c r="I430" s="126">
        <v>9.1999999999999993</v>
      </c>
      <c r="J430" s="126">
        <v>0</v>
      </c>
      <c r="K430" s="126">
        <v>0</v>
      </c>
      <c r="L430" s="126">
        <f t="shared" si="135"/>
        <v>337</v>
      </c>
      <c r="M430" s="126">
        <f t="shared" si="136"/>
        <v>31</v>
      </c>
      <c r="N430" s="171">
        <f t="shared" si="137"/>
        <v>9.1999999999999998E-2</v>
      </c>
      <c r="O430" s="132">
        <f t="shared" si="138"/>
        <v>0</v>
      </c>
      <c r="P430" s="177">
        <f t="shared" si="139"/>
        <v>0</v>
      </c>
      <c r="Q430" s="177">
        <f t="shared" si="140"/>
        <v>0</v>
      </c>
      <c r="S430" s="233" t="b">
        <f t="shared" si="133"/>
        <v>0</v>
      </c>
    </row>
    <row r="431" spans="1:19">
      <c r="A431" s="126" t="s">
        <v>3773</v>
      </c>
      <c r="B431" s="126" t="str">
        <f t="shared" si="134"/>
        <v>D0512</v>
      </c>
      <c r="C431" s="126">
        <v>8808</v>
      </c>
      <c r="D431" s="126" t="s">
        <v>3357</v>
      </c>
      <c r="E431" s="126">
        <v>411</v>
      </c>
      <c r="F431" s="126">
        <v>0</v>
      </c>
      <c r="G431" s="126">
        <v>99</v>
      </c>
      <c r="H431" s="126">
        <v>0</v>
      </c>
      <c r="I431" s="126">
        <v>24.09</v>
      </c>
      <c r="J431" s="126">
        <v>0</v>
      </c>
      <c r="K431" s="126">
        <v>0</v>
      </c>
      <c r="L431" s="126">
        <f t="shared" si="135"/>
        <v>411</v>
      </c>
      <c r="M431" s="126">
        <f t="shared" si="136"/>
        <v>99</v>
      </c>
      <c r="N431" s="171">
        <f t="shared" si="137"/>
        <v>0.2409</v>
      </c>
      <c r="O431" s="132">
        <f t="shared" si="138"/>
        <v>0</v>
      </c>
      <c r="P431" s="177">
        <f t="shared" si="139"/>
        <v>0</v>
      </c>
      <c r="Q431" s="177">
        <f t="shared" si="140"/>
        <v>0</v>
      </c>
      <c r="S431" s="233" t="b">
        <f t="shared" si="133"/>
        <v>0</v>
      </c>
    </row>
    <row r="432" spans="1:19">
      <c r="A432" s="126" t="s">
        <v>3773</v>
      </c>
      <c r="B432" s="126" t="str">
        <f t="shared" si="134"/>
        <v>D0512</v>
      </c>
      <c r="C432" s="126">
        <v>8812</v>
      </c>
      <c r="D432" s="126" t="s">
        <v>3359</v>
      </c>
      <c r="E432" s="126">
        <v>518</v>
      </c>
      <c r="F432" s="126">
        <v>0</v>
      </c>
      <c r="G432" s="126">
        <v>350</v>
      </c>
      <c r="H432" s="126">
        <v>0</v>
      </c>
      <c r="I432" s="126">
        <v>67.569999999999993</v>
      </c>
      <c r="J432" s="126">
        <v>36.799999999999997</v>
      </c>
      <c r="K432" s="126">
        <v>0</v>
      </c>
      <c r="L432" s="126">
        <f t="shared" si="135"/>
        <v>518</v>
      </c>
      <c r="M432" s="126">
        <f t="shared" si="136"/>
        <v>350</v>
      </c>
      <c r="N432" s="171">
        <f t="shared" si="137"/>
        <v>0.67569999999999997</v>
      </c>
      <c r="O432" s="132">
        <f t="shared" si="138"/>
        <v>0</v>
      </c>
      <c r="P432" s="177">
        <f t="shared" si="139"/>
        <v>36.799999999999997</v>
      </c>
      <c r="Q432" s="177">
        <f t="shared" si="140"/>
        <v>36.799999999999997</v>
      </c>
      <c r="S432" s="233" t="b">
        <f t="shared" si="133"/>
        <v>0</v>
      </c>
    </row>
    <row r="433" spans="1:19">
      <c r="A433" s="126" t="s">
        <v>3773</v>
      </c>
      <c r="B433" s="126" t="str">
        <f t="shared" si="134"/>
        <v>D0512</v>
      </c>
      <c r="C433" s="126">
        <v>8815</v>
      </c>
      <c r="D433" s="126" t="s">
        <v>3361</v>
      </c>
      <c r="E433" s="126">
        <v>474</v>
      </c>
      <c r="F433" s="126">
        <v>0</v>
      </c>
      <c r="G433" s="126">
        <v>203</v>
      </c>
      <c r="H433" s="126">
        <v>0</v>
      </c>
      <c r="I433" s="126">
        <v>42.83</v>
      </c>
      <c r="J433" s="126">
        <v>0</v>
      </c>
      <c r="K433" s="126">
        <v>11.1</v>
      </c>
      <c r="L433" s="126">
        <f t="shared" si="135"/>
        <v>474</v>
      </c>
      <c r="M433" s="126">
        <f t="shared" si="136"/>
        <v>203</v>
      </c>
      <c r="N433" s="171">
        <f t="shared" si="137"/>
        <v>0.42830000000000001</v>
      </c>
      <c r="O433" s="132">
        <f t="shared" si="138"/>
        <v>11.1</v>
      </c>
      <c r="P433" s="177">
        <f t="shared" si="139"/>
        <v>0</v>
      </c>
      <c r="Q433" s="177">
        <f t="shared" si="140"/>
        <v>11.1</v>
      </c>
      <c r="S433" s="233" t="b">
        <f t="shared" si="133"/>
        <v>0</v>
      </c>
    </row>
    <row r="434" spans="1:19">
      <c r="A434" s="126" t="s">
        <v>3773</v>
      </c>
      <c r="B434" s="126" t="str">
        <f t="shared" si="134"/>
        <v>D0512</v>
      </c>
      <c r="C434" s="126">
        <v>8816</v>
      </c>
      <c r="D434" s="126" t="s">
        <v>3363</v>
      </c>
      <c r="E434" s="126">
        <v>540</v>
      </c>
      <c r="F434" s="126">
        <v>0</v>
      </c>
      <c r="G434" s="126">
        <v>84</v>
      </c>
      <c r="H434" s="126">
        <v>0</v>
      </c>
      <c r="I434" s="126">
        <v>15.56</v>
      </c>
      <c r="J434" s="126">
        <v>0</v>
      </c>
      <c r="K434" s="126">
        <v>0</v>
      </c>
      <c r="L434" s="126">
        <f t="shared" si="135"/>
        <v>540</v>
      </c>
      <c r="M434" s="126">
        <f t="shared" si="136"/>
        <v>84</v>
      </c>
      <c r="N434" s="171">
        <f t="shared" si="137"/>
        <v>0.15559999999999999</v>
      </c>
      <c r="O434" s="132">
        <f t="shared" si="138"/>
        <v>0</v>
      </c>
      <c r="P434" s="177">
        <f t="shared" si="139"/>
        <v>0</v>
      </c>
      <c r="Q434" s="177">
        <f t="shared" si="140"/>
        <v>0</v>
      </c>
      <c r="S434" s="233" t="b">
        <f t="shared" si="133"/>
        <v>0</v>
      </c>
    </row>
    <row r="435" spans="1:19">
      <c r="A435" s="126" t="s">
        <v>3773</v>
      </c>
      <c r="B435" s="126" t="str">
        <f t="shared" si="134"/>
        <v>D0512</v>
      </c>
      <c r="C435" s="126">
        <v>8819</v>
      </c>
      <c r="D435" s="126" t="s">
        <v>3365</v>
      </c>
      <c r="E435" s="126">
        <v>518</v>
      </c>
      <c r="F435" s="126">
        <v>0</v>
      </c>
      <c r="G435" s="126">
        <v>66</v>
      </c>
      <c r="H435" s="126">
        <v>0</v>
      </c>
      <c r="I435" s="126">
        <v>12.74</v>
      </c>
      <c r="J435" s="126">
        <v>0</v>
      </c>
      <c r="K435" s="126">
        <v>0</v>
      </c>
      <c r="L435" s="126">
        <f t="shared" si="135"/>
        <v>518</v>
      </c>
      <c r="M435" s="126">
        <f t="shared" si="136"/>
        <v>66</v>
      </c>
      <c r="N435" s="171">
        <f t="shared" si="137"/>
        <v>0.12740000000000001</v>
      </c>
      <c r="O435" s="132">
        <f t="shared" si="138"/>
        <v>0</v>
      </c>
      <c r="P435" s="177">
        <f t="shared" si="139"/>
        <v>0</v>
      </c>
      <c r="Q435" s="177">
        <f t="shared" si="140"/>
        <v>0</v>
      </c>
      <c r="S435" s="233" t="b">
        <f t="shared" si="133"/>
        <v>0</v>
      </c>
    </row>
    <row r="436" spans="1:19">
      <c r="A436" s="126" t="s">
        <v>3773</v>
      </c>
      <c r="B436" s="126" t="str">
        <f t="shared" si="134"/>
        <v>D0512</v>
      </c>
      <c r="C436" s="126">
        <v>8822</v>
      </c>
      <c r="D436" s="126" t="s">
        <v>3367</v>
      </c>
      <c r="E436" s="126">
        <v>472</v>
      </c>
      <c r="F436" s="126">
        <v>0</v>
      </c>
      <c r="G436" s="126">
        <v>229</v>
      </c>
      <c r="H436" s="126">
        <v>0</v>
      </c>
      <c r="I436" s="126">
        <v>48.52</v>
      </c>
      <c r="J436" s="126">
        <v>0</v>
      </c>
      <c r="K436" s="126">
        <v>21.7</v>
      </c>
      <c r="L436" s="126">
        <f t="shared" si="135"/>
        <v>472</v>
      </c>
      <c r="M436" s="126">
        <f t="shared" si="136"/>
        <v>229</v>
      </c>
      <c r="N436" s="171">
        <f t="shared" si="137"/>
        <v>0.48520000000000002</v>
      </c>
      <c r="O436" s="132">
        <f t="shared" si="138"/>
        <v>21.7</v>
      </c>
      <c r="P436" s="177">
        <f t="shared" si="139"/>
        <v>0</v>
      </c>
      <c r="Q436" s="177">
        <f t="shared" si="140"/>
        <v>21.7</v>
      </c>
      <c r="S436" s="233" t="b">
        <f t="shared" si="133"/>
        <v>0</v>
      </c>
    </row>
    <row r="437" spans="1:19">
      <c r="A437" s="126" t="s">
        <v>3773</v>
      </c>
      <c r="B437" s="126" t="str">
        <f t="shared" si="134"/>
        <v>D0512</v>
      </c>
      <c r="C437" s="126">
        <v>8824</v>
      </c>
      <c r="D437" s="126" t="s">
        <v>3369</v>
      </c>
      <c r="E437" s="126">
        <v>547</v>
      </c>
      <c r="F437" s="126">
        <v>0</v>
      </c>
      <c r="G437" s="126">
        <v>82</v>
      </c>
      <c r="H437" s="126">
        <v>0</v>
      </c>
      <c r="I437" s="126">
        <v>14.99</v>
      </c>
      <c r="J437" s="126">
        <v>0</v>
      </c>
      <c r="K437" s="126">
        <v>0</v>
      </c>
      <c r="L437" s="126">
        <f t="shared" si="135"/>
        <v>547</v>
      </c>
      <c r="M437" s="126">
        <f t="shared" si="136"/>
        <v>82</v>
      </c>
      <c r="N437" s="171">
        <f t="shared" si="137"/>
        <v>0.14990000000000001</v>
      </c>
      <c r="O437" s="132">
        <f t="shared" si="138"/>
        <v>0</v>
      </c>
      <c r="P437" s="177">
        <f t="shared" si="139"/>
        <v>0</v>
      </c>
      <c r="Q437" s="177">
        <f t="shared" si="140"/>
        <v>0</v>
      </c>
      <c r="S437" s="233" t="b">
        <f t="shared" si="133"/>
        <v>0</v>
      </c>
    </row>
    <row r="438" spans="1:19">
      <c r="A438" s="126" t="s">
        <v>3773</v>
      </c>
      <c r="B438" s="126" t="str">
        <f t="shared" si="134"/>
        <v>D0512</v>
      </c>
      <c r="C438" s="126">
        <v>8826</v>
      </c>
      <c r="D438" s="126" t="s">
        <v>3371</v>
      </c>
      <c r="E438" s="126">
        <v>441</v>
      </c>
      <c r="F438" s="126">
        <v>0</v>
      </c>
      <c r="G438" s="126">
        <v>198</v>
      </c>
      <c r="H438" s="126">
        <v>0</v>
      </c>
      <c r="I438" s="126">
        <v>44.9</v>
      </c>
      <c r="J438" s="126">
        <v>0</v>
      </c>
      <c r="K438" s="126">
        <v>13.7</v>
      </c>
      <c r="L438" s="126">
        <f t="shared" si="135"/>
        <v>441</v>
      </c>
      <c r="M438" s="126">
        <f t="shared" si="136"/>
        <v>198</v>
      </c>
      <c r="N438" s="171">
        <f t="shared" si="137"/>
        <v>0.44900000000000001</v>
      </c>
      <c r="O438" s="132">
        <f t="shared" si="138"/>
        <v>13.7</v>
      </c>
      <c r="P438" s="177">
        <f t="shared" si="139"/>
        <v>0</v>
      </c>
      <c r="Q438" s="177">
        <f t="shared" si="140"/>
        <v>13.7</v>
      </c>
      <c r="S438" s="233" t="b">
        <f t="shared" si="133"/>
        <v>0</v>
      </c>
    </row>
    <row r="439" spans="1:19">
      <c r="A439" s="126" t="s">
        <v>3773</v>
      </c>
      <c r="B439" s="126" t="str">
        <f t="shared" si="134"/>
        <v>D0512</v>
      </c>
      <c r="C439" s="126">
        <v>8828</v>
      </c>
      <c r="D439" s="126" t="s">
        <v>3373</v>
      </c>
      <c r="E439" s="126">
        <v>457</v>
      </c>
      <c r="F439" s="126">
        <v>0</v>
      </c>
      <c r="G439" s="126">
        <v>160</v>
      </c>
      <c r="H439" s="126">
        <v>0</v>
      </c>
      <c r="I439" s="126">
        <v>35.01</v>
      </c>
      <c r="J439" s="126">
        <v>0</v>
      </c>
      <c r="K439" s="126">
        <v>0</v>
      </c>
      <c r="L439" s="126">
        <f t="shared" si="135"/>
        <v>457</v>
      </c>
      <c r="M439" s="126">
        <f t="shared" si="136"/>
        <v>160</v>
      </c>
      <c r="N439" s="171">
        <f t="shared" si="137"/>
        <v>0.35010000000000002</v>
      </c>
      <c r="O439" s="132">
        <f t="shared" si="138"/>
        <v>0</v>
      </c>
      <c r="P439" s="177">
        <f t="shared" si="139"/>
        <v>0</v>
      </c>
      <c r="Q439" s="177">
        <f t="shared" si="140"/>
        <v>0</v>
      </c>
      <c r="S439" s="233" t="b">
        <f t="shared" si="133"/>
        <v>0</v>
      </c>
    </row>
    <row r="440" spans="1:19">
      <c r="A440" s="126" t="s">
        <v>3773</v>
      </c>
      <c r="B440" s="126" t="str">
        <f t="shared" si="134"/>
        <v>D0512</v>
      </c>
      <c r="C440" s="126">
        <v>8832</v>
      </c>
      <c r="D440" s="126" t="s">
        <v>3375</v>
      </c>
      <c r="E440" s="126">
        <v>467</v>
      </c>
      <c r="F440" s="126">
        <v>0</v>
      </c>
      <c r="G440" s="126">
        <v>12</v>
      </c>
      <c r="H440" s="126">
        <v>0</v>
      </c>
      <c r="I440" s="126">
        <v>2.57</v>
      </c>
      <c r="J440" s="126">
        <v>0</v>
      </c>
      <c r="K440" s="126">
        <v>0</v>
      </c>
      <c r="L440" s="126">
        <f t="shared" si="135"/>
        <v>467</v>
      </c>
      <c r="M440" s="126">
        <f t="shared" si="136"/>
        <v>12</v>
      </c>
      <c r="N440" s="171">
        <f t="shared" si="137"/>
        <v>2.5700000000000001E-2</v>
      </c>
      <c r="O440" s="132">
        <f t="shared" si="138"/>
        <v>0</v>
      </c>
      <c r="P440" s="177">
        <f t="shared" si="139"/>
        <v>0</v>
      </c>
      <c r="Q440" s="177">
        <f t="shared" si="140"/>
        <v>0</v>
      </c>
      <c r="S440" s="233" t="b">
        <f t="shared" si="133"/>
        <v>0</v>
      </c>
    </row>
    <row r="441" spans="1:19">
      <c r="A441" s="126" t="s">
        <v>3773</v>
      </c>
      <c r="B441" s="126" t="str">
        <f t="shared" si="134"/>
        <v>D0512</v>
      </c>
      <c r="C441" s="126">
        <v>8834</v>
      </c>
      <c r="D441" s="126" t="s">
        <v>3377</v>
      </c>
      <c r="E441" s="126">
        <v>493</v>
      </c>
      <c r="F441" s="126">
        <v>0</v>
      </c>
      <c r="G441" s="126">
        <v>112</v>
      </c>
      <c r="H441" s="126">
        <v>0</v>
      </c>
      <c r="I441" s="126">
        <v>22.72</v>
      </c>
      <c r="J441" s="126">
        <v>0</v>
      </c>
      <c r="K441" s="126">
        <v>0</v>
      </c>
      <c r="L441" s="126">
        <f t="shared" si="135"/>
        <v>493</v>
      </c>
      <c r="M441" s="126">
        <f t="shared" si="136"/>
        <v>112</v>
      </c>
      <c r="N441" s="171">
        <f t="shared" si="137"/>
        <v>0.22720000000000001</v>
      </c>
      <c r="O441" s="132">
        <f t="shared" si="138"/>
        <v>0</v>
      </c>
      <c r="P441" s="177">
        <f t="shared" si="139"/>
        <v>0</v>
      </c>
      <c r="Q441" s="177">
        <f t="shared" si="140"/>
        <v>0</v>
      </c>
      <c r="S441" s="233" t="b">
        <f t="shared" si="133"/>
        <v>0</v>
      </c>
    </row>
    <row r="442" spans="1:19">
      <c r="A442" s="126" t="s">
        <v>3773</v>
      </c>
      <c r="B442" s="126" t="str">
        <f t="shared" ref="B442:B487" si="141">LEFT(A442,5)</f>
        <v>D0512</v>
      </c>
      <c r="C442" s="126">
        <v>8836</v>
      </c>
      <c r="D442" s="126" t="s">
        <v>3379</v>
      </c>
      <c r="E442" s="126">
        <v>487</v>
      </c>
      <c r="F442" s="126">
        <v>0</v>
      </c>
      <c r="G442" s="126">
        <v>169</v>
      </c>
      <c r="H442" s="126">
        <v>0</v>
      </c>
      <c r="I442" s="126">
        <v>34.700000000000003</v>
      </c>
      <c r="J442" s="126">
        <v>0</v>
      </c>
      <c r="K442" s="126">
        <v>0</v>
      </c>
      <c r="L442" s="126">
        <f t="shared" si="135"/>
        <v>487</v>
      </c>
      <c r="M442" s="126">
        <f t="shared" si="136"/>
        <v>169</v>
      </c>
      <c r="N442" s="171">
        <f t="shared" si="137"/>
        <v>0.34699999999999998</v>
      </c>
      <c r="O442" s="132">
        <f t="shared" si="138"/>
        <v>0</v>
      </c>
      <c r="P442" s="177">
        <f t="shared" si="139"/>
        <v>0</v>
      </c>
      <c r="Q442" s="177">
        <f t="shared" si="140"/>
        <v>0</v>
      </c>
      <c r="S442" s="233" t="b">
        <f t="shared" si="133"/>
        <v>0</v>
      </c>
    </row>
    <row r="443" spans="1:19">
      <c r="A443" s="126" t="s">
        <v>3773</v>
      </c>
      <c r="B443" s="126" t="str">
        <f t="shared" si="141"/>
        <v>D0512</v>
      </c>
      <c r="C443" s="126">
        <v>8838</v>
      </c>
      <c r="D443" s="126" t="s">
        <v>3381</v>
      </c>
      <c r="E443" s="126">
        <v>336</v>
      </c>
      <c r="F443" s="126">
        <v>0</v>
      </c>
      <c r="G443" s="126">
        <v>119</v>
      </c>
      <c r="H443" s="126">
        <v>0</v>
      </c>
      <c r="I443" s="126">
        <v>35.42</v>
      </c>
      <c r="J443" s="126">
        <v>0</v>
      </c>
      <c r="K443" s="126">
        <v>0.3</v>
      </c>
      <c r="L443" s="126">
        <f t="shared" si="135"/>
        <v>336</v>
      </c>
      <c r="M443" s="126">
        <f t="shared" si="136"/>
        <v>119</v>
      </c>
      <c r="N443" s="171">
        <f t="shared" si="137"/>
        <v>0.35420000000000001</v>
      </c>
      <c r="O443" s="132">
        <f t="shared" si="138"/>
        <v>0.3</v>
      </c>
      <c r="P443" s="177">
        <f t="shared" si="139"/>
        <v>0</v>
      </c>
      <c r="Q443" s="177">
        <f t="shared" si="140"/>
        <v>0.3</v>
      </c>
      <c r="S443" s="233" t="b">
        <f t="shared" si="133"/>
        <v>0</v>
      </c>
    </row>
    <row r="444" spans="1:19">
      <c r="A444" s="126" t="s">
        <v>3773</v>
      </c>
      <c r="B444" s="126" t="str">
        <f t="shared" si="141"/>
        <v>D0512</v>
      </c>
      <c r="C444" s="126">
        <v>8842</v>
      </c>
      <c r="D444" s="126" t="s">
        <v>3383</v>
      </c>
      <c r="E444" s="126">
        <v>553</v>
      </c>
      <c r="F444" s="126">
        <v>0</v>
      </c>
      <c r="G444" s="126">
        <v>271</v>
      </c>
      <c r="H444" s="126">
        <v>0</v>
      </c>
      <c r="I444" s="126">
        <v>49.01</v>
      </c>
      <c r="J444" s="126">
        <v>0</v>
      </c>
      <c r="K444" s="126">
        <v>26.6</v>
      </c>
      <c r="L444" s="126">
        <f t="shared" si="135"/>
        <v>553</v>
      </c>
      <c r="M444" s="126">
        <f t="shared" si="136"/>
        <v>271</v>
      </c>
      <c r="N444" s="171">
        <f t="shared" si="137"/>
        <v>0.49009999999999998</v>
      </c>
      <c r="O444" s="132">
        <f t="shared" si="138"/>
        <v>26.6</v>
      </c>
      <c r="P444" s="177">
        <f t="shared" si="139"/>
        <v>0</v>
      </c>
      <c r="Q444" s="177">
        <f t="shared" si="140"/>
        <v>26.6</v>
      </c>
      <c r="S444" s="233" t="b">
        <f t="shared" si="133"/>
        <v>0</v>
      </c>
    </row>
    <row r="445" spans="1:19">
      <c r="A445" s="126" t="s">
        <v>3773</v>
      </c>
      <c r="B445" s="126" t="str">
        <f t="shared" si="141"/>
        <v>D0512</v>
      </c>
      <c r="C445" s="126">
        <v>8844</v>
      </c>
      <c r="D445" s="126" t="s">
        <v>3385</v>
      </c>
      <c r="E445" s="126">
        <v>343</v>
      </c>
      <c r="F445" s="126">
        <v>0</v>
      </c>
      <c r="G445" s="126">
        <v>106</v>
      </c>
      <c r="H445" s="126">
        <v>0</v>
      </c>
      <c r="I445" s="126">
        <v>30.9</v>
      </c>
      <c r="J445" s="126">
        <v>0</v>
      </c>
      <c r="K445" s="126">
        <v>0</v>
      </c>
      <c r="L445" s="126">
        <f t="shared" si="135"/>
        <v>343</v>
      </c>
      <c r="M445" s="126">
        <f t="shared" si="136"/>
        <v>106</v>
      </c>
      <c r="N445" s="171">
        <f t="shared" si="137"/>
        <v>0.309</v>
      </c>
      <c r="O445" s="132">
        <f t="shared" si="138"/>
        <v>0</v>
      </c>
      <c r="P445" s="177">
        <f t="shared" si="139"/>
        <v>0</v>
      </c>
      <c r="Q445" s="177">
        <f t="shared" si="140"/>
        <v>0</v>
      </c>
      <c r="S445" s="233" t="b">
        <f t="shared" si="133"/>
        <v>0</v>
      </c>
    </row>
    <row r="446" spans="1:19">
      <c r="A446" s="126" t="s">
        <v>3773</v>
      </c>
      <c r="B446" s="126" t="str">
        <f t="shared" si="141"/>
        <v>D0512</v>
      </c>
      <c r="C446" s="126">
        <v>8846</v>
      </c>
      <c r="D446" s="126" t="s">
        <v>3387</v>
      </c>
      <c r="E446" s="126">
        <v>273</v>
      </c>
      <c r="F446" s="126">
        <v>0</v>
      </c>
      <c r="G446" s="126">
        <v>69</v>
      </c>
      <c r="H446" s="126">
        <v>0</v>
      </c>
      <c r="I446" s="126">
        <v>25.27</v>
      </c>
      <c r="J446" s="126">
        <v>0</v>
      </c>
      <c r="K446" s="126">
        <v>0</v>
      </c>
      <c r="L446" s="126">
        <f t="shared" si="135"/>
        <v>273</v>
      </c>
      <c r="M446" s="126">
        <f t="shared" si="136"/>
        <v>69</v>
      </c>
      <c r="N446" s="171">
        <f t="shared" si="137"/>
        <v>0.25269999999999998</v>
      </c>
      <c r="O446" s="132">
        <f t="shared" si="138"/>
        <v>0</v>
      </c>
      <c r="P446" s="177">
        <f t="shared" si="139"/>
        <v>0</v>
      </c>
      <c r="Q446" s="177">
        <f t="shared" si="140"/>
        <v>0</v>
      </c>
      <c r="S446" s="233" t="b">
        <f t="shared" si="133"/>
        <v>0</v>
      </c>
    </row>
    <row r="447" spans="1:19">
      <c r="A447" s="126" t="s">
        <v>3773</v>
      </c>
      <c r="B447" s="126" t="str">
        <f t="shared" si="141"/>
        <v>D0512</v>
      </c>
      <c r="C447" s="126">
        <v>8857</v>
      </c>
      <c r="D447" s="126" t="s">
        <v>2298</v>
      </c>
      <c r="E447" s="126">
        <v>380</v>
      </c>
      <c r="F447" s="126">
        <v>0</v>
      </c>
      <c r="G447" s="126">
        <v>73</v>
      </c>
      <c r="H447" s="126">
        <v>0</v>
      </c>
      <c r="I447" s="126">
        <v>19.21</v>
      </c>
      <c r="J447" s="126">
        <v>0</v>
      </c>
      <c r="K447" s="126">
        <v>0</v>
      </c>
      <c r="L447" s="126">
        <f t="shared" si="135"/>
        <v>380</v>
      </c>
      <c r="M447" s="126">
        <f t="shared" si="136"/>
        <v>73</v>
      </c>
      <c r="N447" s="171">
        <f t="shared" si="137"/>
        <v>0.19209999999999999</v>
      </c>
      <c r="O447" s="132">
        <f t="shared" si="138"/>
        <v>0</v>
      </c>
      <c r="P447" s="177">
        <f t="shared" si="139"/>
        <v>0</v>
      </c>
      <c r="Q447" s="177">
        <f t="shared" si="140"/>
        <v>0</v>
      </c>
      <c r="S447" s="233" t="b">
        <f t="shared" si="133"/>
        <v>0</v>
      </c>
    </row>
    <row r="448" spans="1:19">
      <c r="A448" s="126" t="s">
        <v>3773</v>
      </c>
      <c r="B448" s="126" t="str">
        <f t="shared" si="141"/>
        <v>D0512</v>
      </c>
      <c r="C448" s="126">
        <v>8858</v>
      </c>
      <c r="D448" s="126" t="s">
        <v>1313</v>
      </c>
      <c r="E448" s="126">
        <v>295</v>
      </c>
      <c r="F448" s="126">
        <v>0</v>
      </c>
      <c r="G448" s="126">
        <v>80</v>
      </c>
      <c r="H448" s="126">
        <v>0</v>
      </c>
      <c r="I448" s="126">
        <v>27.12</v>
      </c>
      <c r="J448" s="126">
        <v>0</v>
      </c>
      <c r="K448" s="126">
        <v>0</v>
      </c>
      <c r="L448" s="126">
        <f t="shared" si="135"/>
        <v>295</v>
      </c>
      <c r="M448" s="126">
        <f t="shared" si="136"/>
        <v>80</v>
      </c>
      <c r="N448" s="171">
        <f t="shared" si="137"/>
        <v>0.2712</v>
      </c>
      <c r="O448" s="132">
        <f t="shared" si="138"/>
        <v>0</v>
      </c>
      <c r="P448" s="177">
        <f t="shared" si="139"/>
        <v>0</v>
      </c>
      <c r="Q448" s="177">
        <f t="shared" si="140"/>
        <v>0</v>
      </c>
      <c r="S448" s="233" t="b">
        <f t="shared" si="133"/>
        <v>0</v>
      </c>
    </row>
    <row r="449" spans="1:19">
      <c r="A449" s="126" t="s">
        <v>3773</v>
      </c>
      <c r="B449" s="126" t="str">
        <f t="shared" si="141"/>
        <v>D0512</v>
      </c>
      <c r="C449" s="126">
        <v>8860</v>
      </c>
      <c r="D449" s="126" t="s">
        <v>3391</v>
      </c>
      <c r="E449" s="126">
        <v>458</v>
      </c>
      <c r="F449" s="126">
        <v>0</v>
      </c>
      <c r="G449" s="126">
        <v>24</v>
      </c>
      <c r="H449" s="126">
        <v>0</v>
      </c>
      <c r="I449" s="126">
        <v>5.24</v>
      </c>
      <c r="J449" s="126">
        <v>0</v>
      </c>
      <c r="K449" s="126">
        <v>0</v>
      </c>
      <c r="L449" s="126">
        <f t="shared" si="135"/>
        <v>458</v>
      </c>
      <c r="M449" s="126">
        <f t="shared" si="136"/>
        <v>24</v>
      </c>
      <c r="N449" s="171">
        <f t="shared" si="137"/>
        <v>5.2400000000000002E-2</v>
      </c>
      <c r="O449" s="132">
        <f t="shared" si="138"/>
        <v>0</v>
      </c>
      <c r="P449" s="177">
        <f t="shared" si="139"/>
        <v>0</v>
      </c>
      <c r="Q449" s="177">
        <f t="shared" si="140"/>
        <v>0</v>
      </c>
      <c r="S449" s="233" t="b">
        <f t="shared" si="133"/>
        <v>0</v>
      </c>
    </row>
    <row r="450" spans="1:19">
      <c r="A450" s="126" t="s">
        <v>3773</v>
      </c>
      <c r="B450" s="126" t="str">
        <f t="shared" si="141"/>
        <v>D0512</v>
      </c>
      <c r="C450" s="126">
        <v>8864</v>
      </c>
      <c r="D450" s="126" t="s">
        <v>3393</v>
      </c>
      <c r="E450" s="126">
        <v>303</v>
      </c>
      <c r="F450" s="126">
        <v>0</v>
      </c>
      <c r="G450" s="126">
        <v>16</v>
      </c>
      <c r="H450" s="126">
        <v>0</v>
      </c>
      <c r="I450" s="126">
        <v>5.28</v>
      </c>
      <c r="J450" s="126">
        <v>0</v>
      </c>
      <c r="K450" s="126">
        <v>0</v>
      </c>
      <c r="L450" s="126">
        <f t="shared" si="135"/>
        <v>303</v>
      </c>
      <c r="M450" s="126">
        <f t="shared" si="136"/>
        <v>16</v>
      </c>
      <c r="N450" s="171">
        <f t="shared" si="137"/>
        <v>5.28E-2</v>
      </c>
      <c r="O450" s="132">
        <f t="shared" si="138"/>
        <v>0</v>
      </c>
      <c r="P450" s="177">
        <f t="shared" si="139"/>
        <v>0</v>
      </c>
      <c r="Q450" s="177">
        <f t="shared" si="140"/>
        <v>0</v>
      </c>
      <c r="S450" s="233" t="b">
        <f t="shared" si="133"/>
        <v>0</v>
      </c>
    </row>
    <row r="451" spans="1:19">
      <c r="A451" s="126" t="s">
        <v>3773</v>
      </c>
      <c r="B451" s="126" t="str">
        <f t="shared" si="141"/>
        <v>D0512</v>
      </c>
      <c r="C451" s="126">
        <v>8868</v>
      </c>
      <c r="D451" s="126" t="s">
        <v>3395</v>
      </c>
      <c r="E451" s="126">
        <v>869</v>
      </c>
      <c r="F451" s="126">
        <v>0</v>
      </c>
      <c r="G451" s="126">
        <v>322</v>
      </c>
      <c r="H451" s="126">
        <v>0</v>
      </c>
      <c r="I451" s="126">
        <v>37.049999999999997</v>
      </c>
      <c r="J451" s="126">
        <v>0</v>
      </c>
      <c r="K451" s="126">
        <v>4.5999999999999996</v>
      </c>
      <c r="L451" s="126">
        <f t="shared" si="135"/>
        <v>869</v>
      </c>
      <c r="M451" s="126">
        <f t="shared" si="136"/>
        <v>322</v>
      </c>
      <c r="N451" s="171">
        <f t="shared" si="137"/>
        <v>0.3705</v>
      </c>
      <c r="O451" s="132">
        <f t="shared" si="138"/>
        <v>4.5999999999999996</v>
      </c>
      <c r="P451" s="177">
        <f t="shared" si="139"/>
        <v>0</v>
      </c>
      <c r="Q451" s="177">
        <f t="shared" si="140"/>
        <v>4.5999999999999996</v>
      </c>
      <c r="S451" s="233" t="b">
        <f t="shared" si="133"/>
        <v>0</v>
      </c>
    </row>
    <row r="452" spans="1:19">
      <c r="A452" s="126" t="s">
        <v>3773</v>
      </c>
      <c r="B452" s="126" t="str">
        <f t="shared" si="141"/>
        <v>D0512</v>
      </c>
      <c r="C452" s="126">
        <v>8870</v>
      </c>
      <c r="D452" s="126" t="s">
        <v>3397</v>
      </c>
      <c r="E452" s="126">
        <v>821</v>
      </c>
      <c r="F452" s="126">
        <v>0</v>
      </c>
      <c r="G452" s="126">
        <v>316</v>
      </c>
      <c r="H452" s="126">
        <v>0</v>
      </c>
      <c r="I452" s="126">
        <v>38.49</v>
      </c>
      <c r="J452" s="126">
        <v>0</v>
      </c>
      <c r="K452" s="126">
        <v>7.7</v>
      </c>
      <c r="L452" s="126">
        <f t="shared" si="135"/>
        <v>821</v>
      </c>
      <c r="M452" s="126">
        <f t="shared" si="136"/>
        <v>316</v>
      </c>
      <c r="N452" s="171">
        <f t="shared" si="137"/>
        <v>0.38490000000000002</v>
      </c>
      <c r="O452" s="132">
        <f t="shared" si="138"/>
        <v>7.7</v>
      </c>
      <c r="P452" s="177">
        <f t="shared" si="139"/>
        <v>0</v>
      </c>
      <c r="Q452" s="177">
        <f t="shared" si="140"/>
        <v>7.7</v>
      </c>
      <c r="S452" s="233" t="b">
        <f t="shared" si="133"/>
        <v>0</v>
      </c>
    </row>
    <row r="453" spans="1:19">
      <c r="A453" s="126" t="s">
        <v>3773</v>
      </c>
      <c r="B453" s="126" t="str">
        <f t="shared" si="141"/>
        <v>D0512</v>
      </c>
      <c r="C453" s="126">
        <v>8874</v>
      </c>
      <c r="D453" s="126" t="s">
        <v>3399</v>
      </c>
      <c r="E453" s="126">
        <v>834</v>
      </c>
      <c r="F453" s="126">
        <v>0</v>
      </c>
      <c r="G453" s="126">
        <v>76</v>
      </c>
      <c r="H453" s="126">
        <v>0</v>
      </c>
      <c r="I453" s="126">
        <v>9.11</v>
      </c>
      <c r="J453" s="126">
        <v>0</v>
      </c>
      <c r="K453" s="126">
        <v>0</v>
      </c>
      <c r="L453" s="126">
        <f t="shared" si="135"/>
        <v>834</v>
      </c>
      <c r="M453" s="126">
        <f t="shared" si="136"/>
        <v>76</v>
      </c>
      <c r="N453" s="171">
        <f t="shared" si="137"/>
        <v>9.11E-2</v>
      </c>
      <c r="O453" s="132">
        <f t="shared" si="138"/>
        <v>0</v>
      </c>
      <c r="P453" s="177">
        <f t="shared" si="139"/>
        <v>0</v>
      </c>
      <c r="Q453" s="177">
        <f t="shared" si="140"/>
        <v>0</v>
      </c>
      <c r="S453" s="233" t="b">
        <f t="shared" ref="S453:S516" si="142">COUNTIF(C:C,C453)&gt;1</f>
        <v>0</v>
      </c>
    </row>
    <row r="454" spans="1:19">
      <c r="A454" s="126" t="s">
        <v>3773</v>
      </c>
      <c r="B454" s="126" t="str">
        <f t="shared" si="141"/>
        <v>D0512</v>
      </c>
      <c r="C454" s="126">
        <v>8880</v>
      </c>
      <c r="D454" s="126" t="s">
        <v>3401</v>
      </c>
      <c r="E454" s="126">
        <v>740</v>
      </c>
      <c r="F454" s="126">
        <v>0</v>
      </c>
      <c r="G454" s="126">
        <v>181</v>
      </c>
      <c r="H454" s="126">
        <v>0</v>
      </c>
      <c r="I454" s="126">
        <v>24.46</v>
      </c>
      <c r="J454" s="126">
        <v>0</v>
      </c>
      <c r="K454" s="126">
        <v>0</v>
      </c>
      <c r="L454" s="126">
        <f t="shared" si="135"/>
        <v>740</v>
      </c>
      <c r="M454" s="126">
        <f t="shared" si="136"/>
        <v>181</v>
      </c>
      <c r="N454" s="171">
        <f t="shared" si="137"/>
        <v>0.24460000000000001</v>
      </c>
      <c r="O454" s="132">
        <f t="shared" si="138"/>
        <v>0</v>
      </c>
      <c r="P454" s="177">
        <f t="shared" si="139"/>
        <v>0</v>
      </c>
      <c r="Q454" s="177">
        <f t="shared" si="140"/>
        <v>0</v>
      </c>
      <c r="S454" s="233" t="b">
        <f t="shared" si="142"/>
        <v>0</v>
      </c>
    </row>
    <row r="455" spans="1:19">
      <c r="A455" s="126" t="s">
        <v>3773</v>
      </c>
      <c r="B455" s="126" t="str">
        <f t="shared" si="141"/>
        <v>D0512</v>
      </c>
      <c r="C455" s="126">
        <v>8884</v>
      </c>
      <c r="D455" s="126" t="s">
        <v>3403</v>
      </c>
      <c r="E455" s="126">
        <v>793</v>
      </c>
      <c r="F455" s="126">
        <v>0</v>
      </c>
      <c r="G455" s="126">
        <v>223</v>
      </c>
      <c r="H455" s="126">
        <v>0</v>
      </c>
      <c r="I455" s="126">
        <v>28.12</v>
      </c>
      <c r="J455" s="126">
        <v>0</v>
      </c>
      <c r="K455" s="126">
        <v>0</v>
      </c>
      <c r="L455" s="126">
        <f t="shared" si="135"/>
        <v>793</v>
      </c>
      <c r="M455" s="126">
        <f t="shared" si="136"/>
        <v>223</v>
      </c>
      <c r="N455" s="171">
        <f t="shared" si="137"/>
        <v>0.28120000000000001</v>
      </c>
      <c r="O455" s="132">
        <f t="shared" si="138"/>
        <v>0</v>
      </c>
      <c r="P455" s="177">
        <f t="shared" si="139"/>
        <v>0</v>
      </c>
      <c r="Q455" s="177">
        <f t="shared" si="140"/>
        <v>0</v>
      </c>
      <c r="S455" s="233" t="b">
        <f t="shared" si="142"/>
        <v>0</v>
      </c>
    </row>
    <row r="456" spans="1:19">
      <c r="A456" s="126" t="s">
        <v>3773</v>
      </c>
      <c r="B456" s="126" t="str">
        <f t="shared" si="141"/>
        <v>D0512</v>
      </c>
      <c r="C456" s="126">
        <v>8886</v>
      </c>
      <c r="D456" s="126" t="s">
        <v>3405</v>
      </c>
      <c r="E456" s="126">
        <v>1796</v>
      </c>
      <c r="F456" s="126">
        <v>0</v>
      </c>
      <c r="G456" s="126">
        <v>94</v>
      </c>
      <c r="H456" s="126">
        <v>0</v>
      </c>
      <c r="I456" s="126">
        <v>5.23</v>
      </c>
      <c r="J456" s="126">
        <v>0</v>
      </c>
      <c r="K456" s="126">
        <v>0</v>
      </c>
      <c r="L456" s="126">
        <f t="shared" si="135"/>
        <v>1796</v>
      </c>
      <c r="M456" s="126">
        <f t="shared" si="136"/>
        <v>94</v>
      </c>
      <c r="N456" s="171">
        <f t="shared" si="137"/>
        <v>5.2299999999999999E-2</v>
      </c>
      <c r="O456" s="132">
        <f t="shared" si="138"/>
        <v>0</v>
      </c>
      <c r="P456" s="177">
        <f t="shared" si="139"/>
        <v>0</v>
      </c>
      <c r="Q456" s="177">
        <f t="shared" si="140"/>
        <v>0</v>
      </c>
      <c r="S456" s="233" t="b">
        <f t="shared" si="142"/>
        <v>0</v>
      </c>
    </row>
    <row r="457" spans="1:19">
      <c r="A457" s="126" t="s">
        <v>3773</v>
      </c>
      <c r="B457" s="126" t="str">
        <f t="shared" si="141"/>
        <v>D0512</v>
      </c>
      <c r="C457" s="126">
        <v>8888</v>
      </c>
      <c r="D457" s="126" t="s">
        <v>3407</v>
      </c>
      <c r="E457" s="126">
        <v>1552</v>
      </c>
      <c r="F457" s="126">
        <v>0</v>
      </c>
      <c r="G457" s="126">
        <v>556</v>
      </c>
      <c r="H457" s="126">
        <v>0</v>
      </c>
      <c r="I457" s="126">
        <v>35.82</v>
      </c>
      <c r="J457" s="126">
        <v>0</v>
      </c>
      <c r="K457" s="126">
        <v>3.2</v>
      </c>
      <c r="L457" s="126">
        <f t="shared" si="135"/>
        <v>1552</v>
      </c>
      <c r="M457" s="126">
        <f t="shared" si="136"/>
        <v>556</v>
      </c>
      <c r="N457" s="171">
        <f t="shared" si="137"/>
        <v>0.35820000000000002</v>
      </c>
      <c r="O457" s="132">
        <f t="shared" si="138"/>
        <v>3.2</v>
      </c>
      <c r="P457" s="177">
        <f t="shared" si="139"/>
        <v>0</v>
      </c>
      <c r="Q457" s="177">
        <f t="shared" si="140"/>
        <v>3.2</v>
      </c>
      <c r="S457" s="233" t="b">
        <f t="shared" si="142"/>
        <v>0</v>
      </c>
    </row>
    <row r="458" spans="1:19">
      <c r="A458" s="126" t="s">
        <v>3773</v>
      </c>
      <c r="B458" s="126" t="str">
        <f t="shared" si="141"/>
        <v>D0512</v>
      </c>
      <c r="C458" s="126">
        <v>8890</v>
      </c>
      <c r="D458" s="126" t="s">
        <v>3409</v>
      </c>
      <c r="E458" s="126">
        <v>1656</v>
      </c>
      <c r="F458" s="126">
        <v>0</v>
      </c>
      <c r="G458" s="126">
        <v>378</v>
      </c>
      <c r="H458" s="126">
        <v>0</v>
      </c>
      <c r="I458" s="126">
        <v>22.83</v>
      </c>
      <c r="J458" s="126">
        <v>0</v>
      </c>
      <c r="K458" s="126">
        <v>0</v>
      </c>
      <c r="L458" s="126">
        <f t="shared" si="135"/>
        <v>1656</v>
      </c>
      <c r="M458" s="126">
        <f t="shared" si="136"/>
        <v>378</v>
      </c>
      <c r="N458" s="171">
        <f t="shared" si="137"/>
        <v>0.2283</v>
      </c>
      <c r="O458" s="132">
        <f t="shared" si="138"/>
        <v>0</v>
      </c>
      <c r="P458" s="177">
        <f t="shared" si="139"/>
        <v>0</v>
      </c>
      <c r="Q458" s="177">
        <f t="shared" si="140"/>
        <v>0</v>
      </c>
      <c r="S458" s="233" t="b">
        <f t="shared" si="142"/>
        <v>0</v>
      </c>
    </row>
    <row r="459" spans="1:19">
      <c r="A459" s="126" t="s">
        <v>3773</v>
      </c>
      <c r="B459" s="126" t="str">
        <f t="shared" si="141"/>
        <v>D0512</v>
      </c>
      <c r="C459" s="126">
        <v>8892</v>
      </c>
      <c r="D459" s="126" t="s">
        <v>3411</v>
      </c>
      <c r="E459" s="126">
        <v>1554</v>
      </c>
      <c r="F459" s="126">
        <v>0</v>
      </c>
      <c r="G459" s="126">
        <v>343</v>
      </c>
      <c r="H459" s="126">
        <v>0</v>
      </c>
      <c r="I459" s="126">
        <v>22.07</v>
      </c>
      <c r="J459" s="126">
        <v>0</v>
      </c>
      <c r="K459" s="126">
        <v>0</v>
      </c>
      <c r="L459" s="126">
        <f t="shared" si="135"/>
        <v>1554</v>
      </c>
      <c r="M459" s="126">
        <f t="shared" si="136"/>
        <v>343</v>
      </c>
      <c r="N459" s="171">
        <f t="shared" si="137"/>
        <v>0.22070000000000001</v>
      </c>
      <c r="O459" s="132">
        <f t="shared" si="138"/>
        <v>0</v>
      </c>
      <c r="P459" s="177">
        <f t="shared" si="139"/>
        <v>0</v>
      </c>
      <c r="Q459" s="177">
        <f t="shared" si="140"/>
        <v>0</v>
      </c>
      <c r="S459" s="233" t="b">
        <f t="shared" si="142"/>
        <v>0</v>
      </c>
    </row>
    <row r="460" spans="1:19">
      <c r="A460" s="126" t="s">
        <v>3773</v>
      </c>
      <c r="B460" s="126" t="str">
        <f t="shared" si="141"/>
        <v>D0512</v>
      </c>
      <c r="C460" s="126">
        <v>8894</v>
      </c>
      <c r="D460" s="126" t="s">
        <v>3413</v>
      </c>
      <c r="E460" s="126">
        <v>1667</v>
      </c>
      <c r="F460" s="126">
        <v>0</v>
      </c>
      <c r="G460" s="126">
        <v>562</v>
      </c>
      <c r="H460" s="126">
        <v>0</v>
      </c>
      <c r="I460" s="126">
        <v>33.71</v>
      </c>
      <c r="J460" s="126">
        <v>0</v>
      </c>
      <c r="K460" s="126">
        <v>0</v>
      </c>
      <c r="L460" s="126">
        <f t="shared" si="135"/>
        <v>1667</v>
      </c>
      <c r="M460" s="126">
        <f t="shared" si="136"/>
        <v>562</v>
      </c>
      <c r="N460" s="171">
        <f t="shared" si="137"/>
        <v>0.33710000000000001</v>
      </c>
      <c r="O460" s="132">
        <f t="shared" si="138"/>
        <v>0</v>
      </c>
      <c r="P460" s="177">
        <f t="shared" si="139"/>
        <v>0</v>
      </c>
      <c r="Q460" s="177">
        <f t="shared" si="140"/>
        <v>0</v>
      </c>
      <c r="S460" s="233" t="b">
        <f t="shared" si="142"/>
        <v>0</v>
      </c>
    </row>
    <row r="461" spans="1:19">
      <c r="A461" s="126" t="s">
        <v>3756</v>
      </c>
      <c r="B461" s="126" t="str">
        <f t="shared" si="141"/>
        <v>D0465</v>
      </c>
      <c r="C461" s="126">
        <v>7310</v>
      </c>
      <c r="D461" s="126" t="s">
        <v>2895</v>
      </c>
      <c r="E461" s="126">
        <v>116</v>
      </c>
      <c r="F461" s="126">
        <v>0</v>
      </c>
      <c r="G461" s="126">
        <v>44</v>
      </c>
      <c r="H461" s="126">
        <v>0</v>
      </c>
      <c r="I461" s="126">
        <v>37.93</v>
      </c>
      <c r="J461" s="126">
        <v>0</v>
      </c>
      <c r="K461" s="126">
        <v>0.9</v>
      </c>
      <c r="L461" s="126">
        <f t="shared" ref="L461:L466" si="143">SUM(E461:F461)</f>
        <v>116</v>
      </c>
      <c r="M461" s="126">
        <f t="shared" ref="M461:M466" si="144">SUM(G461:H461)</f>
        <v>44</v>
      </c>
      <c r="N461" s="171">
        <f t="shared" ref="N461:N466" si="145">IF(ISERROR(M461/L461),0,M461/L461)</f>
        <v>0.37930000000000003</v>
      </c>
      <c r="O461" s="132">
        <f t="shared" ref="O461:O466" si="146">IF(AND((N461-35%)&gt;0,N461&lt;50%),M461*(N461-35%)*0.7,0)</f>
        <v>0.9</v>
      </c>
      <c r="P461" s="177">
        <f t="shared" ref="P461:P466" si="147">IF(N461&gt;=50%,M461*10.5%,0)</f>
        <v>0</v>
      </c>
      <c r="Q461" s="177">
        <f t="shared" ref="Q461:Q466" si="148">MAX(O461,P461)</f>
        <v>0.9</v>
      </c>
      <c r="S461" s="233" t="b">
        <f t="shared" si="142"/>
        <v>0</v>
      </c>
    </row>
    <row r="462" spans="1:19">
      <c r="A462" s="126" t="s">
        <v>3756</v>
      </c>
      <c r="B462" s="126" t="str">
        <f t="shared" si="141"/>
        <v>D0465</v>
      </c>
      <c r="C462" s="126">
        <v>7324</v>
      </c>
      <c r="D462" s="126" t="s">
        <v>2897</v>
      </c>
      <c r="E462" s="126">
        <v>301</v>
      </c>
      <c r="F462" s="126">
        <v>0</v>
      </c>
      <c r="G462" s="126">
        <v>187</v>
      </c>
      <c r="H462" s="126">
        <v>0</v>
      </c>
      <c r="I462" s="126">
        <v>62.13</v>
      </c>
      <c r="J462" s="126">
        <v>19.600000000000001</v>
      </c>
      <c r="K462" s="126">
        <v>0</v>
      </c>
      <c r="L462" s="126">
        <f t="shared" si="143"/>
        <v>301</v>
      </c>
      <c r="M462" s="126">
        <f t="shared" si="144"/>
        <v>187</v>
      </c>
      <c r="N462" s="171">
        <f t="shared" si="145"/>
        <v>0.62129999999999996</v>
      </c>
      <c r="O462" s="132">
        <f t="shared" si="146"/>
        <v>0</v>
      </c>
      <c r="P462" s="177">
        <f t="shared" si="147"/>
        <v>19.600000000000001</v>
      </c>
      <c r="Q462" s="177">
        <f t="shared" si="148"/>
        <v>19.600000000000001</v>
      </c>
      <c r="S462" s="233" t="b">
        <f t="shared" si="142"/>
        <v>0</v>
      </c>
    </row>
    <row r="463" spans="1:19">
      <c r="A463" s="126" t="s">
        <v>3756</v>
      </c>
      <c r="B463" s="126" t="str">
        <f t="shared" si="141"/>
        <v>D0465</v>
      </c>
      <c r="C463" s="126">
        <v>7326</v>
      </c>
      <c r="D463" s="126" t="s">
        <v>2899</v>
      </c>
      <c r="E463" s="126">
        <v>262</v>
      </c>
      <c r="F463" s="126">
        <v>0</v>
      </c>
      <c r="G463" s="126">
        <v>123</v>
      </c>
      <c r="H463" s="126">
        <v>0</v>
      </c>
      <c r="I463" s="126">
        <v>46.95</v>
      </c>
      <c r="J463" s="126">
        <v>0</v>
      </c>
      <c r="K463" s="126">
        <v>10.3</v>
      </c>
      <c r="L463" s="126">
        <f t="shared" si="143"/>
        <v>262</v>
      </c>
      <c r="M463" s="126">
        <f t="shared" si="144"/>
        <v>123</v>
      </c>
      <c r="N463" s="171">
        <f t="shared" si="145"/>
        <v>0.46949999999999997</v>
      </c>
      <c r="O463" s="132">
        <f t="shared" si="146"/>
        <v>10.3</v>
      </c>
      <c r="P463" s="177">
        <f t="shared" si="147"/>
        <v>0</v>
      </c>
      <c r="Q463" s="177">
        <f t="shared" si="148"/>
        <v>10.3</v>
      </c>
      <c r="S463" s="233" t="b">
        <f t="shared" si="142"/>
        <v>0</v>
      </c>
    </row>
    <row r="464" spans="1:19">
      <c r="A464" s="126" t="s">
        <v>3756</v>
      </c>
      <c r="B464" s="126" t="str">
        <f t="shared" si="141"/>
        <v>D0465</v>
      </c>
      <c r="C464" s="126">
        <v>7330</v>
      </c>
      <c r="D464" s="126" t="s">
        <v>2901</v>
      </c>
      <c r="E464" s="126">
        <v>291</v>
      </c>
      <c r="F464" s="126">
        <v>0</v>
      </c>
      <c r="G464" s="126">
        <v>88</v>
      </c>
      <c r="H464" s="126">
        <v>0</v>
      </c>
      <c r="I464" s="126">
        <v>30.24</v>
      </c>
      <c r="J464" s="126">
        <v>0</v>
      </c>
      <c r="K464" s="126">
        <v>0</v>
      </c>
      <c r="L464" s="126">
        <f t="shared" si="143"/>
        <v>291</v>
      </c>
      <c r="M464" s="126">
        <f t="shared" si="144"/>
        <v>88</v>
      </c>
      <c r="N464" s="171">
        <f t="shared" si="145"/>
        <v>0.3024</v>
      </c>
      <c r="O464" s="132">
        <f t="shared" si="146"/>
        <v>0</v>
      </c>
      <c r="P464" s="177">
        <f t="shared" si="147"/>
        <v>0</v>
      </c>
      <c r="Q464" s="177">
        <f t="shared" si="148"/>
        <v>0</v>
      </c>
      <c r="S464" s="233" t="b">
        <f t="shared" si="142"/>
        <v>0</v>
      </c>
    </row>
    <row r="465" spans="1:19">
      <c r="A465" s="126" t="s">
        <v>3756</v>
      </c>
      <c r="B465" s="126" t="str">
        <f t="shared" si="141"/>
        <v>D0465</v>
      </c>
      <c r="C465" s="126">
        <v>7332</v>
      </c>
      <c r="D465" s="126" t="s">
        <v>2903</v>
      </c>
      <c r="E465" s="126">
        <v>667</v>
      </c>
      <c r="F465" s="126">
        <v>0</v>
      </c>
      <c r="G465" s="126">
        <v>219</v>
      </c>
      <c r="H465" s="126">
        <v>0</v>
      </c>
      <c r="I465" s="126">
        <v>32.83</v>
      </c>
      <c r="J465" s="126">
        <v>0</v>
      </c>
      <c r="K465" s="126">
        <v>0</v>
      </c>
      <c r="L465" s="126">
        <f t="shared" si="143"/>
        <v>667</v>
      </c>
      <c r="M465" s="126">
        <f t="shared" si="144"/>
        <v>219</v>
      </c>
      <c r="N465" s="171">
        <f t="shared" si="145"/>
        <v>0.32829999999999998</v>
      </c>
      <c r="O465" s="132">
        <f t="shared" si="146"/>
        <v>0</v>
      </c>
      <c r="P465" s="177">
        <f t="shared" si="147"/>
        <v>0</v>
      </c>
      <c r="Q465" s="177">
        <f t="shared" si="148"/>
        <v>0</v>
      </c>
      <c r="S465" s="233" t="b">
        <f t="shared" si="142"/>
        <v>0</v>
      </c>
    </row>
    <row r="466" spans="1:19">
      <c r="A466" s="126" t="s">
        <v>3756</v>
      </c>
      <c r="B466" s="126" t="str">
        <f t="shared" si="141"/>
        <v>D0465</v>
      </c>
      <c r="C466" s="126">
        <v>7333</v>
      </c>
      <c r="D466" s="126" t="s">
        <v>2905</v>
      </c>
      <c r="E466" s="126">
        <v>498</v>
      </c>
      <c r="F466" s="126">
        <v>0</v>
      </c>
      <c r="G466" s="126">
        <v>221</v>
      </c>
      <c r="H466" s="126">
        <v>0</v>
      </c>
      <c r="I466" s="126">
        <v>44.38</v>
      </c>
      <c r="J466" s="126">
        <v>0</v>
      </c>
      <c r="K466" s="126">
        <v>14.5</v>
      </c>
      <c r="L466" s="126">
        <f t="shared" si="143"/>
        <v>498</v>
      </c>
      <c r="M466" s="126">
        <f t="shared" si="144"/>
        <v>221</v>
      </c>
      <c r="N466" s="171">
        <f t="shared" si="145"/>
        <v>0.44379999999999997</v>
      </c>
      <c r="O466" s="132">
        <f t="shared" si="146"/>
        <v>14.5</v>
      </c>
      <c r="P466" s="177">
        <f t="shared" si="147"/>
        <v>0</v>
      </c>
      <c r="Q466" s="177">
        <f t="shared" si="148"/>
        <v>14.5</v>
      </c>
      <c r="S466" s="233" t="b">
        <f t="shared" si="142"/>
        <v>0</v>
      </c>
    </row>
    <row r="467" spans="1:19">
      <c r="A467" s="126" t="s">
        <v>3774</v>
      </c>
      <c r="B467" s="126" t="str">
        <f t="shared" si="141"/>
        <v>D0200</v>
      </c>
      <c r="C467" s="126">
        <v>132</v>
      </c>
      <c r="D467" s="126" t="s">
        <v>979</v>
      </c>
      <c r="E467" s="126">
        <v>141</v>
      </c>
      <c r="F467" s="126">
        <v>0</v>
      </c>
      <c r="G467" s="126">
        <v>54</v>
      </c>
      <c r="H467" s="126">
        <v>0</v>
      </c>
      <c r="I467" s="126">
        <v>38.299999999999997</v>
      </c>
      <c r="J467" s="126">
        <v>0</v>
      </c>
      <c r="K467" s="126">
        <v>1.2</v>
      </c>
      <c r="L467" s="126">
        <f t="shared" ref="L467:L519" si="149">SUM(E467:F467)</f>
        <v>141</v>
      </c>
      <c r="M467" s="126">
        <f t="shared" ref="M467:M519" si="150">SUM(G467:H467)</f>
        <v>54</v>
      </c>
      <c r="N467" s="171">
        <f t="shared" ref="N467:N519" si="151">IF(ISERROR(M467/L467),0,M467/L467)</f>
        <v>0.38300000000000001</v>
      </c>
      <c r="O467" s="132">
        <f t="shared" ref="O467:O519" si="152">IF(AND((N467-35%)&gt;0,N467&lt;50%),M467*(N467-35%)*0.7,0)</f>
        <v>1.2</v>
      </c>
      <c r="P467" s="177">
        <f t="shared" ref="P467:P519" si="153">IF(N467&gt;=50%,M467*10.5%,0)</f>
        <v>0</v>
      </c>
      <c r="Q467" s="177">
        <f t="shared" ref="Q467:Q519" si="154">MAX(O467,P467)</f>
        <v>1.2</v>
      </c>
      <c r="S467" s="233" t="b">
        <f t="shared" si="142"/>
        <v>0</v>
      </c>
    </row>
    <row r="468" spans="1:19">
      <c r="A468" s="126" t="s">
        <v>3774</v>
      </c>
      <c r="B468" s="126" t="str">
        <f t="shared" si="141"/>
        <v>D0200</v>
      </c>
      <c r="C468" s="126">
        <v>134</v>
      </c>
      <c r="D468" s="126" t="s">
        <v>981</v>
      </c>
      <c r="E468" s="126">
        <v>116</v>
      </c>
      <c r="F468" s="126">
        <v>0</v>
      </c>
      <c r="G468" s="126">
        <v>47</v>
      </c>
      <c r="H468" s="126">
        <v>0</v>
      </c>
      <c r="I468" s="126">
        <v>40.520000000000003</v>
      </c>
      <c r="J468" s="126">
        <v>0</v>
      </c>
      <c r="K468" s="126">
        <v>1.8</v>
      </c>
      <c r="L468" s="126">
        <f t="shared" si="149"/>
        <v>116</v>
      </c>
      <c r="M468" s="126">
        <f t="shared" si="150"/>
        <v>47</v>
      </c>
      <c r="N468" s="171">
        <f t="shared" si="151"/>
        <v>0.4052</v>
      </c>
      <c r="O468" s="132">
        <f t="shared" si="152"/>
        <v>1.8</v>
      </c>
      <c r="P468" s="177">
        <f t="shared" si="153"/>
        <v>0</v>
      </c>
      <c r="Q468" s="177">
        <f t="shared" si="154"/>
        <v>1.8</v>
      </c>
      <c r="S468" s="233" t="b">
        <f t="shared" si="142"/>
        <v>0</v>
      </c>
    </row>
    <row r="469" spans="1:19">
      <c r="A469" s="126" t="s">
        <v>3775</v>
      </c>
      <c r="B469" s="126" t="str">
        <f t="shared" si="141"/>
        <v>D0202</v>
      </c>
      <c r="C469" s="126">
        <v>154</v>
      </c>
      <c r="D469" s="126" t="s">
        <v>983</v>
      </c>
      <c r="E469" s="126">
        <v>276</v>
      </c>
      <c r="F469" s="126">
        <v>0</v>
      </c>
      <c r="G469" s="126">
        <v>158</v>
      </c>
      <c r="H469" s="126">
        <v>0</v>
      </c>
      <c r="I469" s="126">
        <v>57.25</v>
      </c>
      <c r="J469" s="126">
        <v>16.600000000000001</v>
      </c>
      <c r="K469" s="126">
        <v>0</v>
      </c>
      <c r="L469" s="126">
        <f t="shared" si="149"/>
        <v>276</v>
      </c>
      <c r="M469" s="126">
        <f t="shared" si="150"/>
        <v>158</v>
      </c>
      <c r="N469" s="171">
        <f t="shared" si="151"/>
        <v>0.57250000000000001</v>
      </c>
      <c r="O469" s="132">
        <f t="shared" si="152"/>
        <v>0</v>
      </c>
      <c r="P469" s="177">
        <f t="shared" si="153"/>
        <v>16.600000000000001</v>
      </c>
      <c r="Q469" s="177">
        <f t="shared" si="154"/>
        <v>16.600000000000001</v>
      </c>
      <c r="S469" s="233" t="b">
        <f t="shared" si="142"/>
        <v>0</v>
      </c>
    </row>
    <row r="470" spans="1:19">
      <c r="A470" s="126" t="s">
        <v>3775</v>
      </c>
      <c r="B470" s="126" t="str">
        <f t="shared" si="141"/>
        <v>D0202</v>
      </c>
      <c r="C470" s="126">
        <v>155</v>
      </c>
      <c r="D470" s="126" t="s">
        <v>985</v>
      </c>
      <c r="E470" s="126">
        <v>319</v>
      </c>
      <c r="F470" s="126">
        <v>0</v>
      </c>
      <c r="G470" s="126">
        <v>229</v>
      </c>
      <c r="H470" s="126">
        <v>0</v>
      </c>
      <c r="I470" s="126">
        <v>71.790000000000006</v>
      </c>
      <c r="J470" s="126">
        <v>24</v>
      </c>
      <c r="K470" s="126">
        <v>0</v>
      </c>
      <c r="L470" s="126">
        <f t="shared" si="149"/>
        <v>319</v>
      </c>
      <c r="M470" s="126">
        <f t="shared" si="150"/>
        <v>229</v>
      </c>
      <c r="N470" s="171">
        <f t="shared" si="151"/>
        <v>0.71789999999999998</v>
      </c>
      <c r="O470" s="132">
        <f t="shared" si="152"/>
        <v>0</v>
      </c>
      <c r="P470" s="177">
        <f t="shared" si="153"/>
        <v>24</v>
      </c>
      <c r="Q470" s="177">
        <f t="shared" si="154"/>
        <v>24</v>
      </c>
      <c r="S470" s="233" t="b">
        <f t="shared" si="142"/>
        <v>0</v>
      </c>
    </row>
    <row r="471" spans="1:19">
      <c r="A471" s="126" t="s">
        <v>3775</v>
      </c>
      <c r="B471" s="126" t="str">
        <f t="shared" si="141"/>
        <v>D0202</v>
      </c>
      <c r="C471" s="126">
        <v>157</v>
      </c>
      <c r="D471" s="126" t="s">
        <v>987</v>
      </c>
      <c r="E471" s="126">
        <v>523</v>
      </c>
      <c r="F471" s="126">
        <v>0</v>
      </c>
      <c r="G471" s="126">
        <v>355</v>
      </c>
      <c r="H471" s="126">
        <v>0</v>
      </c>
      <c r="I471" s="126">
        <v>67.88</v>
      </c>
      <c r="J471" s="126">
        <v>37.299999999999997</v>
      </c>
      <c r="K471" s="126">
        <v>0</v>
      </c>
      <c r="L471" s="126">
        <f t="shared" si="149"/>
        <v>523</v>
      </c>
      <c r="M471" s="126">
        <f t="shared" si="150"/>
        <v>355</v>
      </c>
      <c r="N471" s="171">
        <f t="shared" si="151"/>
        <v>0.67879999999999996</v>
      </c>
      <c r="O471" s="132">
        <f t="shared" si="152"/>
        <v>0</v>
      </c>
      <c r="P471" s="177">
        <f t="shared" si="153"/>
        <v>37.299999999999997</v>
      </c>
      <c r="Q471" s="177">
        <f t="shared" si="154"/>
        <v>37.299999999999997</v>
      </c>
      <c r="S471" s="233" t="b">
        <f t="shared" si="142"/>
        <v>0</v>
      </c>
    </row>
    <row r="472" spans="1:19">
      <c r="A472" s="126" t="s">
        <v>3775</v>
      </c>
      <c r="B472" s="126" t="str">
        <f t="shared" si="141"/>
        <v>D0202</v>
      </c>
      <c r="C472" s="126">
        <v>160</v>
      </c>
      <c r="D472" s="126" t="s">
        <v>989</v>
      </c>
      <c r="E472" s="126">
        <v>566</v>
      </c>
      <c r="F472" s="126">
        <v>0</v>
      </c>
      <c r="G472" s="126">
        <v>336</v>
      </c>
      <c r="H472" s="126">
        <v>0</v>
      </c>
      <c r="I472" s="126">
        <v>59.36</v>
      </c>
      <c r="J472" s="126">
        <v>35.299999999999997</v>
      </c>
      <c r="K472" s="126">
        <v>0</v>
      </c>
      <c r="L472" s="126">
        <f t="shared" si="149"/>
        <v>566</v>
      </c>
      <c r="M472" s="126">
        <f t="shared" si="150"/>
        <v>336</v>
      </c>
      <c r="N472" s="171">
        <f t="shared" si="151"/>
        <v>0.59360000000000002</v>
      </c>
      <c r="O472" s="132">
        <f t="shared" si="152"/>
        <v>0</v>
      </c>
      <c r="P472" s="177">
        <f t="shared" si="153"/>
        <v>35.299999999999997</v>
      </c>
      <c r="Q472" s="177">
        <f t="shared" si="154"/>
        <v>35.299999999999997</v>
      </c>
      <c r="S472" s="233" t="b">
        <f t="shared" si="142"/>
        <v>0</v>
      </c>
    </row>
    <row r="473" spans="1:19">
      <c r="A473" s="126" t="s">
        <v>3775</v>
      </c>
      <c r="B473" s="126" t="str">
        <f t="shared" si="141"/>
        <v>D0202</v>
      </c>
      <c r="C473" s="126">
        <v>164</v>
      </c>
      <c r="D473" s="126" t="s">
        <v>991</v>
      </c>
      <c r="E473" s="126">
        <v>640</v>
      </c>
      <c r="F473" s="126">
        <v>0</v>
      </c>
      <c r="G473" s="126">
        <v>422</v>
      </c>
      <c r="H473" s="126">
        <v>0</v>
      </c>
      <c r="I473" s="126">
        <v>65.94</v>
      </c>
      <c r="J473" s="126">
        <v>44.3</v>
      </c>
      <c r="K473" s="126">
        <v>0</v>
      </c>
      <c r="L473" s="126">
        <f t="shared" si="149"/>
        <v>640</v>
      </c>
      <c r="M473" s="126">
        <f t="shared" si="150"/>
        <v>422</v>
      </c>
      <c r="N473" s="171">
        <f t="shared" si="151"/>
        <v>0.65939999999999999</v>
      </c>
      <c r="O473" s="132">
        <f t="shared" si="152"/>
        <v>0</v>
      </c>
      <c r="P473" s="177">
        <f t="shared" si="153"/>
        <v>44.3</v>
      </c>
      <c r="Q473" s="177">
        <f t="shared" si="154"/>
        <v>44.3</v>
      </c>
      <c r="S473" s="233" t="b">
        <f t="shared" si="142"/>
        <v>0</v>
      </c>
    </row>
    <row r="474" spans="1:19">
      <c r="A474" s="126" t="s">
        <v>3775</v>
      </c>
      <c r="B474" s="126" t="str">
        <f t="shared" si="141"/>
        <v>D0202</v>
      </c>
      <c r="C474" s="126">
        <v>167</v>
      </c>
      <c r="D474" s="126" t="s">
        <v>993</v>
      </c>
      <c r="E474" s="126">
        <v>623</v>
      </c>
      <c r="F474" s="126">
        <v>0</v>
      </c>
      <c r="G474" s="126">
        <v>399</v>
      </c>
      <c r="H474" s="126">
        <v>0</v>
      </c>
      <c r="I474" s="126">
        <v>64.040000000000006</v>
      </c>
      <c r="J474" s="126">
        <v>41.9</v>
      </c>
      <c r="K474" s="126">
        <v>0</v>
      </c>
      <c r="L474" s="126">
        <f t="shared" si="149"/>
        <v>623</v>
      </c>
      <c r="M474" s="126">
        <f t="shared" si="150"/>
        <v>399</v>
      </c>
      <c r="N474" s="171">
        <f t="shared" si="151"/>
        <v>0.64039999999999997</v>
      </c>
      <c r="O474" s="132">
        <f t="shared" si="152"/>
        <v>0</v>
      </c>
      <c r="P474" s="177">
        <f t="shared" si="153"/>
        <v>41.9</v>
      </c>
      <c r="Q474" s="177">
        <f t="shared" si="154"/>
        <v>41.9</v>
      </c>
      <c r="S474" s="233" t="b">
        <f t="shared" si="142"/>
        <v>0</v>
      </c>
    </row>
    <row r="475" spans="1:19">
      <c r="A475" s="126" t="s">
        <v>3775</v>
      </c>
      <c r="B475" s="126" t="str">
        <f t="shared" si="141"/>
        <v>D0202</v>
      </c>
      <c r="C475" s="126">
        <v>168</v>
      </c>
      <c r="D475" s="126" t="s">
        <v>995</v>
      </c>
      <c r="E475" s="126">
        <v>1086</v>
      </c>
      <c r="F475" s="126">
        <v>0</v>
      </c>
      <c r="G475" s="126">
        <v>609</v>
      </c>
      <c r="H475" s="126">
        <v>0</v>
      </c>
      <c r="I475" s="126">
        <v>56.08</v>
      </c>
      <c r="J475" s="126">
        <v>63.9</v>
      </c>
      <c r="K475" s="126">
        <v>0</v>
      </c>
      <c r="L475" s="126">
        <f t="shared" si="149"/>
        <v>1086</v>
      </c>
      <c r="M475" s="126">
        <f t="shared" si="150"/>
        <v>609</v>
      </c>
      <c r="N475" s="171">
        <f t="shared" si="151"/>
        <v>0.56079999999999997</v>
      </c>
      <c r="O475" s="132">
        <f t="shared" si="152"/>
        <v>0</v>
      </c>
      <c r="P475" s="177">
        <f t="shared" si="153"/>
        <v>63.9</v>
      </c>
      <c r="Q475" s="177">
        <f t="shared" si="154"/>
        <v>63.9</v>
      </c>
      <c r="S475" s="233" t="b">
        <f t="shared" si="142"/>
        <v>0</v>
      </c>
    </row>
    <row r="476" spans="1:19">
      <c r="A476" s="126" t="s">
        <v>3776</v>
      </c>
      <c r="B476" s="126" t="str">
        <f t="shared" si="141"/>
        <v>D0205</v>
      </c>
      <c r="C476" s="126">
        <v>238</v>
      </c>
      <c r="D476" s="126" t="s">
        <v>1014</v>
      </c>
      <c r="E476" s="126">
        <v>265</v>
      </c>
      <c r="F476" s="126">
        <v>0</v>
      </c>
      <c r="G476" s="126">
        <v>101</v>
      </c>
      <c r="H476" s="126">
        <v>0</v>
      </c>
      <c r="I476" s="126">
        <v>38.11</v>
      </c>
      <c r="J476" s="126">
        <v>0</v>
      </c>
      <c r="K476" s="126">
        <v>2.2000000000000002</v>
      </c>
      <c r="L476" s="126">
        <f t="shared" si="149"/>
        <v>265</v>
      </c>
      <c r="M476" s="126">
        <f t="shared" si="150"/>
        <v>101</v>
      </c>
      <c r="N476" s="171">
        <f t="shared" si="151"/>
        <v>0.38109999999999999</v>
      </c>
      <c r="O476" s="132">
        <f t="shared" si="152"/>
        <v>2.2000000000000002</v>
      </c>
      <c r="P476" s="177">
        <f t="shared" si="153"/>
        <v>0</v>
      </c>
      <c r="Q476" s="177">
        <f t="shared" si="154"/>
        <v>2.2000000000000002</v>
      </c>
      <c r="S476" s="233" t="b">
        <f t="shared" si="142"/>
        <v>0</v>
      </c>
    </row>
    <row r="477" spans="1:19">
      <c r="A477" s="126" t="s">
        <v>3776</v>
      </c>
      <c r="B477" s="126" t="str">
        <f t="shared" si="141"/>
        <v>D0205</v>
      </c>
      <c r="C477" s="126">
        <v>240</v>
      </c>
      <c r="D477" s="126" t="s">
        <v>1016</v>
      </c>
      <c r="E477" s="126">
        <v>236</v>
      </c>
      <c r="F477" s="126">
        <v>0</v>
      </c>
      <c r="G477" s="126">
        <v>83</v>
      </c>
      <c r="H477" s="126">
        <v>0</v>
      </c>
      <c r="I477" s="126">
        <v>35.17</v>
      </c>
      <c r="J477" s="126">
        <v>0</v>
      </c>
      <c r="K477" s="126">
        <v>0.1</v>
      </c>
      <c r="L477" s="126">
        <f t="shared" si="149"/>
        <v>236</v>
      </c>
      <c r="M477" s="126">
        <f t="shared" si="150"/>
        <v>83</v>
      </c>
      <c r="N477" s="171">
        <f t="shared" si="151"/>
        <v>0.35170000000000001</v>
      </c>
      <c r="O477" s="132">
        <f t="shared" si="152"/>
        <v>0.1</v>
      </c>
      <c r="P477" s="177">
        <f t="shared" si="153"/>
        <v>0</v>
      </c>
      <c r="Q477" s="177">
        <f t="shared" si="154"/>
        <v>0.1</v>
      </c>
      <c r="S477" s="233" t="b">
        <f t="shared" si="142"/>
        <v>0</v>
      </c>
    </row>
    <row r="478" spans="1:19">
      <c r="A478" s="126" t="s">
        <v>3777</v>
      </c>
      <c r="B478" s="126" t="str">
        <f t="shared" si="141"/>
        <v>D0209</v>
      </c>
      <c r="C478" s="126">
        <v>342</v>
      </c>
      <c r="D478" s="126" t="s">
        <v>1036</v>
      </c>
      <c r="E478" s="126">
        <v>84</v>
      </c>
      <c r="F478" s="126">
        <v>0</v>
      </c>
      <c r="G478" s="126">
        <v>42</v>
      </c>
      <c r="H478" s="126">
        <v>0</v>
      </c>
      <c r="I478" s="126">
        <v>50</v>
      </c>
      <c r="J478" s="126">
        <v>4.4000000000000004</v>
      </c>
      <c r="K478" s="126">
        <v>0</v>
      </c>
      <c r="L478" s="126">
        <f t="shared" si="149"/>
        <v>84</v>
      </c>
      <c r="M478" s="126">
        <f t="shared" si="150"/>
        <v>42</v>
      </c>
      <c r="N478" s="171">
        <f t="shared" si="151"/>
        <v>0.5</v>
      </c>
      <c r="O478" s="132">
        <f t="shared" si="152"/>
        <v>0</v>
      </c>
      <c r="P478" s="177">
        <f t="shared" si="153"/>
        <v>4.4000000000000004</v>
      </c>
      <c r="Q478" s="177">
        <f t="shared" si="154"/>
        <v>4.4000000000000004</v>
      </c>
      <c r="S478" s="233" t="b">
        <f t="shared" si="142"/>
        <v>0</v>
      </c>
    </row>
    <row r="479" spans="1:19">
      <c r="A479" s="126" t="s">
        <v>3777</v>
      </c>
      <c r="B479" s="126" t="str">
        <f t="shared" si="141"/>
        <v>D0209</v>
      </c>
      <c r="C479" s="126">
        <v>344</v>
      </c>
      <c r="D479" s="126" t="s">
        <v>1038</v>
      </c>
      <c r="E479" s="126">
        <v>83</v>
      </c>
      <c r="F479" s="126">
        <v>0</v>
      </c>
      <c r="G479" s="126">
        <v>42</v>
      </c>
      <c r="H479" s="126">
        <v>0</v>
      </c>
      <c r="I479" s="126">
        <v>50.6</v>
      </c>
      <c r="J479" s="126">
        <v>4.4000000000000004</v>
      </c>
      <c r="K479" s="126">
        <v>0</v>
      </c>
      <c r="L479" s="126">
        <f t="shared" si="149"/>
        <v>83</v>
      </c>
      <c r="M479" s="126">
        <f t="shared" si="150"/>
        <v>42</v>
      </c>
      <c r="N479" s="171">
        <f t="shared" si="151"/>
        <v>0.50600000000000001</v>
      </c>
      <c r="O479" s="132">
        <f t="shared" si="152"/>
        <v>0</v>
      </c>
      <c r="P479" s="177">
        <f t="shared" si="153"/>
        <v>4.4000000000000004</v>
      </c>
      <c r="Q479" s="177">
        <f t="shared" si="154"/>
        <v>4.4000000000000004</v>
      </c>
      <c r="S479" s="233" t="b">
        <f t="shared" si="142"/>
        <v>0</v>
      </c>
    </row>
    <row r="480" spans="1:19">
      <c r="A480" s="126" t="s">
        <v>3778</v>
      </c>
      <c r="B480" s="126" t="str">
        <f t="shared" si="141"/>
        <v>D0215</v>
      </c>
      <c r="C480" s="126">
        <v>466</v>
      </c>
      <c r="D480" s="126" t="s">
        <v>1067</v>
      </c>
      <c r="E480" s="126">
        <v>296</v>
      </c>
      <c r="F480" s="126">
        <v>0</v>
      </c>
      <c r="G480" s="126">
        <v>151</v>
      </c>
      <c r="H480" s="126">
        <v>0</v>
      </c>
      <c r="I480" s="126">
        <v>51.01</v>
      </c>
      <c r="J480" s="126">
        <v>15.9</v>
      </c>
      <c r="K480" s="126">
        <v>0</v>
      </c>
      <c r="L480" s="126">
        <f t="shared" si="149"/>
        <v>296</v>
      </c>
      <c r="M480" s="126">
        <f t="shared" si="150"/>
        <v>151</v>
      </c>
      <c r="N480" s="171">
        <f t="shared" si="151"/>
        <v>0.5101</v>
      </c>
      <c r="O480" s="132">
        <f t="shared" si="152"/>
        <v>0</v>
      </c>
      <c r="P480" s="177">
        <f t="shared" si="153"/>
        <v>15.9</v>
      </c>
      <c r="Q480" s="177">
        <f t="shared" si="154"/>
        <v>15.9</v>
      </c>
      <c r="S480" s="233" t="b">
        <f t="shared" si="142"/>
        <v>0</v>
      </c>
    </row>
    <row r="481" spans="1:19">
      <c r="A481" s="126" t="s">
        <v>3778</v>
      </c>
      <c r="B481" s="126" t="str">
        <f t="shared" si="141"/>
        <v>D0215</v>
      </c>
      <c r="C481" s="126">
        <v>467</v>
      </c>
      <c r="D481" s="126" t="s">
        <v>1069</v>
      </c>
      <c r="E481" s="126">
        <v>200</v>
      </c>
      <c r="F481" s="126">
        <v>0</v>
      </c>
      <c r="G481" s="126">
        <v>83</v>
      </c>
      <c r="H481" s="126">
        <v>0</v>
      </c>
      <c r="I481" s="126">
        <v>41.5</v>
      </c>
      <c r="J481" s="126">
        <v>0</v>
      </c>
      <c r="K481" s="126">
        <v>3.8</v>
      </c>
      <c r="L481" s="126">
        <f t="shared" si="149"/>
        <v>200</v>
      </c>
      <c r="M481" s="126">
        <f t="shared" si="150"/>
        <v>83</v>
      </c>
      <c r="N481" s="171">
        <f t="shared" si="151"/>
        <v>0.41499999999999998</v>
      </c>
      <c r="O481" s="132">
        <f t="shared" si="152"/>
        <v>3.8</v>
      </c>
      <c r="P481" s="177">
        <f t="shared" si="153"/>
        <v>0</v>
      </c>
      <c r="Q481" s="177">
        <f t="shared" si="154"/>
        <v>3.8</v>
      </c>
      <c r="S481" s="233" t="b">
        <f t="shared" si="142"/>
        <v>0</v>
      </c>
    </row>
    <row r="482" spans="1:19">
      <c r="A482" s="126" t="s">
        <v>3778</v>
      </c>
      <c r="B482" s="126" t="str">
        <f t="shared" si="141"/>
        <v>D0215</v>
      </c>
      <c r="C482" s="126">
        <v>468</v>
      </c>
      <c r="D482" s="126" t="s">
        <v>1071</v>
      </c>
      <c r="E482" s="126">
        <v>163</v>
      </c>
      <c r="F482" s="126">
        <v>0</v>
      </c>
      <c r="G482" s="126">
        <v>49</v>
      </c>
      <c r="H482" s="126">
        <v>0</v>
      </c>
      <c r="I482" s="126">
        <v>30.06</v>
      </c>
      <c r="J482" s="126">
        <v>0</v>
      </c>
      <c r="K482" s="126">
        <v>0</v>
      </c>
      <c r="L482" s="126">
        <f t="shared" si="149"/>
        <v>163</v>
      </c>
      <c r="M482" s="126">
        <f t="shared" si="150"/>
        <v>49</v>
      </c>
      <c r="N482" s="171">
        <f t="shared" si="151"/>
        <v>0.30059999999999998</v>
      </c>
      <c r="O482" s="132">
        <f t="shared" si="152"/>
        <v>0</v>
      </c>
      <c r="P482" s="177">
        <f t="shared" si="153"/>
        <v>0</v>
      </c>
      <c r="Q482" s="177">
        <f t="shared" si="154"/>
        <v>0</v>
      </c>
      <c r="S482" s="233" t="b">
        <f t="shared" si="142"/>
        <v>0</v>
      </c>
    </row>
    <row r="483" spans="1:19">
      <c r="A483" s="126" t="s">
        <v>3779</v>
      </c>
      <c r="B483" s="126" t="str">
        <f t="shared" si="141"/>
        <v>D0244</v>
      </c>
      <c r="C483" s="126">
        <v>1154</v>
      </c>
      <c r="D483" s="126" t="s">
        <v>1401</v>
      </c>
      <c r="E483" s="126">
        <v>295</v>
      </c>
      <c r="F483" s="126">
        <v>0</v>
      </c>
      <c r="G483" s="126">
        <v>71</v>
      </c>
      <c r="H483" s="126">
        <v>0</v>
      </c>
      <c r="I483" s="126">
        <v>24.07</v>
      </c>
      <c r="J483" s="126">
        <v>0</v>
      </c>
      <c r="K483" s="126">
        <v>0</v>
      </c>
      <c r="L483" s="126">
        <f t="shared" si="149"/>
        <v>295</v>
      </c>
      <c r="M483" s="126">
        <f t="shared" si="150"/>
        <v>71</v>
      </c>
      <c r="N483" s="171">
        <f t="shared" si="151"/>
        <v>0.2407</v>
      </c>
      <c r="O483" s="132">
        <f t="shared" si="152"/>
        <v>0</v>
      </c>
      <c r="P483" s="177">
        <f t="shared" si="153"/>
        <v>0</v>
      </c>
      <c r="Q483" s="177">
        <f t="shared" si="154"/>
        <v>0</v>
      </c>
      <c r="S483" s="233" t="b">
        <f t="shared" si="142"/>
        <v>0</v>
      </c>
    </row>
    <row r="484" spans="1:19">
      <c r="A484" s="126" t="s">
        <v>3779</v>
      </c>
      <c r="B484" s="126" t="str">
        <f t="shared" si="141"/>
        <v>D0244</v>
      </c>
      <c r="C484" s="126">
        <v>1163</v>
      </c>
      <c r="D484" s="126" t="s">
        <v>1403</v>
      </c>
      <c r="E484" s="126">
        <v>290</v>
      </c>
      <c r="F484" s="126">
        <v>0</v>
      </c>
      <c r="G484" s="126">
        <v>104</v>
      </c>
      <c r="H484" s="126">
        <v>0</v>
      </c>
      <c r="I484" s="126">
        <v>35.86</v>
      </c>
      <c r="J484" s="126">
        <v>0</v>
      </c>
      <c r="K484" s="126">
        <v>0.6</v>
      </c>
      <c r="L484" s="126">
        <f t="shared" si="149"/>
        <v>290</v>
      </c>
      <c r="M484" s="126">
        <f t="shared" si="150"/>
        <v>104</v>
      </c>
      <c r="N484" s="171">
        <f t="shared" si="151"/>
        <v>0.35859999999999997</v>
      </c>
      <c r="O484" s="132">
        <f t="shared" si="152"/>
        <v>0.6</v>
      </c>
      <c r="P484" s="177">
        <f t="shared" si="153"/>
        <v>0</v>
      </c>
      <c r="Q484" s="177">
        <f t="shared" si="154"/>
        <v>0.6</v>
      </c>
      <c r="S484" s="233" t="b">
        <f t="shared" si="142"/>
        <v>0</v>
      </c>
    </row>
    <row r="485" spans="1:19">
      <c r="A485" s="126" t="s">
        <v>3779</v>
      </c>
      <c r="B485" s="126" t="str">
        <f t="shared" si="141"/>
        <v>D0244</v>
      </c>
      <c r="C485" s="126">
        <v>1165</v>
      </c>
      <c r="D485" s="126" t="s">
        <v>1405</v>
      </c>
      <c r="E485" s="126">
        <v>248</v>
      </c>
      <c r="F485" s="126">
        <v>0</v>
      </c>
      <c r="G485" s="126">
        <v>83</v>
      </c>
      <c r="H485" s="126">
        <v>0</v>
      </c>
      <c r="I485" s="126">
        <v>33.47</v>
      </c>
      <c r="J485" s="126">
        <v>0</v>
      </c>
      <c r="K485" s="126">
        <v>0</v>
      </c>
      <c r="L485" s="126">
        <f t="shared" si="149"/>
        <v>248</v>
      </c>
      <c r="M485" s="126">
        <f t="shared" si="150"/>
        <v>83</v>
      </c>
      <c r="N485" s="171">
        <f t="shared" si="151"/>
        <v>0.3347</v>
      </c>
      <c r="O485" s="132">
        <f t="shared" si="152"/>
        <v>0</v>
      </c>
      <c r="P485" s="177">
        <f t="shared" si="153"/>
        <v>0</v>
      </c>
      <c r="Q485" s="177">
        <f t="shared" si="154"/>
        <v>0</v>
      </c>
      <c r="S485" s="233" t="b">
        <f t="shared" si="142"/>
        <v>0</v>
      </c>
    </row>
    <row r="486" spans="1:19">
      <c r="A486" s="126" t="s">
        <v>3781</v>
      </c>
      <c r="B486" s="126" t="str">
        <f t="shared" si="141"/>
        <v>D0287</v>
      </c>
      <c r="C486" s="126">
        <v>2559</v>
      </c>
      <c r="D486" s="126" t="s">
        <v>1863</v>
      </c>
      <c r="E486" s="126">
        <v>178</v>
      </c>
      <c r="F486" s="126">
        <v>0</v>
      </c>
      <c r="G486" s="126">
        <v>71</v>
      </c>
      <c r="H486" s="126">
        <v>0</v>
      </c>
      <c r="I486" s="126">
        <v>39.89</v>
      </c>
      <c r="J486" s="126">
        <v>0</v>
      </c>
      <c r="K486" s="126">
        <v>2.4</v>
      </c>
      <c r="L486" s="126">
        <f t="shared" si="149"/>
        <v>178</v>
      </c>
      <c r="M486" s="126">
        <f t="shared" si="150"/>
        <v>71</v>
      </c>
      <c r="N486" s="171">
        <f t="shared" si="151"/>
        <v>0.39889999999999998</v>
      </c>
      <c r="O486" s="132">
        <f t="shared" si="152"/>
        <v>2.4</v>
      </c>
      <c r="P486" s="177">
        <f t="shared" si="153"/>
        <v>0</v>
      </c>
      <c r="Q486" s="177">
        <f t="shared" si="154"/>
        <v>2.4</v>
      </c>
      <c r="S486" s="233" t="b">
        <f t="shared" si="142"/>
        <v>0</v>
      </c>
    </row>
    <row r="487" spans="1:19">
      <c r="A487" s="126" t="s">
        <v>3781</v>
      </c>
      <c r="B487" s="126" t="str">
        <f t="shared" si="141"/>
        <v>D0287</v>
      </c>
      <c r="C487" s="126">
        <v>2563</v>
      </c>
      <c r="D487" s="126" t="s">
        <v>1865</v>
      </c>
      <c r="E487" s="126">
        <v>159</v>
      </c>
      <c r="F487" s="126">
        <v>0</v>
      </c>
      <c r="G487" s="126">
        <v>63</v>
      </c>
      <c r="H487" s="126">
        <v>0</v>
      </c>
      <c r="I487" s="126">
        <v>39.619999999999997</v>
      </c>
      <c r="J487" s="126">
        <v>0</v>
      </c>
      <c r="K487" s="126">
        <v>2</v>
      </c>
      <c r="L487" s="126">
        <f t="shared" si="149"/>
        <v>159</v>
      </c>
      <c r="M487" s="126">
        <f t="shared" si="150"/>
        <v>63</v>
      </c>
      <c r="N487" s="171">
        <f t="shared" si="151"/>
        <v>0.3962</v>
      </c>
      <c r="O487" s="132">
        <f t="shared" si="152"/>
        <v>2</v>
      </c>
      <c r="P487" s="177">
        <f t="shared" si="153"/>
        <v>0</v>
      </c>
      <c r="Q487" s="177">
        <f t="shared" si="154"/>
        <v>2</v>
      </c>
      <c r="S487" s="233" t="b">
        <f t="shared" si="142"/>
        <v>0</v>
      </c>
    </row>
    <row r="488" spans="1:19">
      <c r="A488" s="126" t="s">
        <v>3781</v>
      </c>
      <c r="B488" s="126" t="str">
        <f t="shared" ref="B488:B531" si="155">LEFT(A488,5)</f>
        <v>D0287</v>
      </c>
      <c r="C488" s="126">
        <v>2564</v>
      </c>
      <c r="D488" s="126" t="s">
        <v>1867</v>
      </c>
      <c r="E488" s="126">
        <v>112</v>
      </c>
      <c r="F488" s="126">
        <v>0</v>
      </c>
      <c r="G488" s="126">
        <v>47</v>
      </c>
      <c r="H488" s="126">
        <v>0</v>
      </c>
      <c r="I488" s="126">
        <v>41.96</v>
      </c>
      <c r="J488" s="126">
        <v>0</v>
      </c>
      <c r="K488" s="126">
        <v>2.2999999999999998</v>
      </c>
      <c r="L488" s="126">
        <f t="shared" si="149"/>
        <v>112</v>
      </c>
      <c r="M488" s="126">
        <f t="shared" si="150"/>
        <v>47</v>
      </c>
      <c r="N488" s="171">
        <f t="shared" si="151"/>
        <v>0.41959999999999997</v>
      </c>
      <c r="O488" s="132">
        <f t="shared" si="152"/>
        <v>2.2999999999999998</v>
      </c>
      <c r="P488" s="177">
        <f t="shared" si="153"/>
        <v>0</v>
      </c>
      <c r="Q488" s="177">
        <f t="shared" si="154"/>
        <v>2.2999999999999998</v>
      </c>
      <c r="S488" s="233" t="b">
        <f t="shared" si="142"/>
        <v>0</v>
      </c>
    </row>
    <row r="489" spans="1:19">
      <c r="A489" s="126" t="s">
        <v>3781</v>
      </c>
      <c r="B489" s="126" t="str">
        <f t="shared" si="155"/>
        <v>D0287</v>
      </c>
      <c r="C489" s="126">
        <v>2569</v>
      </c>
      <c r="D489" s="126" t="s">
        <v>1869</v>
      </c>
      <c r="E489" s="126">
        <v>180</v>
      </c>
      <c r="F489" s="126">
        <v>0</v>
      </c>
      <c r="G489" s="126">
        <v>63</v>
      </c>
      <c r="H489" s="126">
        <v>0</v>
      </c>
      <c r="I489" s="126">
        <v>35</v>
      </c>
      <c r="J489" s="126">
        <v>0</v>
      </c>
      <c r="K489" s="126">
        <v>0</v>
      </c>
      <c r="L489" s="126">
        <f t="shared" si="149"/>
        <v>180</v>
      </c>
      <c r="M489" s="126">
        <f t="shared" si="150"/>
        <v>63</v>
      </c>
      <c r="N489" s="171">
        <f t="shared" si="151"/>
        <v>0.35</v>
      </c>
      <c r="O489" s="132">
        <f t="shared" si="152"/>
        <v>0</v>
      </c>
      <c r="P489" s="177">
        <f t="shared" si="153"/>
        <v>0</v>
      </c>
      <c r="Q489" s="177">
        <f t="shared" si="154"/>
        <v>0</v>
      </c>
      <c r="S489" s="233" t="b">
        <f t="shared" si="142"/>
        <v>0</v>
      </c>
    </row>
    <row r="490" spans="1:19">
      <c r="A490" s="126" t="s">
        <v>3782</v>
      </c>
      <c r="B490" s="126" t="str">
        <f t="shared" si="155"/>
        <v>D0340</v>
      </c>
      <c r="C490" s="126">
        <v>3970</v>
      </c>
      <c r="D490" s="126" t="s">
        <v>2141</v>
      </c>
      <c r="E490" s="126">
        <v>279</v>
      </c>
      <c r="F490" s="126">
        <v>0</v>
      </c>
      <c r="G490" s="126">
        <v>49</v>
      </c>
      <c r="H490" s="126">
        <v>0</v>
      </c>
      <c r="I490" s="126">
        <v>17.559999999999999</v>
      </c>
      <c r="J490" s="126">
        <v>0</v>
      </c>
      <c r="K490" s="126">
        <v>0</v>
      </c>
      <c r="L490" s="126">
        <f t="shared" si="149"/>
        <v>279</v>
      </c>
      <c r="M490" s="126">
        <f t="shared" si="150"/>
        <v>49</v>
      </c>
      <c r="N490" s="171">
        <f t="shared" si="151"/>
        <v>0.17560000000000001</v>
      </c>
      <c r="O490" s="132">
        <f t="shared" si="152"/>
        <v>0</v>
      </c>
      <c r="P490" s="177">
        <f t="shared" si="153"/>
        <v>0</v>
      </c>
      <c r="Q490" s="177">
        <f t="shared" si="154"/>
        <v>0</v>
      </c>
      <c r="S490" s="233" t="b">
        <f t="shared" si="142"/>
        <v>0</v>
      </c>
    </row>
    <row r="491" spans="1:19">
      <c r="A491" s="126" t="s">
        <v>3782</v>
      </c>
      <c r="B491" s="126" t="str">
        <f t="shared" si="155"/>
        <v>D0340</v>
      </c>
      <c r="C491" s="126">
        <v>3972</v>
      </c>
      <c r="D491" s="126" t="s">
        <v>2143</v>
      </c>
      <c r="E491" s="126">
        <v>273</v>
      </c>
      <c r="F491" s="126">
        <v>0</v>
      </c>
      <c r="G491" s="126">
        <v>74</v>
      </c>
      <c r="H491" s="126">
        <v>0</v>
      </c>
      <c r="I491" s="126">
        <v>27.11</v>
      </c>
      <c r="J491" s="126">
        <v>0</v>
      </c>
      <c r="K491" s="126">
        <v>0</v>
      </c>
      <c r="L491" s="126">
        <f t="shared" si="149"/>
        <v>273</v>
      </c>
      <c r="M491" s="126">
        <f t="shared" si="150"/>
        <v>74</v>
      </c>
      <c r="N491" s="171">
        <f t="shared" si="151"/>
        <v>0.27110000000000001</v>
      </c>
      <c r="O491" s="132">
        <f t="shared" si="152"/>
        <v>0</v>
      </c>
      <c r="P491" s="177">
        <f t="shared" si="153"/>
        <v>0</v>
      </c>
      <c r="Q491" s="177">
        <f t="shared" si="154"/>
        <v>0</v>
      </c>
      <c r="S491" s="233" t="b">
        <f t="shared" si="142"/>
        <v>0</v>
      </c>
    </row>
    <row r="492" spans="1:19">
      <c r="A492" s="126" t="s">
        <v>3782</v>
      </c>
      <c r="B492" s="126" t="str">
        <f t="shared" si="155"/>
        <v>D0340</v>
      </c>
      <c r="C492" s="126">
        <v>3975</v>
      </c>
      <c r="D492" s="126" t="s">
        <v>2145</v>
      </c>
      <c r="E492" s="126">
        <v>295</v>
      </c>
      <c r="F492" s="126">
        <v>0</v>
      </c>
      <c r="G492" s="126">
        <v>69</v>
      </c>
      <c r="H492" s="126">
        <v>0</v>
      </c>
      <c r="I492" s="126">
        <v>23.39</v>
      </c>
      <c r="J492" s="126">
        <v>0</v>
      </c>
      <c r="K492" s="126">
        <v>0</v>
      </c>
      <c r="L492" s="126">
        <f t="shared" si="149"/>
        <v>295</v>
      </c>
      <c r="M492" s="126">
        <f t="shared" si="150"/>
        <v>69</v>
      </c>
      <c r="N492" s="171">
        <f t="shared" si="151"/>
        <v>0.2339</v>
      </c>
      <c r="O492" s="132">
        <f t="shared" si="152"/>
        <v>0</v>
      </c>
      <c r="P492" s="177">
        <f t="shared" si="153"/>
        <v>0</v>
      </c>
      <c r="Q492" s="177">
        <f t="shared" si="154"/>
        <v>0</v>
      </c>
      <c r="S492" s="233" t="b">
        <f t="shared" si="142"/>
        <v>0</v>
      </c>
    </row>
    <row r="493" spans="1:19">
      <c r="A493" s="126" t="s">
        <v>3783</v>
      </c>
      <c r="B493" s="126" t="str">
        <f t="shared" si="155"/>
        <v>D0347</v>
      </c>
      <c r="C493" s="126">
        <v>4117</v>
      </c>
      <c r="D493" s="126" t="s">
        <v>2185</v>
      </c>
      <c r="E493" s="126">
        <v>172</v>
      </c>
      <c r="F493" s="126">
        <v>0</v>
      </c>
      <c r="G493" s="126">
        <v>71</v>
      </c>
      <c r="H493" s="126">
        <v>0</v>
      </c>
      <c r="I493" s="126">
        <v>41.28</v>
      </c>
      <c r="J493" s="126">
        <v>0</v>
      </c>
      <c r="K493" s="126">
        <v>3.1</v>
      </c>
      <c r="L493" s="126">
        <f t="shared" si="149"/>
        <v>172</v>
      </c>
      <c r="M493" s="126">
        <f t="shared" si="150"/>
        <v>71</v>
      </c>
      <c r="N493" s="171">
        <f t="shared" si="151"/>
        <v>0.4128</v>
      </c>
      <c r="O493" s="132">
        <f t="shared" si="152"/>
        <v>3.1</v>
      </c>
      <c r="P493" s="177">
        <f t="shared" si="153"/>
        <v>0</v>
      </c>
      <c r="Q493" s="177">
        <f t="shared" si="154"/>
        <v>3.1</v>
      </c>
      <c r="S493" s="233" t="b">
        <f t="shared" si="142"/>
        <v>0</v>
      </c>
    </row>
    <row r="494" spans="1:19">
      <c r="A494" s="126" t="s">
        <v>3783</v>
      </c>
      <c r="B494" s="126" t="str">
        <f t="shared" si="155"/>
        <v>D0347</v>
      </c>
      <c r="C494" s="126">
        <v>4120</v>
      </c>
      <c r="D494" s="126" t="s">
        <v>3608</v>
      </c>
      <c r="E494" s="126">
        <v>140</v>
      </c>
      <c r="F494" s="126">
        <v>0</v>
      </c>
      <c r="G494" s="126">
        <v>61</v>
      </c>
      <c r="H494" s="126">
        <v>0</v>
      </c>
      <c r="I494" s="126">
        <v>43.57</v>
      </c>
      <c r="J494" s="126">
        <v>0</v>
      </c>
      <c r="K494" s="126">
        <v>3.7</v>
      </c>
      <c r="L494" s="126">
        <f t="shared" si="149"/>
        <v>140</v>
      </c>
      <c r="M494" s="126">
        <f t="shared" si="150"/>
        <v>61</v>
      </c>
      <c r="N494" s="171">
        <f t="shared" si="151"/>
        <v>0.43569999999999998</v>
      </c>
      <c r="O494" s="132">
        <f t="shared" si="152"/>
        <v>3.7</v>
      </c>
      <c r="P494" s="177">
        <f t="shared" si="153"/>
        <v>0</v>
      </c>
      <c r="Q494" s="177">
        <f t="shared" si="154"/>
        <v>3.7</v>
      </c>
      <c r="S494" s="233" t="b">
        <f t="shared" si="142"/>
        <v>0</v>
      </c>
    </row>
    <row r="495" spans="1:19">
      <c r="A495" s="126" t="s">
        <v>3784</v>
      </c>
      <c r="B495" s="126" t="str">
        <f t="shared" si="155"/>
        <v>D0355</v>
      </c>
      <c r="C495" s="126">
        <v>4318</v>
      </c>
      <c r="D495" s="126" t="s">
        <v>2223</v>
      </c>
      <c r="E495" s="126">
        <v>293</v>
      </c>
      <c r="F495" s="126">
        <v>0</v>
      </c>
      <c r="G495" s="126">
        <v>78</v>
      </c>
      <c r="H495" s="126">
        <v>0</v>
      </c>
      <c r="I495" s="126">
        <v>26.62</v>
      </c>
      <c r="J495" s="126">
        <v>0</v>
      </c>
      <c r="K495" s="126">
        <v>0</v>
      </c>
      <c r="L495" s="126">
        <f t="shared" si="149"/>
        <v>293</v>
      </c>
      <c r="M495" s="126">
        <f t="shared" si="150"/>
        <v>78</v>
      </c>
      <c r="N495" s="171">
        <f t="shared" si="151"/>
        <v>0.26619999999999999</v>
      </c>
      <c r="O495" s="132">
        <f t="shared" si="152"/>
        <v>0</v>
      </c>
      <c r="P495" s="177">
        <f t="shared" si="153"/>
        <v>0</v>
      </c>
      <c r="Q495" s="177">
        <f t="shared" si="154"/>
        <v>0</v>
      </c>
      <c r="S495" s="233" t="b">
        <f t="shared" si="142"/>
        <v>0</v>
      </c>
    </row>
    <row r="496" spans="1:19">
      <c r="A496" s="126" t="s">
        <v>3784</v>
      </c>
      <c r="B496" s="126" t="str">
        <f t="shared" si="155"/>
        <v>D0355</v>
      </c>
      <c r="C496" s="126">
        <v>4320</v>
      </c>
      <c r="D496" s="126" t="s">
        <v>3785</v>
      </c>
      <c r="E496" s="126">
        <v>73</v>
      </c>
      <c r="F496" s="126">
        <v>0</v>
      </c>
      <c r="G496" s="126">
        <v>21</v>
      </c>
      <c r="H496" s="126">
        <v>0</v>
      </c>
      <c r="I496" s="126">
        <v>28.77</v>
      </c>
      <c r="J496" s="126">
        <v>0</v>
      </c>
      <c r="K496" s="126">
        <v>0</v>
      </c>
      <c r="L496" s="126">
        <f t="shared" si="149"/>
        <v>73</v>
      </c>
      <c r="M496" s="126">
        <f t="shared" si="150"/>
        <v>21</v>
      </c>
      <c r="N496" s="171">
        <f t="shared" si="151"/>
        <v>0.28770000000000001</v>
      </c>
      <c r="O496" s="132">
        <f t="shared" si="152"/>
        <v>0</v>
      </c>
      <c r="P496" s="177">
        <f t="shared" si="153"/>
        <v>0</v>
      </c>
      <c r="Q496" s="177">
        <f t="shared" si="154"/>
        <v>0</v>
      </c>
      <c r="S496" s="233" t="b">
        <f t="shared" si="142"/>
        <v>0</v>
      </c>
    </row>
    <row r="497" spans="1:19">
      <c r="A497" s="126" t="s">
        <v>3784</v>
      </c>
      <c r="B497" s="126" t="str">
        <f t="shared" si="155"/>
        <v>D0355</v>
      </c>
      <c r="C497" s="126">
        <v>4322</v>
      </c>
      <c r="D497" s="126" t="s">
        <v>2227</v>
      </c>
      <c r="E497" s="126">
        <v>138</v>
      </c>
      <c r="F497" s="126">
        <v>0</v>
      </c>
      <c r="G497" s="126">
        <v>43</v>
      </c>
      <c r="H497" s="126">
        <v>0</v>
      </c>
      <c r="I497" s="126">
        <v>31.16</v>
      </c>
      <c r="J497" s="126">
        <v>0</v>
      </c>
      <c r="K497" s="126">
        <v>0</v>
      </c>
      <c r="L497" s="126">
        <f t="shared" si="149"/>
        <v>138</v>
      </c>
      <c r="M497" s="126">
        <f t="shared" si="150"/>
        <v>43</v>
      </c>
      <c r="N497" s="171">
        <f t="shared" si="151"/>
        <v>0.31159999999999999</v>
      </c>
      <c r="O497" s="132">
        <f t="shared" si="152"/>
        <v>0</v>
      </c>
      <c r="P497" s="177">
        <f t="shared" si="153"/>
        <v>0</v>
      </c>
      <c r="Q497" s="177">
        <f t="shared" si="154"/>
        <v>0</v>
      </c>
      <c r="S497" s="233" t="b">
        <f t="shared" si="142"/>
        <v>0</v>
      </c>
    </row>
    <row r="498" spans="1:19">
      <c r="A498" s="126" t="s">
        <v>3786</v>
      </c>
      <c r="B498" s="126" t="str">
        <f t="shared" si="155"/>
        <v>D0363</v>
      </c>
      <c r="C498" s="126">
        <v>4516</v>
      </c>
      <c r="D498" s="126" t="s">
        <v>2266</v>
      </c>
      <c r="E498" s="126">
        <v>218</v>
      </c>
      <c r="F498" s="126">
        <v>0</v>
      </c>
      <c r="G498" s="126">
        <v>90</v>
      </c>
      <c r="H498" s="126">
        <v>0</v>
      </c>
      <c r="I498" s="126">
        <v>41.28</v>
      </c>
      <c r="J498" s="126">
        <v>0</v>
      </c>
      <c r="K498" s="126">
        <v>4</v>
      </c>
      <c r="L498" s="126">
        <f t="shared" si="149"/>
        <v>218</v>
      </c>
      <c r="M498" s="126">
        <f t="shared" si="150"/>
        <v>90</v>
      </c>
      <c r="N498" s="171">
        <f t="shared" si="151"/>
        <v>0.4128</v>
      </c>
      <c r="O498" s="132">
        <f t="shared" si="152"/>
        <v>4</v>
      </c>
      <c r="P498" s="177">
        <f t="shared" si="153"/>
        <v>0</v>
      </c>
      <c r="Q498" s="177">
        <f t="shared" si="154"/>
        <v>4</v>
      </c>
      <c r="S498" s="233" t="b">
        <f t="shared" si="142"/>
        <v>0</v>
      </c>
    </row>
    <row r="499" spans="1:19">
      <c r="A499" s="126" t="s">
        <v>3786</v>
      </c>
      <c r="B499" s="126" t="str">
        <f t="shared" si="155"/>
        <v>D0363</v>
      </c>
      <c r="C499" s="126">
        <v>4517</v>
      </c>
      <c r="D499" s="126" t="s">
        <v>2268</v>
      </c>
      <c r="E499" s="126">
        <v>241</v>
      </c>
      <c r="F499" s="126">
        <v>0</v>
      </c>
      <c r="G499" s="126">
        <v>80</v>
      </c>
      <c r="H499" s="126">
        <v>0</v>
      </c>
      <c r="I499" s="126">
        <v>33.200000000000003</v>
      </c>
      <c r="J499" s="126">
        <v>0</v>
      </c>
      <c r="K499" s="126">
        <v>0</v>
      </c>
      <c r="L499" s="126">
        <f t="shared" si="149"/>
        <v>241</v>
      </c>
      <c r="M499" s="126">
        <f t="shared" si="150"/>
        <v>80</v>
      </c>
      <c r="N499" s="171">
        <f t="shared" si="151"/>
        <v>0.33200000000000002</v>
      </c>
      <c r="O499" s="132">
        <f t="shared" si="152"/>
        <v>0</v>
      </c>
      <c r="P499" s="177">
        <f t="shared" si="153"/>
        <v>0</v>
      </c>
      <c r="Q499" s="177">
        <f t="shared" si="154"/>
        <v>0</v>
      </c>
      <c r="S499" s="233" t="b">
        <f t="shared" si="142"/>
        <v>0</v>
      </c>
    </row>
    <row r="500" spans="1:19">
      <c r="A500" s="126" t="s">
        <v>3786</v>
      </c>
      <c r="B500" s="126" t="str">
        <f t="shared" si="155"/>
        <v>D0363</v>
      </c>
      <c r="C500" s="126">
        <v>4518</v>
      </c>
      <c r="D500" s="126" t="s">
        <v>2270</v>
      </c>
      <c r="E500" s="126">
        <v>246</v>
      </c>
      <c r="F500" s="126">
        <v>0</v>
      </c>
      <c r="G500" s="126">
        <v>81</v>
      </c>
      <c r="H500" s="126">
        <v>0</v>
      </c>
      <c r="I500" s="126">
        <v>32.93</v>
      </c>
      <c r="J500" s="126">
        <v>0</v>
      </c>
      <c r="K500" s="126">
        <v>0</v>
      </c>
      <c r="L500" s="126">
        <f t="shared" si="149"/>
        <v>246</v>
      </c>
      <c r="M500" s="126">
        <f t="shared" si="150"/>
        <v>81</v>
      </c>
      <c r="N500" s="171">
        <f t="shared" si="151"/>
        <v>0.32929999999999998</v>
      </c>
      <c r="O500" s="132">
        <f t="shared" si="152"/>
        <v>0</v>
      </c>
      <c r="P500" s="177">
        <f t="shared" si="153"/>
        <v>0</v>
      </c>
      <c r="Q500" s="177">
        <f t="shared" si="154"/>
        <v>0</v>
      </c>
      <c r="S500" s="233" t="b">
        <f t="shared" si="142"/>
        <v>0</v>
      </c>
    </row>
    <row r="501" spans="1:19">
      <c r="A501" s="126" t="s">
        <v>3786</v>
      </c>
      <c r="B501" s="126" t="str">
        <f t="shared" si="155"/>
        <v>D0363</v>
      </c>
      <c r="C501" s="126">
        <v>4519</v>
      </c>
      <c r="D501" s="126" t="s">
        <v>2272</v>
      </c>
      <c r="E501" s="126">
        <v>247</v>
      </c>
      <c r="F501" s="126">
        <v>0</v>
      </c>
      <c r="G501" s="126">
        <v>81</v>
      </c>
      <c r="H501" s="126">
        <v>0</v>
      </c>
      <c r="I501" s="126">
        <v>32.79</v>
      </c>
      <c r="J501" s="126">
        <v>0</v>
      </c>
      <c r="K501" s="126">
        <v>0</v>
      </c>
      <c r="L501" s="126">
        <f t="shared" si="149"/>
        <v>247</v>
      </c>
      <c r="M501" s="126">
        <f t="shared" si="150"/>
        <v>81</v>
      </c>
      <c r="N501" s="171">
        <f t="shared" si="151"/>
        <v>0.32790000000000002</v>
      </c>
      <c r="O501" s="132">
        <f t="shared" si="152"/>
        <v>0</v>
      </c>
      <c r="P501" s="177">
        <f t="shared" si="153"/>
        <v>0</v>
      </c>
      <c r="Q501" s="177">
        <f t="shared" si="154"/>
        <v>0</v>
      </c>
      <c r="S501" s="233" t="b">
        <f t="shared" si="142"/>
        <v>0</v>
      </c>
    </row>
    <row r="502" spans="1:19">
      <c r="A502" s="126" t="s">
        <v>3787</v>
      </c>
      <c r="B502" s="126" t="str">
        <f t="shared" si="155"/>
        <v>D0373</v>
      </c>
      <c r="C502" s="126">
        <v>4810</v>
      </c>
      <c r="D502" s="126" t="s">
        <v>2318</v>
      </c>
      <c r="E502" s="126">
        <v>1011</v>
      </c>
      <c r="F502" s="126">
        <v>0</v>
      </c>
      <c r="G502" s="126">
        <v>369</v>
      </c>
      <c r="H502" s="126">
        <v>0</v>
      </c>
      <c r="I502" s="126">
        <v>36.5</v>
      </c>
      <c r="J502" s="126">
        <v>0</v>
      </c>
      <c r="K502" s="126">
        <v>3.9</v>
      </c>
      <c r="L502" s="126">
        <f t="shared" si="149"/>
        <v>1011</v>
      </c>
      <c r="M502" s="126">
        <f t="shared" si="150"/>
        <v>369</v>
      </c>
      <c r="N502" s="171">
        <f t="shared" si="151"/>
        <v>0.36499999999999999</v>
      </c>
      <c r="O502" s="132">
        <f t="shared" si="152"/>
        <v>3.9</v>
      </c>
      <c r="P502" s="177">
        <f t="shared" si="153"/>
        <v>0</v>
      </c>
      <c r="Q502" s="177">
        <f t="shared" si="154"/>
        <v>3.9</v>
      </c>
      <c r="S502" s="233" t="b">
        <f t="shared" si="142"/>
        <v>0</v>
      </c>
    </row>
    <row r="503" spans="1:19">
      <c r="A503" s="126" t="s">
        <v>3787</v>
      </c>
      <c r="B503" s="126" t="str">
        <f t="shared" si="155"/>
        <v>D0373</v>
      </c>
      <c r="C503" s="126">
        <v>4821</v>
      </c>
      <c r="D503" s="126" t="s">
        <v>2320</v>
      </c>
      <c r="E503" s="126">
        <v>507</v>
      </c>
      <c r="F503" s="126">
        <v>0</v>
      </c>
      <c r="G503" s="126">
        <v>215</v>
      </c>
      <c r="H503" s="126">
        <v>0</v>
      </c>
      <c r="I503" s="126">
        <v>42.41</v>
      </c>
      <c r="J503" s="126">
        <v>0</v>
      </c>
      <c r="K503" s="126">
        <v>11.2</v>
      </c>
      <c r="L503" s="126">
        <f t="shared" si="149"/>
        <v>507</v>
      </c>
      <c r="M503" s="126">
        <f t="shared" si="150"/>
        <v>215</v>
      </c>
      <c r="N503" s="171">
        <f t="shared" si="151"/>
        <v>0.42409999999999998</v>
      </c>
      <c r="O503" s="132">
        <f t="shared" si="152"/>
        <v>11.2</v>
      </c>
      <c r="P503" s="177">
        <f t="shared" si="153"/>
        <v>0</v>
      </c>
      <c r="Q503" s="177">
        <f t="shared" si="154"/>
        <v>11.2</v>
      </c>
      <c r="S503" s="233" t="b">
        <f t="shared" si="142"/>
        <v>0</v>
      </c>
    </row>
    <row r="504" spans="1:19">
      <c r="A504" s="126" t="s">
        <v>3787</v>
      </c>
      <c r="B504" s="126" t="str">
        <f t="shared" si="155"/>
        <v>D0373</v>
      </c>
      <c r="C504" s="126">
        <v>4823</v>
      </c>
      <c r="D504" s="126" t="s">
        <v>2322</v>
      </c>
      <c r="E504" s="126">
        <v>257</v>
      </c>
      <c r="F504" s="126">
        <v>0</v>
      </c>
      <c r="G504" s="126">
        <v>114</v>
      </c>
      <c r="H504" s="126">
        <v>0</v>
      </c>
      <c r="I504" s="126">
        <v>44.36</v>
      </c>
      <c r="J504" s="126">
        <v>0</v>
      </c>
      <c r="K504" s="126">
        <v>7.5</v>
      </c>
      <c r="L504" s="126">
        <f t="shared" si="149"/>
        <v>257</v>
      </c>
      <c r="M504" s="126">
        <f t="shared" si="150"/>
        <v>114</v>
      </c>
      <c r="N504" s="171">
        <f t="shared" si="151"/>
        <v>0.44359999999999999</v>
      </c>
      <c r="O504" s="132">
        <f t="shared" si="152"/>
        <v>7.5</v>
      </c>
      <c r="P504" s="177">
        <f t="shared" si="153"/>
        <v>0</v>
      </c>
      <c r="Q504" s="177">
        <f t="shared" si="154"/>
        <v>7.5</v>
      </c>
      <c r="S504" s="233" t="b">
        <f t="shared" si="142"/>
        <v>0</v>
      </c>
    </row>
    <row r="505" spans="1:19">
      <c r="A505" s="126" t="s">
        <v>3787</v>
      </c>
      <c r="B505" s="126" t="str">
        <f t="shared" si="155"/>
        <v>D0373</v>
      </c>
      <c r="C505" s="126">
        <v>4824</v>
      </c>
      <c r="D505" s="126" t="s">
        <v>2324</v>
      </c>
      <c r="E505" s="126">
        <v>551</v>
      </c>
      <c r="F505" s="126">
        <v>0</v>
      </c>
      <c r="G505" s="126">
        <v>233</v>
      </c>
      <c r="H505" s="126">
        <v>0</v>
      </c>
      <c r="I505" s="126">
        <v>42.29</v>
      </c>
      <c r="J505" s="126">
        <v>0</v>
      </c>
      <c r="K505" s="126">
        <v>11.9</v>
      </c>
      <c r="L505" s="126">
        <f t="shared" si="149"/>
        <v>551</v>
      </c>
      <c r="M505" s="126">
        <f t="shared" si="150"/>
        <v>233</v>
      </c>
      <c r="N505" s="171">
        <f t="shared" si="151"/>
        <v>0.4229</v>
      </c>
      <c r="O505" s="132">
        <f t="shared" si="152"/>
        <v>11.9</v>
      </c>
      <c r="P505" s="177">
        <f t="shared" si="153"/>
        <v>0</v>
      </c>
      <c r="Q505" s="177">
        <f t="shared" si="154"/>
        <v>11.9</v>
      </c>
      <c r="S505" s="233" t="b">
        <f t="shared" si="142"/>
        <v>0</v>
      </c>
    </row>
    <row r="506" spans="1:19">
      <c r="A506" s="126" t="s">
        <v>3787</v>
      </c>
      <c r="B506" s="126" t="str">
        <f t="shared" si="155"/>
        <v>D0373</v>
      </c>
      <c r="C506" s="126">
        <v>4827</v>
      </c>
      <c r="D506" s="126" t="s">
        <v>2326</v>
      </c>
      <c r="E506" s="126">
        <v>317</v>
      </c>
      <c r="F506" s="126">
        <v>0</v>
      </c>
      <c r="G506" s="126">
        <v>147</v>
      </c>
      <c r="H506" s="126">
        <v>0</v>
      </c>
      <c r="I506" s="126">
        <v>46.37</v>
      </c>
      <c r="J506" s="126">
        <v>0</v>
      </c>
      <c r="K506" s="126">
        <v>11.7</v>
      </c>
      <c r="L506" s="126">
        <f t="shared" si="149"/>
        <v>317</v>
      </c>
      <c r="M506" s="126">
        <f t="shared" si="150"/>
        <v>147</v>
      </c>
      <c r="N506" s="171">
        <f t="shared" si="151"/>
        <v>0.4637</v>
      </c>
      <c r="O506" s="132">
        <f t="shared" si="152"/>
        <v>11.7</v>
      </c>
      <c r="P506" s="177">
        <f t="shared" si="153"/>
        <v>0</v>
      </c>
      <c r="Q506" s="177">
        <f t="shared" si="154"/>
        <v>11.7</v>
      </c>
      <c r="S506" s="233" t="b">
        <f t="shared" si="142"/>
        <v>0</v>
      </c>
    </row>
    <row r="507" spans="1:19">
      <c r="A507" s="126" t="s">
        <v>3787</v>
      </c>
      <c r="B507" s="126" t="str">
        <f t="shared" si="155"/>
        <v>D0373</v>
      </c>
      <c r="C507" s="126">
        <v>4831</v>
      </c>
      <c r="D507" s="126" t="s">
        <v>2328</v>
      </c>
      <c r="E507" s="126">
        <v>369</v>
      </c>
      <c r="F507" s="126">
        <v>0</v>
      </c>
      <c r="G507" s="126">
        <v>142</v>
      </c>
      <c r="H507" s="126">
        <v>0</v>
      </c>
      <c r="I507" s="126">
        <v>38.479999999999997</v>
      </c>
      <c r="J507" s="126">
        <v>0</v>
      </c>
      <c r="K507" s="126">
        <v>3.5</v>
      </c>
      <c r="L507" s="126">
        <f t="shared" si="149"/>
        <v>369</v>
      </c>
      <c r="M507" s="126">
        <f t="shared" si="150"/>
        <v>142</v>
      </c>
      <c r="N507" s="171">
        <f t="shared" si="151"/>
        <v>0.38479999999999998</v>
      </c>
      <c r="O507" s="132">
        <f t="shared" si="152"/>
        <v>3.5</v>
      </c>
      <c r="P507" s="177">
        <f t="shared" si="153"/>
        <v>0</v>
      </c>
      <c r="Q507" s="177">
        <f t="shared" si="154"/>
        <v>3.5</v>
      </c>
      <c r="S507" s="233" t="b">
        <f t="shared" si="142"/>
        <v>0</v>
      </c>
    </row>
    <row r="508" spans="1:19">
      <c r="A508" s="126" t="s">
        <v>3787</v>
      </c>
      <c r="B508" s="126" t="str">
        <f t="shared" si="155"/>
        <v>D0373</v>
      </c>
      <c r="C508" s="126">
        <v>4842</v>
      </c>
      <c r="D508" s="126" t="s">
        <v>2330</v>
      </c>
      <c r="E508" s="126">
        <v>286</v>
      </c>
      <c r="F508" s="126">
        <v>0</v>
      </c>
      <c r="G508" s="126">
        <v>157</v>
      </c>
      <c r="H508" s="126">
        <v>0</v>
      </c>
      <c r="I508" s="126">
        <v>54.9</v>
      </c>
      <c r="J508" s="126">
        <v>16.5</v>
      </c>
      <c r="K508" s="126">
        <v>0</v>
      </c>
      <c r="L508" s="126">
        <f t="shared" si="149"/>
        <v>286</v>
      </c>
      <c r="M508" s="126">
        <f t="shared" si="150"/>
        <v>157</v>
      </c>
      <c r="N508" s="171">
        <f t="shared" si="151"/>
        <v>0.54900000000000004</v>
      </c>
      <c r="O508" s="132">
        <f t="shared" si="152"/>
        <v>0</v>
      </c>
      <c r="P508" s="177">
        <f t="shared" si="153"/>
        <v>16.5</v>
      </c>
      <c r="Q508" s="177">
        <f t="shared" si="154"/>
        <v>16.5</v>
      </c>
      <c r="S508" s="233" t="b">
        <f t="shared" si="142"/>
        <v>0</v>
      </c>
    </row>
    <row r="509" spans="1:19">
      <c r="A509" s="126" t="s">
        <v>3787</v>
      </c>
      <c r="B509" s="126" t="str">
        <f t="shared" si="155"/>
        <v>D0373</v>
      </c>
      <c r="C509" s="126">
        <v>4843</v>
      </c>
      <c r="D509" s="126" t="s">
        <v>2332</v>
      </c>
      <c r="E509" s="126">
        <v>205</v>
      </c>
      <c r="F509" s="126">
        <v>0</v>
      </c>
      <c r="G509" s="126">
        <v>52</v>
      </c>
      <c r="H509" s="126">
        <v>0</v>
      </c>
      <c r="I509" s="126">
        <v>25.37</v>
      </c>
      <c r="J509" s="126">
        <v>0</v>
      </c>
      <c r="K509" s="126">
        <v>0</v>
      </c>
      <c r="L509" s="126">
        <f t="shared" si="149"/>
        <v>205</v>
      </c>
      <c r="M509" s="126">
        <f t="shared" si="150"/>
        <v>52</v>
      </c>
      <c r="N509" s="171">
        <f t="shared" si="151"/>
        <v>0.25369999999999998</v>
      </c>
      <c r="O509" s="132">
        <f t="shared" si="152"/>
        <v>0</v>
      </c>
      <c r="P509" s="177">
        <f t="shared" si="153"/>
        <v>0</v>
      </c>
      <c r="Q509" s="177">
        <f t="shared" si="154"/>
        <v>0</v>
      </c>
      <c r="S509" s="233" t="b">
        <f t="shared" si="142"/>
        <v>0</v>
      </c>
    </row>
    <row r="510" spans="1:19">
      <c r="A510" s="126" t="s">
        <v>3788</v>
      </c>
      <c r="B510" s="126" t="str">
        <f t="shared" si="155"/>
        <v>D0386</v>
      </c>
      <c r="C510" s="126">
        <v>5198</v>
      </c>
      <c r="D510" s="126" t="s">
        <v>2439</v>
      </c>
      <c r="E510" s="126">
        <v>119</v>
      </c>
      <c r="F510" s="126">
        <v>0</v>
      </c>
      <c r="G510" s="126">
        <v>37</v>
      </c>
      <c r="H510" s="126">
        <v>0</v>
      </c>
      <c r="I510" s="126">
        <v>31.09</v>
      </c>
      <c r="J510" s="126">
        <v>0</v>
      </c>
      <c r="K510" s="126">
        <v>0</v>
      </c>
      <c r="L510" s="126">
        <f t="shared" si="149"/>
        <v>119</v>
      </c>
      <c r="M510" s="126">
        <f t="shared" si="150"/>
        <v>37</v>
      </c>
      <c r="N510" s="171">
        <f t="shared" si="151"/>
        <v>0.31090000000000001</v>
      </c>
      <c r="O510" s="132">
        <f t="shared" si="152"/>
        <v>0</v>
      </c>
      <c r="P510" s="177">
        <f t="shared" si="153"/>
        <v>0</v>
      </c>
      <c r="Q510" s="177">
        <f t="shared" si="154"/>
        <v>0</v>
      </c>
      <c r="S510" s="233" t="b">
        <f t="shared" si="142"/>
        <v>0</v>
      </c>
    </row>
    <row r="511" spans="1:19">
      <c r="A511" s="126" t="s">
        <v>3788</v>
      </c>
      <c r="B511" s="126" t="str">
        <f t="shared" si="155"/>
        <v>D0386</v>
      </c>
      <c r="C511" s="126">
        <v>5202</v>
      </c>
      <c r="D511" s="126" t="s">
        <v>2441</v>
      </c>
      <c r="E511" s="126">
        <v>105</v>
      </c>
      <c r="F511" s="126">
        <v>0</v>
      </c>
      <c r="G511" s="126">
        <v>39</v>
      </c>
      <c r="H511" s="126">
        <v>0</v>
      </c>
      <c r="I511" s="126">
        <v>37.14</v>
      </c>
      <c r="J511" s="126">
        <v>0</v>
      </c>
      <c r="K511" s="126">
        <v>0.6</v>
      </c>
      <c r="L511" s="126">
        <f t="shared" si="149"/>
        <v>105</v>
      </c>
      <c r="M511" s="126">
        <f t="shared" si="150"/>
        <v>39</v>
      </c>
      <c r="N511" s="171">
        <f t="shared" si="151"/>
        <v>0.37140000000000001</v>
      </c>
      <c r="O511" s="132">
        <f t="shared" si="152"/>
        <v>0.6</v>
      </c>
      <c r="P511" s="177">
        <f t="shared" si="153"/>
        <v>0</v>
      </c>
      <c r="Q511" s="177">
        <f t="shared" si="154"/>
        <v>0.6</v>
      </c>
      <c r="S511" s="233" t="b">
        <f t="shared" si="142"/>
        <v>0</v>
      </c>
    </row>
    <row r="512" spans="1:19">
      <c r="A512" s="126" t="s">
        <v>3789</v>
      </c>
      <c r="B512" s="126" t="str">
        <f t="shared" si="155"/>
        <v>D0390</v>
      </c>
      <c r="C512" s="126">
        <v>5296</v>
      </c>
      <c r="D512" s="126" t="s">
        <v>3424</v>
      </c>
      <c r="E512" s="126">
        <v>26</v>
      </c>
      <c r="F512" s="126">
        <v>0</v>
      </c>
      <c r="G512" s="126">
        <v>20</v>
      </c>
      <c r="H512" s="126">
        <v>0</v>
      </c>
      <c r="I512" s="126">
        <v>76.92</v>
      </c>
      <c r="J512" s="126">
        <v>2.1</v>
      </c>
      <c r="K512" s="126">
        <v>0</v>
      </c>
      <c r="L512" s="126">
        <f t="shared" si="149"/>
        <v>26</v>
      </c>
      <c r="M512" s="126">
        <f t="shared" si="150"/>
        <v>20</v>
      </c>
      <c r="N512" s="171">
        <f t="shared" si="151"/>
        <v>0.76919999999999999</v>
      </c>
      <c r="O512" s="132">
        <f t="shared" si="152"/>
        <v>0</v>
      </c>
      <c r="P512" s="177">
        <f t="shared" si="153"/>
        <v>2.1</v>
      </c>
      <c r="Q512" s="177">
        <f t="shared" si="154"/>
        <v>2.1</v>
      </c>
      <c r="S512" s="233" t="b">
        <f t="shared" si="142"/>
        <v>0</v>
      </c>
    </row>
    <row r="513" spans="1:19">
      <c r="A513" s="126" t="s">
        <v>3789</v>
      </c>
      <c r="B513" s="126" t="str">
        <f t="shared" si="155"/>
        <v>D0390</v>
      </c>
      <c r="C513" s="126">
        <v>5298</v>
      </c>
      <c r="D513" s="126" t="s">
        <v>3426</v>
      </c>
      <c r="E513" s="126">
        <v>36</v>
      </c>
      <c r="F513" s="126">
        <v>0</v>
      </c>
      <c r="G513" s="126">
        <v>19</v>
      </c>
      <c r="H513" s="126">
        <v>0</v>
      </c>
      <c r="I513" s="126">
        <v>52.78</v>
      </c>
      <c r="J513" s="126">
        <v>2</v>
      </c>
      <c r="K513" s="126">
        <v>0</v>
      </c>
      <c r="L513" s="126">
        <f t="shared" si="149"/>
        <v>36</v>
      </c>
      <c r="M513" s="126">
        <f t="shared" si="150"/>
        <v>19</v>
      </c>
      <c r="N513" s="171">
        <f t="shared" si="151"/>
        <v>0.52780000000000005</v>
      </c>
      <c r="O513" s="132">
        <f t="shared" si="152"/>
        <v>0</v>
      </c>
      <c r="P513" s="177">
        <f t="shared" si="153"/>
        <v>2</v>
      </c>
      <c r="Q513" s="177">
        <f t="shared" si="154"/>
        <v>2</v>
      </c>
      <c r="S513" s="233" t="b">
        <f t="shared" si="142"/>
        <v>0</v>
      </c>
    </row>
    <row r="514" spans="1:19">
      <c r="A514" s="126" t="s">
        <v>3790</v>
      </c>
      <c r="B514" s="126" t="str">
        <f t="shared" si="155"/>
        <v>D0392</v>
      </c>
      <c r="C514" s="126">
        <v>5332</v>
      </c>
      <c r="D514" s="126" t="s">
        <v>2454</v>
      </c>
      <c r="E514" s="126">
        <v>179</v>
      </c>
      <c r="F514" s="126">
        <v>0</v>
      </c>
      <c r="G514" s="126">
        <v>64</v>
      </c>
      <c r="H514" s="126">
        <v>0</v>
      </c>
      <c r="I514" s="126">
        <v>35.75</v>
      </c>
      <c r="J514" s="126">
        <v>0</v>
      </c>
      <c r="K514" s="126">
        <v>0.3</v>
      </c>
      <c r="L514" s="126">
        <f t="shared" si="149"/>
        <v>179</v>
      </c>
      <c r="M514" s="126">
        <f t="shared" si="150"/>
        <v>64</v>
      </c>
      <c r="N514" s="171">
        <f t="shared" si="151"/>
        <v>0.35749999999999998</v>
      </c>
      <c r="O514" s="132">
        <f t="shared" si="152"/>
        <v>0.3</v>
      </c>
      <c r="P514" s="177">
        <f t="shared" si="153"/>
        <v>0</v>
      </c>
      <c r="Q514" s="177">
        <f t="shared" si="154"/>
        <v>0.3</v>
      </c>
      <c r="S514" s="233" t="b">
        <f t="shared" si="142"/>
        <v>0</v>
      </c>
    </row>
    <row r="515" spans="1:19">
      <c r="A515" s="126" t="s">
        <v>3790</v>
      </c>
      <c r="B515" s="126" t="str">
        <f t="shared" si="155"/>
        <v>D0392</v>
      </c>
      <c r="C515" s="126">
        <v>5334</v>
      </c>
      <c r="D515" s="126" t="s">
        <v>2456</v>
      </c>
      <c r="E515" s="126">
        <v>113</v>
      </c>
      <c r="F515" s="126">
        <v>0</v>
      </c>
      <c r="G515" s="126">
        <v>36</v>
      </c>
      <c r="H515" s="126">
        <v>0</v>
      </c>
      <c r="I515" s="126">
        <v>31.86</v>
      </c>
      <c r="J515" s="126">
        <v>0</v>
      </c>
      <c r="K515" s="126">
        <v>0</v>
      </c>
      <c r="L515" s="126">
        <f t="shared" si="149"/>
        <v>113</v>
      </c>
      <c r="M515" s="126">
        <f t="shared" si="150"/>
        <v>36</v>
      </c>
      <c r="N515" s="171">
        <f t="shared" si="151"/>
        <v>0.31859999999999999</v>
      </c>
      <c r="O515" s="132">
        <f t="shared" si="152"/>
        <v>0</v>
      </c>
      <c r="P515" s="177">
        <f t="shared" si="153"/>
        <v>0</v>
      </c>
      <c r="Q515" s="177">
        <f t="shared" si="154"/>
        <v>0</v>
      </c>
      <c r="S515" s="233" t="b">
        <f t="shared" si="142"/>
        <v>0</v>
      </c>
    </row>
    <row r="516" spans="1:19">
      <c r="A516" s="126" t="s">
        <v>3792</v>
      </c>
      <c r="B516" s="126" t="str">
        <f t="shared" si="155"/>
        <v>D0409</v>
      </c>
      <c r="C516" s="126">
        <v>5761</v>
      </c>
      <c r="D516" s="126" t="s">
        <v>2550</v>
      </c>
      <c r="E516" s="126">
        <v>820</v>
      </c>
      <c r="F516" s="126">
        <v>0</v>
      </c>
      <c r="G516" s="126">
        <v>481</v>
      </c>
      <c r="H516" s="126">
        <v>0</v>
      </c>
      <c r="I516" s="126">
        <v>58.66</v>
      </c>
      <c r="J516" s="126">
        <v>50.5</v>
      </c>
      <c r="K516" s="126">
        <v>0</v>
      </c>
      <c r="L516" s="126">
        <f t="shared" si="149"/>
        <v>820</v>
      </c>
      <c r="M516" s="126">
        <f t="shared" si="150"/>
        <v>481</v>
      </c>
      <c r="N516" s="171">
        <f t="shared" si="151"/>
        <v>0.58660000000000001</v>
      </c>
      <c r="O516" s="132">
        <f t="shared" si="152"/>
        <v>0</v>
      </c>
      <c r="P516" s="177">
        <f t="shared" si="153"/>
        <v>50.5</v>
      </c>
      <c r="Q516" s="177">
        <f t="shared" si="154"/>
        <v>50.5</v>
      </c>
      <c r="S516" s="233" t="b">
        <f t="shared" si="142"/>
        <v>0</v>
      </c>
    </row>
    <row r="517" spans="1:19">
      <c r="A517" s="126" t="s">
        <v>3792</v>
      </c>
      <c r="B517" s="126" t="str">
        <f t="shared" si="155"/>
        <v>D0409</v>
      </c>
      <c r="C517" s="126">
        <v>5770</v>
      </c>
      <c r="D517" s="126" t="s">
        <v>3793</v>
      </c>
      <c r="E517" s="126">
        <v>462</v>
      </c>
      <c r="F517" s="126">
        <v>0</v>
      </c>
      <c r="G517" s="126">
        <v>208</v>
      </c>
      <c r="H517" s="126">
        <v>0</v>
      </c>
      <c r="I517" s="126">
        <v>45.02</v>
      </c>
      <c r="J517" s="126">
        <v>0</v>
      </c>
      <c r="K517" s="126">
        <v>14.6</v>
      </c>
      <c r="L517" s="126">
        <f t="shared" si="149"/>
        <v>462</v>
      </c>
      <c r="M517" s="126">
        <f t="shared" si="150"/>
        <v>208</v>
      </c>
      <c r="N517" s="171">
        <f t="shared" si="151"/>
        <v>0.45019999999999999</v>
      </c>
      <c r="O517" s="132">
        <f t="shared" si="152"/>
        <v>14.6</v>
      </c>
      <c r="P517" s="177">
        <f t="shared" si="153"/>
        <v>0</v>
      </c>
      <c r="Q517" s="177">
        <f t="shared" si="154"/>
        <v>14.6</v>
      </c>
      <c r="S517" s="233" t="b">
        <f t="shared" ref="S517:S580" si="156">COUNTIF(C:C,C517)&gt;1</f>
        <v>0</v>
      </c>
    </row>
    <row r="518" spans="1:19">
      <c r="A518" s="126" t="s">
        <v>3792</v>
      </c>
      <c r="B518" s="126" t="str">
        <f t="shared" si="155"/>
        <v>D0409</v>
      </c>
      <c r="C518" s="126">
        <v>5775</v>
      </c>
      <c r="D518" s="126" t="s">
        <v>2554</v>
      </c>
      <c r="E518" s="126">
        <v>35</v>
      </c>
      <c r="F518" s="126">
        <v>0</v>
      </c>
      <c r="G518" s="126">
        <v>27</v>
      </c>
      <c r="H518" s="126">
        <v>0</v>
      </c>
      <c r="I518" s="126">
        <v>77.14</v>
      </c>
      <c r="J518" s="126">
        <v>2.8</v>
      </c>
      <c r="K518" s="126">
        <v>0</v>
      </c>
      <c r="L518" s="126">
        <f t="shared" si="149"/>
        <v>35</v>
      </c>
      <c r="M518" s="126">
        <f t="shared" si="150"/>
        <v>27</v>
      </c>
      <c r="N518" s="171">
        <f t="shared" si="151"/>
        <v>0.77139999999999997</v>
      </c>
      <c r="O518" s="132">
        <f t="shared" si="152"/>
        <v>0</v>
      </c>
      <c r="P518" s="177">
        <f t="shared" si="153"/>
        <v>2.8</v>
      </c>
      <c r="Q518" s="177">
        <f t="shared" si="154"/>
        <v>2.8</v>
      </c>
      <c r="S518" s="233" t="b">
        <f t="shared" si="156"/>
        <v>0</v>
      </c>
    </row>
    <row r="519" spans="1:19">
      <c r="A519" s="126" t="s">
        <v>3792</v>
      </c>
      <c r="B519" s="126" t="str">
        <f t="shared" si="155"/>
        <v>D0409</v>
      </c>
      <c r="C519" s="126">
        <v>5776</v>
      </c>
      <c r="D519" s="126" t="s">
        <v>2556</v>
      </c>
      <c r="E519" s="126">
        <v>373</v>
      </c>
      <c r="F519" s="126">
        <v>0</v>
      </c>
      <c r="G519" s="126">
        <v>191</v>
      </c>
      <c r="H519" s="126">
        <v>0</v>
      </c>
      <c r="I519" s="126">
        <v>51.21</v>
      </c>
      <c r="J519" s="126">
        <v>20.100000000000001</v>
      </c>
      <c r="K519" s="126">
        <v>0</v>
      </c>
      <c r="L519" s="126">
        <f t="shared" si="149"/>
        <v>373</v>
      </c>
      <c r="M519" s="126">
        <f t="shared" si="150"/>
        <v>191</v>
      </c>
      <c r="N519" s="171">
        <f t="shared" si="151"/>
        <v>0.5121</v>
      </c>
      <c r="O519" s="132">
        <f t="shared" si="152"/>
        <v>0</v>
      </c>
      <c r="P519" s="177">
        <f t="shared" si="153"/>
        <v>20.100000000000001</v>
      </c>
      <c r="Q519" s="177">
        <f t="shared" si="154"/>
        <v>20.100000000000001</v>
      </c>
      <c r="S519" s="233" t="b">
        <f t="shared" si="156"/>
        <v>0</v>
      </c>
    </row>
    <row r="520" spans="1:19">
      <c r="A520" s="126" t="s">
        <v>3795</v>
      </c>
      <c r="B520" s="126" t="str">
        <f t="shared" si="155"/>
        <v>D0429</v>
      </c>
      <c r="C520" s="126">
        <v>6324</v>
      </c>
      <c r="D520" s="126" t="s">
        <v>2649</v>
      </c>
      <c r="E520" s="126">
        <v>205</v>
      </c>
      <c r="F520" s="126">
        <v>0</v>
      </c>
      <c r="G520" s="126">
        <v>48</v>
      </c>
      <c r="H520" s="126">
        <v>0</v>
      </c>
      <c r="I520" s="126">
        <v>23.41</v>
      </c>
      <c r="J520" s="126">
        <v>0</v>
      </c>
      <c r="K520" s="126">
        <v>0</v>
      </c>
      <c r="L520" s="126">
        <f t="shared" ref="L520:L544" si="157">SUM(E520:F520)</f>
        <v>205</v>
      </c>
      <c r="M520" s="126">
        <f t="shared" ref="M520:M544" si="158">SUM(G520:H520)</f>
        <v>48</v>
      </c>
      <c r="N520" s="171">
        <f t="shared" ref="N520:N544" si="159">IF(ISERROR(M520/L520),0,M520/L520)</f>
        <v>0.2341</v>
      </c>
      <c r="O520" s="132">
        <f t="shared" ref="O520:O544" si="160">IF(AND((N520-35%)&gt;0,N520&lt;50%),M520*(N520-35%)*0.7,0)</f>
        <v>0</v>
      </c>
      <c r="P520" s="177">
        <f t="shared" ref="P520:P544" si="161">IF(N520&gt;=50%,M520*10.5%,0)</f>
        <v>0</v>
      </c>
      <c r="Q520" s="177">
        <f t="shared" ref="Q520:Q544" si="162">MAX(O520,P520)</f>
        <v>0</v>
      </c>
      <c r="S520" s="233" t="b">
        <f t="shared" si="156"/>
        <v>0</v>
      </c>
    </row>
    <row r="521" spans="1:19">
      <c r="A521" s="126" t="s">
        <v>3795</v>
      </c>
      <c r="B521" s="126" t="str">
        <f t="shared" si="155"/>
        <v>D0429</v>
      </c>
      <c r="C521" s="126">
        <v>6326</v>
      </c>
      <c r="D521" s="126" t="s">
        <v>2651</v>
      </c>
      <c r="E521" s="126">
        <v>149</v>
      </c>
      <c r="F521" s="126">
        <v>0</v>
      </c>
      <c r="G521" s="126">
        <v>33</v>
      </c>
      <c r="H521" s="126">
        <v>0</v>
      </c>
      <c r="I521" s="126">
        <v>22.15</v>
      </c>
      <c r="J521" s="126">
        <v>0</v>
      </c>
      <c r="K521" s="126">
        <v>0</v>
      </c>
      <c r="L521" s="126">
        <f t="shared" si="157"/>
        <v>149</v>
      </c>
      <c r="M521" s="126">
        <f t="shared" si="158"/>
        <v>33</v>
      </c>
      <c r="N521" s="171">
        <f t="shared" si="159"/>
        <v>0.2215</v>
      </c>
      <c r="O521" s="132">
        <f t="shared" si="160"/>
        <v>0</v>
      </c>
      <c r="P521" s="177">
        <f t="shared" si="161"/>
        <v>0</v>
      </c>
      <c r="Q521" s="177">
        <f t="shared" si="162"/>
        <v>0</v>
      </c>
      <c r="S521" s="233" t="b">
        <f t="shared" si="156"/>
        <v>0</v>
      </c>
    </row>
    <row r="522" spans="1:19">
      <c r="A522" s="126" t="s">
        <v>3796</v>
      </c>
      <c r="B522" s="126" t="str">
        <f t="shared" si="155"/>
        <v>D0431</v>
      </c>
      <c r="C522" s="126">
        <v>6375</v>
      </c>
      <c r="D522" s="126" t="s">
        <v>2659</v>
      </c>
      <c r="E522" s="126">
        <v>217</v>
      </c>
      <c r="F522" s="126">
        <v>0</v>
      </c>
      <c r="G522" s="126">
        <v>98</v>
      </c>
      <c r="H522" s="126">
        <v>0</v>
      </c>
      <c r="I522" s="126">
        <v>45.16</v>
      </c>
      <c r="J522" s="126">
        <v>0</v>
      </c>
      <c r="K522" s="126">
        <v>7</v>
      </c>
      <c r="L522" s="126">
        <f t="shared" si="157"/>
        <v>217</v>
      </c>
      <c r="M522" s="126">
        <f t="shared" si="158"/>
        <v>98</v>
      </c>
      <c r="N522" s="171">
        <f t="shared" si="159"/>
        <v>0.4516</v>
      </c>
      <c r="O522" s="132">
        <f t="shared" si="160"/>
        <v>7</v>
      </c>
      <c r="P522" s="177">
        <f t="shared" si="161"/>
        <v>0</v>
      </c>
      <c r="Q522" s="177">
        <f t="shared" si="162"/>
        <v>7</v>
      </c>
      <c r="S522" s="233" t="b">
        <f t="shared" si="156"/>
        <v>0</v>
      </c>
    </row>
    <row r="523" spans="1:19">
      <c r="A523" s="126" t="s">
        <v>3796</v>
      </c>
      <c r="B523" s="126" t="str">
        <f t="shared" si="155"/>
        <v>D0431</v>
      </c>
      <c r="C523" s="126">
        <v>6377</v>
      </c>
      <c r="D523" s="126" t="s">
        <v>2661</v>
      </c>
      <c r="E523" s="126">
        <v>145</v>
      </c>
      <c r="F523" s="126">
        <v>0</v>
      </c>
      <c r="G523" s="126">
        <v>66</v>
      </c>
      <c r="H523" s="126">
        <v>0</v>
      </c>
      <c r="I523" s="126">
        <v>45.52</v>
      </c>
      <c r="J523" s="126">
        <v>0</v>
      </c>
      <c r="K523" s="126">
        <v>4.9000000000000004</v>
      </c>
      <c r="L523" s="126">
        <f t="shared" si="157"/>
        <v>145</v>
      </c>
      <c r="M523" s="126">
        <f t="shared" si="158"/>
        <v>66</v>
      </c>
      <c r="N523" s="171">
        <f t="shared" si="159"/>
        <v>0.45519999999999999</v>
      </c>
      <c r="O523" s="132">
        <f t="shared" si="160"/>
        <v>4.9000000000000004</v>
      </c>
      <c r="P523" s="177">
        <f t="shared" si="161"/>
        <v>0</v>
      </c>
      <c r="Q523" s="177">
        <f t="shared" si="162"/>
        <v>4.9000000000000004</v>
      </c>
      <c r="S523" s="233" t="b">
        <f t="shared" si="156"/>
        <v>0</v>
      </c>
    </row>
    <row r="524" spans="1:19">
      <c r="A524" s="126" t="s">
        <v>3796</v>
      </c>
      <c r="B524" s="126" t="str">
        <f t="shared" si="155"/>
        <v>D0431</v>
      </c>
      <c r="C524" s="126">
        <v>6378</v>
      </c>
      <c r="D524" s="126" t="s">
        <v>2663</v>
      </c>
      <c r="E524" s="126">
        <v>174</v>
      </c>
      <c r="F524" s="126">
        <v>0</v>
      </c>
      <c r="G524" s="126">
        <v>73</v>
      </c>
      <c r="H524" s="126">
        <v>0</v>
      </c>
      <c r="I524" s="126">
        <v>41.95</v>
      </c>
      <c r="J524" s="126">
        <v>0</v>
      </c>
      <c r="K524" s="126">
        <v>3.6</v>
      </c>
      <c r="L524" s="126">
        <f t="shared" si="157"/>
        <v>174</v>
      </c>
      <c r="M524" s="126">
        <f t="shared" si="158"/>
        <v>73</v>
      </c>
      <c r="N524" s="171">
        <f t="shared" si="159"/>
        <v>0.41949999999999998</v>
      </c>
      <c r="O524" s="132">
        <f t="shared" si="160"/>
        <v>3.6</v>
      </c>
      <c r="P524" s="177">
        <f t="shared" si="161"/>
        <v>0</v>
      </c>
      <c r="Q524" s="177">
        <f t="shared" si="162"/>
        <v>3.6</v>
      </c>
      <c r="S524" s="233" t="b">
        <f t="shared" si="156"/>
        <v>0</v>
      </c>
    </row>
    <row r="525" spans="1:19">
      <c r="A525" s="126" t="s">
        <v>3796</v>
      </c>
      <c r="B525" s="126" t="str">
        <f t="shared" si="155"/>
        <v>D0431</v>
      </c>
      <c r="C525" s="126">
        <v>6380</v>
      </c>
      <c r="D525" s="126" t="s">
        <v>2665</v>
      </c>
      <c r="E525" s="126">
        <v>200</v>
      </c>
      <c r="F525" s="126">
        <v>0</v>
      </c>
      <c r="G525" s="126">
        <v>63</v>
      </c>
      <c r="H525" s="126">
        <v>0</v>
      </c>
      <c r="I525" s="126">
        <v>31.5</v>
      </c>
      <c r="J525" s="126">
        <v>0</v>
      </c>
      <c r="K525" s="126">
        <v>0</v>
      </c>
      <c r="L525" s="126">
        <f t="shared" si="157"/>
        <v>200</v>
      </c>
      <c r="M525" s="126">
        <f t="shared" si="158"/>
        <v>63</v>
      </c>
      <c r="N525" s="171">
        <f t="shared" si="159"/>
        <v>0.315</v>
      </c>
      <c r="O525" s="132">
        <f t="shared" si="160"/>
        <v>0</v>
      </c>
      <c r="P525" s="177">
        <f t="shared" si="161"/>
        <v>0</v>
      </c>
      <c r="Q525" s="177">
        <f t="shared" si="162"/>
        <v>0</v>
      </c>
      <c r="S525" s="233" t="b">
        <f t="shared" si="156"/>
        <v>0</v>
      </c>
    </row>
    <row r="526" spans="1:19">
      <c r="A526" s="126" t="s">
        <v>3797</v>
      </c>
      <c r="B526" s="126" t="str">
        <f t="shared" si="155"/>
        <v>D0434</v>
      </c>
      <c r="C526" s="126">
        <v>6440</v>
      </c>
      <c r="D526" s="126" t="s">
        <v>2671</v>
      </c>
      <c r="E526" s="126">
        <v>393</v>
      </c>
      <c r="F526" s="126">
        <v>0</v>
      </c>
      <c r="G526" s="126">
        <v>152</v>
      </c>
      <c r="H526" s="126">
        <v>0</v>
      </c>
      <c r="I526" s="126">
        <v>38.68</v>
      </c>
      <c r="J526" s="126">
        <v>0</v>
      </c>
      <c r="K526" s="126">
        <v>3.9</v>
      </c>
      <c r="L526" s="126">
        <f t="shared" si="157"/>
        <v>393</v>
      </c>
      <c r="M526" s="126">
        <f t="shared" si="158"/>
        <v>152</v>
      </c>
      <c r="N526" s="171">
        <f t="shared" si="159"/>
        <v>0.38679999999999998</v>
      </c>
      <c r="O526" s="132">
        <f t="shared" si="160"/>
        <v>3.9</v>
      </c>
      <c r="P526" s="177">
        <f t="shared" si="161"/>
        <v>0</v>
      </c>
      <c r="Q526" s="177">
        <f t="shared" si="162"/>
        <v>3.9</v>
      </c>
      <c r="S526" s="233" t="b">
        <f t="shared" si="156"/>
        <v>0</v>
      </c>
    </row>
    <row r="527" spans="1:19">
      <c r="A527" s="126" t="s">
        <v>3797</v>
      </c>
      <c r="B527" s="126" t="str">
        <f t="shared" si="155"/>
        <v>D0434</v>
      </c>
      <c r="C527" s="126">
        <v>6444</v>
      </c>
      <c r="D527" s="126" t="s">
        <v>2673</v>
      </c>
      <c r="E527" s="126">
        <v>346</v>
      </c>
      <c r="F527" s="126">
        <v>0</v>
      </c>
      <c r="G527" s="126">
        <v>155</v>
      </c>
      <c r="H527" s="126">
        <v>0</v>
      </c>
      <c r="I527" s="126">
        <v>44.8</v>
      </c>
      <c r="J527" s="126">
        <v>0</v>
      </c>
      <c r="K527" s="126">
        <v>10.6</v>
      </c>
      <c r="L527" s="126">
        <f t="shared" si="157"/>
        <v>346</v>
      </c>
      <c r="M527" s="126">
        <f t="shared" si="158"/>
        <v>155</v>
      </c>
      <c r="N527" s="171">
        <f t="shared" si="159"/>
        <v>0.44800000000000001</v>
      </c>
      <c r="O527" s="132">
        <f t="shared" si="160"/>
        <v>10.6</v>
      </c>
      <c r="P527" s="177">
        <f t="shared" si="161"/>
        <v>0</v>
      </c>
      <c r="Q527" s="177">
        <f t="shared" si="162"/>
        <v>10.6</v>
      </c>
      <c r="S527" s="233" t="b">
        <f t="shared" si="156"/>
        <v>0</v>
      </c>
    </row>
    <row r="528" spans="1:19">
      <c r="A528" s="126" t="s">
        <v>3797</v>
      </c>
      <c r="B528" s="126" t="str">
        <f t="shared" si="155"/>
        <v>D0434</v>
      </c>
      <c r="C528" s="126">
        <v>6446</v>
      </c>
      <c r="D528" s="126" t="s">
        <v>2675</v>
      </c>
      <c r="E528" s="126">
        <v>296</v>
      </c>
      <c r="F528" s="126">
        <v>0</v>
      </c>
      <c r="G528" s="126">
        <v>88</v>
      </c>
      <c r="H528" s="126">
        <v>0</v>
      </c>
      <c r="I528" s="126">
        <v>29.73</v>
      </c>
      <c r="J528" s="126">
        <v>0</v>
      </c>
      <c r="K528" s="126">
        <v>0</v>
      </c>
      <c r="L528" s="126">
        <f t="shared" si="157"/>
        <v>296</v>
      </c>
      <c r="M528" s="126">
        <f t="shared" si="158"/>
        <v>88</v>
      </c>
      <c r="N528" s="171">
        <f t="shared" si="159"/>
        <v>0.29730000000000001</v>
      </c>
      <c r="O528" s="132">
        <f t="shared" si="160"/>
        <v>0</v>
      </c>
      <c r="P528" s="177">
        <f t="shared" si="161"/>
        <v>0</v>
      </c>
      <c r="Q528" s="177">
        <f t="shared" si="162"/>
        <v>0</v>
      </c>
      <c r="S528" s="233" t="b">
        <f t="shared" si="156"/>
        <v>0</v>
      </c>
    </row>
    <row r="529" spans="1:19">
      <c r="A529" s="126" t="s">
        <v>3798</v>
      </c>
      <c r="B529" s="126" t="str">
        <f t="shared" si="155"/>
        <v>D0444</v>
      </c>
      <c r="C529" s="126">
        <v>6726</v>
      </c>
      <c r="D529" s="126" t="s">
        <v>2746</v>
      </c>
      <c r="E529" s="126">
        <v>47</v>
      </c>
      <c r="F529" s="126">
        <v>0</v>
      </c>
      <c r="G529" s="126">
        <v>10</v>
      </c>
      <c r="H529" s="126">
        <v>0</v>
      </c>
      <c r="I529" s="126">
        <v>21.28</v>
      </c>
      <c r="J529" s="126">
        <v>0</v>
      </c>
      <c r="K529" s="126">
        <v>0</v>
      </c>
      <c r="L529" s="126">
        <f t="shared" si="157"/>
        <v>47</v>
      </c>
      <c r="M529" s="126">
        <f t="shared" si="158"/>
        <v>10</v>
      </c>
      <c r="N529" s="171">
        <f t="shared" si="159"/>
        <v>0.21279999999999999</v>
      </c>
      <c r="O529" s="132">
        <f t="shared" si="160"/>
        <v>0</v>
      </c>
      <c r="P529" s="177">
        <f t="shared" si="161"/>
        <v>0</v>
      </c>
      <c r="Q529" s="177">
        <f t="shared" si="162"/>
        <v>0</v>
      </c>
      <c r="S529" s="233" t="b">
        <f t="shared" si="156"/>
        <v>0</v>
      </c>
    </row>
    <row r="530" spans="1:19">
      <c r="A530" s="126" t="s">
        <v>3798</v>
      </c>
      <c r="B530" s="126" t="str">
        <f t="shared" si="155"/>
        <v>D0444</v>
      </c>
      <c r="C530" s="126">
        <v>6728</v>
      </c>
      <c r="D530" s="126" t="s">
        <v>2748</v>
      </c>
      <c r="E530" s="126">
        <v>98</v>
      </c>
      <c r="F530" s="126">
        <v>0</v>
      </c>
      <c r="G530" s="126">
        <v>13</v>
      </c>
      <c r="H530" s="126">
        <v>0</v>
      </c>
      <c r="I530" s="126">
        <v>13.27</v>
      </c>
      <c r="J530" s="126">
        <v>0</v>
      </c>
      <c r="K530" s="126">
        <v>0</v>
      </c>
      <c r="L530" s="126">
        <f t="shared" si="157"/>
        <v>98</v>
      </c>
      <c r="M530" s="126">
        <f t="shared" si="158"/>
        <v>13</v>
      </c>
      <c r="N530" s="171">
        <f t="shared" si="159"/>
        <v>0.13270000000000001</v>
      </c>
      <c r="O530" s="132">
        <f t="shared" si="160"/>
        <v>0</v>
      </c>
      <c r="P530" s="177">
        <f t="shared" si="161"/>
        <v>0</v>
      </c>
      <c r="Q530" s="177">
        <f t="shared" si="162"/>
        <v>0</v>
      </c>
      <c r="S530" s="233" t="b">
        <f t="shared" si="156"/>
        <v>0</v>
      </c>
    </row>
    <row r="531" spans="1:19">
      <c r="A531" s="126" t="s">
        <v>3798</v>
      </c>
      <c r="B531" s="126" t="str">
        <f t="shared" si="155"/>
        <v>D0444</v>
      </c>
      <c r="C531" s="126">
        <v>6734</v>
      </c>
      <c r="D531" s="126" t="s">
        <v>2750</v>
      </c>
      <c r="E531" s="126">
        <v>157</v>
      </c>
      <c r="F531" s="126">
        <v>0</v>
      </c>
      <c r="G531" s="126">
        <v>44</v>
      </c>
      <c r="H531" s="126">
        <v>0</v>
      </c>
      <c r="I531" s="126">
        <v>28.03</v>
      </c>
      <c r="J531" s="126">
        <v>0</v>
      </c>
      <c r="K531" s="126">
        <v>0</v>
      </c>
      <c r="L531" s="126">
        <f t="shared" si="157"/>
        <v>157</v>
      </c>
      <c r="M531" s="126">
        <f t="shared" si="158"/>
        <v>44</v>
      </c>
      <c r="N531" s="171">
        <f t="shared" si="159"/>
        <v>0.28029999999999999</v>
      </c>
      <c r="O531" s="132">
        <f t="shared" si="160"/>
        <v>0</v>
      </c>
      <c r="P531" s="177">
        <f t="shared" si="161"/>
        <v>0</v>
      </c>
      <c r="Q531" s="177">
        <f t="shared" si="162"/>
        <v>0</v>
      </c>
      <c r="S531" s="233" t="b">
        <f t="shared" si="156"/>
        <v>0</v>
      </c>
    </row>
    <row r="532" spans="1:19">
      <c r="A532" s="126" t="s">
        <v>3799</v>
      </c>
      <c r="B532" s="126" t="str">
        <f t="shared" ref="B532:B566" si="163">LEFT(A532,5)</f>
        <v>D0454</v>
      </c>
      <c r="C532" s="126">
        <v>7057</v>
      </c>
      <c r="D532" s="126" t="s">
        <v>2810</v>
      </c>
      <c r="E532" s="126">
        <v>159</v>
      </c>
      <c r="F532" s="126">
        <v>0</v>
      </c>
      <c r="G532" s="126">
        <v>55</v>
      </c>
      <c r="H532" s="126">
        <v>0</v>
      </c>
      <c r="I532" s="126">
        <v>34.590000000000003</v>
      </c>
      <c r="J532" s="126">
        <v>0</v>
      </c>
      <c r="K532" s="126">
        <v>0</v>
      </c>
      <c r="L532" s="126">
        <f t="shared" si="157"/>
        <v>159</v>
      </c>
      <c r="M532" s="126">
        <f t="shared" si="158"/>
        <v>55</v>
      </c>
      <c r="N532" s="171">
        <f t="shared" si="159"/>
        <v>0.34589999999999999</v>
      </c>
      <c r="O532" s="132">
        <f t="shared" si="160"/>
        <v>0</v>
      </c>
      <c r="P532" s="177">
        <f t="shared" si="161"/>
        <v>0</v>
      </c>
      <c r="Q532" s="177">
        <f t="shared" si="162"/>
        <v>0</v>
      </c>
      <c r="S532" s="233" t="b">
        <f t="shared" si="156"/>
        <v>0</v>
      </c>
    </row>
    <row r="533" spans="1:19">
      <c r="A533" s="126" t="s">
        <v>3799</v>
      </c>
      <c r="B533" s="126" t="str">
        <f t="shared" si="163"/>
        <v>D0454</v>
      </c>
      <c r="C533" s="126">
        <v>7058</v>
      </c>
      <c r="D533" s="126" t="s">
        <v>2812</v>
      </c>
      <c r="E533" s="126">
        <v>139</v>
      </c>
      <c r="F533" s="126">
        <v>0</v>
      </c>
      <c r="G533" s="126">
        <v>43</v>
      </c>
      <c r="H533" s="126">
        <v>0</v>
      </c>
      <c r="I533" s="126">
        <v>30.94</v>
      </c>
      <c r="J533" s="126">
        <v>0</v>
      </c>
      <c r="K533" s="126">
        <v>0</v>
      </c>
      <c r="L533" s="126">
        <f t="shared" si="157"/>
        <v>139</v>
      </c>
      <c r="M533" s="126">
        <f t="shared" si="158"/>
        <v>43</v>
      </c>
      <c r="N533" s="171">
        <f t="shared" si="159"/>
        <v>0.30940000000000001</v>
      </c>
      <c r="O533" s="132">
        <f t="shared" si="160"/>
        <v>0</v>
      </c>
      <c r="P533" s="177">
        <f t="shared" si="161"/>
        <v>0</v>
      </c>
      <c r="Q533" s="177">
        <f t="shared" si="162"/>
        <v>0</v>
      </c>
      <c r="S533" s="233" t="b">
        <f t="shared" si="156"/>
        <v>0</v>
      </c>
    </row>
    <row r="534" spans="1:19">
      <c r="A534" s="126" t="s">
        <v>3800</v>
      </c>
      <c r="B534" s="126" t="str">
        <f t="shared" si="163"/>
        <v>D0464</v>
      </c>
      <c r="C534" s="126">
        <v>7298</v>
      </c>
      <c r="D534" s="126" t="s">
        <v>2889</v>
      </c>
      <c r="E534" s="126">
        <v>633</v>
      </c>
      <c r="F534" s="126">
        <v>0</v>
      </c>
      <c r="G534" s="126">
        <v>119</v>
      </c>
      <c r="H534" s="126">
        <v>0</v>
      </c>
      <c r="I534" s="126">
        <v>18.8</v>
      </c>
      <c r="J534" s="126">
        <v>0</v>
      </c>
      <c r="K534" s="126">
        <v>0</v>
      </c>
      <c r="L534" s="126">
        <f t="shared" si="157"/>
        <v>633</v>
      </c>
      <c r="M534" s="126">
        <f t="shared" si="158"/>
        <v>119</v>
      </c>
      <c r="N534" s="171">
        <f t="shared" si="159"/>
        <v>0.188</v>
      </c>
      <c r="O534" s="132">
        <f t="shared" si="160"/>
        <v>0</v>
      </c>
      <c r="P534" s="177">
        <f t="shared" si="161"/>
        <v>0</v>
      </c>
      <c r="Q534" s="177">
        <f t="shared" si="162"/>
        <v>0</v>
      </c>
      <c r="S534" s="233" t="b">
        <f t="shared" si="156"/>
        <v>0</v>
      </c>
    </row>
    <row r="535" spans="1:19">
      <c r="A535" s="126" t="s">
        <v>3800</v>
      </c>
      <c r="B535" s="126" t="str">
        <f t="shared" si="163"/>
        <v>D0464</v>
      </c>
      <c r="C535" s="126">
        <v>7299</v>
      </c>
      <c r="D535" s="126" t="s">
        <v>2891</v>
      </c>
      <c r="E535" s="126">
        <v>458</v>
      </c>
      <c r="F535" s="126">
        <v>0</v>
      </c>
      <c r="G535" s="126">
        <v>84</v>
      </c>
      <c r="H535" s="126">
        <v>0</v>
      </c>
      <c r="I535" s="126">
        <v>18.34</v>
      </c>
      <c r="J535" s="126">
        <v>0</v>
      </c>
      <c r="K535" s="126">
        <v>0</v>
      </c>
      <c r="L535" s="126">
        <f t="shared" si="157"/>
        <v>458</v>
      </c>
      <c r="M535" s="126">
        <f t="shared" si="158"/>
        <v>84</v>
      </c>
      <c r="N535" s="171">
        <f t="shared" si="159"/>
        <v>0.18340000000000001</v>
      </c>
      <c r="O535" s="132">
        <f t="shared" si="160"/>
        <v>0</v>
      </c>
      <c r="P535" s="177">
        <f t="shared" si="161"/>
        <v>0</v>
      </c>
      <c r="Q535" s="177">
        <f t="shared" si="162"/>
        <v>0</v>
      </c>
      <c r="S535" s="233" t="b">
        <f t="shared" si="156"/>
        <v>0</v>
      </c>
    </row>
    <row r="536" spans="1:19">
      <c r="A536" s="126" t="s">
        <v>3800</v>
      </c>
      <c r="B536" s="126" t="str">
        <f t="shared" si="163"/>
        <v>D0464</v>
      </c>
      <c r="C536" s="126">
        <v>7300</v>
      </c>
      <c r="D536" s="126" t="s">
        <v>2893</v>
      </c>
      <c r="E536" s="126">
        <v>853</v>
      </c>
      <c r="F536" s="126">
        <v>0</v>
      </c>
      <c r="G536" s="126">
        <v>192</v>
      </c>
      <c r="H536" s="126">
        <v>0</v>
      </c>
      <c r="I536" s="126">
        <v>22.51</v>
      </c>
      <c r="J536" s="126">
        <v>0</v>
      </c>
      <c r="K536" s="126">
        <v>0</v>
      </c>
      <c r="L536" s="126">
        <f t="shared" si="157"/>
        <v>853</v>
      </c>
      <c r="M536" s="126">
        <f t="shared" si="158"/>
        <v>192</v>
      </c>
      <c r="N536" s="171">
        <f t="shared" si="159"/>
        <v>0.22509999999999999</v>
      </c>
      <c r="O536" s="132">
        <f t="shared" si="160"/>
        <v>0</v>
      </c>
      <c r="P536" s="177">
        <f t="shared" si="161"/>
        <v>0</v>
      </c>
      <c r="Q536" s="177">
        <f t="shared" si="162"/>
        <v>0</v>
      </c>
      <c r="S536" s="233" t="b">
        <f t="shared" si="156"/>
        <v>0</v>
      </c>
    </row>
    <row r="537" spans="1:19">
      <c r="A537" s="126" t="s">
        <v>3801</v>
      </c>
      <c r="B537" s="126" t="str">
        <f t="shared" si="163"/>
        <v>D0466</v>
      </c>
      <c r="C537" s="126">
        <v>7356</v>
      </c>
      <c r="D537" s="126" t="s">
        <v>2907</v>
      </c>
      <c r="E537" s="126">
        <v>419</v>
      </c>
      <c r="F537" s="126">
        <v>0</v>
      </c>
      <c r="G537" s="126">
        <v>165</v>
      </c>
      <c r="H537" s="126">
        <v>0</v>
      </c>
      <c r="I537" s="126">
        <v>39.380000000000003</v>
      </c>
      <c r="J537" s="126">
        <v>0</v>
      </c>
      <c r="K537" s="126">
        <v>5.0999999999999996</v>
      </c>
      <c r="L537" s="126">
        <f t="shared" si="157"/>
        <v>419</v>
      </c>
      <c r="M537" s="126">
        <f t="shared" si="158"/>
        <v>165</v>
      </c>
      <c r="N537" s="171">
        <f t="shared" si="159"/>
        <v>0.39379999999999998</v>
      </c>
      <c r="O537" s="132">
        <f t="shared" si="160"/>
        <v>5.0999999999999996</v>
      </c>
      <c r="P537" s="177">
        <f t="shared" si="161"/>
        <v>0</v>
      </c>
      <c r="Q537" s="177">
        <f t="shared" si="162"/>
        <v>5.0999999999999996</v>
      </c>
      <c r="S537" s="233" t="b">
        <f t="shared" si="156"/>
        <v>0</v>
      </c>
    </row>
    <row r="538" spans="1:19">
      <c r="A538" s="126" t="s">
        <v>3801</v>
      </c>
      <c r="B538" s="126" t="str">
        <f t="shared" si="163"/>
        <v>D0466</v>
      </c>
      <c r="C538" s="126">
        <v>7358</v>
      </c>
      <c r="D538" s="126" t="s">
        <v>2909</v>
      </c>
      <c r="E538" s="126">
        <v>326</v>
      </c>
      <c r="F538" s="126">
        <v>0</v>
      </c>
      <c r="G538" s="126">
        <v>128</v>
      </c>
      <c r="H538" s="126">
        <v>0</v>
      </c>
      <c r="I538" s="126">
        <v>39.26</v>
      </c>
      <c r="J538" s="126">
        <v>0</v>
      </c>
      <c r="K538" s="126">
        <v>3.8</v>
      </c>
      <c r="L538" s="126">
        <f t="shared" si="157"/>
        <v>326</v>
      </c>
      <c r="M538" s="126">
        <f t="shared" si="158"/>
        <v>128</v>
      </c>
      <c r="N538" s="171">
        <f t="shared" si="159"/>
        <v>0.3926</v>
      </c>
      <c r="O538" s="132">
        <f t="shared" si="160"/>
        <v>3.8</v>
      </c>
      <c r="P538" s="177">
        <f t="shared" si="161"/>
        <v>0</v>
      </c>
      <c r="Q538" s="177">
        <f t="shared" si="162"/>
        <v>3.8</v>
      </c>
      <c r="S538" s="233" t="b">
        <f t="shared" si="156"/>
        <v>0</v>
      </c>
    </row>
    <row r="539" spans="1:19">
      <c r="A539" s="126" t="s">
        <v>3801</v>
      </c>
      <c r="B539" s="126" t="str">
        <f t="shared" si="163"/>
        <v>D0466</v>
      </c>
      <c r="C539" s="126">
        <v>7360</v>
      </c>
      <c r="D539" s="126" t="s">
        <v>2911</v>
      </c>
      <c r="E539" s="126">
        <v>254</v>
      </c>
      <c r="F539" s="126">
        <v>0</v>
      </c>
      <c r="G539" s="126">
        <v>71</v>
      </c>
      <c r="H539" s="126">
        <v>0</v>
      </c>
      <c r="I539" s="126">
        <v>27.95</v>
      </c>
      <c r="J539" s="126">
        <v>0</v>
      </c>
      <c r="K539" s="126">
        <v>0</v>
      </c>
      <c r="L539" s="126">
        <f t="shared" si="157"/>
        <v>254</v>
      </c>
      <c r="M539" s="126">
        <f t="shared" si="158"/>
        <v>71</v>
      </c>
      <c r="N539" s="171">
        <f t="shared" si="159"/>
        <v>0.27950000000000003</v>
      </c>
      <c r="O539" s="132">
        <f t="shared" si="160"/>
        <v>0</v>
      </c>
      <c r="P539" s="177">
        <f t="shared" si="161"/>
        <v>0</v>
      </c>
      <c r="Q539" s="177">
        <f t="shared" si="162"/>
        <v>0</v>
      </c>
      <c r="S539" s="233" t="b">
        <f t="shared" si="156"/>
        <v>0</v>
      </c>
    </row>
    <row r="540" spans="1:19">
      <c r="A540" s="126" t="s">
        <v>3802</v>
      </c>
      <c r="B540" s="126" t="str">
        <f t="shared" si="163"/>
        <v>D0467</v>
      </c>
      <c r="C540" s="126">
        <v>7382</v>
      </c>
      <c r="D540" s="126" t="s">
        <v>2913</v>
      </c>
      <c r="E540" s="126">
        <v>240</v>
      </c>
      <c r="F540" s="126">
        <v>0</v>
      </c>
      <c r="G540" s="126">
        <v>94</v>
      </c>
      <c r="H540" s="126">
        <v>0</v>
      </c>
      <c r="I540" s="126">
        <v>39.17</v>
      </c>
      <c r="J540" s="126">
        <v>0</v>
      </c>
      <c r="K540" s="126">
        <v>2.7</v>
      </c>
      <c r="L540" s="126">
        <f t="shared" si="157"/>
        <v>240</v>
      </c>
      <c r="M540" s="126">
        <f t="shared" si="158"/>
        <v>94</v>
      </c>
      <c r="N540" s="171">
        <f t="shared" si="159"/>
        <v>0.39169999999999999</v>
      </c>
      <c r="O540" s="132">
        <f t="shared" si="160"/>
        <v>2.7</v>
      </c>
      <c r="P540" s="177">
        <f t="shared" si="161"/>
        <v>0</v>
      </c>
      <c r="Q540" s="177">
        <f t="shared" si="162"/>
        <v>2.7</v>
      </c>
      <c r="S540" s="233" t="b">
        <f t="shared" si="156"/>
        <v>0</v>
      </c>
    </row>
    <row r="541" spans="1:19">
      <c r="A541" s="126" t="s">
        <v>3802</v>
      </c>
      <c r="B541" s="126" t="str">
        <f t="shared" si="163"/>
        <v>D0467</v>
      </c>
      <c r="C541" s="126">
        <v>7385</v>
      </c>
      <c r="D541" s="126" t="s">
        <v>2915</v>
      </c>
      <c r="E541" s="126">
        <v>162</v>
      </c>
      <c r="F541" s="126">
        <v>0</v>
      </c>
      <c r="G541" s="126">
        <v>52</v>
      </c>
      <c r="H541" s="126">
        <v>0</v>
      </c>
      <c r="I541" s="126">
        <v>32.1</v>
      </c>
      <c r="J541" s="126">
        <v>0</v>
      </c>
      <c r="K541" s="126">
        <v>0</v>
      </c>
      <c r="L541" s="126">
        <f t="shared" si="157"/>
        <v>162</v>
      </c>
      <c r="M541" s="126">
        <f t="shared" si="158"/>
        <v>52</v>
      </c>
      <c r="N541" s="171">
        <f t="shared" si="159"/>
        <v>0.32100000000000001</v>
      </c>
      <c r="O541" s="132">
        <f t="shared" si="160"/>
        <v>0</v>
      </c>
      <c r="P541" s="177">
        <f t="shared" si="161"/>
        <v>0</v>
      </c>
      <c r="Q541" s="177">
        <f t="shared" si="162"/>
        <v>0</v>
      </c>
      <c r="S541" s="233" t="b">
        <f t="shared" si="156"/>
        <v>0</v>
      </c>
    </row>
    <row r="542" spans="1:19">
      <c r="A542" s="126" t="s">
        <v>3803</v>
      </c>
      <c r="B542" s="126" t="str">
        <f t="shared" si="163"/>
        <v>D0504</v>
      </c>
      <c r="C542" s="126">
        <v>8622</v>
      </c>
      <c r="D542" s="126" t="s">
        <v>3289</v>
      </c>
      <c r="E542" s="126">
        <v>232</v>
      </c>
      <c r="F542" s="126">
        <v>0</v>
      </c>
      <c r="G542" s="126">
        <v>130</v>
      </c>
      <c r="H542" s="126">
        <v>0</v>
      </c>
      <c r="I542" s="126">
        <v>56.03</v>
      </c>
      <c r="J542" s="126">
        <v>13.6</v>
      </c>
      <c r="K542" s="126">
        <v>0</v>
      </c>
      <c r="L542" s="126">
        <f t="shared" si="157"/>
        <v>232</v>
      </c>
      <c r="M542" s="126">
        <f t="shared" si="158"/>
        <v>130</v>
      </c>
      <c r="N542" s="171">
        <f t="shared" si="159"/>
        <v>0.56030000000000002</v>
      </c>
      <c r="O542" s="132">
        <f t="shared" si="160"/>
        <v>0</v>
      </c>
      <c r="P542" s="177">
        <f t="shared" si="161"/>
        <v>13.7</v>
      </c>
      <c r="Q542" s="177">
        <f t="shared" si="162"/>
        <v>13.7</v>
      </c>
      <c r="S542" s="233" t="b">
        <f t="shared" si="156"/>
        <v>0</v>
      </c>
    </row>
    <row r="543" spans="1:19">
      <c r="A543" s="126" t="s">
        <v>3803</v>
      </c>
      <c r="B543" s="126" t="str">
        <f t="shared" si="163"/>
        <v>D0504</v>
      </c>
      <c r="C543" s="126">
        <v>8623</v>
      </c>
      <c r="D543" s="126" t="s">
        <v>3291</v>
      </c>
      <c r="E543" s="126">
        <v>133</v>
      </c>
      <c r="F543" s="126">
        <v>0</v>
      </c>
      <c r="G543" s="126">
        <v>49</v>
      </c>
      <c r="H543" s="126">
        <v>0</v>
      </c>
      <c r="I543" s="126">
        <v>36.840000000000003</v>
      </c>
      <c r="J543" s="126">
        <v>0</v>
      </c>
      <c r="K543" s="126">
        <v>0.6</v>
      </c>
      <c r="L543" s="126">
        <f t="shared" si="157"/>
        <v>133</v>
      </c>
      <c r="M543" s="126">
        <f t="shared" si="158"/>
        <v>49</v>
      </c>
      <c r="N543" s="171">
        <f t="shared" si="159"/>
        <v>0.36840000000000001</v>
      </c>
      <c r="O543" s="132">
        <f t="shared" si="160"/>
        <v>0.6</v>
      </c>
      <c r="P543" s="177">
        <f t="shared" si="161"/>
        <v>0</v>
      </c>
      <c r="Q543" s="177">
        <f t="shared" si="162"/>
        <v>0.6</v>
      </c>
      <c r="S543" s="233" t="b">
        <f t="shared" si="156"/>
        <v>0</v>
      </c>
    </row>
    <row r="544" spans="1:19">
      <c r="A544" s="126" t="s">
        <v>3803</v>
      </c>
      <c r="B544" s="126" t="str">
        <f t="shared" si="163"/>
        <v>D0504</v>
      </c>
      <c r="C544" s="126">
        <v>8624</v>
      </c>
      <c r="D544" s="126" t="s">
        <v>3293</v>
      </c>
      <c r="E544" s="126">
        <v>150</v>
      </c>
      <c r="F544" s="126">
        <v>0</v>
      </c>
      <c r="G544" s="126">
        <v>64</v>
      </c>
      <c r="H544" s="126">
        <v>0</v>
      </c>
      <c r="I544" s="126">
        <v>42.67</v>
      </c>
      <c r="J544" s="126">
        <v>0</v>
      </c>
      <c r="K544" s="126">
        <v>3.4</v>
      </c>
      <c r="L544" s="126">
        <f t="shared" si="157"/>
        <v>150</v>
      </c>
      <c r="M544" s="126">
        <f t="shared" si="158"/>
        <v>64</v>
      </c>
      <c r="N544" s="171">
        <f t="shared" si="159"/>
        <v>0.42670000000000002</v>
      </c>
      <c r="O544" s="132">
        <f t="shared" si="160"/>
        <v>3.4</v>
      </c>
      <c r="P544" s="177">
        <f t="shared" si="161"/>
        <v>0</v>
      </c>
      <c r="Q544" s="177">
        <f t="shared" si="162"/>
        <v>3.4</v>
      </c>
      <c r="S544" s="233" t="b">
        <f t="shared" si="156"/>
        <v>0</v>
      </c>
    </row>
    <row r="545" spans="1:19">
      <c r="A545" s="126" t="s">
        <v>3804</v>
      </c>
      <c r="B545" s="126" t="str">
        <f t="shared" si="163"/>
        <v>D0103</v>
      </c>
      <c r="C545" s="126">
        <v>2780</v>
      </c>
      <c r="D545" s="126" t="s">
        <v>905</v>
      </c>
      <c r="E545" s="126">
        <v>58</v>
      </c>
      <c r="F545" s="126">
        <v>0</v>
      </c>
      <c r="G545" s="126">
        <v>25</v>
      </c>
      <c r="H545" s="126">
        <v>0</v>
      </c>
      <c r="I545" s="126">
        <v>43.1</v>
      </c>
      <c r="J545" s="126">
        <v>0</v>
      </c>
      <c r="K545" s="126">
        <v>1.4</v>
      </c>
      <c r="L545" s="126">
        <f t="shared" ref="L545:L585" si="164">SUM(E545:F545)</f>
        <v>58</v>
      </c>
      <c r="M545" s="126">
        <f t="shared" ref="M545:M585" si="165">SUM(G545:H545)</f>
        <v>25</v>
      </c>
      <c r="N545" s="171">
        <f t="shared" ref="N545:N585" si="166">IF(ISERROR(M545/L545),0,M545/L545)</f>
        <v>0.43099999999999999</v>
      </c>
      <c r="O545" s="132">
        <f t="shared" ref="O545:O585" si="167">IF(AND((N545-35%)&gt;0,N545&lt;50%),M545*(N545-35%)*0.7,0)</f>
        <v>1.4</v>
      </c>
      <c r="P545" s="177">
        <f t="shared" ref="P545:P585" si="168">IF(N545&gt;=50%,M545*10.5%,0)</f>
        <v>0</v>
      </c>
      <c r="Q545" s="177">
        <f t="shared" ref="Q545:Q585" si="169">MAX(O545,P545)</f>
        <v>1.4</v>
      </c>
      <c r="S545" s="233" t="b">
        <f t="shared" si="156"/>
        <v>0</v>
      </c>
    </row>
    <row r="546" spans="1:19">
      <c r="A546" s="126" t="s">
        <v>3804</v>
      </c>
      <c r="B546" s="126" t="str">
        <f t="shared" si="163"/>
        <v>D0103</v>
      </c>
      <c r="C546" s="126">
        <v>3374</v>
      </c>
      <c r="D546" s="126" t="s">
        <v>907</v>
      </c>
      <c r="E546" s="126">
        <v>69</v>
      </c>
      <c r="F546" s="126">
        <v>0</v>
      </c>
      <c r="G546" s="126">
        <v>34</v>
      </c>
      <c r="H546" s="126">
        <v>0</v>
      </c>
      <c r="I546" s="126">
        <v>49.28</v>
      </c>
      <c r="J546" s="126">
        <v>0</v>
      </c>
      <c r="K546" s="126">
        <v>3.4</v>
      </c>
      <c r="L546" s="126">
        <f t="shared" si="164"/>
        <v>69</v>
      </c>
      <c r="M546" s="126">
        <f t="shared" si="165"/>
        <v>34</v>
      </c>
      <c r="N546" s="171">
        <f t="shared" si="166"/>
        <v>0.49280000000000002</v>
      </c>
      <c r="O546" s="132">
        <f t="shared" si="167"/>
        <v>3.4</v>
      </c>
      <c r="P546" s="177">
        <f t="shared" si="168"/>
        <v>0</v>
      </c>
      <c r="Q546" s="177">
        <f t="shared" si="169"/>
        <v>3.4</v>
      </c>
      <c r="S546" s="233" t="b">
        <f t="shared" si="156"/>
        <v>0</v>
      </c>
    </row>
    <row r="547" spans="1:19">
      <c r="A547" s="126" t="s">
        <v>3805</v>
      </c>
      <c r="B547" s="126" t="str">
        <f t="shared" si="163"/>
        <v>D0231</v>
      </c>
      <c r="C547" s="126">
        <v>804</v>
      </c>
      <c r="D547" s="126" t="s">
        <v>1213</v>
      </c>
      <c r="E547" s="126">
        <v>301</v>
      </c>
      <c r="F547" s="126">
        <v>0</v>
      </c>
      <c r="G547" s="126">
        <v>88</v>
      </c>
      <c r="H547" s="126">
        <v>0</v>
      </c>
      <c r="I547" s="126">
        <v>29.24</v>
      </c>
      <c r="J547" s="126">
        <v>0</v>
      </c>
      <c r="K547" s="126">
        <v>0</v>
      </c>
      <c r="L547" s="126">
        <f t="shared" si="164"/>
        <v>301</v>
      </c>
      <c r="M547" s="126">
        <f t="shared" si="165"/>
        <v>88</v>
      </c>
      <c r="N547" s="171">
        <f t="shared" si="166"/>
        <v>0.29239999999999999</v>
      </c>
      <c r="O547" s="132">
        <f t="shared" si="167"/>
        <v>0</v>
      </c>
      <c r="P547" s="177">
        <f t="shared" si="168"/>
        <v>0</v>
      </c>
      <c r="Q547" s="177">
        <f t="shared" si="169"/>
        <v>0</v>
      </c>
      <c r="S547" s="233" t="b">
        <f t="shared" si="156"/>
        <v>0</v>
      </c>
    </row>
    <row r="548" spans="1:19">
      <c r="A548" s="126" t="s">
        <v>3805</v>
      </c>
      <c r="B548" s="126" t="str">
        <f t="shared" si="163"/>
        <v>D0231</v>
      </c>
      <c r="C548" s="126">
        <v>808</v>
      </c>
      <c r="D548" s="126" t="s">
        <v>1215</v>
      </c>
      <c r="E548" s="126">
        <v>1630</v>
      </c>
      <c r="F548" s="126">
        <v>0</v>
      </c>
      <c r="G548" s="126">
        <v>275</v>
      </c>
      <c r="H548" s="126">
        <v>0</v>
      </c>
      <c r="I548" s="126">
        <v>16.87</v>
      </c>
      <c r="J548" s="126">
        <v>0</v>
      </c>
      <c r="K548" s="126">
        <v>0</v>
      </c>
      <c r="L548" s="126">
        <f t="shared" si="164"/>
        <v>1630</v>
      </c>
      <c r="M548" s="126">
        <f t="shared" si="165"/>
        <v>275</v>
      </c>
      <c r="N548" s="171">
        <f t="shared" si="166"/>
        <v>0.16869999999999999</v>
      </c>
      <c r="O548" s="132">
        <f t="shared" si="167"/>
        <v>0</v>
      </c>
      <c r="P548" s="177">
        <f t="shared" si="168"/>
        <v>0</v>
      </c>
      <c r="Q548" s="177">
        <f t="shared" si="169"/>
        <v>0</v>
      </c>
      <c r="S548" s="233" t="b">
        <f t="shared" si="156"/>
        <v>0</v>
      </c>
    </row>
    <row r="549" spans="1:19">
      <c r="A549" s="126" t="s">
        <v>3805</v>
      </c>
      <c r="B549" s="126" t="str">
        <f t="shared" si="163"/>
        <v>D0231</v>
      </c>
      <c r="C549" s="126">
        <v>812</v>
      </c>
      <c r="D549" s="126" t="s">
        <v>1217</v>
      </c>
      <c r="E549" s="126">
        <v>183</v>
      </c>
      <c r="F549" s="126">
        <v>0</v>
      </c>
      <c r="G549" s="126">
        <v>44</v>
      </c>
      <c r="H549" s="126">
        <v>0</v>
      </c>
      <c r="I549" s="126">
        <v>24.04</v>
      </c>
      <c r="J549" s="126">
        <v>0</v>
      </c>
      <c r="K549" s="126">
        <v>0</v>
      </c>
      <c r="L549" s="126">
        <f t="shared" si="164"/>
        <v>183</v>
      </c>
      <c r="M549" s="126">
        <f t="shared" si="165"/>
        <v>44</v>
      </c>
      <c r="N549" s="171">
        <f t="shared" si="166"/>
        <v>0.2404</v>
      </c>
      <c r="O549" s="132">
        <f t="shared" si="167"/>
        <v>0</v>
      </c>
      <c r="P549" s="177">
        <f t="shared" si="168"/>
        <v>0</v>
      </c>
      <c r="Q549" s="177">
        <f t="shared" si="169"/>
        <v>0</v>
      </c>
      <c r="S549" s="233" t="b">
        <f t="shared" si="156"/>
        <v>0</v>
      </c>
    </row>
    <row r="550" spans="1:19">
      <c r="A550" s="126" t="s">
        <v>3805</v>
      </c>
      <c r="B550" s="126" t="str">
        <f t="shared" si="163"/>
        <v>D0231</v>
      </c>
      <c r="C550" s="126">
        <v>814</v>
      </c>
      <c r="D550" s="126" t="s">
        <v>1219</v>
      </c>
      <c r="E550" s="126">
        <v>345</v>
      </c>
      <c r="F550" s="126">
        <v>0</v>
      </c>
      <c r="G550" s="126">
        <v>31</v>
      </c>
      <c r="H550" s="126">
        <v>0</v>
      </c>
      <c r="I550" s="126">
        <v>8.99</v>
      </c>
      <c r="J550" s="126">
        <v>0</v>
      </c>
      <c r="K550" s="126">
        <v>0</v>
      </c>
      <c r="L550" s="126">
        <f t="shared" si="164"/>
        <v>345</v>
      </c>
      <c r="M550" s="126">
        <f t="shared" si="165"/>
        <v>31</v>
      </c>
      <c r="N550" s="171">
        <f t="shared" si="166"/>
        <v>8.9899999999999994E-2</v>
      </c>
      <c r="O550" s="132">
        <f t="shared" si="167"/>
        <v>0</v>
      </c>
      <c r="P550" s="177">
        <f t="shared" si="168"/>
        <v>0</v>
      </c>
      <c r="Q550" s="177">
        <f t="shared" si="169"/>
        <v>0</v>
      </c>
      <c r="S550" s="233" t="b">
        <f t="shared" si="156"/>
        <v>0</v>
      </c>
    </row>
    <row r="551" spans="1:19">
      <c r="A551" s="126" t="s">
        <v>3805</v>
      </c>
      <c r="B551" s="126" t="str">
        <f t="shared" si="163"/>
        <v>D0231</v>
      </c>
      <c r="C551" s="126">
        <v>815</v>
      </c>
      <c r="D551" s="126" t="s">
        <v>1221</v>
      </c>
      <c r="E551" s="126">
        <v>335</v>
      </c>
      <c r="F551" s="126">
        <v>0</v>
      </c>
      <c r="G551" s="126">
        <v>85</v>
      </c>
      <c r="H551" s="126">
        <v>0</v>
      </c>
      <c r="I551" s="126">
        <v>25.37</v>
      </c>
      <c r="J551" s="126">
        <v>0</v>
      </c>
      <c r="K551" s="126">
        <v>0</v>
      </c>
      <c r="L551" s="126">
        <f t="shared" si="164"/>
        <v>335</v>
      </c>
      <c r="M551" s="126">
        <f t="shared" si="165"/>
        <v>85</v>
      </c>
      <c r="N551" s="171">
        <f t="shared" si="166"/>
        <v>0.25369999999999998</v>
      </c>
      <c r="O551" s="132">
        <f t="shared" si="167"/>
        <v>0</v>
      </c>
      <c r="P551" s="177">
        <f t="shared" si="168"/>
        <v>0</v>
      </c>
      <c r="Q551" s="177">
        <f t="shared" si="169"/>
        <v>0</v>
      </c>
      <c r="S551" s="233" t="b">
        <f t="shared" si="156"/>
        <v>0</v>
      </c>
    </row>
    <row r="552" spans="1:19">
      <c r="A552" s="126" t="s">
        <v>3805</v>
      </c>
      <c r="B552" s="126" t="str">
        <f t="shared" si="163"/>
        <v>D0231</v>
      </c>
      <c r="C552" s="126">
        <v>816</v>
      </c>
      <c r="D552" s="126" t="s">
        <v>1223</v>
      </c>
      <c r="E552" s="126">
        <v>530</v>
      </c>
      <c r="F552" s="126">
        <v>0</v>
      </c>
      <c r="G552" s="126">
        <v>45</v>
      </c>
      <c r="H552" s="126">
        <v>0</v>
      </c>
      <c r="I552" s="126">
        <v>8.49</v>
      </c>
      <c r="J552" s="126">
        <v>0</v>
      </c>
      <c r="K552" s="126">
        <v>0</v>
      </c>
      <c r="L552" s="126">
        <f t="shared" si="164"/>
        <v>530</v>
      </c>
      <c r="M552" s="126">
        <f t="shared" si="165"/>
        <v>45</v>
      </c>
      <c r="N552" s="171">
        <f t="shared" si="166"/>
        <v>8.4900000000000003E-2</v>
      </c>
      <c r="O552" s="132">
        <f t="shared" si="167"/>
        <v>0</v>
      </c>
      <c r="P552" s="177">
        <f t="shared" si="168"/>
        <v>0</v>
      </c>
      <c r="Q552" s="177">
        <f t="shared" si="169"/>
        <v>0</v>
      </c>
      <c r="S552" s="233" t="b">
        <f t="shared" si="156"/>
        <v>0</v>
      </c>
    </row>
    <row r="553" spans="1:19">
      <c r="A553" s="126" t="s">
        <v>3805</v>
      </c>
      <c r="B553" s="126" t="str">
        <f t="shared" si="163"/>
        <v>D0231</v>
      </c>
      <c r="C553" s="126">
        <v>817</v>
      </c>
      <c r="D553" s="126" t="s">
        <v>1225</v>
      </c>
      <c r="E553" s="126">
        <v>598</v>
      </c>
      <c r="F553" s="126">
        <v>0</v>
      </c>
      <c r="G553" s="126">
        <v>95</v>
      </c>
      <c r="H553" s="126">
        <v>0</v>
      </c>
      <c r="I553" s="126">
        <v>15.89</v>
      </c>
      <c r="J553" s="126">
        <v>0</v>
      </c>
      <c r="K553" s="126">
        <v>0</v>
      </c>
      <c r="L553" s="126">
        <f t="shared" si="164"/>
        <v>598</v>
      </c>
      <c r="M553" s="126">
        <f t="shared" si="165"/>
        <v>95</v>
      </c>
      <c r="N553" s="171">
        <f t="shared" si="166"/>
        <v>0.15890000000000001</v>
      </c>
      <c r="O553" s="132">
        <f t="shared" si="167"/>
        <v>0</v>
      </c>
      <c r="P553" s="177">
        <f t="shared" si="168"/>
        <v>0</v>
      </c>
      <c r="Q553" s="177">
        <f t="shared" si="169"/>
        <v>0</v>
      </c>
      <c r="S553" s="233" t="b">
        <f t="shared" si="156"/>
        <v>0</v>
      </c>
    </row>
    <row r="554" spans="1:19">
      <c r="A554" s="126" t="s">
        <v>3805</v>
      </c>
      <c r="B554" s="126" t="str">
        <f t="shared" si="163"/>
        <v>D0231</v>
      </c>
      <c r="C554" s="126">
        <v>818</v>
      </c>
      <c r="D554" s="126" t="s">
        <v>1227</v>
      </c>
      <c r="E554" s="126">
        <v>341</v>
      </c>
      <c r="F554" s="126">
        <v>0</v>
      </c>
      <c r="G554" s="126">
        <v>42</v>
      </c>
      <c r="H554" s="126">
        <v>0</v>
      </c>
      <c r="I554" s="126">
        <v>12.32</v>
      </c>
      <c r="J554" s="126">
        <v>0</v>
      </c>
      <c r="K554" s="126">
        <v>0</v>
      </c>
      <c r="L554" s="126">
        <f t="shared" si="164"/>
        <v>341</v>
      </c>
      <c r="M554" s="126">
        <f t="shared" si="165"/>
        <v>42</v>
      </c>
      <c r="N554" s="171">
        <f t="shared" si="166"/>
        <v>0.1232</v>
      </c>
      <c r="O554" s="132">
        <f t="shared" si="167"/>
        <v>0</v>
      </c>
      <c r="P554" s="177">
        <f t="shared" si="168"/>
        <v>0</v>
      </c>
      <c r="Q554" s="177">
        <f t="shared" si="169"/>
        <v>0</v>
      </c>
      <c r="S554" s="233" t="b">
        <f t="shared" si="156"/>
        <v>0</v>
      </c>
    </row>
    <row r="555" spans="1:19">
      <c r="A555" s="126" t="s">
        <v>3805</v>
      </c>
      <c r="B555" s="126" t="str">
        <f t="shared" si="163"/>
        <v>D0231</v>
      </c>
      <c r="C555" s="126">
        <v>819</v>
      </c>
      <c r="D555" s="126" t="s">
        <v>1229</v>
      </c>
      <c r="E555" s="126">
        <v>555</v>
      </c>
      <c r="F555" s="126">
        <v>0</v>
      </c>
      <c r="G555" s="126">
        <v>107</v>
      </c>
      <c r="H555" s="126">
        <v>0</v>
      </c>
      <c r="I555" s="126">
        <v>19.28</v>
      </c>
      <c r="J555" s="126">
        <v>0</v>
      </c>
      <c r="K555" s="126">
        <v>0</v>
      </c>
      <c r="L555" s="126">
        <f t="shared" si="164"/>
        <v>555</v>
      </c>
      <c r="M555" s="126">
        <f t="shared" si="165"/>
        <v>107</v>
      </c>
      <c r="N555" s="171">
        <f t="shared" si="166"/>
        <v>0.1928</v>
      </c>
      <c r="O555" s="132">
        <f t="shared" si="167"/>
        <v>0</v>
      </c>
      <c r="P555" s="177">
        <f t="shared" si="168"/>
        <v>0</v>
      </c>
      <c r="Q555" s="177">
        <f t="shared" si="169"/>
        <v>0</v>
      </c>
      <c r="S555" s="233" t="b">
        <f t="shared" si="156"/>
        <v>0</v>
      </c>
    </row>
    <row r="556" spans="1:19">
      <c r="A556" s="126" t="s">
        <v>3805</v>
      </c>
      <c r="B556" s="126" t="str">
        <f t="shared" si="163"/>
        <v>D0231</v>
      </c>
      <c r="C556" s="126">
        <v>927</v>
      </c>
      <c r="D556" s="126" t="s">
        <v>1231</v>
      </c>
      <c r="E556" s="126">
        <v>399</v>
      </c>
      <c r="F556" s="126">
        <v>0</v>
      </c>
      <c r="G556" s="126">
        <v>107</v>
      </c>
      <c r="H556" s="126">
        <v>0</v>
      </c>
      <c r="I556" s="126">
        <v>26.82</v>
      </c>
      <c r="J556" s="126">
        <v>0</v>
      </c>
      <c r="K556" s="126">
        <v>0</v>
      </c>
      <c r="L556" s="126">
        <f t="shared" si="164"/>
        <v>399</v>
      </c>
      <c r="M556" s="126">
        <f t="shared" si="165"/>
        <v>107</v>
      </c>
      <c r="N556" s="171">
        <f t="shared" si="166"/>
        <v>0.26819999999999999</v>
      </c>
      <c r="O556" s="132">
        <f t="shared" si="167"/>
        <v>0</v>
      </c>
      <c r="P556" s="177">
        <f t="shared" si="168"/>
        <v>0</v>
      </c>
      <c r="Q556" s="177">
        <f t="shared" si="169"/>
        <v>0</v>
      </c>
      <c r="S556" s="233" t="b">
        <f t="shared" si="156"/>
        <v>0</v>
      </c>
    </row>
    <row r="557" spans="1:19">
      <c r="A557" s="126" t="s">
        <v>3805</v>
      </c>
      <c r="B557" s="126" t="str">
        <f t="shared" si="163"/>
        <v>D0231</v>
      </c>
      <c r="C557" s="126">
        <v>936</v>
      </c>
      <c r="D557" s="126" t="s">
        <v>1233</v>
      </c>
      <c r="E557" s="126">
        <v>746</v>
      </c>
      <c r="F557" s="126">
        <v>0</v>
      </c>
      <c r="G557" s="126">
        <v>179</v>
      </c>
      <c r="H557" s="126">
        <v>0</v>
      </c>
      <c r="I557" s="126">
        <v>23.99</v>
      </c>
      <c r="J557" s="126">
        <v>0</v>
      </c>
      <c r="K557" s="126">
        <v>0</v>
      </c>
      <c r="L557" s="126">
        <f t="shared" si="164"/>
        <v>746</v>
      </c>
      <c r="M557" s="126">
        <f t="shared" si="165"/>
        <v>179</v>
      </c>
      <c r="N557" s="171">
        <f t="shared" si="166"/>
        <v>0.2399</v>
      </c>
      <c r="O557" s="132">
        <f t="shared" si="167"/>
        <v>0</v>
      </c>
      <c r="P557" s="177">
        <f t="shared" si="168"/>
        <v>0</v>
      </c>
      <c r="Q557" s="177">
        <f t="shared" si="169"/>
        <v>0</v>
      </c>
      <c r="S557" s="233" t="b">
        <f t="shared" si="156"/>
        <v>0</v>
      </c>
    </row>
    <row r="558" spans="1:19">
      <c r="A558" s="126" t="s">
        <v>3806</v>
      </c>
      <c r="B558" s="126" t="str">
        <f t="shared" si="163"/>
        <v>D0241</v>
      </c>
      <c r="C558" s="126">
        <v>1104</v>
      </c>
      <c r="D558" s="126" t="s">
        <v>1385</v>
      </c>
      <c r="E558" s="126">
        <v>137</v>
      </c>
      <c r="F558" s="126">
        <v>0</v>
      </c>
      <c r="G558" s="126">
        <v>41</v>
      </c>
      <c r="H558" s="126">
        <v>0</v>
      </c>
      <c r="I558" s="126">
        <v>29.93</v>
      </c>
      <c r="J558" s="126">
        <v>0</v>
      </c>
      <c r="K558" s="126">
        <v>0</v>
      </c>
      <c r="L558" s="126">
        <f t="shared" si="164"/>
        <v>137</v>
      </c>
      <c r="M558" s="126">
        <f t="shared" si="165"/>
        <v>41</v>
      </c>
      <c r="N558" s="171">
        <f t="shared" si="166"/>
        <v>0.29930000000000001</v>
      </c>
      <c r="O558" s="132">
        <f t="shared" si="167"/>
        <v>0</v>
      </c>
      <c r="P558" s="177">
        <f t="shared" si="168"/>
        <v>0</v>
      </c>
      <c r="Q558" s="177">
        <f t="shared" si="169"/>
        <v>0</v>
      </c>
      <c r="S558" s="233" t="b">
        <f t="shared" si="156"/>
        <v>0</v>
      </c>
    </row>
    <row r="559" spans="1:19">
      <c r="A559" s="126" t="s">
        <v>3806</v>
      </c>
      <c r="B559" s="126" t="str">
        <f t="shared" si="163"/>
        <v>D0241</v>
      </c>
      <c r="C559" s="126">
        <v>1106</v>
      </c>
      <c r="D559" s="126" t="s">
        <v>1387</v>
      </c>
      <c r="E559" s="126">
        <v>63</v>
      </c>
      <c r="F559" s="126">
        <v>0</v>
      </c>
      <c r="G559" s="126">
        <v>9</v>
      </c>
      <c r="H559" s="126">
        <v>0</v>
      </c>
      <c r="I559" s="126">
        <v>14.29</v>
      </c>
      <c r="J559" s="126">
        <v>0</v>
      </c>
      <c r="K559" s="126">
        <v>0</v>
      </c>
      <c r="L559" s="126">
        <f t="shared" si="164"/>
        <v>63</v>
      </c>
      <c r="M559" s="126">
        <f t="shared" si="165"/>
        <v>9</v>
      </c>
      <c r="N559" s="171">
        <f t="shared" si="166"/>
        <v>0.1429</v>
      </c>
      <c r="O559" s="132">
        <f t="shared" si="167"/>
        <v>0</v>
      </c>
      <c r="P559" s="177">
        <f t="shared" si="168"/>
        <v>0</v>
      </c>
      <c r="Q559" s="177">
        <f t="shared" si="169"/>
        <v>0</v>
      </c>
      <c r="S559" s="233" t="b">
        <f t="shared" si="156"/>
        <v>0</v>
      </c>
    </row>
    <row r="560" spans="1:19">
      <c r="A560" s="126" t="s">
        <v>3807</v>
      </c>
      <c r="B560" s="126" t="str">
        <f t="shared" si="163"/>
        <v>D0242</v>
      </c>
      <c r="C560" s="126">
        <v>1120</v>
      </c>
      <c r="D560" s="126" t="s">
        <v>1389</v>
      </c>
      <c r="E560" s="126">
        <v>58</v>
      </c>
      <c r="F560" s="126">
        <v>0</v>
      </c>
      <c r="G560" s="126">
        <v>13</v>
      </c>
      <c r="H560" s="126">
        <v>0</v>
      </c>
      <c r="I560" s="126">
        <v>22.41</v>
      </c>
      <c r="J560" s="126">
        <v>0</v>
      </c>
      <c r="K560" s="126">
        <v>0</v>
      </c>
      <c r="L560" s="126">
        <f t="shared" si="164"/>
        <v>58</v>
      </c>
      <c r="M560" s="126">
        <f t="shared" si="165"/>
        <v>13</v>
      </c>
      <c r="N560" s="171">
        <f t="shared" si="166"/>
        <v>0.22409999999999999</v>
      </c>
      <c r="O560" s="132">
        <f t="shared" si="167"/>
        <v>0</v>
      </c>
      <c r="P560" s="177">
        <f t="shared" si="168"/>
        <v>0</v>
      </c>
      <c r="Q560" s="177">
        <f t="shared" si="169"/>
        <v>0</v>
      </c>
      <c r="S560" s="233" t="b">
        <f t="shared" si="156"/>
        <v>0</v>
      </c>
    </row>
    <row r="561" spans="1:19">
      <c r="A561" s="126" t="s">
        <v>3807</v>
      </c>
      <c r="B561" s="126" t="str">
        <f t="shared" si="163"/>
        <v>D0242</v>
      </c>
      <c r="C561" s="126">
        <v>1122</v>
      </c>
      <c r="D561" s="126" t="s">
        <v>1391</v>
      </c>
      <c r="E561" s="126">
        <v>42</v>
      </c>
      <c r="F561" s="126">
        <v>0</v>
      </c>
      <c r="G561" s="126">
        <v>12</v>
      </c>
      <c r="H561" s="126">
        <v>0</v>
      </c>
      <c r="I561" s="126">
        <v>28.57</v>
      </c>
      <c r="J561" s="126">
        <v>0</v>
      </c>
      <c r="K561" s="126">
        <v>0</v>
      </c>
      <c r="L561" s="126">
        <f t="shared" si="164"/>
        <v>42</v>
      </c>
      <c r="M561" s="126">
        <f t="shared" si="165"/>
        <v>12</v>
      </c>
      <c r="N561" s="171">
        <f t="shared" si="166"/>
        <v>0.28570000000000001</v>
      </c>
      <c r="O561" s="132">
        <f t="shared" si="167"/>
        <v>0</v>
      </c>
      <c r="P561" s="177">
        <f t="shared" si="168"/>
        <v>0</v>
      </c>
      <c r="Q561" s="177">
        <f t="shared" si="169"/>
        <v>0</v>
      </c>
      <c r="S561" s="233" t="b">
        <f t="shared" si="156"/>
        <v>0</v>
      </c>
    </row>
    <row r="562" spans="1:19">
      <c r="A562" s="126" t="s">
        <v>3808</v>
      </c>
      <c r="B562" s="126" t="str">
        <f t="shared" si="163"/>
        <v>D0243</v>
      </c>
      <c r="C562" s="126">
        <v>1134</v>
      </c>
      <c r="D562" s="126" t="s">
        <v>1393</v>
      </c>
      <c r="E562" s="126">
        <v>110</v>
      </c>
      <c r="F562" s="126">
        <v>0</v>
      </c>
      <c r="G562" s="126">
        <v>30</v>
      </c>
      <c r="H562" s="126">
        <v>0</v>
      </c>
      <c r="I562" s="126">
        <v>27.27</v>
      </c>
      <c r="J562" s="126">
        <v>0</v>
      </c>
      <c r="K562" s="126">
        <v>0</v>
      </c>
      <c r="L562" s="126">
        <f t="shared" si="164"/>
        <v>110</v>
      </c>
      <c r="M562" s="126">
        <f t="shared" si="165"/>
        <v>30</v>
      </c>
      <c r="N562" s="171">
        <f t="shared" si="166"/>
        <v>0.2727</v>
      </c>
      <c r="O562" s="132">
        <f t="shared" si="167"/>
        <v>0</v>
      </c>
      <c r="P562" s="177">
        <f t="shared" si="168"/>
        <v>0</v>
      </c>
      <c r="Q562" s="177">
        <f t="shared" si="169"/>
        <v>0</v>
      </c>
      <c r="S562" s="233" t="b">
        <f t="shared" si="156"/>
        <v>0</v>
      </c>
    </row>
    <row r="563" spans="1:19">
      <c r="A563" s="126" t="s">
        <v>3808</v>
      </c>
      <c r="B563" s="126" t="str">
        <f t="shared" si="163"/>
        <v>D0243</v>
      </c>
      <c r="C563" s="126">
        <v>1136</v>
      </c>
      <c r="D563" s="126" t="s">
        <v>1395</v>
      </c>
      <c r="E563" s="126">
        <v>124</v>
      </c>
      <c r="F563" s="126">
        <v>0</v>
      </c>
      <c r="G563" s="126">
        <v>26</v>
      </c>
      <c r="H563" s="126">
        <v>0</v>
      </c>
      <c r="I563" s="126">
        <v>20.97</v>
      </c>
      <c r="J563" s="126">
        <v>0</v>
      </c>
      <c r="K563" s="126">
        <v>0</v>
      </c>
      <c r="L563" s="126">
        <f t="shared" si="164"/>
        <v>124</v>
      </c>
      <c r="M563" s="126">
        <f t="shared" si="165"/>
        <v>26</v>
      </c>
      <c r="N563" s="171">
        <f t="shared" si="166"/>
        <v>0.2097</v>
      </c>
      <c r="O563" s="132">
        <f t="shared" si="167"/>
        <v>0</v>
      </c>
      <c r="P563" s="177">
        <f t="shared" si="168"/>
        <v>0</v>
      </c>
      <c r="Q563" s="177">
        <f t="shared" si="169"/>
        <v>0</v>
      </c>
      <c r="S563" s="233" t="b">
        <f t="shared" si="156"/>
        <v>0</v>
      </c>
    </row>
    <row r="564" spans="1:19">
      <c r="A564" s="126" t="s">
        <v>3808</v>
      </c>
      <c r="B564" s="126" t="str">
        <f t="shared" si="163"/>
        <v>D0243</v>
      </c>
      <c r="C564" s="126">
        <v>1138</v>
      </c>
      <c r="D564" s="126" t="s">
        <v>1397</v>
      </c>
      <c r="E564" s="126">
        <v>110</v>
      </c>
      <c r="F564" s="126">
        <v>0</v>
      </c>
      <c r="G564" s="126">
        <v>37</v>
      </c>
      <c r="H564" s="126">
        <v>0</v>
      </c>
      <c r="I564" s="126">
        <v>33.64</v>
      </c>
      <c r="J564" s="126">
        <v>0</v>
      </c>
      <c r="K564" s="126">
        <v>0</v>
      </c>
      <c r="L564" s="126">
        <f t="shared" si="164"/>
        <v>110</v>
      </c>
      <c r="M564" s="126">
        <f t="shared" si="165"/>
        <v>37</v>
      </c>
      <c r="N564" s="171">
        <f t="shared" si="166"/>
        <v>0.33639999999999998</v>
      </c>
      <c r="O564" s="132">
        <f t="shared" si="167"/>
        <v>0</v>
      </c>
      <c r="P564" s="177">
        <f t="shared" si="168"/>
        <v>0</v>
      </c>
      <c r="Q564" s="177">
        <f t="shared" si="169"/>
        <v>0</v>
      </c>
      <c r="S564" s="233" t="b">
        <f t="shared" si="156"/>
        <v>0</v>
      </c>
    </row>
    <row r="565" spans="1:19">
      <c r="A565" s="126" t="s">
        <v>3808</v>
      </c>
      <c r="B565" s="126" t="str">
        <f t="shared" si="163"/>
        <v>D0243</v>
      </c>
      <c r="C565" s="126">
        <v>1140</v>
      </c>
      <c r="D565" s="126" t="s">
        <v>1399</v>
      </c>
      <c r="E565" s="126">
        <v>94</v>
      </c>
      <c r="F565" s="126">
        <v>0</v>
      </c>
      <c r="G565" s="126">
        <v>22</v>
      </c>
      <c r="H565" s="126">
        <v>0</v>
      </c>
      <c r="I565" s="126">
        <v>23.4</v>
      </c>
      <c r="J565" s="126">
        <v>0</v>
      </c>
      <c r="K565" s="126">
        <v>0</v>
      </c>
      <c r="L565" s="126">
        <f t="shared" si="164"/>
        <v>94</v>
      </c>
      <c r="M565" s="126">
        <f t="shared" si="165"/>
        <v>22</v>
      </c>
      <c r="N565" s="171">
        <f t="shared" si="166"/>
        <v>0.23400000000000001</v>
      </c>
      <c r="O565" s="132">
        <f t="shared" si="167"/>
        <v>0</v>
      </c>
      <c r="P565" s="177">
        <f t="shared" si="168"/>
        <v>0</v>
      </c>
      <c r="Q565" s="177">
        <f t="shared" si="169"/>
        <v>0</v>
      </c>
      <c r="S565" s="233" t="b">
        <f t="shared" si="156"/>
        <v>0</v>
      </c>
    </row>
    <row r="566" spans="1:19">
      <c r="A566" s="126" t="s">
        <v>3809</v>
      </c>
      <c r="B566" s="126" t="str">
        <f t="shared" si="163"/>
        <v>D0245</v>
      </c>
      <c r="C566" s="126">
        <v>1174</v>
      </c>
      <c r="D566" s="126" t="s">
        <v>1407</v>
      </c>
      <c r="E566" s="126">
        <v>45</v>
      </c>
      <c r="F566" s="126">
        <v>0</v>
      </c>
      <c r="G566" s="126">
        <v>21</v>
      </c>
      <c r="H566" s="126">
        <v>0</v>
      </c>
      <c r="I566" s="126">
        <v>46.67</v>
      </c>
      <c r="J566" s="126">
        <v>0</v>
      </c>
      <c r="K566" s="126">
        <v>1.7</v>
      </c>
      <c r="L566" s="126">
        <f t="shared" si="164"/>
        <v>45</v>
      </c>
      <c r="M566" s="126">
        <f t="shared" si="165"/>
        <v>21</v>
      </c>
      <c r="N566" s="171">
        <f t="shared" si="166"/>
        <v>0.4667</v>
      </c>
      <c r="O566" s="132">
        <f t="shared" si="167"/>
        <v>1.7</v>
      </c>
      <c r="P566" s="177">
        <f t="shared" si="168"/>
        <v>0</v>
      </c>
      <c r="Q566" s="177">
        <f t="shared" si="169"/>
        <v>1.7</v>
      </c>
      <c r="S566" s="233" t="b">
        <f t="shared" si="156"/>
        <v>0</v>
      </c>
    </row>
    <row r="567" spans="1:19">
      <c r="A567" s="126" t="s">
        <v>3809</v>
      </c>
      <c r="B567" s="126" t="str">
        <f t="shared" ref="B567:B606" si="170">LEFT(A567,5)</f>
        <v>D0245</v>
      </c>
      <c r="C567" s="126">
        <v>1176</v>
      </c>
      <c r="D567" s="126" t="s">
        <v>1409</v>
      </c>
      <c r="E567" s="126">
        <v>61</v>
      </c>
      <c r="F567" s="126">
        <v>0</v>
      </c>
      <c r="G567" s="126">
        <v>18</v>
      </c>
      <c r="H567" s="126">
        <v>0</v>
      </c>
      <c r="I567" s="126">
        <v>29.51</v>
      </c>
      <c r="J567" s="126">
        <v>0</v>
      </c>
      <c r="K567" s="126">
        <v>0</v>
      </c>
      <c r="L567" s="126">
        <f t="shared" si="164"/>
        <v>61</v>
      </c>
      <c r="M567" s="126">
        <f t="shared" si="165"/>
        <v>18</v>
      </c>
      <c r="N567" s="171">
        <f t="shared" si="166"/>
        <v>0.29509999999999997</v>
      </c>
      <c r="O567" s="132">
        <f t="shared" si="167"/>
        <v>0</v>
      </c>
      <c r="P567" s="177">
        <f t="shared" si="168"/>
        <v>0</v>
      </c>
      <c r="Q567" s="177">
        <f t="shared" si="169"/>
        <v>0</v>
      </c>
      <c r="S567" s="233" t="b">
        <f t="shared" si="156"/>
        <v>0</v>
      </c>
    </row>
    <row r="568" spans="1:19">
      <c r="A568" s="126" t="s">
        <v>3809</v>
      </c>
      <c r="B568" s="126" t="str">
        <f t="shared" si="170"/>
        <v>D0245</v>
      </c>
      <c r="C568" s="126">
        <v>1178</v>
      </c>
      <c r="D568" s="126" t="s">
        <v>1411</v>
      </c>
      <c r="E568" s="126">
        <v>54</v>
      </c>
      <c r="F568" s="126">
        <v>0</v>
      </c>
      <c r="G568" s="126">
        <v>19</v>
      </c>
      <c r="H568" s="126">
        <v>0</v>
      </c>
      <c r="I568" s="126">
        <v>35.19</v>
      </c>
      <c r="J568" s="126">
        <v>0</v>
      </c>
      <c r="K568" s="126">
        <v>0</v>
      </c>
      <c r="L568" s="126">
        <f t="shared" si="164"/>
        <v>54</v>
      </c>
      <c r="M568" s="126">
        <f t="shared" si="165"/>
        <v>19</v>
      </c>
      <c r="N568" s="171">
        <f t="shared" si="166"/>
        <v>0.35189999999999999</v>
      </c>
      <c r="O568" s="132">
        <f t="shared" si="167"/>
        <v>0</v>
      </c>
      <c r="P568" s="177">
        <f t="shared" si="168"/>
        <v>0</v>
      </c>
      <c r="Q568" s="177">
        <f t="shared" si="169"/>
        <v>0</v>
      </c>
      <c r="S568" s="233" t="b">
        <f t="shared" si="156"/>
        <v>0</v>
      </c>
    </row>
    <row r="569" spans="1:19">
      <c r="A569" s="126" t="s">
        <v>3809</v>
      </c>
      <c r="B569" s="126" t="str">
        <f t="shared" si="170"/>
        <v>D0245</v>
      </c>
      <c r="C569" s="126">
        <v>1182</v>
      </c>
      <c r="D569" s="126" t="s">
        <v>1413</v>
      </c>
      <c r="E569" s="126">
        <v>45</v>
      </c>
      <c r="F569" s="126">
        <v>0</v>
      </c>
      <c r="G569" s="126">
        <v>14</v>
      </c>
      <c r="H569" s="126">
        <v>0</v>
      </c>
      <c r="I569" s="126">
        <v>31.11</v>
      </c>
      <c r="J569" s="126">
        <v>0</v>
      </c>
      <c r="K569" s="126">
        <v>0</v>
      </c>
      <c r="L569" s="126">
        <f t="shared" si="164"/>
        <v>45</v>
      </c>
      <c r="M569" s="126">
        <f t="shared" si="165"/>
        <v>14</v>
      </c>
      <c r="N569" s="171">
        <f t="shared" si="166"/>
        <v>0.31109999999999999</v>
      </c>
      <c r="O569" s="132">
        <f t="shared" si="167"/>
        <v>0</v>
      </c>
      <c r="P569" s="177">
        <f t="shared" si="168"/>
        <v>0</v>
      </c>
      <c r="Q569" s="177">
        <f t="shared" si="169"/>
        <v>0</v>
      </c>
      <c r="S569" s="233" t="b">
        <f t="shared" si="156"/>
        <v>0</v>
      </c>
    </row>
    <row r="570" spans="1:19">
      <c r="A570" s="126" t="s">
        <v>3810</v>
      </c>
      <c r="B570" s="126" t="str">
        <f t="shared" si="170"/>
        <v>D0291</v>
      </c>
      <c r="C570" s="126">
        <v>2666</v>
      </c>
      <c r="D570" s="126" t="s">
        <v>1890</v>
      </c>
      <c r="E570" s="126">
        <v>38</v>
      </c>
      <c r="F570" s="126">
        <v>0</v>
      </c>
      <c r="G570" s="126">
        <v>14</v>
      </c>
      <c r="H570" s="126">
        <v>0</v>
      </c>
      <c r="I570" s="126">
        <v>36.840000000000003</v>
      </c>
      <c r="J570" s="126">
        <v>0</v>
      </c>
      <c r="K570" s="126">
        <v>0.2</v>
      </c>
      <c r="L570" s="126">
        <f t="shared" si="164"/>
        <v>38</v>
      </c>
      <c r="M570" s="126">
        <f t="shared" si="165"/>
        <v>14</v>
      </c>
      <c r="N570" s="171">
        <f t="shared" si="166"/>
        <v>0.36840000000000001</v>
      </c>
      <c r="O570" s="132">
        <f t="shared" si="167"/>
        <v>0.2</v>
      </c>
      <c r="P570" s="177">
        <f t="shared" si="168"/>
        <v>0</v>
      </c>
      <c r="Q570" s="177">
        <f t="shared" si="169"/>
        <v>0.2</v>
      </c>
      <c r="S570" s="233" t="b">
        <f t="shared" si="156"/>
        <v>0</v>
      </c>
    </row>
    <row r="571" spans="1:19">
      <c r="A571" s="126" t="s">
        <v>3810</v>
      </c>
      <c r="B571" s="126" t="str">
        <f t="shared" si="170"/>
        <v>D0291</v>
      </c>
      <c r="C571" s="126">
        <v>2671</v>
      </c>
      <c r="D571" s="126" t="s">
        <v>1892</v>
      </c>
      <c r="E571" s="126">
        <v>20</v>
      </c>
      <c r="F571" s="126">
        <v>0</v>
      </c>
      <c r="G571" s="126">
        <v>9</v>
      </c>
      <c r="H571" s="126">
        <v>0</v>
      </c>
      <c r="I571" s="126">
        <v>45</v>
      </c>
      <c r="J571" s="126">
        <v>0</v>
      </c>
      <c r="K571" s="126">
        <v>0.6</v>
      </c>
      <c r="L571" s="126">
        <f t="shared" si="164"/>
        <v>20</v>
      </c>
      <c r="M571" s="126">
        <f t="shared" si="165"/>
        <v>9</v>
      </c>
      <c r="N571" s="171">
        <f t="shared" si="166"/>
        <v>0.45</v>
      </c>
      <c r="O571" s="132">
        <f t="shared" si="167"/>
        <v>0.6</v>
      </c>
      <c r="P571" s="177">
        <f t="shared" si="168"/>
        <v>0</v>
      </c>
      <c r="Q571" s="177">
        <f t="shared" si="169"/>
        <v>0.6</v>
      </c>
      <c r="S571" s="233" t="b">
        <f t="shared" si="156"/>
        <v>0</v>
      </c>
    </row>
    <row r="572" spans="1:19">
      <c r="A572" s="126" t="s">
        <v>3812</v>
      </c>
      <c r="B572" s="126" t="str">
        <f t="shared" si="170"/>
        <v>D0293</v>
      </c>
      <c r="C572" s="126">
        <v>2710</v>
      </c>
      <c r="D572" s="126" t="s">
        <v>1898</v>
      </c>
      <c r="E572" s="126">
        <v>199</v>
      </c>
      <c r="F572" s="126">
        <v>0</v>
      </c>
      <c r="G572" s="126">
        <v>46</v>
      </c>
      <c r="H572" s="126">
        <v>0</v>
      </c>
      <c r="I572" s="126">
        <v>23.12</v>
      </c>
      <c r="J572" s="126">
        <v>0</v>
      </c>
      <c r="K572" s="126">
        <v>0</v>
      </c>
      <c r="L572" s="126">
        <f t="shared" si="164"/>
        <v>199</v>
      </c>
      <c r="M572" s="126">
        <f t="shared" si="165"/>
        <v>46</v>
      </c>
      <c r="N572" s="171">
        <f t="shared" si="166"/>
        <v>0.23119999999999999</v>
      </c>
      <c r="O572" s="132">
        <f t="shared" si="167"/>
        <v>0</v>
      </c>
      <c r="P572" s="177">
        <f t="shared" si="168"/>
        <v>0</v>
      </c>
      <c r="Q572" s="177">
        <f t="shared" si="169"/>
        <v>0</v>
      </c>
      <c r="S572" s="233" t="b">
        <f t="shared" si="156"/>
        <v>0</v>
      </c>
    </row>
    <row r="573" spans="1:19">
      <c r="A573" s="126" t="s">
        <v>3812</v>
      </c>
      <c r="B573" s="126" t="str">
        <f t="shared" si="170"/>
        <v>D0293</v>
      </c>
      <c r="C573" s="126">
        <v>2712</v>
      </c>
      <c r="D573" s="126" t="s">
        <v>1900</v>
      </c>
      <c r="E573" s="126">
        <v>116</v>
      </c>
      <c r="F573" s="126">
        <v>0</v>
      </c>
      <c r="G573" s="126">
        <v>26</v>
      </c>
      <c r="H573" s="126">
        <v>0</v>
      </c>
      <c r="I573" s="126">
        <v>22.41</v>
      </c>
      <c r="J573" s="126">
        <v>0</v>
      </c>
      <c r="K573" s="126">
        <v>0</v>
      </c>
      <c r="L573" s="126">
        <f t="shared" si="164"/>
        <v>116</v>
      </c>
      <c r="M573" s="126">
        <f t="shared" si="165"/>
        <v>26</v>
      </c>
      <c r="N573" s="171">
        <f t="shared" si="166"/>
        <v>0.22409999999999999</v>
      </c>
      <c r="O573" s="132">
        <f t="shared" si="167"/>
        <v>0</v>
      </c>
      <c r="P573" s="177">
        <f t="shared" si="168"/>
        <v>0</v>
      </c>
      <c r="Q573" s="177">
        <f t="shared" si="169"/>
        <v>0</v>
      </c>
      <c r="S573" s="233" t="b">
        <f t="shared" si="156"/>
        <v>0</v>
      </c>
    </row>
    <row r="574" spans="1:19">
      <c r="A574" s="126" t="s">
        <v>3813</v>
      </c>
      <c r="B574" s="126" t="str">
        <f t="shared" si="170"/>
        <v>D0294</v>
      </c>
      <c r="C574" s="126">
        <v>2738</v>
      </c>
      <c r="D574" s="126" t="s">
        <v>1902</v>
      </c>
      <c r="E574" s="126">
        <v>209</v>
      </c>
      <c r="F574" s="126">
        <v>0</v>
      </c>
      <c r="G574" s="126">
        <v>78</v>
      </c>
      <c r="H574" s="126">
        <v>0</v>
      </c>
      <c r="I574" s="126">
        <v>37.32</v>
      </c>
      <c r="J574" s="126">
        <v>0</v>
      </c>
      <c r="K574" s="126">
        <v>1.3</v>
      </c>
      <c r="L574" s="126">
        <f t="shared" si="164"/>
        <v>209</v>
      </c>
      <c r="M574" s="126">
        <f t="shared" si="165"/>
        <v>78</v>
      </c>
      <c r="N574" s="171">
        <f t="shared" si="166"/>
        <v>0.37319999999999998</v>
      </c>
      <c r="O574" s="132">
        <f t="shared" si="167"/>
        <v>1.3</v>
      </c>
      <c r="P574" s="177">
        <f t="shared" si="168"/>
        <v>0</v>
      </c>
      <c r="Q574" s="177">
        <f t="shared" si="169"/>
        <v>1.3</v>
      </c>
      <c r="S574" s="233" t="b">
        <f t="shared" si="156"/>
        <v>0</v>
      </c>
    </row>
    <row r="575" spans="1:19">
      <c r="A575" s="126" t="s">
        <v>3813</v>
      </c>
      <c r="B575" s="126" t="str">
        <f t="shared" si="170"/>
        <v>D0294</v>
      </c>
      <c r="C575" s="126">
        <v>2740</v>
      </c>
      <c r="D575" s="126" t="s">
        <v>1904</v>
      </c>
      <c r="E575" s="126">
        <v>145</v>
      </c>
      <c r="F575" s="126">
        <v>0</v>
      </c>
      <c r="G575" s="126">
        <v>32</v>
      </c>
      <c r="H575" s="126">
        <v>0</v>
      </c>
      <c r="I575" s="126">
        <v>22.07</v>
      </c>
      <c r="J575" s="126">
        <v>0</v>
      </c>
      <c r="K575" s="126">
        <v>0</v>
      </c>
      <c r="L575" s="126">
        <f t="shared" si="164"/>
        <v>145</v>
      </c>
      <c r="M575" s="126">
        <f t="shared" si="165"/>
        <v>32</v>
      </c>
      <c r="N575" s="171">
        <f t="shared" si="166"/>
        <v>0.22070000000000001</v>
      </c>
      <c r="O575" s="132">
        <f t="shared" si="167"/>
        <v>0</v>
      </c>
      <c r="P575" s="177">
        <f t="shared" si="168"/>
        <v>0</v>
      </c>
      <c r="Q575" s="177">
        <f t="shared" si="169"/>
        <v>0</v>
      </c>
      <c r="S575" s="233" t="b">
        <f t="shared" si="156"/>
        <v>0</v>
      </c>
    </row>
    <row r="576" spans="1:19">
      <c r="A576" s="126" t="s">
        <v>3814</v>
      </c>
      <c r="B576" s="126" t="str">
        <f t="shared" si="170"/>
        <v>D0384</v>
      </c>
      <c r="C576" s="126">
        <v>5160</v>
      </c>
      <c r="D576" s="126" t="s">
        <v>2415</v>
      </c>
      <c r="E576" s="126">
        <v>101</v>
      </c>
      <c r="F576" s="126">
        <v>0</v>
      </c>
      <c r="G576" s="126">
        <v>16</v>
      </c>
      <c r="H576" s="126">
        <v>0</v>
      </c>
      <c r="I576" s="126">
        <v>15.84</v>
      </c>
      <c r="J576" s="126">
        <v>0</v>
      </c>
      <c r="K576" s="126">
        <v>0</v>
      </c>
      <c r="L576" s="126">
        <f t="shared" si="164"/>
        <v>101</v>
      </c>
      <c r="M576" s="126">
        <f t="shared" si="165"/>
        <v>16</v>
      </c>
      <c r="N576" s="171">
        <f t="shared" si="166"/>
        <v>0.15840000000000001</v>
      </c>
      <c r="O576" s="132">
        <f t="shared" si="167"/>
        <v>0</v>
      </c>
      <c r="P576" s="177">
        <f t="shared" si="168"/>
        <v>0</v>
      </c>
      <c r="Q576" s="177">
        <f t="shared" si="169"/>
        <v>0</v>
      </c>
      <c r="S576" s="233" t="b">
        <f t="shared" si="156"/>
        <v>0</v>
      </c>
    </row>
    <row r="577" spans="1:19">
      <c r="A577" s="126" t="s">
        <v>3814</v>
      </c>
      <c r="B577" s="126" t="str">
        <f t="shared" si="170"/>
        <v>D0384</v>
      </c>
      <c r="C577" s="126">
        <v>5164</v>
      </c>
      <c r="D577" s="126" t="s">
        <v>2417</v>
      </c>
      <c r="E577" s="126">
        <v>52</v>
      </c>
      <c r="F577" s="126">
        <v>0</v>
      </c>
      <c r="G577" s="126">
        <v>12</v>
      </c>
      <c r="H577" s="126">
        <v>0</v>
      </c>
      <c r="I577" s="126">
        <v>23.08</v>
      </c>
      <c r="J577" s="126">
        <v>0</v>
      </c>
      <c r="K577" s="126">
        <v>0</v>
      </c>
      <c r="L577" s="126">
        <f t="shared" si="164"/>
        <v>52</v>
      </c>
      <c r="M577" s="126">
        <f t="shared" si="165"/>
        <v>12</v>
      </c>
      <c r="N577" s="171">
        <f t="shared" si="166"/>
        <v>0.23080000000000001</v>
      </c>
      <c r="O577" s="132">
        <f t="shared" si="167"/>
        <v>0</v>
      </c>
      <c r="P577" s="177">
        <f t="shared" si="168"/>
        <v>0</v>
      </c>
      <c r="Q577" s="177">
        <f t="shared" si="169"/>
        <v>0</v>
      </c>
      <c r="S577" s="233" t="b">
        <f t="shared" si="156"/>
        <v>0</v>
      </c>
    </row>
    <row r="578" spans="1:19">
      <c r="A578" s="126" t="s">
        <v>3814</v>
      </c>
      <c r="B578" s="126" t="str">
        <f t="shared" si="170"/>
        <v>D0384</v>
      </c>
      <c r="C578" s="126">
        <v>5166</v>
      </c>
      <c r="D578" s="126" t="s">
        <v>1145</v>
      </c>
      <c r="E578" s="126">
        <v>59</v>
      </c>
      <c r="F578" s="126">
        <v>0</v>
      </c>
      <c r="G578" s="126">
        <v>10</v>
      </c>
      <c r="H578" s="126">
        <v>0</v>
      </c>
      <c r="I578" s="126">
        <v>16.95</v>
      </c>
      <c r="J578" s="126">
        <v>0</v>
      </c>
      <c r="K578" s="126">
        <v>0</v>
      </c>
      <c r="L578" s="126">
        <f t="shared" si="164"/>
        <v>59</v>
      </c>
      <c r="M578" s="126">
        <f t="shared" si="165"/>
        <v>10</v>
      </c>
      <c r="N578" s="171">
        <f t="shared" si="166"/>
        <v>0.16950000000000001</v>
      </c>
      <c r="O578" s="132">
        <f t="shared" si="167"/>
        <v>0</v>
      </c>
      <c r="P578" s="177">
        <f t="shared" si="168"/>
        <v>0</v>
      </c>
      <c r="Q578" s="177">
        <f t="shared" si="169"/>
        <v>0</v>
      </c>
      <c r="S578" s="233" t="b">
        <f t="shared" si="156"/>
        <v>0</v>
      </c>
    </row>
    <row r="579" spans="1:19">
      <c r="A579" s="126" t="s">
        <v>3815</v>
      </c>
      <c r="B579" s="126" t="str">
        <f t="shared" si="170"/>
        <v>D0432</v>
      </c>
      <c r="C579" s="126">
        <v>6399</v>
      </c>
      <c r="D579" s="126" t="s">
        <v>2667</v>
      </c>
      <c r="E579" s="126">
        <v>165</v>
      </c>
      <c r="F579" s="126">
        <v>0</v>
      </c>
      <c r="G579" s="126">
        <v>26</v>
      </c>
      <c r="H579" s="126">
        <v>0</v>
      </c>
      <c r="I579" s="126">
        <v>15.76</v>
      </c>
      <c r="J579" s="126">
        <v>0</v>
      </c>
      <c r="K579" s="126">
        <v>0</v>
      </c>
      <c r="L579" s="126">
        <f t="shared" si="164"/>
        <v>165</v>
      </c>
      <c r="M579" s="126">
        <f t="shared" si="165"/>
        <v>26</v>
      </c>
      <c r="N579" s="171">
        <f t="shared" si="166"/>
        <v>0.15759999999999999</v>
      </c>
      <c r="O579" s="132">
        <f t="shared" si="167"/>
        <v>0</v>
      </c>
      <c r="P579" s="177">
        <f t="shared" si="168"/>
        <v>0</v>
      </c>
      <c r="Q579" s="177">
        <f t="shared" si="169"/>
        <v>0</v>
      </c>
      <c r="S579" s="233" t="b">
        <f t="shared" si="156"/>
        <v>0</v>
      </c>
    </row>
    <row r="580" spans="1:19">
      <c r="A580" s="126" t="s">
        <v>3815</v>
      </c>
      <c r="B580" s="126" t="str">
        <f t="shared" si="170"/>
        <v>D0432</v>
      </c>
      <c r="C580" s="126">
        <v>6403</v>
      </c>
      <c r="D580" s="126" t="s">
        <v>2669</v>
      </c>
      <c r="E580" s="126">
        <v>124</v>
      </c>
      <c r="F580" s="126">
        <v>0</v>
      </c>
      <c r="G580" s="126">
        <v>15</v>
      </c>
      <c r="H580" s="126">
        <v>0</v>
      </c>
      <c r="I580" s="126">
        <v>12.1</v>
      </c>
      <c r="J580" s="126">
        <v>0</v>
      </c>
      <c r="K580" s="126">
        <v>0</v>
      </c>
      <c r="L580" s="126">
        <f t="shared" si="164"/>
        <v>124</v>
      </c>
      <c r="M580" s="126">
        <f t="shared" si="165"/>
        <v>15</v>
      </c>
      <c r="N580" s="171">
        <f t="shared" si="166"/>
        <v>0.121</v>
      </c>
      <c r="O580" s="132">
        <f t="shared" si="167"/>
        <v>0</v>
      </c>
      <c r="P580" s="177">
        <f t="shared" si="168"/>
        <v>0</v>
      </c>
      <c r="Q580" s="177">
        <f t="shared" si="169"/>
        <v>0</v>
      </c>
      <c r="S580" s="233" t="b">
        <f t="shared" si="156"/>
        <v>0</v>
      </c>
    </row>
    <row r="581" spans="1:19">
      <c r="A581" s="126" t="s">
        <v>3816</v>
      </c>
      <c r="B581" s="126" t="str">
        <f t="shared" si="170"/>
        <v>D0439</v>
      </c>
      <c r="C581" s="126">
        <v>6572</v>
      </c>
      <c r="D581" s="126" t="s">
        <v>3817</v>
      </c>
      <c r="E581" s="126">
        <v>241</v>
      </c>
      <c r="F581" s="126">
        <v>0</v>
      </c>
      <c r="G581" s="126">
        <v>66</v>
      </c>
      <c r="H581" s="126">
        <v>0</v>
      </c>
      <c r="I581" s="126">
        <v>27.39</v>
      </c>
      <c r="J581" s="126">
        <v>0</v>
      </c>
      <c r="K581" s="126">
        <v>0</v>
      </c>
      <c r="L581" s="126">
        <f t="shared" si="164"/>
        <v>241</v>
      </c>
      <c r="M581" s="126">
        <f t="shared" si="165"/>
        <v>66</v>
      </c>
      <c r="N581" s="171">
        <f t="shared" si="166"/>
        <v>0.27389999999999998</v>
      </c>
      <c r="O581" s="132">
        <f t="shared" si="167"/>
        <v>0</v>
      </c>
      <c r="P581" s="177">
        <f t="shared" si="168"/>
        <v>0</v>
      </c>
      <c r="Q581" s="177">
        <f t="shared" si="169"/>
        <v>0</v>
      </c>
      <c r="S581" s="233" t="b">
        <f t="shared" ref="S581:S644" si="171">COUNTIF(C:C,C581)&gt;1</f>
        <v>0</v>
      </c>
    </row>
    <row r="582" spans="1:19">
      <c r="A582" s="126" t="s">
        <v>3816</v>
      </c>
      <c r="B582" s="126" t="str">
        <f t="shared" si="170"/>
        <v>D0439</v>
      </c>
      <c r="C582" s="126">
        <v>6574</v>
      </c>
      <c r="D582" s="126" t="s">
        <v>2715</v>
      </c>
      <c r="E582" s="126">
        <v>217</v>
      </c>
      <c r="F582" s="126">
        <v>0</v>
      </c>
      <c r="G582" s="126">
        <v>45</v>
      </c>
      <c r="H582" s="126">
        <v>0</v>
      </c>
      <c r="I582" s="126">
        <v>20.74</v>
      </c>
      <c r="J582" s="126">
        <v>0</v>
      </c>
      <c r="K582" s="126">
        <v>0</v>
      </c>
      <c r="L582" s="126">
        <f t="shared" si="164"/>
        <v>217</v>
      </c>
      <c r="M582" s="126">
        <f t="shared" si="165"/>
        <v>45</v>
      </c>
      <c r="N582" s="171">
        <f t="shared" si="166"/>
        <v>0.2074</v>
      </c>
      <c r="O582" s="132">
        <f t="shared" si="167"/>
        <v>0</v>
      </c>
      <c r="P582" s="177">
        <f t="shared" si="168"/>
        <v>0</v>
      </c>
      <c r="Q582" s="177">
        <f t="shared" si="169"/>
        <v>0</v>
      </c>
      <c r="S582" s="233" t="b">
        <f t="shared" si="171"/>
        <v>0</v>
      </c>
    </row>
    <row r="583" spans="1:19">
      <c r="A583" s="126" t="s">
        <v>3818</v>
      </c>
      <c r="B583" s="126" t="str">
        <f t="shared" si="170"/>
        <v>D0484</v>
      </c>
      <c r="C583" s="126">
        <v>7821</v>
      </c>
      <c r="D583" s="126" t="s">
        <v>3428</v>
      </c>
      <c r="E583" s="126">
        <v>67</v>
      </c>
      <c r="F583" s="126">
        <v>0</v>
      </c>
      <c r="G583" s="126">
        <v>27</v>
      </c>
      <c r="H583" s="126">
        <v>0</v>
      </c>
      <c r="I583" s="126">
        <v>40.299999999999997</v>
      </c>
      <c r="J583" s="126">
        <v>0</v>
      </c>
      <c r="K583" s="126">
        <v>1</v>
      </c>
      <c r="L583" s="126">
        <f t="shared" si="164"/>
        <v>67</v>
      </c>
      <c r="M583" s="126">
        <f t="shared" si="165"/>
        <v>27</v>
      </c>
      <c r="N583" s="171">
        <f t="shared" si="166"/>
        <v>0.40300000000000002</v>
      </c>
      <c r="O583" s="132">
        <f t="shared" si="167"/>
        <v>1</v>
      </c>
      <c r="P583" s="177">
        <f t="shared" si="168"/>
        <v>0</v>
      </c>
      <c r="Q583" s="177">
        <f t="shared" si="169"/>
        <v>1</v>
      </c>
      <c r="S583" s="233" t="b">
        <f t="shared" si="171"/>
        <v>0</v>
      </c>
    </row>
    <row r="584" spans="1:19">
      <c r="A584" s="126" t="s">
        <v>3818</v>
      </c>
      <c r="B584" s="126" t="str">
        <f t="shared" si="170"/>
        <v>D0484</v>
      </c>
      <c r="C584" s="126">
        <v>7832</v>
      </c>
      <c r="D584" s="126" t="s">
        <v>2659</v>
      </c>
      <c r="E584" s="126">
        <v>320</v>
      </c>
      <c r="F584" s="126">
        <v>0</v>
      </c>
      <c r="G584" s="126">
        <v>175</v>
      </c>
      <c r="H584" s="126">
        <v>0</v>
      </c>
      <c r="I584" s="126">
        <v>54.69</v>
      </c>
      <c r="J584" s="126">
        <v>18.399999999999999</v>
      </c>
      <c r="K584" s="126">
        <v>0</v>
      </c>
      <c r="L584" s="126">
        <f t="shared" si="164"/>
        <v>320</v>
      </c>
      <c r="M584" s="126">
        <f t="shared" si="165"/>
        <v>175</v>
      </c>
      <c r="N584" s="171">
        <f t="shared" si="166"/>
        <v>0.54690000000000005</v>
      </c>
      <c r="O584" s="132">
        <f t="shared" si="167"/>
        <v>0</v>
      </c>
      <c r="P584" s="177">
        <f t="shared" si="168"/>
        <v>18.399999999999999</v>
      </c>
      <c r="Q584" s="177">
        <f t="shared" si="169"/>
        <v>18.399999999999999</v>
      </c>
      <c r="S584" s="233" t="b">
        <f t="shared" si="171"/>
        <v>0</v>
      </c>
    </row>
    <row r="585" spans="1:19">
      <c r="A585" s="126" t="s">
        <v>3818</v>
      </c>
      <c r="B585" s="126" t="str">
        <f t="shared" si="170"/>
        <v>D0484</v>
      </c>
      <c r="C585" s="126">
        <v>7838</v>
      </c>
      <c r="D585" s="126" t="s">
        <v>3431</v>
      </c>
      <c r="E585" s="126">
        <v>325</v>
      </c>
      <c r="F585" s="126">
        <v>0</v>
      </c>
      <c r="G585" s="126">
        <v>106</v>
      </c>
      <c r="H585" s="126">
        <v>0</v>
      </c>
      <c r="I585" s="126">
        <v>32.619999999999997</v>
      </c>
      <c r="J585" s="126">
        <v>0</v>
      </c>
      <c r="K585" s="126">
        <v>0</v>
      </c>
      <c r="L585" s="126">
        <f t="shared" si="164"/>
        <v>325</v>
      </c>
      <c r="M585" s="126">
        <f t="shared" si="165"/>
        <v>106</v>
      </c>
      <c r="N585" s="171">
        <f t="shared" si="166"/>
        <v>0.32619999999999999</v>
      </c>
      <c r="O585" s="132">
        <f t="shared" si="167"/>
        <v>0</v>
      </c>
      <c r="P585" s="177">
        <f t="shared" si="168"/>
        <v>0</v>
      </c>
      <c r="Q585" s="177">
        <f t="shared" si="169"/>
        <v>0</v>
      </c>
      <c r="S585" s="233" t="b">
        <f t="shared" si="171"/>
        <v>0</v>
      </c>
    </row>
    <row r="586" spans="1:19">
      <c r="A586" s="126" t="s">
        <v>3819</v>
      </c>
      <c r="B586" s="126" t="str">
        <f t="shared" si="170"/>
        <v>D0105</v>
      </c>
      <c r="C586" s="126">
        <v>3348</v>
      </c>
      <c r="D586" s="126" t="s">
        <v>909</v>
      </c>
      <c r="E586" s="126">
        <v>208</v>
      </c>
      <c r="F586" s="126">
        <v>0</v>
      </c>
      <c r="G586" s="126">
        <v>88</v>
      </c>
      <c r="H586" s="126">
        <v>0</v>
      </c>
      <c r="I586" s="126">
        <v>42.31</v>
      </c>
      <c r="J586" s="126">
        <v>0</v>
      </c>
      <c r="K586" s="126">
        <v>4.5</v>
      </c>
      <c r="L586" s="126">
        <f t="shared" ref="L586:L621" si="172">SUM(E586:F586)</f>
        <v>208</v>
      </c>
      <c r="M586" s="126">
        <f t="shared" ref="M586:M621" si="173">SUM(G586:H586)</f>
        <v>88</v>
      </c>
      <c r="N586" s="171">
        <f t="shared" ref="N586:N621" si="174">IF(ISERROR(M586/L586),0,M586/L586)</f>
        <v>0.42309999999999998</v>
      </c>
      <c r="O586" s="132">
        <f t="shared" ref="O586:O621" si="175">IF(AND((N586-35%)&gt;0,N586&lt;50%),M586*(N586-35%)*0.7,0)</f>
        <v>4.5</v>
      </c>
      <c r="P586" s="177">
        <f t="shared" ref="P586:P621" si="176">IF(N586&gt;=50%,M586*10.5%,0)</f>
        <v>0</v>
      </c>
      <c r="Q586" s="177">
        <f t="shared" ref="Q586:Q621" si="177">MAX(O586,P586)</f>
        <v>4.5</v>
      </c>
      <c r="S586" s="233" t="b">
        <f t="shared" si="171"/>
        <v>0</v>
      </c>
    </row>
    <row r="587" spans="1:19">
      <c r="A587" s="126" t="s">
        <v>3819</v>
      </c>
      <c r="B587" s="126" t="str">
        <f t="shared" si="170"/>
        <v>D0105</v>
      </c>
      <c r="C587" s="126">
        <v>3350</v>
      </c>
      <c r="D587" s="126" t="s">
        <v>911</v>
      </c>
      <c r="E587" s="126">
        <v>148</v>
      </c>
      <c r="F587" s="126">
        <v>0</v>
      </c>
      <c r="G587" s="126">
        <v>64</v>
      </c>
      <c r="H587" s="126">
        <v>0</v>
      </c>
      <c r="I587" s="126">
        <v>43.24</v>
      </c>
      <c r="J587" s="126">
        <v>0</v>
      </c>
      <c r="K587" s="126">
        <v>3.7</v>
      </c>
      <c r="L587" s="126">
        <f t="shared" si="172"/>
        <v>148</v>
      </c>
      <c r="M587" s="126">
        <f t="shared" si="173"/>
        <v>64</v>
      </c>
      <c r="N587" s="171">
        <f t="shared" si="174"/>
        <v>0.43240000000000001</v>
      </c>
      <c r="O587" s="132">
        <f t="shared" si="175"/>
        <v>3.7</v>
      </c>
      <c r="P587" s="177">
        <f t="shared" si="176"/>
        <v>0</v>
      </c>
      <c r="Q587" s="177">
        <f t="shared" si="177"/>
        <v>3.7</v>
      </c>
      <c r="S587" s="233" t="b">
        <f t="shared" si="171"/>
        <v>0</v>
      </c>
    </row>
    <row r="588" spans="1:19">
      <c r="A588" s="126" t="s">
        <v>3821</v>
      </c>
      <c r="B588" s="126" t="str">
        <f t="shared" si="170"/>
        <v>D0110</v>
      </c>
      <c r="C588" s="126">
        <v>192</v>
      </c>
      <c r="D588" s="126" t="s">
        <v>931</v>
      </c>
      <c r="E588" s="126">
        <v>37</v>
      </c>
      <c r="F588" s="126">
        <v>0</v>
      </c>
      <c r="G588" s="126">
        <v>11</v>
      </c>
      <c r="H588" s="126">
        <v>0</v>
      </c>
      <c r="I588" s="126">
        <v>29.73</v>
      </c>
      <c r="J588" s="126">
        <v>0</v>
      </c>
      <c r="K588" s="126">
        <v>0</v>
      </c>
      <c r="L588" s="126">
        <f t="shared" si="172"/>
        <v>37</v>
      </c>
      <c r="M588" s="126">
        <f t="shared" si="173"/>
        <v>11</v>
      </c>
      <c r="N588" s="171">
        <f t="shared" si="174"/>
        <v>0.29730000000000001</v>
      </c>
      <c r="O588" s="132">
        <f t="shared" si="175"/>
        <v>0</v>
      </c>
      <c r="P588" s="177">
        <f t="shared" si="176"/>
        <v>0</v>
      </c>
      <c r="Q588" s="177">
        <f t="shared" si="177"/>
        <v>0</v>
      </c>
      <c r="S588" s="233" t="b">
        <f t="shared" si="171"/>
        <v>0</v>
      </c>
    </row>
    <row r="589" spans="1:19">
      <c r="A589" s="126" t="s">
        <v>3821</v>
      </c>
      <c r="B589" s="126" t="str">
        <f t="shared" si="170"/>
        <v>D0110</v>
      </c>
      <c r="C589" s="126">
        <v>193</v>
      </c>
      <c r="D589" s="126" t="s">
        <v>933</v>
      </c>
      <c r="E589" s="126">
        <v>78</v>
      </c>
      <c r="F589" s="126">
        <v>0</v>
      </c>
      <c r="G589" s="126">
        <v>29</v>
      </c>
      <c r="H589" s="126">
        <v>0</v>
      </c>
      <c r="I589" s="126">
        <v>37.18</v>
      </c>
      <c r="J589" s="126">
        <v>0</v>
      </c>
      <c r="K589" s="126">
        <v>0.4</v>
      </c>
      <c r="L589" s="126">
        <f t="shared" si="172"/>
        <v>78</v>
      </c>
      <c r="M589" s="126">
        <f t="shared" si="173"/>
        <v>29</v>
      </c>
      <c r="N589" s="171">
        <f t="shared" si="174"/>
        <v>0.37180000000000002</v>
      </c>
      <c r="O589" s="132">
        <f t="shared" si="175"/>
        <v>0.4</v>
      </c>
      <c r="P589" s="177">
        <f t="shared" si="176"/>
        <v>0</v>
      </c>
      <c r="Q589" s="177">
        <f t="shared" si="177"/>
        <v>0.4</v>
      </c>
      <c r="S589" s="233" t="b">
        <f t="shared" si="171"/>
        <v>0</v>
      </c>
    </row>
    <row r="590" spans="1:19">
      <c r="A590" s="126" t="s">
        <v>3821</v>
      </c>
      <c r="B590" s="126" t="str">
        <f t="shared" si="170"/>
        <v>D0110</v>
      </c>
      <c r="C590" s="126">
        <v>194</v>
      </c>
      <c r="D590" s="126" t="s">
        <v>935</v>
      </c>
      <c r="E590" s="126">
        <v>85</v>
      </c>
      <c r="F590" s="126">
        <v>0</v>
      </c>
      <c r="G590" s="126">
        <v>41</v>
      </c>
      <c r="H590" s="126">
        <v>0</v>
      </c>
      <c r="I590" s="126">
        <v>48.24</v>
      </c>
      <c r="J590" s="126">
        <v>0</v>
      </c>
      <c r="K590" s="126">
        <v>3.8</v>
      </c>
      <c r="L590" s="126">
        <f t="shared" si="172"/>
        <v>85</v>
      </c>
      <c r="M590" s="126">
        <f t="shared" si="173"/>
        <v>41</v>
      </c>
      <c r="N590" s="171">
        <f t="shared" si="174"/>
        <v>0.4824</v>
      </c>
      <c r="O590" s="132">
        <f t="shared" si="175"/>
        <v>3.8</v>
      </c>
      <c r="P590" s="177">
        <f t="shared" si="176"/>
        <v>0</v>
      </c>
      <c r="Q590" s="177">
        <f t="shared" si="177"/>
        <v>3.8</v>
      </c>
      <c r="S590" s="233" t="b">
        <f t="shared" si="171"/>
        <v>0</v>
      </c>
    </row>
    <row r="591" spans="1:19">
      <c r="A591" s="126" t="s">
        <v>3822</v>
      </c>
      <c r="B591" s="126" t="str">
        <f t="shared" si="170"/>
        <v>D0111</v>
      </c>
      <c r="C591" s="126">
        <v>200</v>
      </c>
      <c r="D591" s="126" t="s">
        <v>937</v>
      </c>
      <c r="E591" s="126">
        <v>130</v>
      </c>
      <c r="F591" s="126">
        <v>0</v>
      </c>
      <c r="G591" s="126">
        <v>43</v>
      </c>
      <c r="H591" s="126">
        <v>0</v>
      </c>
      <c r="I591" s="126">
        <v>33.08</v>
      </c>
      <c r="J591" s="126">
        <v>0</v>
      </c>
      <c r="K591" s="126">
        <v>0</v>
      </c>
      <c r="L591" s="126">
        <f t="shared" si="172"/>
        <v>130</v>
      </c>
      <c r="M591" s="126">
        <f t="shared" si="173"/>
        <v>43</v>
      </c>
      <c r="N591" s="171">
        <f t="shared" si="174"/>
        <v>0.33079999999999998</v>
      </c>
      <c r="O591" s="132">
        <f t="shared" si="175"/>
        <v>0</v>
      </c>
      <c r="P591" s="177">
        <f t="shared" si="176"/>
        <v>0</v>
      </c>
      <c r="Q591" s="177">
        <f t="shared" si="177"/>
        <v>0</v>
      </c>
      <c r="S591" s="233" t="b">
        <f t="shared" si="171"/>
        <v>0</v>
      </c>
    </row>
    <row r="592" spans="1:19">
      <c r="A592" s="126" t="s">
        <v>3822</v>
      </c>
      <c r="B592" s="126" t="str">
        <f t="shared" si="170"/>
        <v>D0111</v>
      </c>
      <c r="C592" s="126">
        <v>201</v>
      </c>
      <c r="D592" s="126" t="s">
        <v>939</v>
      </c>
      <c r="E592" s="126">
        <v>200</v>
      </c>
      <c r="F592" s="126">
        <v>0</v>
      </c>
      <c r="G592" s="126">
        <v>64</v>
      </c>
      <c r="H592" s="126">
        <v>0</v>
      </c>
      <c r="I592" s="126">
        <v>32</v>
      </c>
      <c r="J592" s="126">
        <v>0</v>
      </c>
      <c r="K592" s="126">
        <v>0</v>
      </c>
      <c r="L592" s="126">
        <f t="shared" si="172"/>
        <v>200</v>
      </c>
      <c r="M592" s="126">
        <f t="shared" si="173"/>
        <v>64</v>
      </c>
      <c r="N592" s="171">
        <f t="shared" si="174"/>
        <v>0.32</v>
      </c>
      <c r="O592" s="132">
        <f t="shared" si="175"/>
        <v>0</v>
      </c>
      <c r="P592" s="177">
        <f t="shared" si="176"/>
        <v>0</v>
      </c>
      <c r="Q592" s="177">
        <f t="shared" si="177"/>
        <v>0</v>
      </c>
      <c r="S592" s="233" t="b">
        <f t="shared" si="171"/>
        <v>0</v>
      </c>
    </row>
    <row r="593" spans="1:19">
      <c r="A593" s="126" t="s">
        <v>3823</v>
      </c>
      <c r="B593" s="126" t="str">
        <f t="shared" si="170"/>
        <v>D0203</v>
      </c>
      <c r="C593" s="126">
        <v>181</v>
      </c>
      <c r="D593" s="126" t="s">
        <v>3598</v>
      </c>
      <c r="E593" s="126">
        <v>683</v>
      </c>
      <c r="F593" s="126">
        <v>0</v>
      </c>
      <c r="G593" s="126">
        <v>90</v>
      </c>
      <c r="H593" s="126">
        <v>0</v>
      </c>
      <c r="I593" s="126">
        <v>13.18</v>
      </c>
      <c r="J593" s="126">
        <v>0</v>
      </c>
      <c r="K593" s="126">
        <v>0</v>
      </c>
      <c r="L593" s="126">
        <f t="shared" si="172"/>
        <v>683</v>
      </c>
      <c r="M593" s="126">
        <f t="shared" si="173"/>
        <v>90</v>
      </c>
      <c r="N593" s="171">
        <f t="shared" si="174"/>
        <v>0.1318</v>
      </c>
      <c r="O593" s="132">
        <f t="shared" si="175"/>
        <v>0</v>
      </c>
      <c r="P593" s="177">
        <f t="shared" si="176"/>
        <v>0</v>
      </c>
      <c r="Q593" s="177">
        <f t="shared" si="177"/>
        <v>0</v>
      </c>
      <c r="S593" s="233" t="b">
        <f t="shared" si="171"/>
        <v>0</v>
      </c>
    </row>
    <row r="594" spans="1:19">
      <c r="A594" s="126" t="s">
        <v>3823</v>
      </c>
      <c r="B594" s="126" t="str">
        <f t="shared" si="170"/>
        <v>D0203</v>
      </c>
      <c r="C594" s="126">
        <v>187</v>
      </c>
      <c r="D594" s="126" t="s">
        <v>998</v>
      </c>
      <c r="E594" s="126">
        <v>490</v>
      </c>
      <c r="F594" s="126">
        <v>0</v>
      </c>
      <c r="G594" s="126">
        <v>64</v>
      </c>
      <c r="H594" s="126">
        <v>0</v>
      </c>
      <c r="I594" s="126">
        <v>13.06</v>
      </c>
      <c r="J594" s="126">
        <v>0</v>
      </c>
      <c r="K594" s="126">
        <v>0</v>
      </c>
      <c r="L594" s="126">
        <f t="shared" si="172"/>
        <v>490</v>
      </c>
      <c r="M594" s="126">
        <f t="shared" si="173"/>
        <v>64</v>
      </c>
      <c r="N594" s="171">
        <f t="shared" si="174"/>
        <v>0.13059999999999999</v>
      </c>
      <c r="O594" s="132">
        <f t="shared" si="175"/>
        <v>0</v>
      </c>
      <c r="P594" s="177">
        <f t="shared" si="176"/>
        <v>0</v>
      </c>
      <c r="Q594" s="177">
        <f t="shared" si="177"/>
        <v>0</v>
      </c>
      <c r="S594" s="233" t="b">
        <f t="shared" si="171"/>
        <v>0</v>
      </c>
    </row>
    <row r="595" spans="1:19">
      <c r="A595" s="126" t="s">
        <v>3823</v>
      </c>
      <c r="B595" s="126" t="str">
        <f t="shared" si="170"/>
        <v>D0203</v>
      </c>
      <c r="C595" s="126">
        <v>189</v>
      </c>
      <c r="D595" s="126" t="s">
        <v>1000</v>
      </c>
      <c r="E595" s="126">
        <v>566</v>
      </c>
      <c r="F595" s="126">
        <v>0</v>
      </c>
      <c r="G595" s="126">
        <v>93</v>
      </c>
      <c r="H595" s="126">
        <v>0</v>
      </c>
      <c r="I595" s="126">
        <v>16.43</v>
      </c>
      <c r="J595" s="126">
        <v>0</v>
      </c>
      <c r="K595" s="126">
        <v>0</v>
      </c>
      <c r="L595" s="126">
        <f t="shared" si="172"/>
        <v>566</v>
      </c>
      <c r="M595" s="126">
        <f t="shared" si="173"/>
        <v>93</v>
      </c>
      <c r="N595" s="171">
        <f t="shared" si="174"/>
        <v>0.1643</v>
      </c>
      <c r="O595" s="132">
        <f t="shared" si="175"/>
        <v>0</v>
      </c>
      <c r="P595" s="177">
        <f t="shared" si="176"/>
        <v>0</v>
      </c>
      <c r="Q595" s="177">
        <f t="shared" si="177"/>
        <v>0</v>
      </c>
      <c r="S595" s="233" t="b">
        <f t="shared" si="171"/>
        <v>0</v>
      </c>
    </row>
    <row r="596" spans="1:19">
      <c r="A596" s="126" t="s">
        <v>3823</v>
      </c>
      <c r="B596" s="126" t="str">
        <f t="shared" si="170"/>
        <v>D0203</v>
      </c>
      <c r="C596" s="126">
        <v>190</v>
      </c>
      <c r="D596" s="126" t="s">
        <v>1002</v>
      </c>
      <c r="E596" s="126">
        <v>594</v>
      </c>
      <c r="F596" s="126">
        <v>0</v>
      </c>
      <c r="G596" s="126">
        <v>62</v>
      </c>
      <c r="H596" s="126">
        <v>0</v>
      </c>
      <c r="I596" s="126">
        <v>10.44</v>
      </c>
      <c r="J596" s="126">
        <v>0</v>
      </c>
      <c r="K596" s="126">
        <v>0</v>
      </c>
      <c r="L596" s="126">
        <f t="shared" si="172"/>
        <v>594</v>
      </c>
      <c r="M596" s="126">
        <f t="shared" si="173"/>
        <v>62</v>
      </c>
      <c r="N596" s="171">
        <f t="shared" si="174"/>
        <v>0.10440000000000001</v>
      </c>
      <c r="O596" s="132">
        <f t="shared" si="175"/>
        <v>0</v>
      </c>
      <c r="P596" s="177">
        <f t="shared" si="176"/>
        <v>0</v>
      </c>
      <c r="Q596" s="177">
        <f t="shared" si="177"/>
        <v>0</v>
      </c>
      <c r="S596" s="233" t="b">
        <f t="shared" si="171"/>
        <v>0</v>
      </c>
    </row>
    <row r="597" spans="1:19">
      <c r="A597" s="126" t="s">
        <v>3824</v>
      </c>
      <c r="B597" s="126" t="str">
        <f t="shared" si="170"/>
        <v>D0210</v>
      </c>
      <c r="C597" s="126">
        <v>356</v>
      </c>
      <c r="D597" s="126" t="s">
        <v>1040</v>
      </c>
      <c r="E597" s="126">
        <v>580</v>
      </c>
      <c r="F597" s="126">
        <v>0</v>
      </c>
      <c r="G597" s="126">
        <v>291</v>
      </c>
      <c r="H597" s="126">
        <v>0</v>
      </c>
      <c r="I597" s="126">
        <v>50.17</v>
      </c>
      <c r="J597" s="126">
        <v>30.6</v>
      </c>
      <c r="K597" s="126">
        <v>0</v>
      </c>
      <c r="L597" s="126">
        <f t="shared" si="172"/>
        <v>580</v>
      </c>
      <c r="M597" s="126">
        <f t="shared" si="173"/>
        <v>291</v>
      </c>
      <c r="N597" s="171">
        <f t="shared" si="174"/>
        <v>0.50170000000000003</v>
      </c>
      <c r="O597" s="132">
        <f t="shared" si="175"/>
        <v>0</v>
      </c>
      <c r="P597" s="177">
        <f t="shared" si="176"/>
        <v>30.6</v>
      </c>
      <c r="Q597" s="177">
        <f t="shared" si="177"/>
        <v>30.6</v>
      </c>
      <c r="S597" s="233" t="b">
        <f t="shared" si="171"/>
        <v>0</v>
      </c>
    </row>
    <row r="598" spans="1:19">
      <c r="A598" s="126" t="s">
        <v>3824</v>
      </c>
      <c r="B598" s="126" t="str">
        <f t="shared" si="170"/>
        <v>D0210</v>
      </c>
      <c r="C598" s="126">
        <v>357</v>
      </c>
      <c r="D598" s="126" t="s">
        <v>1042</v>
      </c>
      <c r="E598" s="126">
        <v>154</v>
      </c>
      <c r="F598" s="126">
        <v>0</v>
      </c>
      <c r="G598" s="126">
        <v>52</v>
      </c>
      <c r="H598" s="126">
        <v>0</v>
      </c>
      <c r="I598" s="126">
        <v>33.770000000000003</v>
      </c>
      <c r="J598" s="126">
        <v>0</v>
      </c>
      <c r="K598" s="126">
        <v>0</v>
      </c>
      <c r="L598" s="126">
        <f t="shared" si="172"/>
        <v>154</v>
      </c>
      <c r="M598" s="126">
        <f t="shared" si="173"/>
        <v>52</v>
      </c>
      <c r="N598" s="171">
        <f t="shared" si="174"/>
        <v>0.3377</v>
      </c>
      <c r="O598" s="132">
        <f t="shared" si="175"/>
        <v>0</v>
      </c>
      <c r="P598" s="177">
        <f t="shared" si="176"/>
        <v>0</v>
      </c>
      <c r="Q598" s="177">
        <f t="shared" si="177"/>
        <v>0</v>
      </c>
      <c r="S598" s="233" t="b">
        <f t="shared" si="171"/>
        <v>0</v>
      </c>
    </row>
    <row r="599" spans="1:19">
      <c r="A599" s="126" t="s">
        <v>3824</v>
      </c>
      <c r="B599" s="126" t="str">
        <f t="shared" si="170"/>
        <v>D0210</v>
      </c>
      <c r="C599" s="126">
        <v>358</v>
      </c>
      <c r="D599" s="126" t="s">
        <v>1044</v>
      </c>
      <c r="E599" s="126">
        <v>288</v>
      </c>
      <c r="F599" s="126">
        <v>0</v>
      </c>
      <c r="G599" s="126">
        <v>113</v>
      </c>
      <c r="H599" s="126">
        <v>0</v>
      </c>
      <c r="I599" s="126">
        <v>39.24</v>
      </c>
      <c r="J599" s="126">
        <v>0</v>
      </c>
      <c r="K599" s="126">
        <v>3.4</v>
      </c>
      <c r="L599" s="126">
        <f t="shared" si="172"/>
        <v>288</v>
      </c>
      <c r="M599" s="126">
        <f t="shared" si="173"/>
        <v>113</v>
      </c>
      <c r="N599" s="171">
        <f t="shared" si="174"/>
        <v>0.39240000000000003</v>
      </c>
      <c r="O599" s="132">
        <f t="shared" si="175"/>
        <v>3.4</v>
      </c>
      <c r="P599" s="177">
        <f t="shared" si="176"/>
        <v>0</v>
      </c>
      <c r="Q599" s="177">
        <f t="shared" si="177"/>
        <v>3.4</v>
      </c>
      <c r="S599" s="233" t="b">
        <f t="shared" si="171"/>
        <v>0</v>
      </c>
    </row>
    <row r="600" spans="1:19">
      <c r="A600" s="126" t="s">
        <v>3824</v>
      </c>
      <c r="B600" s="126" t="str">
        <f t="shared" si="170"/>
        <v>D0210</v>
      </c>
      <c r="C600" s="126">
        <v>367</v>
      </c>
      <c r="D600" s="126" t="s">
        <v>1046</v>
      </c>
      <c r="E600" s="126">
        <v>14</v>
      </c>
      <c r="F600" s="126">
        <v>0</v>
      </c>
      <c r="G600" s="126">
        <v>5</v>
      </c>
      <c r="H600" s="126">
        <v>0</v>
      </c>
      <c r="I600" s="126">
        <v>35.71</v>
      </c>
      <c r="J600" s="126">
        <v>0</v>
      </c>
      <c r="K600" s="126">
        <v>0</v>
      </c>
      <c r="L600" s="126">
        <f t="shared" si="172"/>
        <v>14</v>
      </c>
      <c r="M600" s="126">
        <f t="shared" si="173"/>
        <v>5</v>
      </c>
      <c r="N600" s="171">
        <f t="shared" si="174"/>
        <v>0.35709999999999997</v>
      </c>
      <c r="O600" s="132">
        <f t="shared" si="175"/>
        <v>0</v>
      </c>
      <c r="P600" s="177">
        <f t="shared" si="176"/>
        <v>0</v>
      </c>
      <c r="Q600" s="177">
        <f t="shared" si="177"/>
        <v>0</v>
      </c>
      <c r="S600" s="233" t="b">
        <f t="shared" si="171"/>
        <v>0</v>
      </c>
    </row>
    <row r="601" spans="1:19">
      <c r="A601" s="126" t="s">
        <v>3826</v>
      </c>
      <c r="B601" s="126" t="str">
        <f t="shared" si="170"/>
        <v>D0212</v>
      </c>
      <c r="C601" s="126">
        <v>404</v>
      </c>
      <c r="D601" s="126" t="s">
        <v>1053</v>
      </c>
      <c r="E601" s="126">
        <v>50</v>
      </c>
      <c r="F601" s="126">
        <v>0</v>
      </c>
      <c r="G601" s="126">
        <v>24</v>
      </c>
      <c r="H601" s="126">
        <v>0</v>
      </c>
      <c r="I601" s="126">
        <v>48</v>
      </c>
      <c r="J601" s="126">
        <v>0</v>
      </c>
      <c r="K601" s="126">
        <v>2.2000000000000002</v>
      </c>
      <c r="L601" s="126">
        <f t="shared" si="172"/>
        <v>50</v>
      </c>
      <c r="M601" s="126">
        <f t="shared" si="173"/>
        <v>24</v>
      </c>
      <c r="N601" s="171">
        <f t="shared" si="174"/>
        <v>0.48</v>
      </c>
      <c r="O601" s="132">
        <f t="shared" si="175"/>
        <v>2.2000000000000002</v>
      </c>
      <c r="P601" s="177">
        <f t="shared" si="176"/>
        <v>0</v>
      </c>
      <c r="Q601" s="177">
        <f t="shared" si="177"/>
        <v>2.2000000000000002</v>
      </c>
      <c r="S601" s="233" t="b">
        <f t="shared" si="171"/>
        <v>0</v>
      </c>
    </row>
    <row r="602" spans="1:19">
      <c r="A602" s="126" t="s">
        <v>3826</v>
      </c>
      <c r="B602" s="126" t="str">
        <f t="shared" si="170"/>
        <v>D0212</v>
      </c>
      <c r="C602" s="126">
        <v>406</v>
      </c>
      <c r="D602" s="126" t="s">
        <v>1055</v>
      </c>
      <c r="E602" s="126">
        <v>54</v>
      </c>
      <c r="F602" s="126">
        <v>0</v>
      </c>
      <c r="G602" s="126">
        <v>25</v>
      </c>
      <c r="H602" s="126">
        <v>0</v>
      </c>
      <c r="I602" s="126">
        <v>46.3</v>
      </c>
      <c r="J602" s="126">
        <v>0</v>
      </c>
      <c r="K602" s="126">
        <v>2</v>
      </c>
      <c r="L602" s="126">
        <f t="shared" si="172"/>
        <v>54</v>
      </c>
      <c r="M602" s="126">
        <f t="shared" si="173"/>
        <v>25</v>
      </c>
      <c r="N602" s="171">
        <f t="shared" si="174"/>
        <v>0.46300000000000002</v>
      </c>
      <c r="O602" s="132">
        <f t="shared" si="175"/>
        <v>2</v>
      </c>
      <c r="P602" s="177">
        <f t="shared" si="176"/>
        <v>0</v>
      </c>
      <c r="Q602" s="177">
        <f t="shared" si="177"/>
        <v>2</v>
      </c>
      <c r="S602" s="233" t="b">
        <f t="shared" si="171"/>
        <v>0</v>
      </c>
    </row>
    <row r="603" spans="1:19">
      <c r="A603" s="126" t="s">
        <v>3826</v>
      </c>
      <c r="B603" s="126" t="str">
        <f t="shared" si="170"/>
        <v>D0212</v>
      </c>
      <c r="C603" s="126">
        <v>408</v>
      </c>
      <c r="D603" s="126" t="s">
        <v>1057</v>
      </c>
      <c r="E603" s="126">
        <v>45</v>
      </c>
      <c r="F603" s="126">
        <v>0</v>
      </c>
      <c r="G603" s="126">
        <v>16</v>
      </c>
      <c r="H603" s="126">
        <v>0</v>
      </c>
      <c r="I603" s="126">
        <v>35.56</v>
      </c>
      <c r="J603" s="126">
        <v>0</v>
      </c>
      <c r="K603" s="126">
        <v>0.1</v>
      </c>
      <c r="L603" s="126">
        <f t="shared" si="172"/>
        <v>45</v>
      </c>
      <c r="M603" s="126">
        <f t="shared" si="173"/>
        <v>16</v>
      </c>
      <c r="N603" s="171">
        <f t="shared" si="174"/>
        <v>0.35560000000000003</v>
      </c>
      <c r="O603" s="132">
        <f t="shared" si="175"/>
        <v>0.1</v>
      </c>
      <c r="P603" s="177">
        <f t="shared" si="176"/>
        <v>0</v>
      </c>
      <c r="Q603" s="177">
        <f t="shared" si="177"/>
        <v>0.1</v>
      </c>
      <c r="S603" s="233" t="b">
        <f t="shared" si="171"/>
        <v>0</v>
      </c>
    </row>
    <row r="604" spans="1:19">
      <c r="A604" s="126" t="s">
        <v>3827</v>
      </c>
      <c r="B604" s="126" t="str">
        <f t="shared" si="170"/>
        <v>D0220</v>
      </c>
      <c r="C604" s="126">
        <v>552</v>
      </c>
      <c r="D604" s="126" t="s">
        <v>1097</v>
      </c>
      <c r="E604" s="126">
        <v>120</v>
      </c>
      <c r="F604" s="126">
        <v>0</v>
      </c>
      <c r="G604" s="126">
        <v>58</v>
      </c>
      <c r="H604" s="126">
        <v>0</v>
      </c>
      <c r="I604" s="126">
        <v>48.33</v>
      </c>
      <c r="J604" s="126">
        <v>0</v>
      </c>
      <c r="K604" s="126">
        <v>5.4</v>
      </c>
      <c r="L604" s="126">
        <f t="shared" si="172"/>
        <v>120</v>
      </c>
      <c r="M604" s="126">
        <f t="shared" si="173"/>
        <v>58</v>
      </c>
      <c r="N604" s="171">
        <f t="shared" si="174"/>
        <v>0.48330000000000001</v>
      </c>
      <c r="O604" s="132">
        <f t="shared" si="175"/>
        <v>5.4</v>
      </c>
      <c r="P604" s="177">
        <f t="shared" si="176"/>
        <v>0</v>
      </c>
      <c r="Q604" s="177">
        <f t="shared" si="177"/>
        <v>5.4</v>
      </c>
      <c r="S604" s="233" t="b">
        <f t="shared" si="171"/>
        <v>0</v>
      </c>
    </row>
    <row r="605" spans="1:19">
      <c r="A605" s="126" t="s">
        <v>3827</v>
      </c>
      <c r="B605" s="126" t="str">
        <f t="shared" si="170"/>
        <v>D0220</v>
      </c>
      <c r="C605" s="126">
        <v>553</v>
      </c>
      <c r="D605" s="126" t="s">
        <v>1099</v>
      </c>
      <c r="E605" s="126">
        <v>31</v>
      </c>
      <c r="F605" s="126">
        <v>0</v>
      </c>
      <c r="G605" s="126">
        <v>8</v>
      </c>
      <c r="H605" s="126">
        <v>0</v>
      </c>
      <c r="I605" s="126">
        <v>25.81</v>
      </c>
      <c r="J605" s="126">
        <v>0</v>
      </c>
      <c r="K605" s="126">
        <v>0</v>
      </c>
      <c r="L605" s="126">
        <f t="shared" si="172"/>
        <v>31</v>
      </c>
      <c r="M605" s="126">
        <f t="shared" si="173"/>
        <v>8</v>
      </c>
      <c r="N605" s="171">
        <f t="shared" si="174"/>
        <v>0.2581</v>
      </c>
      <c r="O605" s="132">
        <f t="shared" si="175"/>
        <v>0</v>
      </c>
      <c r="P605" s="177">
        <f t="shared" si="176"/>
        <v>0</v>
      </c>
      <c r="Q605" s="177">
        <f t="shared" si="177"/>
        <v>0</v>
      </c>
      <c r="S605" s="233" t="b">
        <f t="shared" si="171"/>
        <v>0</v>
      </c>
    </row>
    <row r="606" spans="1:19">
      <c r="A606" s="126" t="s">
        <v>3827</v>
      </c>
      <c r="B606" s="126" t="str">
        <f t="shared" si="170"/>
        <v>D0220</v>
      </c>
      <c r="C606" s="126">
        <v>554</v>
      </c>
      <c r="D606" s="126" t="s">
        <v>1101</v>
      </c>
      <c r="E606" s="126">
        <v>60</v>
      </c>
      <c r="F606" s="126">
        <v>0</v>
      </c>
      <c r="G606" s="126">
        <v>16</v>
      </c>
      <c r="H606" s="126">
        <v>0</v>
      </c>
      <c r="I606" s="126">
        <v>26.67</v>
      </c>
      <c r="J606" s="126">
        <v>0</v>
      </c>
      <c r="K606" s="126">
        <v>0</v>
      </c>
      <c r="L606" s="126">
        <f t="shared" si="172"/>
        <v>60</v>
      </c>
      <c r="M606" s="126">
        <f t="shared" si="173"/>
        <v>16</v>
      </c>
      <c r="N606" s="171">
        <f t="shared" si="174"/>
        <v>0.26669999999999999</v>
      </c>
      <c r="O606" s="132">
        <f t="shared" si="175"/>
        <v>0</v>
      </c>
      <c r="P606" s="177">
        <f t="shared" si="176"/>
        <v>0</v>
      </c>
      <c r="Q606" s="177">
        <f t="shared" si="177"/>
        <v>0</v>
      </c>
      <c r="S606" s="233" t="b">
        <f t="shared" si="171"/>
        <v>0</v>
      </c>
    </row>
    <row r="607" spans="1:19">
      <c r="A607" s="126" t="s">
        <v>3828</v>
      </c>
      <c r="B607" s="126" t="str">
        <f t="shared" ref="B607:B644" si="178">LEFT(A607,5)</f>
        <v>D0223</v>
      </c>
      <c r="C607" s="126">
        <v>620</v>
      </c>
      <c r="D607" s="126" t="s">
        <v>1103</v>
      </c>
      <c r="E607" s="126">
        <v>168</v>
      </c>
      <c r="F607" s="126">
        <v>0</v>
      </c>
      <c r="G607" s="126">
        <v>10</v>
      </c>
      <c r="H607" s="126">
        <v>0</v>
      </c>
      <c r="I607" s="126">
        <v>5.95</v>
      </c>
      <c r="J607" s="126">
        <v>0</v>
      </c>
      <c r="K607" s="126">
        <v>0</v>
      </c>
      <c r="L607" s="126">
        <f t="shared" si="172"/>
        <v>168</v>
      </c>
      <c r="M607" s="126">
        <f t="shared" si="173"/>
        <v>10</v>
      </c>
      <c r="N607" s="171">
        <f t="shared" si="174"/>
        <v>5.9499999999999997E-2</v>
      </c>
      <c r="O607" s="132">
        <f t="shared" si="175"/>
        <v>0</v>
      </c>
      <c r="P607" s="177">
        <f t="shared" si="176"/>
        <v>0</v>
      </c>
      <c r="Q607" s="177">
        <f t="shared" si="177"/>
        <v>0</v>
      </c>
      <c r="S607" s="233" t="b">
        <f t="shared" si="171"/>
        <v>0</v>
      </c>
    </row>
    <row r="608" spans="1:19">
      <c r="A608" s="126" t="s">
        <v>3828</v>
      </c>
      <c r="B608" s="126" t="str">
        <f t="shared" si="178"/>
        <v>D0223</v>
      </c>
      <c r="C608" s="126">
        <v>622</v>
      </c>
      <c r="D608" s="126" t="s">
        <v>1105</v>
      </c>
      <c r="E608" s="126">
        <v>72</v>
      </c>
      <c r="F608" s="126">
        <v>0</v>
      </c>
      <c r="G608" s="126">
        <v>16</v>
      </c>
      <c r="H608" s="126">
        <v>0</v>
      </c>
      <c r="I608" s="126">
        <v>22.22</v>
      </c>
      <c r="J608" s="126">
        <v>0</v>
      </c>
      <c r="K608" s="126">
        <v>0</v>
      </c>
      <c r="L608" s="126">
        <f t="shared" si="172"/>
        <v>72</v>
      </c>
      <c r="M608" s="126">
        <f t="shared" si="173"/>
        <v>16</v>
      </c>
      <c r="N608" s="171">
        <f t="shared" si="174"/>
        <v>0.22220000000000001</v>
      </c>
      <c r="O608" s="132">
        <f t="shared" si="175"/>
        <v>0</v>
      </c>
      <c r="P608" s="177">
        <f t="shared" si="176"/>
        <v>0</v>
      </c>
      <c r="Q608" s="177">
        <f t="shared" si="177"/>
        <v>0</v>
      </c>
      <c r="S608" s="233" t="b">
        <f t="shared" si="171"/>
        <v>0</v>
      </c>
    </row>
    <row r="609" spans="1:19">
      <c r="A609" s="126" t="s">
        <v>3828</v>
      </c>
      <c r="B609" s="126" t="str">
        <f t="shared" si="178"/>
        <v>D0223</v>
      </c>
      <c r="C609" s="126">
        <v>628</v>
      </c>
      <c r="D609" s="126" t="s">
        <v>1107</v>
      </c>
      <c r="E609" s="126">
        <v>151</v>
      </c>
      <c r="F609" s="126">
        <v>0</v>
      </c>
      <c r="G609" s="126">
        <v>46</v>
      </c>
      <c r="H609" s="126">
        <v>0</v>
      </c>
      <c r="I609" s="126">
        <v>30.46</v>
      </c>
      <c r="J609" s="126">
        <v>0</v>
      </c>
      <c r="K609" s="126">
        <v>0</v>
      </c>
      <c r="L609" s="126">
        <f t="shared" si="172"/>
        <v>151</v>
      </c>
      <c r="M609" s="126">
        <f t="shared" si="173"/>
        <v>46</v>
      </c>
      <c r="N609" s="171">
        <f t="shared" si="174"/>
        <v>0.30459999999999998</v>
      </c>
      <c r="O609" s="132">
        <f t="shared" si="175"/>
        <v>0</v>
      </c>
      <c r="P609" s="177">
        <f t="shared" si="176"/>
        <v>0</v>
      </c>
      <c r="Q609" s="177">
        <f t="shared" si="177"/>
        <v>0</v>
      </c>
      <c r="S609" s="233" t="b">
        <f t="shared" si="171"/>
        <v>0</v>
      </c>
    </row>
    <row r="610" spans="1:19">
      <c r="A610" s="126" t="s">
        <v>3828</v>
      </c>
      <c r="B610" s="126" t="str">
        <f t="shared" si="178"/>
        <v>D0223</v>
      </c>
      <c r="C610" s="126">
        <v>630</v>
      </c>
      <c r="D610" s="126" t="s">
        <v>1109</v>
      </c>
      <c r="E610" s="126">
        <v>54</v>
      </c>
      <c r="F610" s="126">
        <v>0</v>
      </c>
      <c r="G610" s="126">
        <v>13</v>
      </c>
      <c r="H610" s="126">
        <v>0</v>
      </c>
      <c r="I610" s="126">
        <v>24.07</v>
      </c>
      <c r="J610" s="126">
        <v>0</v>
      </c>
      <c r="K610" s="126">
        <v>0</v>
      </c>
      <c r="L610" s="126">
        <f t="shared" si="172"/>
        <v>54</v>
      </c>
      <c r="M610" s="126">
        <f t="shared" si="173"/>
        <v>13</v>
      </c>
      <c r="N610" s="171">
        <f t="shared" si="174"/>
        <v>0.2407</v>
      </c>
      <c r="O610" s="132">
        <f t="shared" si="175"/>
        <v>0</v>
      </c>
      <c r="P610" s="177">
        <f t="shared" si="176"/>
        <v>0</v>
      </c>
      <c r="Q610" s="177">
        <f t="shared" si="177"/>
        <v>0</v>
      </c>
      <c r="S610" s="233" t="b">
        <f t="shared" si="171"/>
        <v>0</v>
      </c>
    </row>
    <row r="611" spans="1:19">
      <c r="A611" s="126" t="s">
        <v>3829</v>
      </c>
      <c r="B611" s="126" t="str">
        <f t="shared" si="178"/>
        <v>D0237</v>
      </c>
      <c r="C611" s="126">
        <v>1010</v>
      </c>
      <c r="D611" s="126" t="s">
        <v>1369</v>
      </c>
      <c r="E611" s="126">
        <v>236</v>
      </c>
      <c r="F611" s="126">
        <v>0</v>
      </c>
      <c r="G611" s="126">
        <v>92</v>
      </c>
      <c r="H611" s="126">
        <v>0</v>
      </c>
      <c r="I611" s="126">
        <v>38.979999999999997</v>
      </c>
      <c r="J611" s="126">
        <v>0</v>
      </c>
      <c r="K611" s="126">
        <v>2.6</v>
      </c>
      <c r="L611" s="126">
        <f t="shared" si="172"/>
        <v>236</v>
      </c>
      <c r="M611" s="126">
        <f t="shared" si="173"/>
        <v>92</v>
      </c>
      <c r="N611" s="171">
        <f t="shared" si="174"/>
        <v>0.38979999999999998</v>
      </c>
      <c r="O611" s="132">
        <f t="shared" si="175"/>
        <v>2.6</v>
      </c>
      <c r="P611" s="177">
        <f t="shared" si="176"/>
        <v>0</v>
      </c>
      <c r="Q611" s="177">
        <f t="shared" si="177"/>
        <v>2.6</v>
      </c>
      <c r="S611" s="233" t="b">
        <f t="shared" si="171"/>
        <v>0</v>
      </c>
    </row>
    <row r="612" spans="1:19">
      <c r="A612" s="126" t="s">
        <v>3829</v>
      </c>
      <c r="B612" s="126" t="str">
        <f t="shared" si="178"/>
        <v>D0237</v>
      </c>
      <c r="C612" s="126">
        <v>1012</v>
      </c>
      <c r="D612" s="126" t="s">
        <v>1371</v>
      </c>
      <c r="E612" s="126">
        <v>198</v>
      </c>
      <c r="F612" s="126">
        <v>0</v>
      </c>
      <c r="G612" s="126">
        <v>62</v>
      </c>
      <c r="H612" s="126">
        <v>0</v>
      </c>
      <c r="I612" s="126">
        <v>31.31</v>
      </c>
      <c r="J612" s="126">
        <v>0</v>
      </c>
      <c r="K612" s="126">
        <v>0</v>
      </c>
      <c r="L612" s="126">
        <f t="shared" si="172"/>
        <v>198</v>
      </c>
      <c r="M612" s="126">
        <f t="shared" si="173"/>
        <v>62</v>
      </c>
      <c r="N612" s="171">
        <f t="shared" si="174"/>
        <v>0.31309999999999999</v>
      </c>
      <c r="O612" s="132">
        <f t="shared" si="175"/>
        <v>0</v>
      </c>
      <c r="P612" s="177">
        <f t="shared" si="176"/>
        <v>0</v>
      </c>
      <c r="Q612" s="177">
        <f t="shared" si="177"/>
        <v>0</v>
      </c>
      <c r="S612" s="233" t="b">
        <f t="shared" si="171"/>
        <v>0</v>
      </c>
    </row>
    <row r="613" spans="1:19">
      <c r="A613" s="126" t="s">
        <v>3830</v>
      </c>
      <c r="B613" s="126" t="str">
        <f t="shared" si="178"/>
        <v>D0239</v>
      </c>
      <c r="C613" s="126">
        <v>1060</v>
      </c>
      <c r="D613" s="126" t="s">
        <v>1373</v>
      </c>
      <c r="E613" s="126">
        <v>332</v>
      </c>
      <c r="F613" s="126">
        <v>0</v>
      </c>
      <c r="G613" s="126">
        <v>99</v>
      </c>
      <c r="H613" s="126">
        <v>0</v>
      </c>
      <c r="I613" s="126">
        <v>29.82</v>
      </c>
      <c r="J613" s="126">
        <v>0</v>
      </c>
      <c r="K613" s="126">
        <v>0</v>
      </c>
      <c r="L613" s="126">
        <f t="shared" si="172"/>
        <v>332</v>
      </c>
      <c r="M613" s="126">
        <f t="shared" si="173"/>
        <v>99</v>
      </c>
      <c r="N613" s="171">
        <f t="shared" si="174"/>
        <v>0.29820000000000002</v>
      </c>
      <c r="O613" s="132">
        <f t="shared" si="175"/>
        <v>0</v>
      </c>
      <c r="P613" s="177">
        <f t="shared" si="176"/>
        <v>0</v>
      </c>
      <c r="Q613" s="177">
        <f t="shared" si="177"/>
        <v>0</v>
      </c>
      <c r="S613" s="233" t="b">
        <f t="shared" si="171"/>
        <v>0</v>
      </c>
    </row>
    <row r="614" spans="1:19">
      <c r="A614" s="126" t="s">
        <v>3830</v>
      </c>
      <c r="B614" s="126" t="str">
        <f t="shared" si="178"/>
        <v>D0239</v>
      </c>
      <c r="C614" s="126">
        <v>1064</v>
      </c>
      <c r="D614" s="126" t="s">
        <v>1375</v>
      </c>
      <c r="E614" s="126">
        <v>267</v>
      </c>
      <c r="F614" s="126">
        <v>0</v>
      </c>
      <c r="G614" s="126">
        <v>74</v>
      </c>
      <c r="H614" s="126">
        <v>0</v>
      </c>
      <c r="I614" s="126">
        <v>27.72</v>
      </c>
      <c r="J614" s="126">
        <v>0</v>
      </c>
      <c r="K614" s="126">
        <v>0</v>
      </c>
      <c r="L614" s="126">
        <f t="shared" si="172"/>
        <v>267</v>
      </c>
      <c r="M614" s="126">
        <f t="shared" si="173"/>
        <v>74</v>
      </c>
      <c r="N614" s="171">
        <f t="shared" si="174"/>
        <v>0.2772</v>
      </c>
      <c r="O614" s="132">
        <f t="shared" si="175"/>
        <v>0</v>
      </c>
      <c r="P614" s="177">
        <f t="shared" si="176"/>
        <v>0</v>
      </c>
      <c r="Q614" s="177">
        <f t="shared" si="177"/>
        <v>0</v>
      </c>
      <c r="S614" s="233" t="b">
        <f t="shared" si="171"/>
        <v>0</v>
      </c>
    </row>
    <row r="615" spans="1:19">
      <c r="A615" s="126" t="s">
        <v>3831</v>
      </c>
      <c r="B615" s="126" t="str">
        <f t="shared" si="178"/>
        <v>D0270</v>
      </c>
      <c r="C615" s="126">
        <v>2136</v>
      </c>
      <c r="D615" s="126" t="s">
        <v>1813</v>
      </c>
      <c r="E615" s="126">
        <v>162</v>
      </c>
      <c r="F615" s="126">
        <v>0</v>
      </c>
      <c r="G615" s="126">
        <v>51</v>
      </c>
      <c r="H615" s="126">
        <v>0</v>
      </c>
      <c r="I615" s="126">
        <v>31.48</v>
      </c>
      <c r="J615" s="126">
        <v>0</v>
      </c>
      <c r="K615" s="126">
        <v>0</v>
      </c>
      <c r="L615" s="126">
        <f t="shared" si="172"/>
        <v>162</v>
      </c>
      <c r="M615" s="126">
        <f t="shared" si="173"/>
        <v>51</v>
      </c>
      <c r="N615" s="171">
        <f t="shared" si="174"/>
        <v>0.31480000000000002</v>
      </c>
      <c r="O615" s="132">
        <f t="shared" si="175"/>
        <v>0</v>
      </c>
      <c r="P615" s="177">
        <f t="shared" si="176"/>
        <v>0</v>
      </c>
      <c r="Q615" s="177">
        <f t="shared" si="177"/>
        <v>0</v>
      </c>
      <c r="S615" s="233" t="b">
        <f t="shared" si="171"/>
        <v>0</v>
      </c>
    </row>
    <row r="616" spans="1:19">
      <c r="A616" s="126" t="s">
        <v>3831</v>
      </c>
      <c r="B616" s="126" t="str">
        <f t="shared" si="178"/>
        <v>D0270</v>
      </c>
      <c r="C616" s="126">
        <v>2138</v>
      </c>
      <c r="D616" s="126" t="s">
        <v>1815</v>
      </c>
      <c r="E616" s="126">
        <v>182</v>
      </c>
      <c r="F616" s="126">
        <v>0</v>
      </c>
      <c r="G616" s="126">
        <v>56</v>
      </c>
      <c r="H616" s="126">
        <v>0</v>
      </c>
      <c r="I616" s="126">
        <v>30.77</v>
      </c>
      <c r="J616" s="126">
        <v>0</v>
      </c>
      <c r="K616" s="126">
        <v>0</v>
      </c>
      <c r="L616" s="126">
        <f t="shared" si="172"/>
        <v>182</v>
      </c>
      <c r="M616" s="126">
        <f t="shared" si="173"/>
        <v>56</v>
      </c>
      <c r="N616" s="171">
        <f t="shared" si="174"/>
        <v>0.30769999999999997</v>
      </c>
      <c r="O616" s="132">
        <f t="shared" si="175"/>
        <v>0</v>
      </c>
      <c r="P616" s="177">
        <f t="shared" si="176"/>
        <v>0</v>
      </c>
      <c r="Q616" s="177">
        <f t="shared" si="177"/>
        <v>0</v>
      </c>
      <c r="S616" s="233" t="b">
        <f t="shared" si="171"/>
        <v>0</v>
      </c>
    </row>
    <row r="617" spans="1:19">
      <c r="A617" s="126" t="s">
        <v>3832</v>
      </c>
      <c r="B617" s="126" t="str">
        <f t="shared" si="178"/>
        <v>D0273</v>
      </c>
      <c r="C617" s="126">
        <v>2214</v>
      </c>
      <c r="D617" s="126" t="s">
        <v>1827</v>
      </c>
      <c r="E617" s="126">
        <v>445</v>
      </c>
      <c r="F617" s="126">
        <v>0</v>
      </c>
      <c r="G617" s="126">
        <v>154</v>
      </c>
      <c r="H617" s="126">
        <v>0</v>
      </c>
      <c r="I617" s="126">
        <v>34.61</v>
      </c>
      <c r="J617" s="126">
        <v>0</v>
      </c>
      <c r="K617" s="126">
        <v>0</v>
      </c>
      <c r="L617" s="126">
        <f t="shared" si="172"/>
        <v>445</v>
      </c>
      <c r="M617" s="126">
        <f t="shared" si="173"/>
        <v>154</v>
      </c>
      <c r="N617" s="171">
        <f t="shared" si="174"/>
        <v>0.34610000000000002</v>
      </c>
      <c r="O617" s="132">
        <f t="shared" si="175"/>
        <v>0</v>
      </c>
      <c r="P617" s="177">
        <f t="shared" si="176"/>
        <v>0</v>
      </c>
      <c r="Q617" s="177">
        <f t="shared" si="177"/>
        <v>0</v>
      </c>
      <c r="S617" s="233" t="b">
        <f t="shared" si="171"/>
        <v>0</v>
      </c>
    </row>
    <row r="618" spans="1:19">
      <c r="A618" s="126" t="s">
        <v>3832</v>
      </c>
      <c r="B618" s="126" t="str">
        <f t="shared" si="178"/>
        <v>D0273</v>
      </c>
      <c r="C618" s="126">
        <v>2218</v>
      </c>
      <c r="D618" s="126" t="s">
        <v>1829</v>
      </c>
      <c r="E618" s="126">
        <v>361</v>
      </c>
      <c r="F618" s="126">
        <v>0</v>
      </c>
      <c r="G618" s="126">
        <v>91</v>
      </c>
      <c r="H618" s="126">
        <v>0</v>
      </c>
      <c r="I618" s="126">
        <v>25.21</v>
      </c>
      <c r="J618" s="126">
        <v>0</v>
      </c>
      <c r="K618" s="126">
        <v>0</v>
      </c>
      <c r="L618" s="126">
        <f t="shared" si="172"/>
        <v>361</v>
      </c>
      <c r="M618" s="126">
        <f t="shared" si="173"/>
        <v>91</v>
      </c>
      <c r="N618" s="171">
        <f t="shared" si="174"/>
        <v>0.25209999999999999</v>
      </c>
      <c r="O618" s="132">
        <f t="shared" si="175"/>
        <v>0</v>
      </c>
      <c r="P618" s="177">
        <f t="shared" si="176"/>
        <v>0</v>
      </c>
      <c r="Q618" s="177">
        <f t="shared" si="177"/>
        <v>0</v>
      </c>
      <c r="S618" s="233" t="b">
        <f t="shared" si="171"/>
        <v>0</v>
      </c>
    </row>
    <row r="619" spans="1:19">
      <c r="A619" s="126" t="s">
        <v>3833</v>
      </c>
      <c r="B619" s="126" t="str">
        <f t="shared" si="178"/>
        <v>D0274</v>
      </c>
      <c r="C619" s="126">
        <v>2262</v>
      </c>
      <c r="D619" s="126" t="s">
        <v>1831</v>
      </c>
      <c r="E619" s="126">
        <v>194</v>
      </c>
      <c r="F619" s="126">
        <v>0</v>
      </c>
      <c r="G619" s="126">
        <v>58</v>
      </c>
      <c r="H619" s="126">
        <v>0</v>
      </c>
      <c r="I619" s="126">
        <v>29.9</v>
      </c>
      <c r="J619" s="126">
        <v>0</v>
      </c>
      <c r="K619" s="126">
        <v>0</v>
      </c>
      <c r="L619" s="126">
        <f t="shared" si="172"/>
        <v>194</v>
      </c>
      <c r="M619" s="126">
        <f t="shared" si="173"/>
        <v>58</v>
      </c>
      <c r="N619" s="171">
        <f t="shared" si="174"/>
        <v>0.29899999999999999</v>
      </c>
      <c r="O619" s="132">
        <f t="shared" si="175"/>
        <v>0</v>
      </c>
      <c r="P619" s="177">
        <f t="shared" si="176"/>
        <v>0</v>
      </c>
      <c r="Q619" s="177">
        <f t="shared" si="177"/>
        <v>0</v>
      </c>
      <c r="S619" s="233" t="b">
        <f t="shared" si="171"/>
        <v>0</v>
      </c>
    </row>
    <row r="620" spans="1:19">
      <c r="A620" s="126" t="s">
        <v>3833</v>
      </c>
      <c r="B620" s="126" t="str">
        <f t="shared" si="178"/>
        <v>D0274</v>
      </c>
      <c r="C620" s="126">
        <v>2266</v>
      </c>
      <c r="D620" s="126" t="s">
        <v>1833</v>
      </c>
      <c r="E620" s="126">
        <v>127</v>
      </c>
      <c r="F620" s="126">
        <v>0</v>
      </c>
      <c r="G620" s="126">
        <v>31</v>
      </c>
      <c r="H620" s="126">
        <v>0</v>
      </c>
      <c r="I620" s="126">
        <v>24.41</v>
      </c>
      <c r="J620" s="126">
        <v>0</v>
      </c>
      <c r="K620" s="126">
        <v>0</v>
      </c>
      <c r="L620" s="126">
        <f t="shared" si="172"/>
        <v>127</v>
      </c>
      <c r="M620" s="126">
        <f t="shared" si="173"/>
        <v>31</v>
      </c>
      <c r="N620" s="171">
        <f t="shared" si="174"/>
        <v>0.24410000000000001</v>
      </c>
      <c r="O620" s="132">
        <f t="shared" si="175"/>
        <v>0</v>
      </c>
      <c r="P620" s="177">
        <f t="shared" si="176"/>
        <v>0</v>
      </c>
      <c r="Q620" s="177">
        <f t="shared" si="177"/>
        <v>0</v>
      </c>
      <c r="S620" s="233" t="b">
        <f t="shared" si="171"/>
        <v>0</v>
      </c>
    </row>
    <row r="621" spans="1:19">
      <c r="A621" s="126" t="s">
        <v>3833</v>
      </c>
      <c r="B621" s="126" t="str">
        <f t="shared" si="178"/>
        <v>D0274</v>
      </c>
      <c r="C621" s="126">
        <v>2268</v>
      </c>
      <c r="D621" s="126" t="s">
        <v>1835</v>
      </c>
      <c r="E621" s="126">
        <v>129</v>
      </c>
      <c r="F621" s="126">
        <v>0</v>
      </c>
      <c r="G621" s="126">
        <v>49</v>
      </c>
      <c r="H621" s="126">
        <v>0</v>
      </c>
      <c r="I621" s="126">
        <v>37.979999999999997</v>
      </c>
      <c r="J621" s="126">
        <v>0</v>
      </c>
      <c r="K621" s="126">
        <v>1</v>
      </c>
      <c r="L621" s="126">
        <f t="shared" si="172"/>
        <v>129</v>
      </c>
      <c r="M621" s="126">
        <f t="shared" si="173"/>
        <v>49</v>
      </c>
      <c r="N621" s="171">
        <f t="shared" si="174"/>
        <v>0.37980000000000003</v>
      </c>
      <c r="O621" s="132">
        <f t="shared" si="175"/>
        <v>1</v>
      </c>
      <c r="P621" s="177">
        <f t="shared" si="176"/>
        <v>0</v>
      </c>
      <c r="Q621" s="177">
        <f t="shared" si="177"/>
        <v>1</v>
      </c>
      <c r="S621" s="233" t="b">
        <f t="shared" si="171"/>
        <v>0</v>
      </c>
    </row>
    <row r="622" spans="1:19">
      <c r="A622" s="126" t="s">
        <v>3834</v>
      </c>
      <c r="B622" s="126" t="str">
        <f t="shared" si="178"/>
        <v>D0289</v>
      </c>
      <c r="C622" s="126">
        <v>2620</v>
      </c>
      <c r="D622" s="126" t="s">
        <v>1875</v>
      </c>
      <c r="E622" s="126">
        <v>382</v>
      </c>
      <c r="F622" s="126">
        <v>0</v>
      </c>
      <c r="G622" s="126">
        <v>89</v>
      </c>
      <c r="H622" s="126">
        <v>0</v>
      </c>
      <c r="I622" s="126">
        <v>23.3</v>
      </c>
      <c r="J622" s="126">
        <v>0</v>
      </c>
      <c r="K622" s="126">
        <v>0</v>
      </c>
      <c r="L622" s="126">
        <f t="shared" ref="L622:L659" si="179">SUM(E622:F622)</f>
        <v>382</v>
      </c>
      <c r="M622" s="126">
        <f t="shared" ref="M622:M659" si="180">SUM(G622:H622)</f>
        <v>89</v>
      </c>
      <c r="N622" s="171">
        <f t="shared" ref="N622:N659" si="181">IF(ISERROR(M622/L622),0,M622/L622)</f>
        <v>0.23300000000000001</v>
      </c>
      <c r="O622" s="132">
        <f t="shared" ref="O622:O659" si="182">IF(AND((N622-35%)&gt;0,N622&lt;50%),M622*(N622-35%)*0.7,0)</f>
        <v>0</v>
      </c>
      <c r="P622" s="177">
        <f t="shared" ref="P622:P659" si="183">IF(N622&gt;=50%,M622*10.5%,0)</f>
        <v>0</v>
      </c>
      <c r="Q622" s="177">
        <f t="shared" ref="Q622:Q659" si="184">MAX(O622,P622)</f>
        <v>0</v>
      </c>
      <c r="S622" s="233" t="b">
        <f t="shared" si="171"/>
        <v>0</v>
      </c>
    </row>
    <row r="623" spans="1:19">
      <c r="A623" s="126" t="s">
        <v>3834</v>
      </c>
      <c r="B623" s="126" t="str">
        <f t="shared" si="178"/>
        <v>D0289</v>
      </c>
      <c r="C623" s="126">
        <v>2621</v>
      </c>
      <c r="D623" s="126" t="s">
        <v>1877</v>
      </c>
      <c r="E623" s="126">
        <v>185</v>
      </c>
      <c r="F623" s="126">
        <v>0</v>
      </c>
      <c r="G623" s="126">
        <v>42</v>
      </c>
      <c r="H623" s="126">
        <v>0</v>
      </c>
      <c r="I623" s="126">
        <v>22.7</v>
      </c>
      <c r="J623" s="126">
        <v>0</v>
      </c>
      <c r="K623" s="126">
        <v>0</v>
      </c>
      <c r="L623" s="126">
        <f t="shared" si="179"/>
        <v>185</v>
      </c>
      <c r="M623" s="126">
        <f t="shared" si="180"/>
        <v>42</v>
      </c>
      <c r="N623" s="171">
        <f t="shared" si="181"/>
        <v>0.22700000000000001</v>
      </c>
      <c r="O623" s="132">
        <f t="shared" si="182"/>
        <v>0</v>
      </c>
      <c r="P623" s="177">
        <f t="shared" si="183"/>
        <v>0</v>
      </c>
      <c r="Q623" s="177">
        <f t="shared" si="184"/>
        <v>0</v>
      </c>
      <c r="S623" s="233" t="b">
        <f t="shared" si="171"/>
        <v>0</v>
      </c>
    </row>
    <row r="624" spans="1:19">
      <c r="A624" s="126" t="s">
        <v>3834</v>
      </c>
      <c r="B624" s="126" t="str">
        <f t="shared" si="178"/>
        <v>D0289</v>
      </c>
      <c r="C624" s="126">
        <v>2622</v>
      </c>
      <c r="D624" s="126" t="s">
        <v>1879</v>
      </c>
      <c r="E624" s="126">
        <v>226</v>
      </c>
      <c r="F624" s="126">
        <v>0</v>
      </c>
      <c r="G624" s="126">
        <v>39</v>
      </c>
      <c r="H624" s="126">
        <v>0</v>
      </c>
      <c r="I624" s="126">
        <v>17.260000000000002</v>
      </c>
      <c r="J624" s="126">
        <v>0</v>
      </c>
      <c r="K624" s="126">
        <v>0</v>
      </c>
      <c r="L624" s="126">
        <f t="shared" si="179"/>
        <v>226</v>
      </c>
      <c r="M624" s="126">
        <f t="shared" si="180"/>
        <v>39</v>
      </c>
      <c r="N624" s="171">
        <f t="shared" si="181"/>
        <v>0.1726</v>
      </c>
      <c r="O624" s="132">
        <f t="shared" si="182"/>
        <v>0</v>
      </c>
      <c r="P624" s="177">
        <f t="shared" si="183"/>
        <v>0</v>
      </c>
      <c r="Q624" s="177">
        <f t="shared" si="184"/>
        <v>0</v>
      </c>
      <c r="S624" s="233" t="b">
        <f t="shared" si="171"/>
        <v>0</v>
      </c>
    </row>
    <row r="625" spans="1:19">
      <c r="A625" s="126" t="s">
        <v>3835</v>
      </c>
      <c r="B625" s="126" t="str">
        <f t="shared" si="178"/>
        <v>D0297</v>
      </c>
      <c r="C625" s="126">
        <v>2812</v>
      </c>
      <c r="D625" s="126" t="s">
        <v>1906</v>
      </c>
      <c r="E625" s="126">
        <v>127</v>
      </c>
      <c r="F625" s="126">
        <v>0</v>
      </c>
      <c r="G625" s="126">
        <v>42</v>
      </c>
      <c r="H625" s="126">
        <v>0</v>
      </c>
      <c r="I625" s="126">
        <v>33.07</v>
      </c>
      <c r="J625" s="126">
        <v>0</v>
      </c>
      <c r="K625" s="126">
        <v>0</v>
      </c>
      <c r="L625" s="126">
        <f t="shared" si="179"/>
        <v>127</v>
      </c>
      <c r="M625" s="126">
        <f t="shared" si="180"/>
        <v>42</v>
      </c>
      <c r="N625" s="171">
        <f t="shared" si="181"/>
        <v>0.33069999999999999</v>
      </c>
      <c r="O625" s="132">
        <f t="shared" si="182"/>
        <v>0</v>
      </c>
      <c r="P625" s="177">
        <f t="shared" si="183"/>
        <v>0</v>
      </c>
      <c r="Q625" s="177">
        <f t="shared" si="184"/>
        <v>0</v>
      </c>
      <c r="S625" s="233" t="b">
        <f t="shared" si="171"/>
        <v>0</v>
      </c>
    </row>
    <row r="626" spans="1:19">
      <c r="A626" s="126" t="s">
        <v>3835</v>
      </c>
      <c r="B626" s="126" t="str">
        <f t="shared" si="178"/>
        <v>D0297</v>
      </c>
      <c r="C626" s="126">
        <v>2816</v>
      </c>
      <c r="D626" s="126" t="s">
        <v>1908</v>
      </c>
      <c r="E626" s="126">
        <v>137</v>
      </c>
      <c r="F626" s="126">
        <v>0</v>
      </c>
      <c r="G626" s="126">
        <v>37</v>
      </c>
      <c r="H626" s="126">
        <v>0</v>
      </c>
      <c r="I626" s="126">
        <v>27.01</v>
      </c>
      <c r="J626" s="126">
        <v>0</v>
      </c>
      <c r="K626" s="126">
        <v>0</v>
      </c>
      <c r="L626" s="126">
        <f t="shared" si="179"/>
        <v>137</v>
      </c>
      <c r="M626" s="126">
        <f t="shared" si="180"/>
        <v>37</v>
      </c>
      <c r="N626" s="171">
        <f t="shared" si="181"/>
        <v>0.27010000000000001</v>
      </c>
      <c r="O626" s="132">
        <f t="shared" si="182"/>
        <v>0</v>
      </c>
      <c r="P626" s="177">
        <f t="shared" si="183"/>
        <v>0</v>
      </c>
      <c r="Q626" s="177">
        <f t="shared" si="184"/>
        <v>0</v>
      </c>
      <c r="S626" s="233" t="b">
        <f t="shared" si="171"/>
        <v>0</v>
      </c>
    </row>
    <row r="627" spans="1:19">
      <c r="A627" s="126" t="s">
        <v>3836</v>
      </c>
      <c r="B627" s="126" t="str">
        <f t="shared" si="178"/>
        <v>D0299</v>
      </c>
      <c r="C627" s="126">
        <v>2860</v>
      </c>
      <c r="D627" s="126" t="s">
        <v>1913</v>
      </c>
      <c r="E627" s="126">
        <v>123</v>
      </c>
      <c r="F627" s="126">
        <v>0</v>
      </c>
      <c r="G627" s="126">
        <v>57</v>
      </c>
      <c r="H627" s="126">
        <v>0</v>
      </c>
      <c r="I627" s="126">
        <v>46.34</v>
      </c>
      <c r="J627" s="126">
        <v>0</v>
      </c>
      <c r="K627" s="126">
        <v>4.5</v>
      </c>
      <c r="L627" s="126">
        <f t="shared" si="179"/>
        <v>123</v>
      </c>
      <c r="M627" s="126">
        <f t="shared" si="180"/>
        <v>57</v>
      </c>
      <c r="N627" s="171">
        <f t="shared" si="181"/>
        <v>0.46339999999999998</v>
      </c>
      <c r="O627" s="132">
        <f t="shared" si="182"/>
        <v>4.5</v>
      </c>
      <c r="P627" s="177">
        <f t="shared" si="183"/>
        <v>0</v>
      </c>
      <c r="Q627" s="177">
        <f t="shared" si="184"/>
        <v>4.5</v>
      </c>
      <c r="S627" s="233" t="b">
        <f t="shared" si="171"/>
        <v>0</v>
      </c>
    </row>
    <row r="628" spans="1:19">
      <c r="A628" s="126" t="s">
        <v>3836</v>
      </c>
      <c r="B628" s="126" t="str">
        <f t="shared" si="178"/>
        <v>D0299</v>
      </c>
      <c r="C628" s="126">
        <v>2861</v>
      </c>
      <c r="D628" s="126" t="s">
        <v>1915</v>
      </c>
      <c r="E628" s="126">
        <v>117</v>
      </c>
      <c r="F628" s="126">
        <v>0</v>
      </c>
      <c r="G628" s="126">
        <v>32</v>
      </c>
      <c r="H628" s="126">
        <v>0</v>
      </c>
      <c r="I628" s="126">
        <v>27.35</v>
      </c>
      <c r="J628" s="126">
        <v>0</v>
      </c>
      <c r="K628" s="126">
        <v>0</v>
      </c>
      <c r="L628" s="126">
        <f t="shared" si="179"/>
        <v>117</v>
      </c>
      <c r="M628" s="126">
        <f t="shared" si="180"/>
        <v>32</v>
      </c>
      <c r="N628" s="171">
        <f t="shared" si="181"/>
        <v>0.27350000000000002</v>
      </c>
      <c r="O628" s="132">
        <f t="shared" si="182"/>
        <v>0</v>
      </c>
      <c r="P628" s="177">
        <f t="shared" si="183"/>
        <v>0</v>
      </c>
      <c r="Q628" s="177">
        <f t="shared" si="184"/>
        <v>0</v>
      </c>
      <c r="S628" s="233" t="b">
        <f t="shared" si="171"/>
        <v>0</v>
      </c>
    </row>
    <row r="629" spans="1:19">
      <c r="A629" s="126" t="s">
        <v>3837</v>
      </c>
      <c r="B629" s="126" t="str">
        <f t="shared" si="178"/>
        <v>D0300</v>
      </c>
      <c r="C629" s="126">
        <v>2890</v>
      </c>
      <c r="D629" s="126" t="s">
        <v>1917</v>
      </c>
      <c r="E629" s="126">
        <v>90</v>
      </c>
      <c r="F629" s="126">
        <v>0</v>
      </c>
      <c r="G629" s="126">
        <v>20</v>
      </c>
      <c r="H629" s="126">
        <v>0</v>
      </c>
      <c r="I629" s="126">
        <v>22.22</v>
      </c>
      <c r="J629" s="126">
        <v>0</v>
      </c>
      <c r="K629" s="126">
        <v>0</v>
      </c>
      <c r="L629" s="126">
        <f t="shared" si="179"/>
        <v>90</v>
      </c>
      <c r="M629" s="126">
        <f t="shared" si="180"/>
        <v>20</v>
      </c>
      <c r="N629" s="171">
        <f t="shared" si="181"/>
        <v>0.22220000000000001</v>
      </c>
      <c r="O629" s="132">
        <f t="shared" si="182"/>
        <v>0</v>
      </c>
      <c r="P629" s="177">
        <f t="shared" si="183"/>
        <v>0</v>
      </c>
      <c r="Q629" s="177">
        <f t="shared" si="184"/>
        <v>0</v>
      </c>
      <c r="S629" s="233" t="b">
        <f t="shared" si="171"/>
        <v>0</v>
      </c>
    </row>
    <row r="630" spans="1:19">
      <c r="A630" s="126" t="s">
        <v>3837</v>
      </c>
      <c r="B630" s="126" t="str">
        <f t="shared" si="178"/>
        <v>D0300</v>
      </c>
      <c r="C630" s="126">
        <v>2892</v>
      </c>
      <c r="D630" s="126" t="s">
        <v>1919</v>
      </c>
      <c r="E630" s="126">
        <v>168</v>
      </c>
      <c r="F630" s="126">
        <v>0</v>
      </c>
      <c r="G630" s="126">
        <v>47</v>
      </c>
      <c r="H630" s="126">
        <v>0</v>
      </c>
      <c r="I630" s="126">
        <v>27.98</v>
      </c>
      <c r="J630" s="126">
        <v>0</v>
      </c>
      <c r="K630" s="126">
        <v>0</v>
      </c>
      <c r="L630" s="126">
        <f t="shared" si="179"/>
        <v>168</v>
      </c>
      <c r="M630" s="126">
        <f t="shared" si="180"/>
        <v>47</v>
      </c>
      <c r="N630" s="171">
        <f t="shared" si="181"/>
        <v>0.27979999999999999</v>
      </c>
      <c r="O630" s="132">
        <f t="shared" si="182"/>
        <v>0</v>
      </c>
      <c r="P630" s="177">
        <f t="shared" si="183"/>
        <v>0</v>
      </c>
      <c r="Q630" s="177">
        <f t="shared" si="184"/>
        <v>0</v>
      </c>
      <c r="S630" s="233" t="b">
        <f t="shared" si="171"/>
        <v>0</v>
      </c>
    </row>
    <row r="631" spans="1:19">
      <c r="A631" s="126" t="s">
        <v>3837</v>
      </c>
      <c r="B631" s="126" t="str">
        <f t="shared" si="178"/>
        <v>D0300</v>
      </c>
      <c r="C631" s="126">
        <v>2894</v>
      </c>
      <c r="D631" s="126" t="s">
        <v>1921</v>
      </c>
      <c r="E631" s="126">
        <v>58</v>
      </c>
      <c r="F631" s="126">
        <v>0</v>
      </c>
      <c r="G631" s="126">
        <v>17</v>
      </c>
      <c r="H631" s="126">
        <v>0</v>
      </c>
      <c r="I631" s="126">
        <v>29.31</v>
      </c>
      <c r="J631" s="126">
        <v>0</v>
      </c>
      <c r="K631" s="126">
        <v>0</v>
      </c>
      <c r="L631" s="126">
        <f t="shared" si="179"/>
        <v>58</v>
      </c>
      <c r="M631" s="126">
        <f t="shared" si="180"/>
        <v>17</v>
      </c>
      <c r="N631" s="171">
        <f t="shared" si="181"/>
        <v>0.29310000000000003</v>
      </c>
      <c r="O631" s="132">
        <f t="shared" si="182"/>
        <v>0</v>
      </c>
      <c r="P631" s="177">
        <f t="shared" si="183"/>
        <v>0</v>
      </c>
      <c r="Q631" s="177">
        <f t="shared" si="184"/>
        <v>0</v>
      </c>
      <c r="S631" s="233" t="b">
        <f t="shared" si="171"/>
        <v>0</v>
      </c>
    </row>
    <row r="632" spans="1:19">
      <c r="A632" s="126" t="s">
        <v>3840</v>
      </c>
      <c r="B632" s="126" t="str">
        <f t="shared" si="178"/>
        <v>D0323</v>
      </c>
      <c r="C632" s="126">
        <v>3488</v>
      </c>
      <c r="D632" s="126" t="s">
        <v>2049</v>
      </c>
      <c r="E632" s="126">
        <v>500</v>
      </c>
      <c r="F632" s="126">
        <v>0</v>
      </c>
      <c r="G632" s="126">
        <v>82</v>
      </c>
      <c r="H632" s="126">
        <v>0</v>
      </c>
      <c r="I632" s="126">
        <v>16.399999999999999</v>
      </c>
      <c r="J632" s="126">
        <v>0</v>
      </c>
      <c r="K632" s="126">
        <v>0</v>
      </c>
      <c r="L632" s="126">
        <f t="shared" si="179"/>
        <v>500</v>
      </c>
      <c r="M632" s="126">
        <f t="shared" si="180"/>
        <v>82</v>
      </c>
      <c r="N632" s="171">
        <f t="shared" si="181"/>
        <v>0.16400000000000001</v>
      </c>
      <c r="O632" s="132">
        <f t="shared" si="182"/>
        <v>0</v>
      </c>
      <c r="P632" s="177">
        <f t="shared" si="183"/>
        <v>0</v>
      </c>
      <c r="Q632" s="177">
        <f t="shared" si="184"/>
        <v>0</v>
      </c>
      <c r="S632" s="233" t="b">
        <f t="shared" si="171"/>
        <v>0</v>
      </c>
    </row>
    <row r="633" spans="1:19">
      <c r="A633" s="126" t="s">
        <v>3840</v>
      </c>
      <c r="B633" s="126" t="str">
        <f t="shared" si="178"/>
        <v>D0323</v>
      </c>
      <c r="C633" s="126">
        <v>3492</v>
      </c>
      <c r="D633" s="126" t="s">
        <v>2051</v>
      </c>
      <c r="E633" s="126">
        <v>159</v>
      </c>
      <c r="F633" s="126">
        <v>0</v>
      </c>
      <c r="G633" s="126">
        <v>35</v>
      </c>
      <c r="H633" s="126">
        <v>0</v>
      </c>
      <c r="I633" s="126">
        <v>22.01</v>
      </c>
      <c r="J633" s="126">
        <v>0</v>
      </c>
      <c r="K633" s="126">
        <v>0</v>
      </c>
      <c r="L633" s="126">
        <f t="shared" si="179"/>
        <v>159</v>
      </c>
      <c r="M633" s="126">
        <f t="shared" si="180"/>
        <v>35</v>
      </c>
      <c r="N633" s="171">
        <f t="shared" si="181"/>
        <v>0.22009999999999999</v>
      </c>
      <c r="O633" s="132">
        <f t="shared" si="182"/>
        <v>0</v>
      </c>
      <c r="P633" s="177">
        <f t="shared" si="183"/>
        <v>0</v>
      </c>
      <c r="Q633" s="177">
        <f t="shared" si="184"/>
        <v>0</v>
      </c>
      <c r="S633" s="233" t="b">
        <f t="shared" si="171"/>
        <v>0</v>
      </c>
    </row>
    <row r="634" spans="1:19">
      <c r="A634" s="126" t="s">
        <v>3840</v>
      </c>
      <c r="B634" s="126" t="str">
        <f t="shared" si="178"/>
        <v>D0323</v>
      </c>
      <c r="C634" s="126">
        <v>3495</v>
      </c>
      <c r="D634" s="126" t="s">
        <v>2053</v>
      </c>
      <c r="E634" s="126">
        <v>426</v>
      </c>
      <c r="F634" s="126">
        <v>0</v>
      </c>
      <c r="G634" s="126">
        <v>67</v>
      </c>
      <c r="H634" s="126">
        <v>0</v>
      </c>
      <c r="I634" s="126">
        <v>15.73</v>
      </c>
      <c r="J634" s="126">
        <v>0</v>
      </c>
      <c r="K634" s="126">
        <v>0</v>
      </c>
      <c r="L634" s="126">
        <f t="shared" si="179"/>
        <v>426</v>
      </c>
      <c r="M634" s="126">
        <f t="shared" si="180"/>
        <v>67</v>
      </c>
      <c r="N634" s="171">
        <f t="shared" si="181"/>
        <v>0.1573</v>
      </c>
      <c r="O634" s="132">
        <f t="shared" si="182"/>
        <v>0</v>
      </c>
      <c r="P634" s="177">
        <f t="shared" si="183"/>
        <v>0</v>
      </c>
      <c r="Q634" s="177">
        <f t="shared" si="184"/>
        <v>0</v>
      </c>
      <c r="S634" s="233" t="b">
        <f t="shared" si="171"/>
        <v>0</v>
      </c>
    </row>
    <row r="635" spans="1:19">
      <c r="A635" s="126" t="s">
        <v>3841</v>
      </c>
      <c r="B635" s="126" t="str">
        <f t="shared" si="178"/>
        <v>D0325</v>
      </c>
      <c r="C635" s="126">
        <v>3538</v>
      </c>
      <c r="D635" s="126" t="s">
        <v>2055</v>
      </c>
      <c r="E635" s="126">
        <v>241</v>
      </c>
      <c r="F635" s="126">
        <v>0</v>
      </c>
      <c r="G635" s="126">
        <v>83</v>
      </c>
      <c r="H635" s="126">
        <v>0</v>
      </c>
      <c r="I635" s="126">
        <v>34.44</v>
      </c>
      <c r="J635" s="126">
        <v>0</v>
      </c>
      <c r="K635" s="126">
        <v>0</v>
      </c>
      <c r="L635" s="126">
        <f t="shared" si="179"/>
        <v>241</v>
      </c>
      <c r="M635" s="126">
        <f t="shared" si="180"/>
        <v>83</v>
      </c>
      <c r="N635" s="171">
        <f t="shared" si="181"/>
        <v>0.34439999999999998</v>
      </c>
      <c r="O635" s="132">
        <f t="shared" si="182"/>
        <v>0</v>
      </c>
      <c r="P635" s="177">
        <f t="shared" si="183"/>
        <v>0</v>
      </c>
      <c r="Q635" s="177">
        <f t="shared" si="184"/>
        <v>0</v>
      </c>
      <c r="S635" s="233" t="b">
        <f t="shared" si="171"/>
        <v>0</v>
      </c>
    </row>
    <row r="636" spans="1:19">
      <c r="A636" s="126" t="s">
        <v>3841</v>
      </c>
      <c r="B636" s="126" t="str">
        <f t="shared" si="178"/>
        <v>D0325</v>
      </c>
      <c r="C636" s="126">
        <v>3540</v>
      </c>
      <c r="D636" s="126" t="s">
        <v>2057</v>
      </c>
      <c r="E636" s="126">
        <v>183</v>
      </c>
      <c r="F636" s="126">
        <v>0</v>
      </c>
      <c r="G636" s="126">
        <v>50</v>
      </c>
      <c r="H636" s="126">
        <v>0</v>
      </c>
      <c r="I636" s="126">
        <v>27.32</v>
      </c>
      <c r="J636" s="126">
        <v>0</v>
      </c>
      <c r="K636" s="126">
        <v>0</v>
      </c>
      <c r="L636" s="126">
        <f t="shared" si="179"/>
        <v>183</v>
      </c>
      <c r="M636" s="126">
        <f t="shared" si="180"/>
        <v>50</v>
      </c>
      <c r="N636" s="171">
        <f t="shared" si="181"/>
        <v>0.2732</v>
      </c>
      <c r="O636" s="132">
        <f t="shared" si="182"/>
        <v>0</v>
      </c>
      <c r="P636" s="177">
        <f t="shared" si="183"/>
        <v>0</v>
      </c>
      <c r="Q636" s="177">
        <f t="shared" si="184"/>
        <v>0</v>
      </c>
      <c r="S636" s="233" t="b">
        <f t="shared" si="171"/>
        <v>0</v>
      </c>
    </row>
    <row r="637" spans="1:19">
      <c r="A637" s="126" t="s">
        <v>3841</v>
      </c>
      <c r="B637" s="126" t="str">
        <f t="shared" si="178"/>
        <v>D0325</v>
      </c>
      <c r="C637" s="126">
        <v>3542</v>
      </c>
      <c r="D637" s="126" t="s">
        <v>2059</v>
      </c>
      <c r="E637" s="126">
        <v>180</v>
      </c>
      <c r="F637" s="126">
        <v>0</v>
      </c>
      <c r="G637" s="126">
        <v>36</v>
      </c>
      <c r="H637" s="126">
        <v>0</v>
      </c>
      <c r="I637" s="126">
        <v>20</v>
      </c>
      <c r="J637" s="126">
        <v>0</v>
      </c>
      <c r="K637" s="126">
        <v>0</v>
      </c>
      <c r="L637" s="126">
        <f t="shared" si="179"/>
        <v>180</v>
      </c>
      <c r="M637" s="126">
        <f t="shared" si="180"/>
        <v>36</v>
      </c>
      <c r="N637" s="171">
        <f t="shared" si="181"/>
        <v>0.2</v>
      </c>
      <c r="O637" s="132">
        <f t="shared" si="182"/>
        <v>0</v>
      </c>
      <c r="P637" s="177">
        <f t="shared" si="183"/>
        <v>0</v>
      </c>
      <c r="Q637" s="177">
        <f t="shared" si="184"/>
        <v>0</v>
      </c>
      <c r="S637" s="233" t="b">
        <f t="shared" si="171"/>
        <v>0</v>
      </c>
    </row>
    <row r="638" spans="1:19">
      <c r="A638" s="126" t="s">
        <v>3842</v>
      </c>
      <c r="B638" s="126" t="str">
        <f t="shared" si="178"/>
        <v>D0326</v>
      </c>
      <c r="C638" s="126">
        <v>3562</v>
      </c>
      <c r="D638" s="126" t="s">
        <v>2061</v>
      </c>
      <c r="E638" s="126">
        <v>71</v>
      </c>
      <c r="F638" s="126">
        <v>0</v>
      </c>
      <c r="G638" s="126">
        <v>16</v>
      </c>
      <c r="H638" s="126">
        <v>0</v>
      </c>
      <c r="I638" s="126">
        <v>22.54</v>
      </c>
      <c r="J638" s="126">
        <v>0</v>
      </c>
      <c r="K638" s="126">
        <v>0</v>
      </c>
      <c r="L638" s="126">
        <f t="shared" si="179"/>
        <v>71</v>
      </c>
      <c r="M638" s="126">
        <f t="shared" si="180"/>
        <v>16</v>
      </c>
      <c r="N638" s="171">
        <f t="shared" si="181"/>
        <v>0.22539999999999999</v>
      </c>
      <c r="O638" s="132">
        <f t="shared" si="182"/>
        <v>0</v>
      </c>
      <c r="P638" s="177">
        <f t="shared" si="183"/>
        <v>0</v>
      </c>
      <c r="Q638" s="177">
        <f t="shared" si="184"/>
        <v>0</v>
      </c>
      <c r="S638" s="233" t="b">
        <f t="shared" si="171"/>
        <v>0</v>
      </c>
    </row>
    <row r="639" spans="1:19">
      <c r="A639" s="126" t="s">
        <v>3842</v>
      </c>
      <c r="B639" s="126" t="str">
        <f t="shared" si="178"/>
        <v>D0326</v>
      </c>
      <c r="C639" s="126">
        <v>3564</v>
      </c>
      <c r="D639" s="126" t="s">
        <v>2063</v>
      </c>
      <c r="E639" s="126">
        <v>69</v>
      </c>
      <c r="F639" s="126">
        <v>0</v>
      </c>
      <c r="G639" s="126">
        <v>16</v>
      </c>
      <c r="H639" s="126">
        <v>0</v>
      </c>
      <c r="I639" s="126">
        <v>23.19</v>
      </c>
      <c r="J639" s="126">
        <v>0</v>
      </c>
      <c r="K639" s="126">
        <v>0</v>
      </c>
      <c r="L639" s="126">
        <f t="shared" si="179"/>
        <v>69</v>
      </c>
      <c r="M639" s="126">
        <f t="shared" si="180"/>
        <v>16</v>
      </c>
      <c r="N639" s="171">
        <f t="shared" si="181"/>
        <v>0.2319</v>
      </c>
      <c r="O639" s="132">
        <f t="shared" si="182"/>
        <v>0</v>
      </c>
      <c r="P639" s="177">
        <f t="shared" si="183"/>
        <v>0</v>
      </c>
      <c r="Q639" s="177">
        <f t="shared" si="184"/>
        <v>0</v>
      </c>
      <c r="S639" s="233" t="b">
        <f t="shared" si="171"/>
        <v>0</v>
      </c>
    </row>
    <row r="640" spans="1:19">
      <c r="A640" s="126" t="s">
        <v>3843</v>
      </c>
      <c r="B640" s="126" t="str">
        <f t="shared" si="178"/>
        <v>D0329</v>
      </c>
      <c r="C640" s="126">
        <v>3650</v>
      </c>
      <c r="D640" s="126" t="s">
        <v>2071</v>
      </c>
      <c r="E640" s="126">
        <v>100</v>
      </c>
      <c r="F640" s="126">
        <v>0</v>
      </c>
      <c r="G640" s="126">
        <v>25</v>
      </c>
      <c r="H640" s="126">
        <v>0</v>
      </c>
      <c r="I640" s="126">
        <v>25</v>
      </c>
      <c r="J640" s="126">
        <v>0</v>
      </c>
      <c r="K640" s="126">
        <v>0</v>
      </c>
      <c r="L640" s="126">
        <f t="shared" si="179"/>
        <v>100</v>
      </c>
      <c r="M640" s="126">
        <f t="shared" si="180"/>
        <v>25</v>
      </c>
      <c r="N640" s="171">
        <f t="shared" si="181"/>
        <v>0.25</v>
      </c>
      <c r="O640" s="132">
        <f t="shared" si="182"/>
        <v>0</v>
      </c>
      <c r="P640" s="177">
        <f t="shared" si="183"/>
        <v>0</v>
      </c>
      <c r="Q640" s="177">
        <f t="shared" si="184"/>
        <v>0</v>
      </c>
      <c r="S640" s="233" t="b">
        <f t="shared" si="171"/>
        <v>0</v>
      </c>
    </row>
    <row r="641" spans="1:19">
      <c r="A641" s="126" t="s">
        <v>3843</v>
      </c>
      <c r="B641" s="126" t="str">
        <f t="shared" si="178"/>
        <v>D0329</v>
      </c>
      <c r="C641" s="126">
        <v>3652</v>
      </c>
      <c r="D641" s="126" t="s">
        <v>2073</v>
      </c>
      <c r="E641" s="126">
        <v>149</v>
      </c>
      <c r="F641" s="126">
        <v>0</v>
      </c>
      <c r="G641" s="126">
        <v>23</v>
      </c>
      <c r="H641" s="126">
        <v>0</v>
      </c>
      <c r="I641" s="126">
        <v>15.44</v>
      </c>
      <c r="J641" s="126">
        <v>0</v>
      </c>
      <c r="K641" s="126">
        <v>0</v>
      </c>
      <c r="L641" s="126">
        <f t="shared" si="179"/>
        <v>149</v>
      </c>
      <c r="M641" s="126">
        <f t="shared" si="180"/>
        <v>23</v>
      </c>
      <c r="N641" s="171">
        <f t="shared" si="181"/>
        <v>0.15440000000000001</v>
      </c>
      <c r="O641" s="132">
        <f t="shared" si="182"/>
        <v>0</v>
      </c>
      <c r="P641" s="177">
        <f t="shared" si="183"/>
        <v>0</v>
      </c>
      <c r="Q641" s="177">
        <f t="shared" si="184"/>
        <v>0</v>
      </c>
      <c r="S641" s="233" t="b">
        <f t="shared" si="171"/>
        <v>0</v>
      </c>
    </row>
    <row r="642" spans="1:19">
      <c r="A642" s="126" t="s">
        <v>3843</v>
      </c>
      <c r="B642" s="126" t="str">
        <f t="shared" si="178"/>
        <v>D0329</v>
      </c>
      <c r="C642" s="126">
        <v>3664</v>
      </c>
      <c r="D642" s="126" t="s">
        <v>2075</v>
      </c>
      <c r="E642" s="126">
        <v>75</v>
      </c>
      <c r="F642" s="126">
        <v>0</v>
      </c>
      <c r="G642" s="126">
        <v>9</v>
      </c>
      <c r="H642" s="126">
        <v>0</v>
      </c>
      <c r="I642" s="126">
        <v>12</v>
      </c>
      <c r="J642" s="126">
        <v>0</v>
      </c>
      <c r="K642" s="126">
        <v>0</v>
      </c>
      <c r="L642" s="126">
        <f t="shared" si="179"/>
        <v>75</v>
      </c>
      <c r="M642" s="126">
        <f t="shared" si="180"/>
        <v>9</v>
      </c>
      <c r="N642" s="171">
        <f t="shared" si="181"/>
        <v>0.12</v>
      </c>
      <c r="O642" s="132">
        <f t="shared" si="182"/>
        <v>0</v>
      </c>
      <c r="P642" s="177">
        <f t="shared" si="183"/>
        <v>0</v>
      </c>
      <c r="Q642" s="177">
        <f t="shared" si="184"/>
        <v>0</v>
      </c>
      <c r="S642" s="233" t="b">
        <f t="shared" si="171"/>
        <v>0</v>
      </c>
    </row>
    <row r="643" spans="1:19">
      <c r="A643" s="126" t="s">
        <v>3843</v>
      </c>
      <c r="B643" s="126" t="str">
        <f t="shared" si="178"/>
        <v>D0329</v>
      </c>
      <c r="C643" s="126">
        <v>3665</v>
      </c>
      <c r="D643" s="126" t="s">
        <v>2077</v>
      </c>
      <c r="E643" s="126">
        <v>68</v>
      </c>
      <c r="F643" s="126">
        <v>0</v>
      </c>
      <c r="G643" s="126">
        <v>12</v>
      </c>
      <c r="H643" s="126">
        <v>0</v>
      </c>
      <c r="I643" s="126">
        <v>17.649999999999999</v>
      </c>
      <c r="J643" s="126">
        <v>0</v>
      </c>
      <c r="K643" s="126">
        <v>0</v>
      </c>
      <c r="L643" s="126">
        <f t="shared" si="179"/>
        <v>68</v>
      </c>
      <c r="M643" s="126">
        <f t="shared" si="180"/>
        <v>12</v>
      </c>
      <c r="N643" s="171">
        <f t="shared" si="181"/>
        <v>0.17649999999999999</v>
      </c>
      <c r="O643" s="132">
        <f t="shared" si="182"/>
        <v>0</v>
      </c>
      <c r="P643" s="177">
        <f t="shared" si="183"/>
        <v>0</v>
      </c>
      <c r="Q643" s="177">
        <f t="shared" si="184"/>
        <v>0</v>
      </c>
      <c r="S643" s="233" t="b">
        <f t="shared" si="171"/>
        <v>0</v>
      </c>
    </row>
    <row r="644" spans="1:19">
      <c r="A644" s="126" t="s">
        <v>3843</v>
      </c>
      <c r="B644" s="126" t="str">
        <f t="shared" si="178"/>
        <v>D0329</v>
      </c>
      <c r="C644" s="126">
        <v>3667</v>
      </c>
      <c r="D644" s="126" t="s">
        <v>2079</v>
      </c>
      <c r="E644" s="126">
        <v>61</v>
      </c>
      <c r="F644" s="126">
        <v>0</v>
      </c>
      <c r="G644" s="126">
        <v>8</v>
      </c>
      <c r="H644" s="126">
        <v>0</v>
      </c>
      <c r="I644" s="126">
        <v>13.11</v>
      </c>
      <c r="J644" s="126">
        <v>0</v>
      </c>
      <c r="K644" s="126">
        <v>0</v>
      </c>
      <c r="L644" s="126">
        <f t="shared" si="179"/>
        <v>61</v>
      </c>
      <c r="M644" s="126">
        <f t="shared" si="180"/>
        <v>8</v>
      </c>
      <c r="N644" s="171">
        <f t="shared" si="181"/>
        <v>0.13109999999999999</v>
      </c>
      <c r="O644" s="132">
        <f t="shared" si="182"/>
        <v>0</v>
      </c>
      <c r="P644" s="177">
        <f t="shared" si="183"/>
        <v>0</v>
      </c>
      <c r="Q644" s="177">
        <f t="shared" si="184"/>
        <v>0</v>
      </c>
      <c r="S644" s="233" t="b">
        <f t="shared" si="171"/>
        <v>0</v>
      </c>
    </row>
    <row r="645" spans="1:19">
      <c r="A645" s="126" t="s">
        <v>3844</v>
      </c>
      <c r="B645" s="126" t="str">
        <f t="shared" ref="B645:B682" si="185">LEFT(A645,5)</f>
        <v>D0334</v>
      </c>
      <c r="C645" s="126">
        <v>3832</v>
      </c>
      <c r="D645" s="126" t="s">
        <v>2109</v>
      </c>
      <c r="E645" s="126">
        <v>51</v>
      </c>
      <c r="F645" s="126">
        <v>0</v>
      </c>
      <c r="G645" s="126">
        <v>31</v>
      </c>
      <c r="H645" s="126">
        <v>0</v>
      </c>
      <c r="I645" s="126">
        <v>60.78</v>
      </c>
      <c r="J645" s="126">
        <v>3.3</v>
      </c>
      <c r="K645" s="126">
        <v>0</v>
      </c>
      <c r="L645" s="126">
        <f t="shared" si="179"/>
        <v>51</v>
      </c>
      <c r="M645" s="126">
        <f t="shared" si="180"/>
        <v>31</v>
      </c>
      <c r="N645" s="171">
        <f t="shared" si="181"/>
        <v>0.60780000000000001</v>
      </c>
      <c r="O645" s="132">
        <f t="shared" si="182"/>
        <v>0</v>
      </c>
      <c r="P645" s="177">
        <f t="shared" si="183"/>
        <v>3.3</v>
      </c>
      <c r="Q645" s="177">
        <f t="shared" si="184"/>
        <v>3.3</v>
      </c>
      <c r="S645" s="233" t="b">
        <f t="shared" ref="S645:S708" si="186">COUNTIF(C:C,C645)&gt;1</f>
        <v>0</v>
      </c>
    </row>
    <row r="646" spans="1:19">
      <c r="A646" s="126" t="s">
        <v>3844</v>
      </c>
      <c r="B646" s="126" t="str">
        <f t="shared" si="185"/>
        <v>D0334</v>
      </c>
      <c r="C646" s="126">
        <v>3834</v>
      </c>
      <c r="D646" s="126" t="s">
        <v>2111</v>
      </c>
      <c r="E646" s="126">
        <v>31</v>
      </c>
      <c r="F646" s="126">
        <v>0</v>
      </c>
      <c r="G646" s="126">
        <v>14</v>
      </c>
      <c r="H646" s="126">
        <v>0</v>
      </c>
      <c r="I646" s="126">
        <v>45.16</v>
      </c>
      <c r="J646" s="126">
        <v>0</v>
      </c>
      <c r="K646" s="126">
        <v>1</v>
      </c>
      <c r="L646" s="126">
        <f t="shared" si="179"/>
        <v>31</v>
      </c>
      <c r="M646" s="126">
        <f t="shared" si="180"/>
        <v>14</v>
      </c>
      <c r="N646" s="171">
        <f t="shared" si="181"/>
        <v>0.4516</v>
      </c>
      <c r="O646" s="132">
        <f t="shared" si="182"/>
        <v>1</v>
      </c>
      <c r="P646" s="177">
        <f t="shared" si="183"/>
        <v>0</v>
      </c>
      <c r="Q646" s="177">
        <f t="shared" si="184"/>
        <v>1</v>
      </c>
      <c r="S646" s="233" t="b">
        <f t="shared" si="186"/>
        <v>0</v>
      </c>
    </row>
    <row r="647" spans="1:19">
      <c r="A647" s="126" t="s">
        <v>3844</v>
      </c>
      <c r="B647" s="126" t="str">
        <f t="shared" si="185"/>
        <v>D0334</v>
      </c>
      <c r="C647" s="126">
        <v>3836</v>
      </c>
      <c r="D647" s="126" t="s">
        <v>2113</v>
      </c>
      <c r="E647" s="126">
        <v>35</v>
      </c>
      <c r="F647" s="126">
        <v>0</v>
      </c>
      <c r="G647" s="126">
        <v>17</v>
      </c>
      <c r="H647" s="126">
        <v>0</v>
      </c>
      <c r="I647" s="126">
        <v>48.57</v>
      </c>
      <c r="J647" s="126">
        <v>0</v>
      </c>
      <c r="K647" s="126">
        <v>1.6</v>
      </c>
      <c r="L647" s="126">
        <f t="shared" si="179"/>
        <v>35</v>
      </c>
      <c r="M647" s="126">
        <f t="shared" si="180"/>
        <v>17</v>
      </c>
      <c r="N647" s="171">
        <f t="shared" si="181"/>
        <v>0.48570000000000002</v>
      </c>
      <c r="O647" s="132">
        <f t="shared" si="182"/>
        <v>1.6</v>
      </c>
      <c r="P647" s="177">
        <f t="shared" si="183"/>
        <v>0</v>
      </c>
      <c r="Q647" s="177">
        <f t="shared" si="184"/>
        <v>1.6</v>
      </c>
      <c r="S647" s="233" t="b">
        <f t="shared" si="186"/>
        <v>0</v>
      </c>
    </row>
    <row r="648" spans="1:19">
      <c r="A648" s="126" t="s">
        <v>3844</v>
      </c>
      <c r="B648" s="126" t="str">
        <f t="shared" si="185"/>
        <v>D0334</v>
      </c>
      <c r="C648" s="126">
        <v>3838</v>
      </c>
      <c r="D648" s="126" t="s">
        <v>2115</v>
      </c>
      <c r="E648" s="126">
        <v>37</v>
      </c>
      <c r="F648" s="126">
        <v>0</v>
      </c>
      <c r="G648" s="126">
        <v>20</v>
      </c>
      <c r="H648" s="126">
        <v>0</v>
      </c>
      <c r="I648" s="126">
        <v>54.05</v>
      </c>
      <c r="J648" s="126">
        <v>2.1</v>
      </c>
      <c r="K648" s="126">
        <v>0</v>
      </c>
      <c r="L648" s="126">
        <f t="shared" si="179"/>
        <v>37</v>
      </c>
      <c r="M648" s="126">
        <f t="shared" si="180"/>
        <v>20</v>
      </c>
      <c r="N648" s="171">
        <f t="shared" si="181"/>
        <v>0.54049999999999998</v>
      </c>
      <c r="O648" s="132">
        <f t="shared" si="182"/>
        <v>0</v>
      </c>
      <c r="P648" s="177">
        <f t="shared" si="183"/>
        <v>2.1</v>
      </c>
      <c r="Q648" s="177">
        <f t="shared" si="184"/>
        <v>2.1</v>
      </c>
      <c r="S648" s="233" t="b">
        <f t="shared" si="186"/>
        <v>0</v>
      </c>
    </row>
    <row r="649" spans="1:19">
      <c r="A649" s="126" t="s">
        <v>3845</v>
      </c>
      <c r="B649" s="126" t="str">
        <f t="shared" si="185"/>
        <v>D0335</v>
      </c>
      <c r="C649" s="126">
        <v>3871</v>
      </c>
      <c r="D649" s="126" t="s">
        <v>2117</v>
      </c>
      <c r="E649" s="126">
        <v>230</v>
      </c>
      <c r="F649" s="126">
        <v>0</v>
      </c>
      <c r="G649" s="126">
        <v>78</v>
      </c>
      <c r="H649" s="126">
        <v>0</v>
      </c>
      <c r="I649" s="126">
        <v>33.909999999999997</v>
      </c>
      <c r="J649" s="126">
        <v>0</v>
      </c>
      <c r="K649" s="126">
        <v>0</v>
      </c>
      <c r="L649" s="126">
        <f t="shared" si="179"/>
        <v>230</v>
      </c>
      <c r="M649" s="126">
        <f t="shared" si="180"/>
        <v>78</v>
      </c>
      <c r="N649" s="171">
        <f t="shared" si="181"/>
        <v>0.33910000000000001</v>
      </c>
      <c r="O649" s="132">
        <f t="shared" si="182"/>
        <v>0</v>
      </c>
      <c r="P649" s="177">
        <f t="shared" si="183"/>
        <v>0</v>
      </c>
      <c r="Q649" s="177">
        <f t="shared" si="184"/>
        <v>0</v>
      </c>
      <c r="S649" s="233" t="b">
        <f t="shared" si="186"/>
        <v>0</v>
      </c>
    </row>
    <row r="650" spans="1:19">
      <c r="A650" s="126" t="s">
        <v>3845</v>
      </c>
      <c r="B650" s="126" t="str">
        <f t="shared" si="185"/>
        <v>D0335</v>
      </c>
      <c r="C650" s="126">
        <v>3872</v>
      </c>
      <c r="D650" s="126" t="s">
        <v>2119</v>
      </c>
      <c r="E650" s="126">
        <v>163</v>
      </c>
      <c r="F650" s="126">
        <v>0</v>
      </c>
      <c r="G650" s="126">
        <v>37</v>
      </c>
      <c r="H650" s="126">
        <v>0</v>
      </c>
      <c r="I650" s="126">
        <v>22.7</v>
      </c>
      <c r="J650" s="126">
        <v>0</v>
      </c>
      <c r="K650" s="126">
        <v>0</v>
      </c>
      <c r="L650" s="126">
        <f t="shared" si="179"/>
        <v>163</v>
      </c>
      <c r="M650" s="126">
        <f t="shared" si="180"/>
        <v>37</v>
      </c>
      <c r="N650" s="171">
        <f t="shared" si="181"/>
        <v>0.22700000000000001</v>
      </c>
      <c r="O650" s="132">
        <f t="shared" si="182"/>
        <v>0</v>
      </c>
      <c r="P650" s="177">
        <f t="shared" si="183"/>
        <v>0</v>
      </c>
      <c r="Q650" s="177">
        <f t="shared" si="184"/>
        <v>0</v>
      </c>
      <c r="S650" s="233" t="b">
        <f t="shared" si="186"/>
        <v>0</v>
      </c>
    </row>
    <row r="651" spans="1:19">
      <c r="A651" s="126" t="s">
        <v>3846</v>
      </c>
      <c r="B651" s="126" t="str">
        <f t="shared" si="185"/>
        <v>D0339</v>
      </c>
      <c r="C651" s="126">
        <v>3948</v>
      </c>
      <c r="D651" s="126" t="s">
        <v>2137</v>
      </c>
      <c r="E651" s="126">
        <v>137</v>
      </c>
      <c r="F651" s="126">
        <v>0</v>
      </c>
      <c r="G651" s="126">
        <v>41</v>
      </c>
      <c r="H651" s="126">
        <v>0</v>
      </c>
      <c r="I651" s="126">
        <v>29.93</v>
      </c>
      <c r="J651" s="126">
        <v>0</v>
      </c>
      <c r="K651" s="126">
        <v>0</v>
      </c>
      <c r="L651" s="126">
        <f t="shared" si="179"/>
        <v>137</v>
      </c>
      <c r="M651" s="126">
        <f t="shared" si="180"/>
        <v>41</v>
      </c>
      <c r="N651" s="171">
        <f t="shared" si="181"/>
        <v>0.29930000000000001</v>
      </c>
      <c r="O651" s="132">
        <f t="shared" si="182"/>
        <v>0</v>
      </c>
      <c r="P651" s="177">
        <f t="shared" si="183"/>
        <v>0</v>
      </c>
      <c r="Q651" s="177">
        <f t="shared" si="184"/>
        <v>0</v>
      </c>
      <c r="S651" s="233" t="b">
        <f t="shared" si="186"/>
        <v>0</v>
      </c>
    </row>
    <row r="652" spans="1:19">
      <c r="A652" s="126" t="s">
        <v>3846</v>
      </c>
      <c r="B652" s="126" t="str">
        <f t="shared" si="185"/>
        <v>D0339</v>
      </c>
      <c r="C652" s="126">
        <v>3950</v>
      </c>
      <c r="D652" s="126" t="s">
        <v>2139</v>
      </c>
      <c r="E652" s="126">
        <v>329</v>
      </c>
      <c r="F652" s="126">
        <v>0</v>
      </c>
      <c r="G652" s="126">
        <v>74</v>
      </c>
      <c r="H652" s="126">
        <v>0</v>
      </c>
      <c r="I652" s="126">
        <v>22.49</v>
      </c>
      <c r="J652" s="126">
        <v>0</v>
      </c>
      <c r="K652" s="126">
        <v>0</v>
      </c>
      <c r="L652" s="126">
        <f t="shared" si="179"/>
        <v>329</v>
      </c>
      <c r="M652" s="126">
        <f t="shared" si="180"/>
        <v>74</v>
      </c>
      <c r="N652" s="171">
        <f t="shared" si="181"/>
        <v>0.22489999999999999</v>
      </c>
      <c r="O652" s="132">
        <f t="shared" si="182"/>
        <v>0</v>
      </c>
      <c r="P652" s="177">
        <f t="shared" si="183"/>
        <v>0</v>
      </c>
      <c r="Q652" s="177">
        <f t="shared" si="184"/>
        <v>0</v>
      </c>
      <c r="S652" s="233" t="b">
        <f t="shared" si="186"/>
        <v>0</v>
      </c>
    </row>
    <row r="653" spans="1:19">
      <c r="A653" s="126" t="s">
        <v>3847</v>
      </c>
      <c r="B653" s="126" t="str">
        <f t="shared" si="185"/>
        <v>D0344</v>
      </c>
      <c r="C653" s="126">
        <v>4038</v>
      </c>
      <c r="D653" s="126" t="s">
        <v>2163</v>
      </c>
      <c r="E653" s="126">
        <v>175</v>
      </c>
      <c r="F653" s="126">
        <v>0</v>
      </c>
      <c r="G653" s="126">
        <v>71</v>
      </c>
      <c r="H653" s="126">
        <v>0</v>
      </c>
      <c r="I653" s="126">
        <v>40.57</v>
      </c>
      <c r="J653" s="126">
        <v>0</v>
      </c>
      <c r="K653" s="126">
        <v>2.8</v>
      </c>
      <c r="L653" s="126">
        <f t="shared" si="179"/>
        <v>175</v>
      </c>
      <c r="M653" s="126">
        <f t="shared" si="180"/>
        <v>71</v>
      </c>
      <c r="N653" s="171">
        <f t="shared" si="181"/>
        <v>0.40570000000000001</v>
      </c>
      <c r="O653" s="132">
        <f t="shared" si="182"/>
        <v>2.8</v>
      </c>
      <c r="P653" s="177">
        <f t="shared" si="183"/>
        <v>0</v>
      </c>
      <c r="Q653" s="177">
        <f t="shared" si="184"/>
        <v>2.8</v>
      </c>
      <c r="S653" s="233" t="b">
        <f t="shared" si="186"/>
        <v>0</v>
      </c>
    </row>
    <row r="654" spans="1:19">
      <c r="A654" s="126" t="s">
        <v>3847</v>
      </c>
      <c r="B654" s="126" t="str">
        <f t="shared" si="185"/>
        <v>D0344</v>
      </c>
      <c r="C654" s="126">
        <v>4040</v>
      </c>
      <c r="D654" s="126" t="s">
        <v>2165</v>
      </c>
      <c r="E654" s="126">
        <v>191</v>
      </c>
      <c r="F654" s="126">
        <v>0</v>
      </c>
      <c r="G654" s="126">
        <v>63</v>
      </c>
      <c r="H654" s="126">
        <v>0</v>
      </c>
      <c r="I654" s="126">
        <v>32.979999999999997</v>
      </c>
      <c r="J654" s="126">
        <v>0</v>
      </c>
      <c r="K654" s="126">
        <v>0</v>
      </c>
      <c r="L654" s="126">
        <f t="shared" si="179"/>
        <v>191</v>
      </c>
      <c r="M654" s="126">
        <f t="shared" si="180"/>
        <v>63</v>
      </c>
      <c r="N654" s="171">
        <f t="shared" si="181"/>
        <v>0.32979999999999998</v>
      </c>
      <c r="O654" s="132">
        <f t="shared" si="182"/>
        <v>0</v>
      </c>
      <c r="P654" s="177">
        <f t="shared" si="183"/>
        <v>0</v>
      </c>
      <c r="Q654" s="177">
        <f t="shared" si="184"/>
        <v>0</v>
      </c>
      <c r="S654" s="233" t="b">
        <f t="shared" si="186"/>
        <v>0</v>
      </c>
    </row>
    <row r="655" spans="1:19">
      <c r="A655" s="126" t="s">
        <v>3848</v>
      </c>
      <c r="B655" s="126" t="str">
        <f t="shared" si="185"/>
        <v>D0346</v>
      </c>
      <c r="C655" s="126">
        <v>4092</v>
      </c>
      <c r="D655" s="126" t="s">
        <v>2181</v>
      </c>
      <c r="E655" s="126">
        <v>342</v>
      </c>
      <c r="F655" s="126">
        <v>0</v>
      </c>
      <c r="G655" s="126">
        <v>172</v>
      </c>
      <c r="H655" s="126">
        <v>0</v>
      </c>
      <c r="I655" s="126">
        <v>50.29</v>
      </c>
      <c r="J655" s="126">
        <v>18.100000000000001</v>
      </c>
      <c r="K655" s="126">
        <v>0</v>
      </c>
      <c r="L655" s="126">
        <f t="shared" si="179"/>
        <v>342</v>
      </c>
      <c r="M655" s="126">
        <f t="shared" si="180"/>
        <v>172</v>
      </c>
      <c r="N655" s="171">
        <f t="shared" si="181"/>
        <v>0.50290000000000001</v>
      </c>
      <c r="O655" s="132">
        <f t="shared" si="182"/>
        <v>0</v>
      </c>
      <c r="P655" s="177">
        <f t="shared" si="183"/>
        <v>18.100000000000001</v>
      </c>
      <c r="Q655" s="177">
        <f t="shared" si="184"/>
        <v>18.100000000000001</v>
      </c>
      <c r="S655" s="233" t="b">
        <f t="shared" si="186"/>
        <v>0</v>
      </c>
    </row>
    <row r="656" spans="1:19">
      <c r="A656" s="126" t="s">
        <v>3848</v>
      </c>
      <c r="B656" s="126" t="str">
        <f t="shared" si="185"/>
        <v>D0346</v>
      </c>
      <c r="C656" s="126">
        <v>4094</v>
      </c>
      <c r="D656" s="126" t="s">
        <v>2183</v>
      </c>
      <c r="E656" s="126">
        <v>247</v>
      </c>
      <c r="F656" s="126">
        <v>0</v>
      </c>
      <c r="G656" s="126">
        <v>97</v>
      </c>
      <c r="H656" s="126">
        <v>0</v>
      </c>
      <c r="I656" s="126">
        <v>39.270000000000003</v>
      </c>
      <c r="J656" s="126">
        <v>0</v>
      </c>
      <c r="K656" s="126">
        <v>2.9</v>
      </c>
      <c r="L656" s="126">
        <f t="shared" si="179"/>
        <v>247</v>
      </c>
      <c r="M656" s="126">
        <f t="shared" si="180"/>
        <v>97</v>
      </c>
      <c r="N656" s="171">
        <f t="shared" si="181"/>
        <v>0.39269999999999999</v>
      </c>
      <c r="O656" s="132">
        <f t="shared" si="182"/>
        <v>2.9</v>
      </c>
      <c r="P656" s="177">
        <f t="shared" si="183"/>
        <v>0</v>
      </c>
      <c r="Q656" s="177">
        <f t="shared" si="184"/>
        <v>2.9</v>
      </c>
      <c r="S656" s="233" t="b">
        <f t="shared" si="186"/>
        <v>0</v>
      </c>
    </row>
    <row r="657" spans="1:19">
      <c r="A657" s="126" t="s">
        <v>3849</v>
      </c>
      <c r="B657" s="126" t="str">
        <f t="shared" si="185"/>
        <v>D0348</v>
      </c>
      <c r="C657" s="126">
        <v>4141</v>
      </c>
      <c r="D657" s="126" t="s">
        <v>2188</v>
      </c>
      <c r="E657" s="126">
        <v>325</v>
      </c>
      <c r="F657" s="126">
        <v>0</v>
      </c>
      <c r="G657" s="126">
        <v>77</v>
      </c>
      <c r="H657" s="126">
        <v>0</v>
      </c>
      <c r="I657" s="126">
        <v>23.69</v>
      </c>
      <c r="J657" s="126">
        <v>0</v>
      </c>
      <c r="K657" s="126">
        <v>0</v>
      </c>
      <c r="L657" s="126">
        <f t="shared" si="179"/>
        <v>325</v>
      </c>
      <c r="M657" s="126">
        <f t="shared" si="180"/>
        <v>77</v>
      </c>
      <c r="N657" s="171">
        <f t="shared" si="181"/>
        <v>0.2369</v>
      </c>
      <c r="O657" s="132">
        <f t="shared" si="182"/>
        <v>0</v>
      </c>
      <c r="P657" s="177">
        <f t="shared" si="183"/>
        <v>0</v>
      </c>
      <c r="Q657" s="177">
        <f t="shared" si="184"/>
        <v>0</v>
      </c>
      <c r="S657" s="233" t="b">
        <f t="shared" si="186"/>
        <v>0</v>
      </c>
    </row>
    <row r="658" spans="1:19">
      <c r="A658" s="126" t="s">
        <v>3849</v>
      </c>
      <c r="B658" s="126" t="str">
        <f t="shared" si="185"/>
        <v>D0348</v>
      </c>
      <c r="C658" s="126">
        <v>4142</v>
      </c>
      <c r="D658" s="126" t="s">
        <v>2190</v>
      </c>
      <c r="E658" s="126">
        <v>447</v>
      </c>
      <c r="F658" s="126">
        <v>0</v>
      </c>
      <c r="G658" s="126">
        <v>84</v>
      </c>
      <c r="H658" s="126">
        <v>0</v>
      </c>
      <c r="I658" s="126">
        <v>18.79</v>
      </c>
      <c r="J658" s="126">
        <v>0</v>
      </c>
      <c r="K658" s="126">
        <v>0</v>
      </c>
      <c r="L658" s="126">
        <f t="shared" si="179"/>
        <v>447</v>
      </c>
      <c r="M658" s="126">
        <f t="shared" si="180"/>
        <v>84</v>
      </c>
      <c r="N658" s="171">
        <f t="shared" si="181"/>
        <v>0.18790000000000001</v>
      </c>
      <c r="O658" s="132">
        <f t="shared" si="182"/>
        <v>0</v>
      </c>
      <c r="P658" s="177">
        <f t="shared" si="183"/>
        <v>0</v>
      </c>
      <c r="Q658" s="177">
        <f t="shared" si="184"/>
        <v>0</v>
      </c>
      <c r="S658" s="233" t="b">
        <f t="shared" si="186"/>
        <v>0</v>
      </c>
    </row>
    <row r="659" spans="1:19">
      <c r="A659" s="126" t="s">
        <v>3849</v>
      </c>
      <c r="B659" s="126" t="str">
        <f t="shared" si="185"/>
        <v>D0348</v>
      </c>
      <c r="C659" s="126">
        <v>4150</v>
      </c>
      <c r="D659" s="126" t="s">
        <v>2192</v>
      </c>
      <c r="E659" s="126">
        <v>306</v>
      </c>
      <c r="F659" s="126">
        <v>0</v>
      </c>
      <c r="G659" s="126">
        <v>65</v>
      </c>
      <c r="H659" s="126">
        <v>0</v>
      </c>
      <c r="I659" s="126">
        <v>21.24</v>
      </c>
      <c r="J659" s="126">
        <v>0</v>
      </c>
      <c r="K659" s="126">
        <v>0</v>
      </c>
      <c r="L659" s="126">
        <f t="shared" si="179"/>
        <v>306</v>
      </c>
      <c r="M659" s="126">
        <f t="shared" si="180"/>
        <v>65</v>
      </c>
      <c r="N659" s="171">
        <f t="shared" si="181"/>
        <v>0.21240000000000001</v>
      </c>
      <c r="O659" s="132">
        <f t="shared" si="182"/>
        <v>0</v>
      </c>
      <c r="P659" s="177">
        <f t="shared" si="183"/>
        <v>0</v>
      </c>
      <c r="Q659" s="177">
        <f t="shared" si="184"/>
        <v>0</v>
      </c>
      <c r="S659" s="233" t="b">
        <f t="shared" si="186"/>
        <v>0</v>
      </c>
    </row>
    <row r="660" spans="1:19">
      <c r="A660" s="126" t="s">
        <v>3849</v>
      </c>
      <c r="B660" s="126" t="str">
        <f t="shared" si="185"/>
        <v>D0348</v>
      </c>
      <c r="C660" s="126">
        <v>4151</v>
      </c>
      <c r="D660" s="126" t="s">
        <v>2194</v>
      </c>
      <c r="E660" s="126">
        <v>301</v>
      </c>
      <c r="F660" s="126">
        <v>0</v>
      </c>
      <c r="G660" s="126">
        <v>57</v>
      </c>
      <c r="H660" s="126">
        <v>0</v>
      </c>
      <c r="I660" s="126">
        <v>18.940000000000001</v>
      </c>
      <c r="J660" s="126">
        <v>0</v>
      </c>
      <c r="K660" s="126">
        <v>0</v>
      </c>
      <c r="L660" s="126">
        <f t="shared" ref="L660:L689" si="187">SUM(E660:F660)</f>
        <v>301</v>
      </c>
      <c r="M660" s="126">
        <f t="shared" ref="M660:M689" si="188">SUM(G660:H660)</f>
        <v>57</v>
      </c>
      <c r="N660" s="171">
        <f t="shared" ref="N660:N689" si="189">IF(ISERROR(M660/L660),0,M660/L660)</f>
        <v>0.18940000000000001</v>
      </c>
      <c r="O660" s="132">
        <f t="shared" ref="O660:O689" si="190">IF(AND((N660-35%)&gt;0,N660&lt;50%),M660*(N660-35%)*0.7,0)</f>
        <v>0</v>
      </c>
      <c r="P660" s="177">
        <f t="shared" ref="P660:P689" si="191">IF(N660&gt;=50%,M660*10.5%,0)</f>
        <v>0</v>
      </c>
      <c r="Q660" s="177">
        <f t="shared" ref="Q660:Q689" si="192">MAX(O660,P660)</f>
        <v>0</v>
      </c>
      <c r="S660" s="233" t="b">
        <f t="shared" si="186"/>
        <v>0</v>
      </c>
    </row>
    <row r="661" spans="1:19">
      <c r="A661" s="126" t="s">
        <v>3850</v>
      </c>
      <c r="B661" s="126" t="str">
        <f t="shared" si="185"/>
        <v>D0349</v>
      </c>
      <c r="C661" s="126">
        <v>4158</v>
      </c>
      <c r="D661" s="126" t="s">
        <v>2196</v>
      </c>
      <c r="E661" s="126">
        <v>104</v>
      </c>
      <c r="F661" s="126">
        <v>0</v>
      </c>
      <c r="G661" s="126">
        <v>55</v>
      </c>
      <c r="H661" s="126">
        <v>0</v>
      </c>
      <c r="I661" s="126">
        <v>52.88</v>
      </c>
      <c r="J661" s="126">
        <v>5.8</v>
      </c>
      <c r="K661" s="126">
        <v>0</v>
      </c>
      <c r="L661" s="126">
        <f t="shared" si="187"/>
        <v>104</v>
      </c>
      <c r="M661" s="126">
        <f t="shared" si="188"/>
        <v>55</v>
      </c>
      <c r="N661" s="171">
        <f t="shared" si="189"/>
        <v>0.52880000000000005</v>
      </c>
      <c r="O661" s="132">
        <f t="shared" si="190"/>
        <v>0</v>
      </c>
      <c r="P661" s="177">
        <f t="shared" si="191"/>
        <v>5.8</v>
      </c>
      <c r="Q661" s="177">
        <f t="shared" si="192"/>
        <v>5.8</v>
      </c>
      <c r="S661" s="233" t="b">
        <f t="shared" si="186"/>
        <v>0</v>
      </c>
    </row>
    <row r="662" spans="1:19">
      <c r="A662" s="126" t="s">
        <v>3850</v>
      </c>
      <c r="B662" s="126" t="str">
        <f t="shared" si="185"/>
        <v>D0349</v>
      </c>
      <c r="C662" s="126">
        <v>4164</v>
      </c>
      <c r="D662" s="126" t="s">
        <v>2198</v>
      </c>
      <c r="E662" s="126">
        <v>105</v>
      </c>
      <c r="F662" s="126">
        <v>0</v>
      </c>
      <c r="G662" s="126">
        <v>46</v>
      </c>
      <c r="H662" s="126">
        <v>0</v>
      </c>
      <c r="I662" s="126">
        <v>43.81</v>
      </c>
      <c r="J662" s="126">
        <v>0</v>
      </c>
      <c r="K662" s="126">
        <v>2.8</v>
      </c>
      <c r="L662" s="126">
        <f t="shared" si="187"/>
        <v>105</v>
      </c>
      <c r="M662" s="126">
        <f t="shared" si="188"/>
        <v>46</v>
      </c>
      <c r="N662" s="171">
        <f t="shared" si="189"/>
        <v>0.43809999999999999</v>
      </c>
      <c r="O662" s="132">
        <f t="shared" si="190"/>
        <v>2.8</v>
      </c>
      <c r="P662" s="177">
        <f t="shared" si="191"/>
        <v>0</v>
      </c>
      <c r="Q662" s="177">
        <f t="shared" si="192"/>
        <v>2.8</v>
      </c>
      <c r="S662" s="233" t="b">
        <f t="shared" si="186"/>
        <v>0</v>
      </c>
    </row>
    <row r="663" spans="1:19">
      <c r="A663" s="126" t="s">
        <v>3851</v>
      </c>
      <c r="B663" s="126" t="str">
        <f t="shared" si="185"/>
        <v>D0353</v>
      </c>
      <c r="C663" s="126">
        <v>4260</v>
      </c>
      <c r="D663" s="126" t="s">
        <v>1026</v>
      </c>
      <c r="E663" s="126">
        <v>282</v>
      </c>
      <c r="F663" s="126">
        <v>0</v>
      </c>
      <c r="G663" s="126">
        <v>86</v>
      </c>
      <c r="H663" s="126">
        <v>0</v>
      </c>
      <c r="I663" s="126">
        <v>30.5</v>
      </c>
      <c r="J663" s="126">
        <v>0</v>
      </c>
      <c r="K663" s="126">
        <v>0</v>
      </c>
      <c r="L663" s="126">
        <f t="shared" si="187"/>
        <v>282</v>
      </c>
      <c r="M663" s="126">
        <f t="shared" si="188"/>
        <v>86</v>
      </c>
      <c r="N663" s="171">
        <f t="shared" si="189"/>
        <v>0.30499999999999999</v>
      </c>
      <c r="O663" s="132">
        <f t="shared" si="190"/>
        <v>0</v>
      </c>
      <c r="P663" s="177">
        <f t="shared" si="191"/>
        <v>0</v>
      </c>
      <c r="Q663" s="177">
        <f t="shared" si="192"/>
        <v>0</v>
      </c>
      <c r="S663" s="233" t="b">
        <f t="shared" si="186"/>
        <v>0</v>
      </c>
    </row>
    <row r="664" spans="1:19">
      <c r="A664" s="126" t="s">
        <v>3851</v>
      </c>
      <c r="B664" s="126" t="str">
        <f t="shared" si="185"/>
        <v>D0353</v>
      </c>
      <c r="C664" s="126">
        <v>4265</v>
      </c>
      <c r="D664" s="126" t="s">
        <v>2215</v>
      </c>
      <c r="E664" s="126">
        <v>185</v>
      </c>
      <c r="F664" s="126">
        <v>0</v>
      </c>
      <c r="G664" s="126">
        <v>116</v>
      </c>
      <c r="H664" s="126">
        <v>0</v>
      </c>
      <c r="I664" s="126">
        <v>62.7</v>
      </c>
      <c r="J664" s="126">
        <v>12.2</v>
      </c>
      <c r="K664" s="126">
        <v>0</v>
      </c>
      <c r="L664" s="126">
        <f t="shared" si="187"/>
        <v>185</v>
      </c>
      <c r="M664" s="126">
        <f t="shared" si="188"/>
        <v>116</v>
      </c>
      <c r="N664" s="171">
        <f t="shared" si="189"/>
        <v>0.627</v>
      </c>
      <c r="O664" s="132">
        <f t="shared" si="190"/>
        <v>0</v>
      </c>
      <c r="P664" s="177">
        <f t="shared" si="191"/>
        <v>12.2</v>
      </c>
      <c r="Q664" s="177">
        <f t="shared" si="192"/>
        <v>12.2</v>
      </c>
      <c r="S664" s="233" t="b">
        <f t="shared" si="186"/>
        <v>0</v>
      </c>
    </row>
    <row r="665" spans="1:19">
      <c r="A665" s="126" t="s">
        <v>3851</v>
      </c>
      <c r="B665" s="126" t="str">
        <f t="shared" si="185"/>
        <v>D0353</v>
      </c>
      <c r="C665" s="126">
        <v>4266</v>
      </c>
      <c r="D665" s="126" t="s">
        <v>1490</v>
      </c>
      <c r="E665" s="126">
        <v>167</v>
      </c>
      <c r="F665" s="126">
        <v>0</v>
      </c>
      <c r="G665" s="126">
        <v>107</v>
      </c>
      <c r="H665" s="126">
        <v>0</v>
      </c>
      <c r="I665" s="126">
        <v>64.069999999999993</v>
      </c>
      <c r="J665" s="126">
        <v>11.2</v>
      </c>
      <c r="K665" s="126">
        <v>0</v>
      </c>
      <c r="L665" s="126">
        <f t="shared" si="187"/>
        <v>167</v>
      </c>
      <c r="M665" s="126">
        <f t="shared" si="188"/>
        <v>107</v>
      </c>
      <c r="N665" s="171">
        <f t="shared" si="189"/>
        <v>0.64070000000000005</v>
      </c>
      <c r="O665" s="132">
        <f t="shared" si="190"/>
        <v>0</v>
      </c>
      <c r="P665" s="177">
        <f t="shared" si="191"/>
        <v>11.2</v>
      </c>
      <c r="Q665" s="177">
        <f t="shared" si="192"/>
        <v>11.2</v>
      </c>
      <c r="S665" s="233" t="b">
        <f t="shared" si="186"/>
        <v>0</v>
      </c>
    </row>
    <row r="666" spans="1:19">
      <c r="A666" s="126" t="s">
        <v>3851</v>
      </c>
      <c r="B666" s="126" t="str">
        <f t="shared" si="185"/>
        <v>D0353</v>
      </c>
      <c r="C666" s="126">
        <v>4274</v>
      </c>
      <c r="D666" s="126" t="s">
        <v>1283</v>
      </c>
      <c r="E666" s="126">
        <v>105</v>
      </c>
      <c r="F666" s="126">
        <v>0</v>
      </c>
      <c r="G666" s="126">
        <v>56</v>
      </c>
      <c r="H666" s="126">
        <v>0</v>
      </c>
      <c r="I666" s="126">
        <v>53.33</v>
      </c>
      <c r="J666" s="126">
        <v>5.9</v>
      </c>
      <c r="K666" s="126">
        <v>0</v>
      </c>
      <c r="L666" s="126">
        <f t="shared" si="187"/>
        <v>105</v>
      </c>
      <c r="M666" s="126">
        <f t="shared" si="188"/>
        <v>56</v>
      </c>
      <c r="N666" s="171">
        <f t="shared" si="189"/>
        <v>0.5333</v>
      </c>
      <c r="O666" s="132">
        <f t="shared" si="190"/>
        <v>0</v>
      </c>
      <c r="P666" s="177">
        <f t="shared" si="191"/>
        <v>5.9</v>
      </c>
      <c r="Q666" s="177">
        <f t="shared" si="192"/>
        <v>5.9</v>
      </c>
      <c r="S666" s="233" t="b">
        <f t="shared" si="186"/>
        <v>0</v>
      </c>
    </row>
    <row r="667" spans="1:19">
      <c r="A667" s="126" t="s">
        <v>3851</v>
      </c>
      <c r="B667" s="126" t="str">
        <f t="shared" si="185"/>
        <v>D0353</v>
      </c>
      <c r="C667" s="126">
        <v>4276</v>
      </c>
      <c r="D667" s="126" t="s">
        <v>2219</v>
      </c>
      <c r="E667" s="126">
        <v>353</v>
      </c>
      <c r="F667" s="126">
        <v>0</v>
      </c>
      <c r="G667" s="126">
        <v>153</v>
      </c>
      <c r="H667" s="126">
        <v>0</v>
      </c>
      <c r="I667" s="126">
        <v>43.34</v>
      </c>
      <c r="J667" s="126">
        <v>0</v>
      </c>
      <c r="K667" s="126">
        <v>8.9</v>
      </c>
      <c r="L667" s="126">
        <f t="shared" si="187"/>
        <v>353</v>
      </c>
      <c r="M667" s="126">
        <f t="shared" si="188"/>
        <v>153</v>
      </c>
      <c r="N667" s="171">
        <f t="shared" si="189"/>
        <v>0.43340000000000001</v>
      </c>
      <c r="O667" s="132">
        <f t="shared" si="190"/>
        <v>8.9</v>
      </c>
      <c r="P667" s="177">
        <f t="shared" si="191"/>
        <v>0</v>
      </c>
      <c r="Q667" s="177">
        <f t="shared" si="192"/>
        <v>8.9</v>
      </c>
      <c r="S667" s="233" t="b">
        <f t="shared" si="186"/>
        <v>0</v>
      </c>
    </row>
    <row r="668" spans="1:19">
      <c r="A668" s="126" t="s">
        <v>3851</v>
      </c>
      <c r="B668" s="126" t="str">
        <f t="shared" si="185"/>
        <v>D0353</v>
      </c>
      <c r="C668" s="126">
        <v>4280</v>
      </c>
      <c r="D668" s="126" t="s">
        <v>2221</v>
      </c>
      <c r="E668" s="126">
        <v>483</v>
      </c>
      <c r="F668" s="126">
        <v>0</v>
      </c>
      <c r="G668" s="126">
        <v>177</v>
      </c>
      <c r="H668" s="126">
        <v>0</v>
      </c>
      <c r="I668" s="126">
        <v>36.65</v>
      </c>
      <c r="J668" s="126">
        <v>0</v>
      </c>
      <c r="K668" s="126">
        <v>2</v>
      </c>
      <c r="L668" s="126">
        <f t="shared" si="187"/>
        <v>483</v>
      </c>
      <c r="M668" s="126">
        <f t="shared" si="188"/>
        <v>177</v>
      </c>
      <c r="N668" s="171">
        <f t="shared" si="189"/>
        <v>0.36649999999999999</v>
      </c>
      <c r="O668" s="132">
        <f t="shared" si="190"/>
        <v>2</v>
      </c>
      <c r="P668" s="177">
        <f t="shared" si="191"/>
        <v>0</v>
      </c>
      <c r="Q668" s="177">
        <f t="shared" si="192"/>
        <v>2</v>
      </c>
      <c r="S668" s="233" t="b">
        <f t="shared" si="186"/>
        <v>0</v>
      </c>
    </row>
    <row r="669" spans="1:19">
      <c r="A669" s="126" t="s">
        <v>3853</v>
      </c>
      <c r="B669" s="126" t="str">
        <f t="shared" si="185"/>
        <v>D0377</v>
      </c>
      <c r="C669" s="126">
        <v>4889</v>
      </c>
      <c r="D669" s="126" t="s">
        <v>2356</v>
      </c>
      <c r="E669" s="126">
        <v>238</v>
      </c>
      <c r="F669" s="126">
        <v>0</v>
      </c>
      <c r="G669" s="126">
        <v>69</v>
      </c>
      <c r="H669" s="126">
        <v>0</v>
      </c>
      <c r="I669" s="126">
        <v>28.99</v>
      </c>
      <c r="J669" s="126">
        <v>0</v>
      </c>
      <c r="K669" s="126">
        <v>0</v>
      </c>
      <c r="L669" s="126">
        <f t="shared" si="187"/>
        <v>238</v>
      </c>
      <c r="M669" s="126">
        <f t="shared" si="188"/>
        <v>69</v>
      </c>
      <c r="N669" s="171">
        <f t="shared" si="189"/>
        <v>0.28989999999999999</v>
      </c>
      <c r="O669" s="132">
        <f t="shared" si="190"/>
        <v>0</v>
      </c>
      <c r="P669" s="177">
        <f t="shared" si="191"/>
        <v>0</v>
      </c>
      <c r="Q669" s="177">
        <f t="shared" si="192"/>
        <v>0</v>
      </c>
      <c r="S669" s="233" t="b">
        <f t="shared" si="186"/>
        <v>0</v>
      </c>
    </row>
    <row r="670" spans="1:19">
      <c r="A670" s="126" t="s">
        <v>3853</v>
      </c>
      <c r="B670" s="126" t="str">
        <f t="shared" si="185"/>
        <v>D0377</v>
      </c>
      <c r="C670" s="126">
        <v>4891</v>
      </c>
      <c r="D670" s="126" t="s">
        <v>2358</v>
      </c>
      <c r="E670" s="126">
        <v>252</v>
      </c>
      <c r="F670" s="126">
        <v>0</v>
      </c>
      <c r="G670" s="126">
        <v>88</v>
      </c>
      <c r="H670" s="126">
        <v>0</v>
      </c>
      <c r="I670" s="126">
        <v>34.92</v>
      </c>
      <c r="J670" s="126">
        <v>0</v>
      </c>
      <c r="K670" s="126">
        <v>0</v>
      </c>
      <c r="L670" s="126">
        <f t="shared" si="187"/>
        <v>252</v>
      </c>
      <c r="M670" s="126">
        <f t="shared" si="188"/>
        <v>88</v>
      </c>
      <c r="N670" s="171">
        <f t="shared" si="189"/>
        <v>0.34920000000000001</v>
      </c>
      <c r="O670" s="132">
        <f t="shared" si="190"/>
        <v>0</v>
      </c>
      <c r="P670" s="177">
        <f t="shared" si="191"/>
        <v>0</v>
      </c>
      <c r="Q670" s="177">
        <f t="shared" si="192"/>
        <v>0</v>
      </c>
      <c r="S670" s="233" t="b">
        <f t="shared" si="186"/>
        <v>0</v>
      </c>
    </row>
    <row r="671" spans="1:19">
      <c r="A671" s="126" t="s">
        <v>3854</v>
      </c>
      <c r="B671" s="126" t="str">
        <f t="shared" si="185"/>
        <v>D0381</v>
      </c>
      <c r="C671" s="126">
        <v>5058</v>
      </c>
      <c r="D671" s="126" t="s">
        <v>2382</v>
      </c>
      <c r="E671" s="126">
        <v>152</v>
      </c>
      <c r="F671" s="126">
        <v>0</v>
      </c>
      <c r="G671" s="126">
        <v>37</v>
      </c>
      <c r="H671" s="126">
        <v>0</v>
      </c>
      <c r="I671" s="126">
        <v>24.34</v>
      </c>
      <c r="J671" s="126">
        <v>0</v>
      </c>
      <c r="K671" s="126">
        <v>0</v>
      </c>
      <c r="L671" s="126">
        <f t="shared" si="187"/>
        <v>152</v>
      </c>
      <c r="M671" s="126">
        <f t="shared" si="188"/>
        <v>37</v>
      </c>
      <c r="N671" s="171">
        <f t="shared" si="189"/>
        <v>0.24340000000000001</v>
      </c>
      <c r="O671" s="132">
        <f t="shared" si="190"/>
        <v>0</v>
      </c>
      <c r="P671" s="177">
        <f t="shared" si="191"/>
        <v>0</v>
      </c>
      <c r="Q671" s="177">
        <f t="shared" si="192"/>
        <v>0</v>
      </c>
      <c r="S671" s="233" t="b">
        <f t="shared" si="186"/>
        <v>0</v>
      </c>
    </row>
    <row r="672" spans="1:19">
      <c r="A672" s="126" t="s">
        <v>3854</v>
      </c>
      <c r="B672" s="126" t="str">
        <f t="shared" si="185"/>
        <v>D0381</v>
      </c>
      <c r="C672" s="126">
        <v>5060</v>
      </c>
      <c r="D672" s="126" t="s">
        <v>2384</v>
      </c>
      <c r="E672" s="126">
        <v>176</v>
      </c>
      <c r="F672" s="126">
        <v>0</v>
      </c>
      <c r="G672" s="126">
        <v>30</v>
      </c>
      <c r="H672" s="126">
        <v>0</v>
      </c>
      <c r="I672" s="126">
        <v>17.05</v>
      </c>
      <c r="J672" s="126">
        <v>0</v>
      </c>
      <c r="K672" s="126">
        <v>0</v>
      </c>
      <c r="L672" s="126">
        <f t="shared" si="187"/>
        <v>176</v>
      </c>
      <c r="M672" s="126">
        <f t="shared" si="188"/>
        <v>30</v>
      </c>
      <c r="N672" s="171">
        <f t="shared" si="189"/>
        <v>0.17050000000000001</v>
      </c>
      <c r="O672" s="132">
        <f t="shared" si="190"/>
        <v>0</v>
      </c>
      <c r="P672" s="177">
        <f t="shared" si="191"/>
        <v>0</v>
      </c>
      <c r="Q672" s="177">
        <f t="shared" si="192"/>
        <v>0</v>
      </c>
      <c r="S672" s="233" t="b">
        <f t="shared" si="186"/>
        <v>0</v>
      </c>
    </row>
    <row r="673" spans="1:19">
      <c r="A673" s="126" t="s">
        <v>3855</v>
      </c>
      <c r="B673" s="126" t="str">
        <f t="shared" si="185"/>
        <v>D0394</v>
      </c>
      <c r="C673" s="126">
        <v>5370</v>
      </c>
      <c r="D673" s="126" t="s">
        <v>2462</v>
      </c>
      <c r="E673" s="126">
        <v>373</v>
      </c>
      <c r="F673" s="126">
        <v>0</v>
      </c>
      <c r="G673" s="126">
        <v>96</v>
      </c>
      <c r="H673" s="126">
        <v>0</v>
      </c>
      <c r="I673" s="126">
        <v>25.74</v>
      </c>
      <c r="J673" s="126">
        <v>0</v>
      </c>
      <c r="K673" s="126">
        <v>0</v>
      </c>
      <c r="L673" s="126">
        <f t="shared" si="187"/>
        <v>373</v>
      </c>
      <c r="M673" s="126">
        <f t="shared" si="188"/>
        <v>96</v>
      </c>
      <c r="N673" s="171">
        <f t="shared" si="189"/>
        <v>0.25740000000000002</v>
      </c>
      <c r="O673" s="132">
        <f t="shared" si="190"/>
        <v>0</v>
      </c>
      <c r="P673" s="177">
        <f t="shared" si="191"/>
        <v>0</v>
      </c>
      <c r="Q673" s="177">
        <f t="shared" si="192"/>
        <v>0</v>
      </c>
      <c r="S673" s="233" t="b">
        <f t="shared" si="186"/>
        <v>0</v>
      </c>
    </row>
    <row r="674" spans="1:19">
      <c r="A674" s="126" t="s">
        <v>3855</v>
      </c>
      <c r="B674" s="126" t="str">
        <f t="shared" si="185"/>
        <v>D0394</v>
      </c>
      <c r="C674" s="126">
        <v>5371</v>
      </c>
      <c r="D674" s="126" t="s">
        <v>2464</v>
      </c>
      <c r="E674" s="126">
        <v>330</v>
      </c>
      <c r="F674" s="126">
        <v>0</v>
      </c>
      <c r="G674" s="126">
        <v>63</v>
      </c>
      <c r="H674" s="126">
        <v>0</v>
      </c>
      <c r="I674" s="126">
        <v>19.09</v>
      </c>
      <c r="J674" s="126">
        <v>0</v>
      </c>
      <c r="K674" s="126">
        <v>0</v>
      </c>
      <c r="L674" s="126">
        <f t="shared" si="187"/>
        <v>330</v>
      </c>
      <c r="M674" s="126">
        <f t="shared" si="188"/>
        <v>63</v>
      </c>
      <c r="N674" s="171">
        <f t="shared" si="189"/>
        <v>0.19089999999999999</v>
      </c>
      <c r="O674" s="132">
        <f t="shared" si="190"/>
        <v>0</v>
      </c>
      <c r="P674" s="177">
        <f t="shared" si="191"/>
        <v>0</v>
      </c>
      <c r="Q674" s="177">
        <f t="shared" si="192"/>
        <v>0</v>
      </c>
      <c r="S674" s="233" t="b">
        <f t="shared" si="186"/>
        <v>0</v>
      </c>
    </row>
    <row r="675" spans="1:19">
      <c r="A675" s="126" t="s">
        <v>3855</v>
      </c>
      <c r="B675" s="126" t="str">
        <f t="shared" si="185"/>
        <v>D0394</v>
      </c>
      <c r="C675" s="126">
        <v>5372</v>
      </c>
      <c r="D675" s="126" t="s">
        <v>2466</v>
      </c>
      <c r="E675" s="126">
        <v>521</v>
      </c>
      <c r="F675" s="126">
        <v>0</v>
      </c>
      <c r="G675" s="126">
        <v>76</v>
      </c>
      <c r="H675" s="126">
        <v>0</v>
      </c>
      <c r="I675" s="126">
        <v>14.59</v>
      </c>
      <c r="J675" s="126">
        <v>0</v>
      </c>
      <c r="K675" s="126">
        <v>0</v>
      </c>
      <c r="L675" s="126">
        <f t="shared" si="187"/>
        <v>521</v>
      </c>
      <c r="M675" s="126">
        <f t="shared" si="188"/>
        <v>76</v>
      </c>
      <c r="N675" s="171">
        <f t="shared" si="189"/>
        <v>0.1459</v>
      </c>
      <c r="O675" s="132">
        <f t="shared" si="190"/>
        <v>0</v>
      </c>
      <c r="P675" s="177">
        <f t="shared" si="191"/>
        <v>0</v>
      </c>
      <c r="Q675" s="177">
        <f t="shared" si="192"/>
        <v>0</v>
      </c>
      <c r="S675" s="233" t="b">
        <f t="shared" si="186"/>
        <v>0</v>
      </c>
    </row>
    <row r="676" spans="1:19">
      <c r="A676" s="126" t="s">
        <v>3855</v>
      </c>
      <c r="B676" s="126" t="str">
        <f t="shared" si="185"/>
        <v>D0394</v>
      </c>
      <c r="C676" s="126">
        <v>5374</v>
      </c>
      <c r="D676" s="126" t="s">
        <v>2468</v>
      </c>
      <c r="E676" s="126">
        <v>370</v>
      </c>
      <c r="F676" s="126">
        <v>0</v>
      </c>
      <c r="G676" s="126">
        <v>91</v>
      </c>
      <c r="H676" s="126">
        <v>0</v>
      </c>
      <c r="I676" s="126">
        <v>24.59</v>
      </c>
      <c r="J676" s="126">
        <v>0</v>
      </c>
      <c r="K676" s="126">
        <v>0</v>
      </c>
      <c r="L676" s="126">
        <f t="shared" si="187"/>
        <v>370</v>
      </c>
      <c r="M676" s="126">
        <f t="shared" si="188"/>
        <v>91</v>
      </c>
      <c r="N676" s="171">
        <f t="shared" si="189"/>
        <v>0.24590000000000001</v>
      </c>
      <c r="O676" s="132">
        <f t="shared" si="190"/>
        <v>0</v>
      </c>
      <c r="P676" s="177">
        <f t="shared" si="191"/>
        <v>0</v>
      </c>
      <c r="Q676" s="177">
        <f t="shared" si="192"/>
        <v>0</v>
      </c>
      <c r="S676" s="233" t="b">
        <f t="shared" si="186"/>
        <v>0</v>
      </c>
    </row>
    <row r="677" spans="1:19">
      <c r="A677" s="126" t="s">
        <v>3856</v>
      </c>
      <c r="B677" s="126" t="str">
        <f t="shared" si="185"/>
        <v>D0395</v>
      </c>
      <c r="C677" s="126">
        <v>5389</v>
      </c>
      <c r="D677" s="126" t="s">
        <v>2470</v>
      </c>
      <c r="E677" s="126">
        <v>128</v>
      </c>
      <c r="F677" s="126">
        <v>0</v>
      </c>
      <c r="G677" s="126">
        <v>49</v>
      </c>
      <c r="H677" s="126">
        <v>0</v>
      </c>
      <c r="I677" s="126">
        <v>38.28</v>
      </c>
      <c r="J677" s="126">
        <v>0</v>
      </c>
      <c r="K677" s="126">
        <v>1.1000000000000001</v>
      </c>
      <c r="L677" s="126">
        <f t="shared" si="187"/>
        <v>128</v>
      </c>
      <c r="M677" s="126">
        <f t="shared" si="188"/>
        <v>49</v>
      </c>
      <c r="N677" s="171">
        <f t="shared" si="189"/>
        <v>0.38279999999999997</v>
      </c>
      <c r="O677" s="132">
        <f t="shared" si="190"/>
        <v>1.1000000000000001</v>
      </c>
      <c r="P677" s="177">
        <f t="shared" si="191"/>
        <v>0</v>
      </c>
      <c r="Q677" s="177">
        <f t="shared" si="192"/>
        <v>1.1000000000000001</v>
      </c>
      <c r="S677" s="233" t="b">
        <f t="shared" si="186"/>
        <v>0</v>
      </c>
    </row>
    <row r="678" spans="1:19">
      <c r="A678" s="126" t="s">
        <v>3856</v>
      </c>
      <c r="B678" s="126" t="str">
        <f t="shared" si="185"/>
        <v>D0395</v>
      </c>
      <c r="C678" s="126">
        <v>5390</v>
      </c>
      <c r="D678" s="126" t="s">
        <v>2472</v>
      </c>
      <c r="E678" s="126">
        <v>85</v>
      </c>
      <c r="F678" s="126">
        <v>0</v>
      </c>
      <c r="G678" s="126">
        <v>35</v>
      </c>
      <c r="H678" s="126">
        <v>0</v>
      </c>
      <c r="I678" s="126">
        <v>41.18</v>
      </c>
      <c r="J678" s="126">
        <v>0</v>
      </c>
      <c r="K678" s="126">
        <v>1.5</v>
      </c>
      <c r="L678" s="126">
        <f t="shared" si="187"/>
        <v>85</v>
      </c>
      <c r="M678" s="126">
        <f t="shared" si="188"/>
        <v>35</v>
      </c>
      <c r="N678" s="171">
        <f t="shared" si="189"/>
        <v>0.4118</v>
      </c>
      <c r="O678" s="132">
        <f t="shared" si="190"/>
        <v>1.5</v>
      </c>
      <c r="P678" s="177">
        <f t="shared" si="191"/>
        <v>0</v>
      </c>
      <c r="Q678" s="177">
        <f t="shared" si="192"/>
        <v>1.5</v>
      </c>
      <c r="S678" s="233" t="b">
        <f t="shared" si="186"/>
        <v>0</v>
      </c>
    </row>
    <row r="679" spans="1:19">
      <c r="A679" s="126" t="s">
        <v>3856</v>
      </c>
      <c r="B679" s="126" t="str">
        <f t="shared" si="185"/>
        <v>D0395</v>
      </c>
      <c r="C679" s="126">
        <v>5396</v>
      </c>
      <c r="D679" s="126" t="s">
        <v>2474</v>
      </c>
      <c r="E679" s="126">
        <v>48</v>
      </c>
      <c r="F679" s="126">
        <v>0</v>
      </c>
      <c r="G679" s="126">
        <v>22</v>
      </c>
      <c r="H679" s="126">
        <v>0</v>
      </c>
      <c r="I679" s="126">
        <v>45.83</v>
      </c>
      <c r="J679" s="126">
        <v>0</v>
      </c>
      <c r="K679" s="126">
        <v>1.7</v>
      </c>
      <c r="L679" s="126">
        <f t="shared" si="187"/>
        <v>48</v>
      </c>
      <c r="M679" s="126">
        <f t="shared" si="188"/>
        <v>22</v>
      </c>
      <c r="N679" s="171">
        <f t="shared" si="189"/>
        <v>0.45829999999999999</v>
      </c>
      <c r="O679" s="132">
        <f t="shared" si="190"/>
        <v>1.7</v>
      </c>
      <c r="P679" s="177">
        <f t="shared" si="191"/>
        <v>0</v>
      </c>
      <c r="Q679" s="177">
        <f t="shared" si="192"/>
        <v>1.7</v>
      </c>
      <c r="S679" s="233" t="b">
        <f t="shared" si="186"/>
        <v>0</v>
      </c>
    </row>
    <row r="680" spans="1:19">
      <c r="A680" s="126" t="s">
        <v>3858</v>
      </c>
      <c r="B680" s="126" t="str">
        <f t="shared" si="185"/>
        <v>D0403</v>
      </c>
      <c r="C680" s="126">
        <v>5587</v>
      </c>
      <c r="D680" s="126" t="s">
        <v>2516</v>
      </c>
      <c r="E680" s="126">
        <v>59</v>
      </c>
      <c r="F680" s="126">
        <v>0</v>
      </c>
      <c r="G680" s="126">
        <v>0</v>
      </c>
      <c r="H680" s="126">
        <v>0</v>
      </c>
      <c r="I680" s="126">
        <v>0</v>
      </c>
      <c r="J680" s="126">
        <v>0</v>
      </c>
      <c r="K680" s="126">
        <v>0</v>
      </c>
      <c r="L680" s="126">
        <f t="shared" si="187"/>
        <v>59</v>
      </c>
      <c r="M680" s="126">
        <f t="shared" si="188"/>
        <v>0</v>
      </c>
      <c r="N680" s="171">
        <f t="shared" si="189"/>
        <v>0</v>
      </c>
      <c r="O680" s="132">
        <f t="shared" si="190"/>
        <v>0</v>
      </c>
      <c r="P680" s="177">
        <f t="shared" si="191"/>
        <v>0</v>
      </c>
      <c r="Q680" s="177">
        <f t="shared" si="192"/>
        <v>0</v>
      </c>
      <c r="S680" s="233" t="b">
        <f t="shared" si="186"/>
        <v>0</v>
      </c>
    </row>
    <row r="681" spans="1:19">
      <c r="A681" s="126" t="s">
        <v>3858</v>
      </c>
      <c r="B681" s="126" t="str">
        <f t="shared" si="185"/>
        <v>D0403</v>
      </c>
      <c r="C681" s="126">
        <v>5598</v>
      </c>
      <c r="D681" s="126" t="s">
        <v>2518</v>
      </c>
      <c r="E681" s="126">
        <v>84</v>
      </c>
      <c r="F681" s="126">
        <v>0</v>
      </c>
      <c r="G681" s="126">
        <v>31</v>
      </c>
      <c r="H681" s="126">
        <v>0</v>
      </c>
      <c r="I681" s="126">
        <v>36.9</v>
      </c>
      <c r="J681" s="126">
        <v>0</v>
      </c>
      <c r="K681" s="126">
        <v>0.4</v>
      </c>
      <c r="L681" s="126">
        <f t="shared" si="187"/>
        <v>84</v>
      </c>
      <c r="M681" s="126">
        <f t="shared" si="188"/>
        <v>31</v>
      </c>
      <c r="N681" s="171">
        <f t="shared" si="189"/>
        <v>0.36899999999999999</v>
      </c>
      <c r="O681" s="132">
        <f t="shared" si="190"/>
        <v>0.4</v>
      </c>
      <c r="P681" s="177">
        <f t="shared" si="191"/>
        <v>0</v>
      </c>
      <c r="Q681" s="177">
        <f t="shared" si="192"/>
        <v>0.4</v>
      </c>
      <c r="S681" s="233" t="b">
        <f t="shared" si="186"/>
        <v>0</v>
      </c>
    </row>
    <row r="682" spans="1:19">
      <c r="A682" s="126" t="s">
        <v>3858</v>
      </c>
      <c r="B682" s="126" t="str">
        <f t="shared" si="185"/>
        <v>D0403</v>
      </c>
      <c r="C682" s="126">
        <v>5600</v>
      </c>
      <c r="D682" s="126" t="s">
        <v>2520</v>
      </c>
      <c r="E682" s="126">
        <v>109</v>
      </c>
      <c r="F682" s="126">
        <v>0</v>
      </c>
      <c r="G682" s="126">
        <v>33</v>
      </c>
      <c r="H682" s="126">
        <v>0</v>
      </c>
      <c r="I682" s="126">
        <v>30.28</v>
      </c>
      <c r="J682" s="126">
        <v>0</v>
      </c>
      <c r="K682" s="126">
        <v>0</v>
      </c>
      <c r="L682" s="126">
        <f t="shared" si="187"/>
        <v>109</v>
      </c>
      <c r="M682" s="126">
        <f t="shared" si="188"/>
        <v>33</v>
      </c>
      <c r="N682" s="171">
        <f t="shared" si="189"/>
        <v>0.30280000000000001</v>
      </c>
      <c r="O682" s="132">
        <f t="shared" si="190"/>
        <v>0</v>
      </c>
      <c r="P682" s="177">
        <f t="shared" si="191"/>
        <v>0</v>
      </c>
      <c r="Q682" s="177">
        <f t="shared" si="192"/>
        <v>0</v>
      </c>
      <c r="S682" s="233" t="b">
        <f t="shared" si="186"/>
        <v>0</v>
      </c>
    </row>
    <row r="683" spans="1:19">
      <c r="A683" s="126" t="s">
        <v>3860</v>
      </c>
      <c r="B683" s="126" t="str">
        <f t="shared" ref="B683:B698" si="193">LEFT(A683,5)</f>
        <v>D0411</v>
      </c>
      <c r="C683" s="126">
        <v>5834</v>
      </c>
      <c r="D683" s="126" t="s">
        <v>2562</v>
      </c>
      <c r="E683" s="126">
        <v>131</v>
      </c>
      <c r="F683" s="126">
        <v>0</v>
      </c>
      <c r="G683" s="126">
        <v>31</v>
      </c>
      <c r="H683" s="126">
        <v>0</v>
      </c>
      <c r="I683" s="126">
        <v>23.66</v>
      </c>
      <c r="J683" s="126">
        <v>0</v>
      </c>
      <c r="K683" s="126">
        <v>0</v>
      </c>
      <c r="L683" s="126">
        <f t="shared" si="187"/>
        <v>131</v>
      </c>
      <c r="M683" s="126">
        <f t="shared" si="188"/>
        <v>31</v>
      </c>
      <c r="N683" s="171">
        <f t="shared" si="189"/>
        <v>0.2366</v>
      </c>
      <c r="O683" s="132">
        <f t="shared" si="190"/>
        <v>0</v>
      </c>
      <c r="P683" s="177">
        <f t="shared" si="191"/>
        <v>0</v>
      </c>
      <c r="Q683" s="177">
        <f t="shared" si="192"/>
        <v>0</v>
      </c>
      <c r="S683" s="233" t="b">
        <f t="shared" si="186"/>
        <v>0</v>
      </c>
    </row>
    <row r="684" spans="1:19">
      <c r="A684" s="126" t="s">
        <v>3860</v>
      </c>
      <c r="B684" s="126" t="str">
        <f t="shared" si="193"/>
        <v>D0411</v>
      </c>
      <c r="C684" s="126">
        <v>5836</v>
      </c>
      <c r="D684" s="126" t="s">
        <v>2564</v>
      </c>
      <c r="E684" s="126">
        <v>177</v>
      </c>
      <c r="F684" s="126">
        <v>0</v>
      </c>
      <c r="G684" s="126">
        <v>32</v>
      </c>
      <c r="H684" s="126">
        <v>0</v>
      </c>
      <c r="I684" s="126">
        <v>18.079999999999998</v>
      </c>
      <c r="J684" s="126">
        <v>0</v>
      </c>
      <c r="K684" s="126">
        <v>0</v>
      </c>
      <c r="L684" s="126">
        <f t="shared" si="187"/>
        <v>177</v>
      </c>
      <c r="M684" s="126">
        <f t="shared" si="188"/>
        <v>32</v>
      </c>
      <c r="N684" s="171">
        <f t="shared" si="189"/>
        <v>0.18079999999999999</v>
      </c>
      <c r="O684" s="132">
        <f t="shared" si="190"/>
        <v>0</v>
      </c>
      <c r="P684" s="177">
        <f t="shared" si="191"/>
        <v>0</v>
      </c>
      <c r="Q684" s="177">
        <f t="shared" si="192"/>
        <v>0</v>
      </c>
      <c r="S684" s="233" t="b">
        <f t="shared" si="186"/>
        <v>0</v>
      </c>
    </row>
    <row r="685" spans="1:19">
      <c r="A685" s="126" t="s">
        <v>3861</v>
      </c>
      <c r="B685" s="126" t="str">
        <f t="shared" si="193"/>
        <v>D0412</v>
      </c>
      <c r="C685" s="126">
        <v>5852</v>
      </c>
      <c r="D685" s="126" t="s">
        <v>2566</v>
      </c>
      <c r="E685" s="126">
        <v>228</v>
      </c>
      <c r="F685" s="126">
        <v>0</v>
      </c>
      <c r="G685" s="126">
        <v>42</v>
      </c>
      <c r="H685" s="126">
        <v>0</v>
      </c>
      <c r="I685" s="126">
        <v>18.420000000000002</v>
      </c>
      <c r="J685" s="126">
        <v>0</v>
      </c>
      <c r="K685" s="126">
        <v>0</v>
      </c>
      <c r="L685" s="126">
        <f t="shared" si="187"/>
        <v>228</v>
      </c>
      <c r="M685" s="126">
        <f t="shared" si="188"/>
        <v>42</v>
      </c>
      <c r="N685" s="171">
        <f t="shared" si="189"/>
        <v>0.1842</v>
      </c>
      <c r="O685" s="132">
        <f t="shared" si="190"/>
        <v>0</v>
      </c>
      <c r="P685" s="177">
        <f t="shared" si="191"/>
        <v>0</v>
      </c>
      <c r="Q685" s="177">
        <f t="shared" si="192"/>
        <v>0</v>
      </c>
      <c r="S685" s="233" t="b">
        <f t="shared" si="186"/>
        <v>0</v>
      </c>
    </row>
    <row r="686" spans="1:19">
      <c r="A686" s="126" t="s">
        <v>3861</v>
      </c>
      <c r="B686" s="126" t="str">
        <f t="shared" si="193"/>
        <v>D0412</v>
      </c>
      <c r="C686" s="126">
        <v>5854</v>
      </c>
      <c r="D686" s="126" t="s">
        <v>2568</v>
      </c>
      <c r="E686" s="126">
        <v>179</v>
      </c>
      <c r="F686" s="126">
        <v>0</v>
      </c>
      <c r="G686" s="126">
        <v>28</v>
      </c>
      <c r="H686" s="126">
        <v>0</v>
      </c>
      <c r="I686" s="126">
        <v>15.64</v>
      </c>
      <c r="J686" s="126">
        <v>0</v>
      </c>
      <c r="K686" s="126">
        <v>0</v>
      </c>
      <c r="L686" s="126">
        <f t="shared" si="187"/>
        <v>179</v>
      </c>
      <c r="M686" s="126">
        <f t="shared" si="188"/>
        <v>28</v>
      </c>
      <c r="N686" s="171">
        <f t="shared" si="189"/>
        <v>0.15640000000000001</v>
      </c>
      <c r="O686" s="132">
        <f t="shared" si="190"/>
        <v>0</v>
      </c>
      <c r="P686" s="177">
        <f t="shared" si="191"/>
        <v>0</v>
      </c>
      <c r="Q686" s="177">
        <f t="shared" si="192"/>
        <v>0</v>
      </c>
      <c r="S686" s="233" t="b">
        <f t="shared" si="186"/>
        <v>0</v>
      </c>
    </row>
    <row r="687" spans="1:19">
      <c r="A687" s="126" t="s">
        <v>3862</v>
      </c>
      <c r="B687" s="126" t="str">
        <f t="shared" si="193"/>
        <v>D0420</v>
      </c>
      <c r="C687" s="126">
        <v>6088</v>
      </c>
      <c r="D687" s="126" t="s">
        <v>2610</v>
      </c>
      <c r="E687" s="126">
        <v>302</v>
      </c>
      <c r="F687" s="126">
        <v>0</v>
      </c>
      <c r="G687" s="126">
        <v>102</v>
      </c>
      <c r="H687" s="126">
        <v>0</v>
      </c>
      <c r="I687" s="126">
        <v>33.770000000000003</v>
      </c>
      <c r="J687" s="126">
        <v>0</v>
      </c>
      <c r="K687" s="126">
        <v>0</v>
      </c>
      <c r="L687" s="126">
        <f t="shared" si="187"/>
        <v>302</v>
      </c>
      <c r="M687" s="126">
        <f t="shared" si="188"/>
        <v>102</v>
      </c>
      <c r="N687" s="171">
        <f t="shared" si="189"/>
        <v>0.3377</v>
      </c>
      <c r="O687" s="132">
        <f t="shared" si="190"/>
        <v>0</v>
      </c>
      <c r="P687" s="177">
        <f t="shared" si="191"/>
        <v>0</v>
      </c>
      <c r="Q687" s="177">
        <f t="shared" si="192"/>
        <v>0</v>
      </c>
      <c r="S687" s="233" t="b">
        <f t="shared" si="186"/>
        <v>0</v>
      </c>
    </row>
    <row r="688" spans="1:19">
      <c r="A688" s="126" t="s">
        <v>3862</v>
      </c>
      <c r="B688" s="126" t="str">
        <f t="shared" si="193"/>
        <v>D0420</v>
      </c>
      <c r="C688" s="126">
        <v>6090</v>
      </c>
      <c r="D688" s="126" t="s">
        <v>2612</v>
      </c>
      <c r="E688" s="126">
        <v>220</v>
      </c>
      <c r="F688" s="126">
        <v>0</v>
      </c>
      <c r="G688" s="126">
        <v>65</v>
      </c>
      <c r="H688" s="126">
        <v>0</v>
      </c>
      <c r="I688" s="126">
        <v>29.55</v>
      </c>
      <c r="J688" s="126">
        <v>0</v>
      </c>
      <c r="K688" s="126">
        <v>0</v>
      </c>
      <c r="L688" s="126">
        <f t="shared" si="187"/>
        <v>220</v>
      </c>
      <c r="M688" s="126">
        <f t="shared" si="188"/>
        <v>65</v>
      </c>
      <c r="N688" s="171">
        <f t="shared" si="189"/>
        <v>0.29549999999999998</v>
      </c>
      <c r="O688" s="132">
        <f t="shared" si="190"/>
        <v>0</v>
      </c>
      <c r="P688" s="177">
        <f t="shared" si="191"/>
        <v>0</v>
      </c>
      <c r="Q688" s="177">
        <f t="shared" si="192"/>
        <v>0</v>
      </c>
      <c r="S688" s="233" t="b">
        <f t="shared" si="186"/>
        <v>0</v>
      </c>
    </row>
    <row r="689" spans="1:19">
      <c r="A689" s="126" t="s">
        <v>3862</v>
      </c>
      <c r="B689" s="126" t="str">
        <f t="shared" si="193"/>
        <v>D0420</v>
      </c>
      <c r="C689" s="126">
        <v>6091</v>
      </c>
      <c r="D689" s="126" t="s">
        <v>2614</v>
      </c>
      <c r="E689" s="126">
        <v>171</v>
      </c>
      <c r="F689" s="126">
        <v>0</v>
      </c>
      <c r="G689" s="126">
        <v>61</v>
      </c>
      <c r="H689" s="126">
        <v>0</v>
      </c>
      <c r="I689" s="126">
        <v>35.67</v>
      </c>
      <c r="J689" s="126">
        <v>0</v>
      </c>
      <c r="K689" s="126">
        <v>0.3</v>
      </c>
      <c r="L689" s="126">
        <f t="shared" si="187"/>
        <v>171</v>
      </c>
      <c r="M689" s="126">
        <f t="shared" si="188"/>
        <v>61</v>
      </c>
      <c r="N689" s="171">
        <f t="shared" si="189"/>
        <v>0.35670000000000002</v>
      </c>
      <c r="O689" s="132">
        <f t="shared" si="190"/>
        <v>0.3</v>
      </c>
      <c r="P689" s="177">
        <f t="shared" si="191"/>
        <v>0</v>
      </c>
      <c r="Q689" s="177">
        <f t="shared" si="192"/>
        <v>0.3</v>
      </c>
      <c r="S689" s="233" t="b">
        <f t="shared" si="186"/>
        <v>0</v>
      </c>
    </row>
    <row r="690" spans="1:19">
      <c r="A690" s="126" t="s">
        <v>405</v>
      </c>
      <c r="B690" s="126" t="str">
        <f t="shared" si="193"/>
        <v>D0421</v>
      </c>
      <c r="C690" s="126">
        <v>6102</v>
      </c>
      <c r="D690" s="126" t="s">
        <v>2616</v>
      </c>
      <c r="E690" s="126">
        <v>294</v>
      </c>
      <c r="F690" s="126">
        <v>0</v>
      </c>
      <c r="G690" s="126">
        <v>62</v>
      </c>
      <c r="H690" s="126">
        <v>0</v>
      </c>
      <c r="I690" s="126">
        <v>21.09</v>
      </c>
      <c r="J690" s="126">
        <v>0</v>
      </c>
      <c r="K690" s="126">
        <v>0</v>
      </c>
      <c r="L690" s="126">
        <f t="shared" ref="L690:L704" si="194">SUM(E690:F690)</f>
        <v>294</v>
      </c>
      <c r="M690" s="126">
        <f t="shared" ref="M690:M704" si="195">SUM(G690:H690)</f>
        <v>62</v>
      </c>
      <c r="N690" s="171">
        <f t="shared" ref="N690:N704" si="196">IF(ISERROR(M690/L690),0,M690/L690)</f>
        <v>0.2109</v>
      </c>
      <c r="O690" s="132">
        <f t="shared" ref="O690:O704" si="197">IF(AND((N690-35%)&gt;0,N690&lt;50%),M690*(N690-35%)*0.7,0)</f>
        <v>0</v>
      </c>
      <c r="P690" s="177">
        <f t="shared" ref="P690:P704" si="198">IF(N690&gt;=50%,M690*10.5%,0)</f>
        <v>0</v>
      </c>
      <c r="Q690" s="177">
        <f t="shared" ref="Q690:Q704" si="199">MAX(O690,P690)</f>
        <v>0</v>
      </c>
      <c r="S690" s="233" t="b">
        <f t="shared" si="186"/>
        <v>0</v>
      </c>
    </row>
    <row r="691" spans="1:19">
      <c r="A691" s="126" t="s">
        <v>405</v>
      </c>
      <c r="B691" s="126" t="str">
        <f t="shared" si="193"/>
        <v>D0421</v>
      </c>
      <c r="C691" s="126">
        <v>6104</v>
      </c>
      <c r="D691" s="126" t="s">
        <v>2618</v>
      </c>
      <c r="E691" s="126">
        <v>137</v>
      </c>
      <c r="F691" s="126">
        <v>0</v>
      </c>
      <c r="G691" s="126">
        <v>26</v>
      </c>
      <c r="H691" s="126">
        <v>0</v>
      </c>
      <c r="I691" s="126">
        <v>18.98</v>
      </c>
      <c r="J691" s="126">
        <v>0</v>
      </c>
      <c r="K691" s="126">
        <v>0</v>
      </c>
      <c r="L691" s="126">
        <f t="shared" si="194"/>
        <v>137</v>
      </c>
      <c r="M691" s="126">
        <f t="shared" si="195"/>
        <v>26</v>
      </c>
      <c r="N691" s="171">
        <f t="shared" si="196"/>
        <v>0.1898</v>
      </c>
      <c r="O691" s="132">
        <f t="shared" si="197"/>
        <v>0</v>
      </c>
      <c r="P691" s="177">
        <f t="shared" si="198"/>
        <v>0</v>
      </c>
      <c r="Q691" s="177">
        <f t="shared" si="199"/>
        <v>0</v>
      </c>
      <c r="S691" s="233" t="b">
        <f t="shared" si="186"/>
        <v>0</v>
      </c>
    </row>
    <row r="692" spans="1:19">
      <c r="A692" s="126" t="s">
        <v>3864</v>
      </c>
      <c r="B692" s="126" t="str">
        <f t="shared" si="193"/>
        <v>D0436</v>
      </c>
      <c r="C692" s="126">
        <v>6490</v>
      </c>
      <c r="D692" s="126" t="s">
        <v>2685</v>
      </c>
      <c r="E692" s="126">
        <v>390</v>
      </c>
      <c r="F692" s="126">
        <v>0</v>
      </c>
      <c r="G692" s="126">
        <v>166</v>
      </c>
      <c r="H692" s="126">
        <v>0</v>
      </c>
      <c r="I692" s="126">
        <v>42.56</v>
      </c>
      <c r="J692" s="126">
        <v>0</v>
      </c>
      <c r="K692" s="126">
        <v>8.8000000000000007</v>
      </c>
      <c r="L692" s="126">
        <f t="shared" si="194"/>
        <v>390</v>
      </c>
      <c r="M692" s="126">
        <f t="shared" si="195"/>
        <v>166</v>
      </c>
      <c r="N692" s="171">
        <f t="shared" si="196"/>
        <v>0.42559999999999998</v>
      </c>
      <c r="O692" s="132">
        <f t="shared" si="197"/>
        <v>8.8000000000000007</v>
      </c>
      <c r="P692" s="177">
        <f t="shared" si="198"/>
        <v>0</v>
      </c>
      <c r="Q692" s="177">
        <f t="shared" si="199"/>
        <v>8.8000000000000007</v>
      </c>
      <c r="S692" s="233" t="b">
        <f t="shared" si="186"/>
        <v>0</v>
      </c>
    </row>
    <row r="693" spans="1:19">
      <c r="A693" s="126" t="s">
        <v>3864</v>
      </c>
      <c r="B693" s="126" t="str">
        <f t="shared" si="193"/>
        <v>D0436</v>
      </c>
      <c r="C693" s="126">
        <v>6491</v>
      </c>
      <c r="D693" s="126" t="s">
        <v>2687</v>
      </c>
      <c r="E693" s="126">
        <v>8</v>
      </c>
      <c r="F693" s="126">
        <v>0</v>
      </c>
      <c r="G693" s="126">
        <v>4</v>
      </c>
      <c r="H693" s="126">
        <v>0</v>
      </c>
      <c r="I693" s="126">
        <v>50</v>
      </c>
      <c r="J693" s="126">
        <v>0.4</v>
      </c>
      <c r="K693" s="126">
        <v>0</v>
      </c>
      <c r="L693" s="126">
        <f t="shared" si="194"/>
        <v>8</v>
      </c>
      <c r="M693" s="126">
        <f t="shared" si="195"/>
        <v>4</v>
      </c>
      <c r="N693" s="171">
        <f t="shared" si="196"/>
        <v>0.5</v>
      </c>
      <c r="O693" s="132">
        <f t="shared" si="197"/>
        <v>0</v>
      </c>
      <c r="P693" s="177">
        <f t="shared" si="198"/>
        <v>0.4</v>
      </c>
      <c r="Q693" s="177">
        <f t="shared" si="199"/>
        <v>0.4</v>
      </c>
      <c r="S693" s="233" t="b">
        <f t="shared" si="186"/>
        <v>0</v>
      </c>
    </row>
    <row r="694" spans="1:19">
      <c r="A694" s="126" t="s">
        <v>3864</v>
      </c>
      <c r="B694" s="126" t="str">
        <f t="shared" si="193"/>
        <v>D0436</v>
      </c>
      <c r="C694" s="126">
        <v>6492</v>
      </c>
      <c r="D694" s="126" t="s">
        <v>2689</v>
      </c>
      <c r="E694" s="126">
        <v>361</v>
      </c>
      <c r="F694" s="126">
        <v>0</v>
      </c>
      <c r="G694" s="126">
        <v>124</v>
      </c>
      <c r="H694" s="126">
        <v>0</v>
      </c>
      <c r="I694" s="126">
        <v>34.35</v>
      </c>
      <c r="J694" s="126">
        <v>0</v>
      </c>
      <c r="K694" s="126">
        <v>0</v>
      </c>
      <c r="L694" s="126">
        <f t="shared" si="194"/>
        <v>361</v>
      </c>
      <c r="M694" s="126">
        <f t="shared" si="195"/>
        <v>124</v>
      </c>
      <c r="N694" s="171">
        <f t="shared" si="196"/>
        <v>0.34350000000000003</v>
      </c>
      <c r="O694" s="132">
        <f t="shared" si="197"/>
        <v>0</v>
      </c>
      <c r="P694" s="177">
        <f t="shared" si="198"/>
        <v>0</v>
      </c>
      <c r="Q694" s="177">
        <f t="shared" si="199"/>
        <v>0</v>
      </c>
      <c r="S694" s="233" t="b">
        <f t="shared" si="186"/>
        <v>0</v>
      </c>
    </row>
    <row r="695" spans="1:19">
      <c r="A695" s="126" t="s">
        <v>3865</v>
      </c>
      <c r="B695" s="126" t="str">
        <f t="shared" si="193"/>
        <v>D0448</v>
      </c>
      <c r="C695" s="126">
        <v>6896</v>
      </c>
      <c r="D695" s="126" t="s">
        <v>2771</v>
      </c>
      <c r="E695" s="126">
        <v>199</v>
      </c>
      <c r="F695" s="126">
        <v>0</v>
      </c>
      <c r="G695" s="126">
        <v>45</v>
      </c>
      <c r="H695" s="126">
        <v>0</v>
      </c>
      <c r="I695" s="126">
        <v>22.61</v>
      </c>
      <c r="J695" s="126">
        <v>0</v>
      </c>
      <c r="K695" s="126">
        <v>0</v>
      </c>
      <c r="L695" s="126">
        <f t="shared" si="194"/>
        <v>199</v>
      </c>
      <c r="M695" s="126">
        <f t="shared" si="195"/>
        <v>45</v>
      </c>
      <c r="N695" s="171">
        <f t="shared" si="196"/>
        <v>0.2261</v>
      </c>
      <c r="O695" s="132">
        <f t="shared" si="197"/>
        <v>0</v>
      </c>
      <c r="P695" s="177">
        <f t="shared" si="198"/>
        <v>0</v>
      </c>
      <c r="Q695" s="177">
        <f t="shared" si="199"/>
        <v>0</v>
      </c>
      <c r="S695" s="233" t="b">
        <f t="shared" si="186"/>
        <v>0</v>
      </c>
    </row>
    <row r="696" spans="1:19">
      <c r="A696" s="126" t="s">
        <v>3865</v>
      </c>
      <c r="B696" s="126" t="str">
        <f t="shared" si="193"/>
        <v>D0448</v>
      </c>
      <c r="C696" s="126">
        <v>6898</v>
      </c>
      <c r="D696" s="126" t="s">
        <v>2773</v>
      </c>
      <c r="E696" s="126">
        <v>205</v>
      </c>
      <c r="F696" s="126">
        <v>0</v>
      </c>
      <c r="G696" s="126">
        <v>35</v>
      </c>
      <c r="H696" s="126">
        <v>0</v>
      </c>
      <c r="I696" s="126">
        <v>17.07</v>
      </c>
      <c r="J696" s="126">
        <v>0</v>
      </c>
      <c r="K696" s="126">
        <v>0</v>
      </c>
      <c r="L696" s="126">
        <f t="shared" si="194"/>
        <v>205</v>
      </c>
      <c r="M696" s="126">
        <f t="shared" si="195"/>
        <v>35</v>
      </c>
      <c r="N696" s="171">
        <f t="shared" si="196"/>
        <v>0.17069999999999999</v>
      </c>
      <c r="O696" s="132">
        <f t="shared" si="197"/>
        <v>0</v>
      </c>
      <c r="P696" s="177">
        <f t="shared" si="198"/>
        <v>0</v>
      </c>
      <c r="Q696" s="177">
        <f t="shared" si="199"/>
        <v>0</v>
      </c>
      <c r="S696" s="233" t="b">
        <f t="shared" si="186"/>
        <v>0</v>
      </c>
    </row>
    <row r="697" spans="1:19">
      <c r="A697" s="126" t="s">
        <v>3868</v>
      </c>
      <c r="B697" s="126" t="str">
        <f t="shared" si="193"/>
        <v>D0460</v>
      </c>
      <c r="C697" s="126">
        <v>7206</v>
      </c>
      <c r="D697" s="126" t="s">
        <v>2868</v>
      </c>
      <c r="E697" s="126">
        <v>326</v>
      </c>
      <c r="F697" s="126">
        <v>0</v>
      </c>
      <c r="G697" s="126">
        <v>48</v>
      </c>
      <c r="H697" s="126">
        <v>0</v>
      </c>
      <c r="I697" s="126">
        <v>14.72</v>
      </c>
      <c r="J697" s="126">
        <v>0</v>
      </c>
      <c r="K697" s="126">
        <v>0</v>
      </c>
      <c r="L697" s="126">
        <f t="shared" si="194"/>
        <v>326</v>
      </c>
      <c r="M697" s="126">
        <f t="shared" si="195"/>
        <v>48</v>
      </c>
      <c r="N697" s="171">
        <f t="shared" si="196"/>
        <v>0.1472</v>
      </c>
      <c r="O697" s="132">
        <f t="shared" si="197"/>
        <v>0</v>
      </c>
      <c r="P697" s="177">
        <f t="shared" si="198"/>
        <v>0</v>
      </c>
      <c r="Q697" s="177">
        <f t="shared" si="199"/>
        <v>0</v>
      </c>
      <c r="S697" s="233" t="b">
        <f t="shared" si="186"/>
        <v>0</v>
      </c>
    </row>
    <row r="698" spans="1:19">
      <c r="A698" s="126" t="s">
        <v>3868</v>
      </c>
      <c r="B698" s="126" t="str">
        <f t="shared" si="193"/>
        <v>D0460</v>
      </c>
      <c r="C698" s="126">
        <v>7208</v>
      </c>
      <c r="D698" s="126" t="s">
        <v>2870</v>
      </c>
      <c r="E698" s="126">
        <v>253</v>
      </c>
      <c r="F698" s="126">
        <v>0</v>
      </c>
      <c r="G698" s="126">
        <v>51</v>
      </c>
      <c r="H698" s="126">
        <v>0</v>
      </c>
      <c r="I698" s="126">
        <v>20.16</v>
      </c>
      <c r="J698" s="126">
        <v>0</v>
      </c>
      <c r="K698" s="126">
        <v>0</v>
      </c>
      <c r="L698" s="126">
        <f t="shared" si="194"/>
        <v>253</v>
      </c>
      <c r="M698" s="126">
        <f t="shared" si="195"/>
        <v>51</v>
      </c>
      <c r="N698" s="171">
        <f t="shared" si="196"/>
        <v>0.2016</v>
      </c>
      <c r="O698" s="132">
        <f t="shared" si="197"/>
        <v>0</v>
      </c>
      <c r="P698" s="177">
        <f t="shared" si="198"/>
        <v>0</v>
      </c>
      <c r="Q698" s="177">
        <f t="shared" si="199"/>
        <v>0</v>
      </c>
      <c r="S698" s="233" t="b">
        <f t="shared" si="186"/>
        <v>0</v>
      </c>
    </row>
    <row r="699" spans="1:19">
      <c r="A699" s="126" t="s">
        <v>3868</v>
      </c>
      <c r="B699" s="126" t="str">
        <f t="shared" ref="B699:B720" si="200">LEFT(A699,5)</f>
        <v>D0460</v>
      </c>
      <c r="C699" s="126">
        <v>7210</v>
      </c>
      <c r="D699" s="126" t="s">
        <v>2872</v>
      </c>
      <c r="E699" s="126">
        <v>263</v>
      </c>
      <c r="F699" s="126">
        <v>0</v>
      </c>
      <c r="G699" s="126">
        <v>39</v>
      </c>
      <c r="H699" s="126">
        <v>0</v>
      </c>
      <c r="I699" s="126">
        <v>14.83</v>
      </c>
      <c r="J699" s="126">
        <v>0</v>
      </c>
      <c r="K699" s="126">
        <v>0</v>
      </c>
      <c r="L699" s="126">
        <f t="shared" si="194"/>
        <v>263</v>
      </c>
      <c r="M699" s="126">
        <f t="shared" si="195"/>
        <v>39</v>
      </c>
      <c r="N699" s="171">
        <f t="shared" si="196"/>
        <v>0.14829999999999999</v>
      </c>
      <c r="O699" s="132">
        <f t="shared" si="197"/>
        <v>0</v>
      </c>
      <c r="P699" s="177">
        <f t="shared" si="198"/>
        <v>0</v>
      </c>
      <c r="Q699" s="177">
        <f t="shared" si="199"/>
        <v>0</v>
      </c>
      <c r="S699" s="233" t="b">
        <f t="shared" si="186"/>
        <v>0</v>
      </c>
    </row>
    <row r="700" spans="1:19">
      <c r="A700" s="126" t="s">
        <v>3869</v>
      </c>
      <c r="B700" s="126" t="str">
        <f t="shared" si="200"/>
        <v>D0462</v>
      </c>
      <c r="C700" s="126">
        <v>7246</v>
      </c>
      <c r="D700" s="126" t="s">
        <v>1267</v>
      </c>
      <c r="E700" s="126">
        <v>146</v>
      </c>
      <c r="F700" s="126">
        <v>0</v>
      </c>
      <c r="G700" s="126">
        <v>65</v>
      </c>
      <c r="H700" s="126">
        <v>0</v>
      </c>
      <c r="I700" s="126">
        <v>44.52</v>
      </c>
      <c r="J700" s="126">
        <v>0</v>
      </c>
      <c r="K700" s="126">
        <v>4.3</v>
      </c>
      <c r="L700" s="126">
        <f t="shared" si="194"/>
        <v>146</v>
      </c>
      <c r="M700" s="126">
        <f t="shared" si="195"/>
        <v>65</v>
      </c>
      <c r="N700" s="171">
        <f t="shared" si="196"/>
        <v>0.44519999999999998</v>
      </c>
      <c r="O700" s="132">
        <f t="shared" si="197"/>
        <v>4.3</v>
      </c>
      <c r="P700" s="177">
        <f t="shared" si="198"/>
        <v>0</v>
      </c>
      <c r="Q700" s="177">
        <f t="shared" si="199"/>
        <v>4.3</v>
      </c>
      <c r="S700" s="233" t="b">
        <f t="shared" si="186"/>
        <v>0</v>
      </c>
    </row>
    <row r="701" spans="1:19">
      <c r="A701" s="126" t="s">
        <v>3869</v>
      </c>
      <c r="B701" s="126" t="str">
        <f t="shared" si="200"/>
        <v>D0462</v>
      </c>
      <c r="C701" s="126">
        <v>7254</v>
      </c>
      <c r="D701" s="126" t="s">
        <v>2881</v>
      </c>
      <c r="E701" s="126">
        <v>156</v>
      </c>
      <c r="F701" s="126">
        <v>0</v>
      </c>
      <c r="G701" s="126">
        <v>72</v>
      </c>
      <c r="H701" s="126">
        <v>0</v>
      </c>
      <c r="I701" s="126">
        <v>46.15</v>
      </c>
      <c r="J701" s="126">
        <v>0</v>
      </c>
      <c r="K701" s="126">
        <v>5.6</v>
      </c>
      <c r="L701" s="126">
        <f t="shared" si="194"/>
        <v>156</v>
      </c>
      <c r="M701" s="126">
        <f t="shared" si="195"/>
        <v>72</v>
      </c>
      <c r="N701" s="171">
        <f t="shared" si="196"/>
        <v>0.46150000000000002</v>
      </c>
      <c r="O701" s="132">
        <f t="shared" si="197"/>
        <v>5.6</v>
      </c>
      <c r="P701" s="177">
        <f t="shared" si="198"/>
        <v>0</v>
      </c>
      <c r="Q701" s="177">
        <f t="shared" si="199"/>
        <v>5.6</v>
      </c>
      <c r="S701" s="233" t="b">
        <f t="shared" si="186"/>
        <v>0</v>
      </c>
    </row>
    <row r="702" spans="1:19">
      <c r="A702" s="126" t="s">
        <v>3871</v>
      </c>
      <c r="B702" s="126" t="str">
        <f t="shared" si="200"/>
        <v>D0471</v>
      </c>
      <c r="C702" s="126">
        <v>7492</v>
      </c>
      <c r="D702" s="126" t="s">
        <v>2940</v>
      </c>
      <c r="E702" s="126">
        <v>85</v>
      </c>
      <c r="F702" s="126">
        <v>0</v>
      </c>
      <c r="G702" s="126">
        <v>42</v>
      </c>
      <c r="H702" s="126">
        <v>0</v>
      </c>
      <c r="I702" s="126">
        <v>49.41</v>
      </c>
      <c r="J702" s="126">
        <v>0</v>
      </c>
      <c r="K702" s="126">
        <v>4.2</v>
      </c>
      <c r="L702" s="126">
        <f t="shared" si="194"/>
        <v>85</v>
      </c>
      <c r="M702" s="126">
        <f t="shared" si="195"/>
        <v>42</v>
      </c>
      <c r="N702" s="171">
        <f t="shared" si="196"/>
        <v>0.49409999999999998</v>
      </c>
      <c r="O702" s="132">
        <f t="shared" si="197"/>
        <v>4.2</v>
      </c>
      <c r="P702" s="177">
        <f t="shared" si="198"/>
        <v>0</v>
      </c>
      <c r="Q702" s="177">
        <f t="shared" si="199"/>
        <v>4.2</v>
      </c>
      <c r="S702" s="233" t="b">
        <f t="shared" si="186"/>
        <v>0</v>
      </c>
    </row>
    <row r="703" spans="1:19">
      <c r="A703" s="126" t="s">
        <v>3871</v>
      </c>
      <c r="B703" s="126" t="str">
        <f t="shared" si="200"/>
        <v>D0471</v>
      </c>
      <c r="C703" s="126">
        <v>7494</v>
      </c>
      <c r="D703" s="126" t="s">
        <v>2942</v>
      </c>
      <c r="E703" s="126">
        <v>107</v>
      </c>
      <c r="F703" s="126">
        <v>0</v>
      </c>
      <c r="G703" s="126">
        <v>35</v>
      </c>
      <c r="H703" s="126">
        <v>0</v>
      </c>
      <c r="I703" s="126">
        <v>32.71</v>
      </c>
      <c r="J703" s="126">
        <v>0</v>
      </c>
      <c r="K703" s="126">
        <v>0</v>
      </c>
      <c r="L703" s="126">
        <f t="shared" si="194"/>
        <v>107</v>
      </c>
      <c r="M703" s="126">
        <f t="shared" si="195"/>
        <v>35</v>
      </c>
      <c r="N703" s="171">
        <f t="shared" si="196"/>
        <v>0.3271</v>
      </c>
      <c r="O703" s="132">
        <f t="shared" si="197"/>
        <v>0</v>
      </c>
      <c r="P703" s="177">
        <f t="shared" si="198"/>
        <v>0</v>
      </c>
      <c r="Q703" s="177">
        <f t="shared" si="199"/>
        <v>0</v>
      </c>
      <c r="S703" s="233" t="b">
        <f t="shared" si="186"/>
        <v>0</v>
      </c>
    </row>
    <row r="704" spans="1:19">
      <c r="A704" s="126" t="s">
        <v>3872</v>
      </c>
      <c r="B704" s="126" t="str">
        <f t="shared" si="200"/>
        <v>D0474</v>
      </c>
      <c r="C704" s="126">
        <v>7574</v>
      </c>
      <c r="D704" s="126" t="s">
        <v>2955</v>
      </c>
      <c r="E704" s="126">
        <v>79</v>
      </c>
      <c r="F704" s="126">
        <v>0</v>
      </c>
      <c r="G704" s="126">
        <v>25</v>
      </c>
      <c r="H704" s="126">
        <v>0</v>
      </c>
      <c r="I704" s="126">
        <v>31.65</v>
      </c>
      <c r="J704" s="126">
        <v>0</v>
      </c>
      <c r="K704" s="126">
        <v>0</v>
      </c>
      <c r="L704" s="126">
        <f t="shared" si="194"/>
        <v>79</v>
      </c>
      <c r="M704" s="126">
        <f t="shared" si="195"/>
        <v>25</v>
      </c>
      <c r="N704" s="171">
        <f t="shared" si="196"/>
        <v>0.3165</v>
      </c>
      <c r="O704" s="132">
        <f t="shared" si="197"/>
        <v>0</v>
      </c>
      <c r="P704" s="177">
        <f t="shared" si="198"/>
        <v>0</v>
      </c>
      <c r="Q704" s="177">
        <f t="shared" si="199"/>
        <v>0</v>
      </c>
      <c r="S704" s="233" t="b">
        <f t="shared" si="186"/>
        <v>0</v>
      </c>
    </row>
    <row r="705" spans="1:19">
      <c r="A705" s="126" t="s">
        <v>3873</v>
      </c>
      <c r="B705" s="126" t="str">
        <f t="shared" si="200"/>
        <v>D0511</v>
      </c>
      <c r="C705" s="126">
        <v>8762</v>
      </c>
      <c r="D705" s="126" t="s">
        <v>3329</v>
      </c>
      <c r="E705" s="126">
        <v>118</v>
      </c>
      <c r="F705" s="126">
        <v>0</v>
      </c>
      <c r="G705" s="126">
        <v>42</v>
      </c>
      <c r="H705" s="126">
        <v>0</v>
      </c>
      <c r="I705" s="126">
        <v>35.590000000000003</v>
      </c>
      <c r="J705" s="126">
        <v>0</v>
      </c>
      <c r="K705" s="126">
        <v>0.2</v>
      </c>
      <c r="L705" s="126">
        <f t="shared" ref="L705:L706" si="201">SUM(E705:F705)</f>
        <v>118</v>
      </c>
      <c r="M705" s="126">
        <f t="shared" ref="M705:M706" si="202">SUM(G705:H705)</f>
        <v>42</v>
      </c>
      <c r="N705" s="171">
        <f t="shared" ref="N705:N706" si="203">IF(ISERROR(M705/L705),0,M705/L705)</f>
        <v>0.35589999999999999</v>
      </c>
      <c r="O705" s="132">
        <f t="shared" ref="O705:O706" si="204">IF(AND((N705-35%)&gt;0,N705&lt;50%),M705*(N705-35%)*0.7,0)</f>
        <v>0.2</v>
      </c>
      <c r="P705" s="177">
        <f t="shared" ref="P705:P706" si="205">IF(N705&gt;=50%,M705*10.5%,0)</f>
        <v>0</v>
      </c>
      <c r="Q705" s="177">
        <f t="shared" ref="Q705:Q706" si="206">MAX(O705,P705)</f>
        <v>0.2</v>
      </c>
      <c r="S705" s="233" t="b">
        <f t="shared" si="186"/>
        <v>0</v>
      </c>
    </row>
    <row r="706" spans="1:19">
      <c r="A706" s="126" t="s">
        <v>3873</v>
      </c>
      <c r="B706" s="126" t="str">
        <f t="shared" si="200"/>
        <v>D0511</v>
      </c>
      <c r="C706" s="126">
        <v>8764</v>
      </c>
      <c r="D706" s="126" t="s">
        <v>3331</v>
      </c>
      <c r="E706" s="126">
        <v>47</v>
      </c>
      <c r="F706" s="126">
        <v>0</v>
      </c>
      <c r="G706" s="126">
        <v>17</v>
      </c>
      <c r="H706" s="126">
        <v>0</v>
      </c>
      <c r="I706" s="126">
        <v>36.17</v>
      </c>
      <c r="J706" s="126">
        <v>0</v>
      </c>
      <c r="K706" s="126">
        <v>0.1</v>
      </c>
      <c r="L706" s="126">
        <f t="shared" si="201"/>
        <v>47</v>
      </c>
      <c r="M706" s="126">
        <f t="shared" si="202"/>
        <v>17</v>
      </c>
      <c r="N706" s="171">
        <f t="shared" si="203"/>
        <v>0.36170000000000002</v>
      </c>
      <c r="O706" s="132">
        <f t="shared" si="204"/>
        <v>0.1</v>
      </c>
      <c r="P706" s="177">
        <f t="shared" si="205"/>
        <v>0</v>
      </c>
      <c r="Q706" s="177">
        <f t="shared" si="206"/>
        <v>0.1</v>
      </c>
      <c r="S706" s="233" t="b">
        <f t="shared" si="186"/>
        <v>0</v>
      </c>
    </row>
    <row r="707" spans="1:19">
      <c r="A707" s="126" t="s">
        <v>3874</v>
      </c>
      <c r="B707" s="126" t="str">
        <f t="shared" si="200"/>
        <v>D0366</v>
      </c>
      <c r="C707" s="126">
        <v>4639</v>
      </c>
      <c r="D707" s="126" t="s">
        <v>2286</v>
      </c>
      <c r="E707" s="126">
        <v>330</v>
      </c>
      <c r="F707" s="126">
        <v>0</v>
      </c>
      <c r="G707" s="126">
        <v>152</v>
      </c>
      <c r="H707" s="126">
        <v>0</v>
      </c>
      <c r="I707" s="126">
        <v>46.06</v>
      </c>
      <c r="J707" s="126">
        <v>0</v>
      </c>
      <c r="K707" s="126">
        <v>11.8</v>
      </c>
      <c r="L707" s="126">
        <f t="shared" ref="L707:L708" si="207">SUM(E707:F707)</f>
        <v>330</v>
      </c>
      <c r="M707" s="126">
        <f t="shared" ref="M707:M708" si="208">SUM(G707:H707)</f>
        <v>152</v>
      </c>
      <c r="N707" s="171">
        <f t="shared" ref="N707:N708" si="209">IF(ISERROR(M707/L707),0,M707/L707)</f>
        <v>0.46060000000000001</v>
      </c>
      <c r="O707" s="132">
        <f t="shared" ref="O707:O708" si="210">IF(AND((N707-35%)&gt;0,N707&lt;50%),M707*(N707-35%)*0.7,0)</f>
        <v>11.8</v>
      </c>
      <c r="P707" s="177">
        <f t="shared" ref="P707:P708" si="211">IF(N707&gt;=50%,M707*10.5%,0)</f>
        <v>0</v>
      </c>
      <c r="Q707" s="177">
        <f t="shared" ref="Q707:Q708" si="212">MAX(O707,P707)</f>
        <v>11.8</v>
      </c>
      <c r="S707" s="233" t="b">
        <f t="shared" si="186"/>
        <v>0</v>
      </c>
    </row>
    <row r="708" spans="1:19">
      <c r="A708" s="126" t="s">
        <v>3874</v>
      </c>
      <c r="B708" s="126" t="str">
        <f t="shared" si="200"/>
        <v>D0366</v>
      </c>
      <c r="C708" s="126">
        <v>4646</v>
      </c>
      <c r="D708" s="126" t="s">
        <v>2288</v>
      </c>
      <c r="E708" s="126">
        <v>120</v>
      </c>
      <c r="F708" s="126">
        <v>0</v>
      </c>
      <c r="G708" s="126">
        <v>46</v>
      </c>
      <c r="H708" s="126">
        <v>0</v>
      </c>
      <c r="I708" s="126">
        <v>38.33</v>
      </c>
      <c r="J708" s="126">
        <v>0</v>
      </c>
      <c r="K708" s="126">
        <v>1.1000000000000001</v>
      </c>
      <c r="L708" s="126">
        <f t="shared" si="207"/>
        <v>120</v>
      </c>
      <c r="M708" s="126">
        <f t="shared" si="208"/>
        <v>46</v>
      </c>
      <c r="N708" s="171">
        <f t="shared" si="209"/>
        <v>0.38329999999999997</v>
      </c>
      <c r="O708" s="132">
        <f t="shared" si="210"/>
        <v>1.1000000000000001</v>
      </c>
      <c r="P708" s="177">
        <f t="shared" si="211"/>
        <v>0</v>
      </c>
      <c r="Q708" s="177">
        <f t="shared" si="212"/>
        <v>1.1000000000000001</v>
      </c>
      <c r="S708" s="233" t="b">
        <f t="shared" si="186"/>
        <v>0</v>
      </c>
    </row>
    <row r="709" spans="1:19">
      <c r="A709" s="126" t="s">
        <v>3875</v>
      </c>
      <c r="B709" s="126" t="str">
        <f t="shared" si="200"/>
        <v>D0106</v>
      </c>
      <c r="C709" s="126">
        <v>2926</v>
      </c>
      <c r="D709" s="126" t="s">
        <v>913</v>
      </c>
      <c r="E709" s="126">
        <v>38</v>
      </c>
      <c r="F709" s="126">
        <v>0</v>
      </c>
      <c r="G709" s="126">
        <v>14</v>
      </c>
      <c r="H709" s="126">
        <v>0</v>
      </c>
      <c r="I709" s="126">
        <v>36.840000000000003</v>
      </c>
      <c r="J709" s="126">
        <v>0</v>
      </c>
      <c r="K709" s="126">
        <v>0.2</v>
      </c>
      <c r="L709" s="126">
        <f t="shared" ref="L709:L722" si="213">SUM(E709:F709)</f>
        <v>38</v>
      </c>
      <c r="M709" s="126">
        <f t="shared" ref="M709:M722" si="214">SUM(G709:H709)</f>
        <v>14</v>
      </c>
      <c r="N709" s="171">
        <f t="shared" ref="N709:N722" si="215">IF(ISERROR(M709/L709),0,M709/L709)</f>
        <v>0.36840000000000001</v>
      </c>
      <c r="O709" s="132">
        <f t="shared" ref="O709:O722" si="216">IF(AND((N709-35%)&gt;0,N709&lt;50%),M709*(N709-35%)*0.7,0)</f>
        <v>0.2</v>
      </c>
      <c r="P709" s="177">
        <f t="shared" ref="P709:P722" si="217">IF(N709&gt;=50%,M709*10.5%,0)</f>
        <v>0</v>
      </c>
      <c r="Q709" s="177">
        <f t="shared" ref="Q709:Q722" si="218">MAX(O709,P709)</f>
        <v>0.2</v>
      </c>
      <c r="S709" s="233" t="b">
        <f t="shared" ref="S709:S772" si="219">COUNTIF(C:C,C709)&gt;1</f>
        <v>0</v>
      </c>
    </row>
    <row r="710" spans="1:19">
      <c r="A710" s="126" t="s">
        <v>3875</v>
      </c>
      <c r="B710" s="126" t="str">
        <f t="shared" si="200"/>
        <v>D0106</v>
      </c>
      <c r="C710" s="126">
        <v>2928</v>
      </c>
      <c r="D710" s="126" t="s">
        <v>915</v>
      </c>
      <c r="E710" s="126">
        <v>32</v>
      </c>
      <c r="F710" s="126">
        <v>0</v>
      </c>
      <c r="G710" s="126">
        <v>23</v>
      </c>
      <c r="H710" s="126">
        <v>0</v>
      </c>
      <c r="I710" s="126">
        <v>71.88</v>
      </c>
      <c r="J710" s="126">
        <v>2.4</v>
      </c>
      <c r="K710" s="126">
        <v>0</v>
      </c>
      <c r="L710" s="126">
        <f t="shared" si="213"/>
        <v>32</v>
      </c>
      <c r="M710" s="126">
        <f t="shared" si="214"/>
        <v>23</v>
      </c>
      <c r="N710" s="171">
        <f t="shared" si="215"/>
        <v>0.71879999999999999</v>
      </c>
      <c r="O710" s="132">
        <f t="shared" si="216"/>
        <v>0</v>
      </c>
      <c r="P710" s="177">
        <f t="shared" si="217"/>
        <v>2.4</v>
      </c>
      <c r="Q710" s="177">
        <f t="shared" si="218"/>
        <v>2.4</v>
      </c>
      <c r="S710" s="233" t="b">
        <f t="shared" si="219"/>
        <v>0</v>
      </c>
    </row>
    <row r="711" spans="1:19">
      <c r="A711" s="126" t="s">
        <v>3875</v>
      </c>
      <c r="B711" s="126" t="str">
        <f t="shared" si="200"/>
        <v>D0106</v>
      </c>
      <c r="C711" s="126">
        <v>2966</v>
      </c>
      <c r="D711" s="126" t="s">
        <v>917</v>
      </c>
      <c r="E711" s="126">
        <v>37</v>
      </c>
      <c r="F711" s="126">
        <v>0</v>
      </c>
      <c r="G711" s="126">
        <v>29</v>
      </c>
      <c r="H711" s="126">
        <v>0</v>
      </c>
      <c r="I711" s="126">
        <v>78.38</v>
      </c>
      <c r="J711" s="126">
        <v>3</v>
      </c>
      <c r="K711" s="126">
        <v>0</v>
      </c>
      <c r="L711" s="126">
        <f t="shared" si="213"/>
        <v>37</v>
      </c>
      <c r="M711" s="126">
        <f t="shared" si="214"/>
        <v>29</v>
      </c>
      <c r="N711" s="171">
        <f t="shared" si="215"/>
        <v>0.78380000000000005</v>
      </c>
      <c r="O711" s="132">
        <f t="shared" si="216"/>
        <v>0</v>
      </c>
      <c r="P711" s="177">
        <f t="shared" si="217"/>
        <v>3</v>
      </c>
      <c r="Q711" s="177">
        <f t="shared" si="218"/>
        <v>3</v>
      </c>
      <c r="S711" s="233" t="b">
        <f t="shared" si="219"/>
        <v>0</v>
      </c>
    </row>
    <row r="712" spans="1:19">
      <c r="A712" s="126" t="s">
        <v>3820</v>
      </c>
      <c r="B712" s="126" t="str">
        <f t="shared" si="200"/>
        <v>D0107</v>
      </c>
      <c r="C712" s="126">
        <v>2976</v>
      </c>
      <c r="D712" s="126" t="s">
        <v>919</v>
      </c>
      <c r="E712" s="126">
        <v>155</v>
      </c>
      <c r="F712" s="126">
        <v>0</v>
      </c>
      <c r="G712" s="126">
        <v>70</v>
      </c>
      <c r="H712" s="126">
        <v>0</v>
      </c>
      <c r="I712" s="126">
        <v>45.16</v>
      </c>
      <c r="J712" s="126">
        <v>0</v>
      </c>
      <c r="K712" s="126">
        <v>5</v>
      </c>
      <c r="L712" s="126">
        <f t="shared" si="213"/>
        <v>155</v>
      </c>
      <c r="M712" s="126">
        <f t="shared" si="214"/>
        <v>70</v>
      </c>
      <c r="N712" s="171">
        <f t="shared" si="215"/>
        <v>0.4516</v>
      </c>
      <c r="O712" s="132">
        <f t="shared" si="216"/>
        <v>5</v>
      </c>
      <c r="P712" s="177">
        <f t="shared" si="217"/>
        <v>0</v>
      </c>
      <c r="Q712" s="177">
        <f t="shared" si="218"/>
        <v>5</v>
      </c>
      <c r="S712" s="233" t="b">
        <f t="shared" si="219"/>
        <v>0</v>
      </c>
    </row>
    <row r="713" spans="1:19">
      <c r="A713" s="126" t="s">
        <v>3820</v>
      </c>
      <c r="B713" s="126" t="str">
        <f t="shared" si="200"/>
        <v>D0107</v>
      </c>
      <c r="C713" s="126">
        <v>2977</v>
      </c>
      <c r="D713" s="126" t="s">
        <v>921</v>
      </c>
      <c r="E713" s="126">
        <v>149</v>
      </c>
      <c r="F713" s="126">
        <v>0</v>
      </c>
      <c r="G713" s="126">
        <v>73</v>
      </c>
      <c r="H713" s="126">
        <v>0</v>
      </c>
      <c r="I713" s="126">
        <v>48.99</v>
      </c>
      <c r="J713" s="126">
        <v>0</v>
      </c>
      <c r="K713" s="126">
        <v>7.1</v>
      </c>
      <c r="L713" s="126">
        <f t="shared" si="213"/>
        <v>149</v>
      </c>
      <c r="M713" s="126">
        <f t="shared" si="214"/>
        <v>73</v>
      </c>
      <c r="N713" s="171">
        <f t="shared" si="215"/>
        <v>0.4899</v>
      </c>
      <c r="O713" s="132">
        <f t="shared" si="216"/>
        <v>7.1</v>
      </c>
      <c r="P713" s="177">
        <f t="shared" si="217"/>
        <v>0</v>
      </c>
      <c r="Q713" s="177">
        <f t="shared" si="218"/>
        <v>7.1</v>
      </c>
      <c r="S713" s="233" t="b">
        <f t="shared" si="219"/>
        <v>0</v>
      </c>
    </row>
    <row r="714" spans="1:19">
      <c r="A714" s="126" t="s">
        <v>3825</v>
      </c>
      <c r="B714" s="126" t="str">
        <f t="shared" si="200"/>
        <v>D0211</v>
      </c>
      <c r="C714" s="126">
        <v>374</v>
      </c>
      <c r="D714" s="126" t="s">
        <v>1026</v>
      </c>
      <c r="E714" s="126">
        <v>373</v>
      </c>
      <c r="F714" s="126">
        <v>0</v>
      </c>
      <c r="G714" s="126">
        <v>143</v>
      </c>
      <c r="H714" s="126">
        <v>0</v>
      </c>
      <c r="I714" s="126">
        <v>38.340000000000003</v>
      </c>
      <c r="J714" s="126">
        <v>0</v>
      </c>
      <c r="K714" s="126">
        <v>3.3</v>
      </c>
      <c r="L714" s="126">
        <f t="shared" si="213"/>
        <v>373</v>
      </c>
      <c r="M714" s="126">
        <f t="shared" si="214"/>
        <v>143</v>
      </c>
      <c r="N714" s="171">
        <f t="shared" si="215"/>
        <v>0.38340000000000002</v>
      </c>
      <c r="O714" s="132">
        <f t="shared" si="216"/>
        <v>3.3</v>
      </c>
      <c r="P714" s="177">
        <f t="shared" si="217"/>
        <v>0</v>
      </c>
      <c r="Q714" s="177">
        <f t="shared" si="218"/>
        <v>3.3</v>
      </c>
      <c r="S714" s="233" t="b">
        <f t="shared" si="219"/>
        <v>0</v>
      </c>
    </row>
    <row r="715" spans="1:19">
      <c r="A715" s="126" t="s">
        <v>3825</v>
      </c>
      <c r="B715" s="126" t="str">
        <f t="shared" si="200"/>
        <v>D0211</v>
      </c>
      <c r="C715" s="126">
        <v>378</v>
      </c>
      <c r="D715" s="126" t="s">
        <v>1049</v>
      </c>
      <c r="E715" s="126">
        <v>106</v>
      </c>
      <c r="F715" s="126">
        <v>0</v>
      </c>
      <c r="G715" s="126">
        <v>31</v>
      </c>
      <c r="H715" s="126">
        <v>0</v>
      </c>
      <c r="I715" s="126">
        <v>29.25</v>
      </c>
      <c r="J715" s="126">
        <v>0</v>
      </c>
      <c r="K715" s="126">
        <v>0</v>
      </c>
      <c r="L715" s="126">
        <f t="shared" si="213"/>
        <v>106</v>
      </c>
      <c r="M715" s="126">
        <f t="shared" si="214"/>
        <v>31</v>
      </c>
      <c r="N715" s="171">
        <f t="shared" si="215"/>
        <v>0.29249999999999998</v>
      </c>
      <c r="O715" s="132">
        <f t="shared" si="216"/>
        <v>0</v>
      </c>
      <c r="P715" s="177">
        <f t="shared" si="217"/>
        <v>0</v>
      </c>
      <c r="Q715" s="177">
        <f t="shared" si="218"/>
        <v>0</v>
      </c>
      <c r="S715" s="233" t="b">
        <f t="shared" si="219"/>
        <v>0</v>
      </c>
    </row>
    <row r="716" spans="1:19">
      <c r="A716" s="126" t="s">
        <v>3825</v>
      </c>
      <c r="B716" s="126" t="str">
        <f t="shared" si="200"/>
        <v>D0211</v>
      </c>
      <c r="C716" s="126">
        <v>380</v>
      </c>
      <c r="D716" s="126" t="s">
        <v>1051</v>
      </c>
      <c r="E716" s="126">
        <v>201</v>
      </c>
      <c r="F716" s="126">
        <v>0</v>
      </c>
      <c r="G716" s="126">
        <v>44</v>
      </c>
      <c r="H716" s="126">
        <v>0</v>
      </c>
      <c r="I716" s="126">
        <v>21.89</v>
      </c>
      <c r="J716" s="126">
        <v>0</v>
      </c>
      <c r="K716" s="126">
        <v>0</v>
      </c>
      <c r="L716" s="126">
        <f t="shared" si="213"/>
        <v>201</v>
      </c>
      <c r="M716" s="126">
        <f t="shared" si="214"/>
        <v>44</v>
      </c>
      <c r="N716" s="171">
        <f t="shared" si="215"/>
        <v>0.21890000000000001</v>
      </c>
      <c r="O716" s="132">
        <f t="shared" si="216"/>
        <v>0</v>
      </c>
      <c r="P716" s="177">
        <f t="shared" si="217"/>
        <v>0</v>
      </c>
      <c r="Q716" s="177">
        <f t="shared" si="218"/>
        <v>0</v>
      </c>
      <c r="S716" s="233" t="b">
        <f t="shared" si="219"/>
        <v>0</v>
      </c>
    </row>
    <row r="717" spans="1:19">
      <c r="A717" s="126" t="s">
        <v>3876</v>
      </c>
      <c r="B717" s="126" t="str">
        <f t="shared" si="200"/>
        <v>D0240</v>
      </c>
      <c r="C717" s="126">
        <v>1078</v>
      </c>
      <c r="D717" s="126" t="s">
        <v>1377</v>
      </c>
      <c r="E717" s="126">
        <v>224</v>
      </c>
      <c r="F717" s="126">
        <v>0</v>
      </c>
      <c r="G717" s="126">
        <v>81</v>
      </c>
      <c r="H717" s="126">
        <v>0</v>
      </c>
      <c r="I717" s="126">
        <v>36.159999999999997</v>
      </c>
      <c r="J717" s="126">
        <v>0</v>
      </c>
      <c r="K717" s="126">
        <v>0.7</v>
      </c>
      <c r="L717" s="126">
        <f t="shared" si="213"/>
        <v>224</v>
      </c>
      <c r="M717" s="126">
        <f t="shared" si="214"/>
        <v>81</v>
      </c>
      <c r="N717" s="171">
        <f t="shared" si="215"/>
        <v>0.36159999999999998</v>
      </c>
      <c r="O717" s="132">
        <f t="shared" si="216"/>
        <v>0.7</v>
      </c>
      <c r="P717" s="177">
        <f t="shared" si="217"/>
        <v>0</v>
      </c>
      <c r="Q717" s="177">
        <f t="shared" si="218"/>
        <v>0.7</v>
      </c>
      <c r="S717" s="233" t="b">
        <f t="shared" si="219"/>
        <v>0</v>
      </c>
    </row>
    <row r="718" spans="1:19">
      <c r="A718" s="126" t="s">
        <v>3876</v>
      </c>
      <c r="B718" s="126" t="str">
        <f t="shared" si="200"/>
        <v>D0240</v>
      </c>
      <c r="C718" s="126">
        <v>1080</v>
      </c>
      <c r="D718" s="126" t="s">
        <v>1379</v>
      </c>
      <c r="E718" s="126">
        <v>196</v>
      </c>
      <c r="F718" s="126">
        <v>0</v>
      </c>
      <c r="G718" s="126">
        <v>61</v>
      </c>
      <c r="H718" s="126">
        <v>0</v>
      </c>
      <c r="I718" s="126">
        <v>31.12</v>
      </c>
      <c r="J718" s="126">
        <v>0</v>
      </c>
      <c r="K718" s="126">
        <v>0</v>
      </c>
      <c r="L718" s="126">
        <f t="shared" si="213"/>
        <v>196</v>
      </c>
      <c r="M718" s="126">
        <f t="shared" si="214"/>
        <v>61</v>
      </c>
      <c r="N718" s="171">
        <f t="shared" si="215"/>
        <v>0.31119999999999998</v>
      </c>
      <c r="O718" s="132">
        <f t="shared" si="216"/>
        <v>0</v>
      </c>
      <c r="P718" s="177">
        <f t="shared" si="217"/>
        <v>0</v>
      </c>
      <c r="Q718" s="177">
        <f t="shared" si="218"/>
        <v>0</v>
      </c>
      <c r="S718" s="233" t="b">
        <f t="shared" si="219"/>
        <v>0</v>
      </c>
    </row>
    <row r="719" spans="1:19">
      <c r="A719" s="126" t="s">
        <v>3876</v>
      </c>
      <c r="B719" s="126" t="str">
        <f t="shared" si="200"/>
        <v>D0240</v>
      </c>
      <c r="C719" s="126">
        <v>1088</v>
      </c>
      <c r="D719" s="126" t="s">
        <v>1381</v>
      </c>
      <c r="E719" s="126">
        <v>92</v>
      </c>
      <c r="F719" s="126">
        <v>0</v>
      </c>
      <c r="G719" s="126">
        <v>47</v>
      </c>
      <c r="H719" s="126">
        <v>0</v>
      </c>
      <c r="I719" s="126">
        <v>51.09</v>
      </c>
      <c r="J719" s="126">
        <v>4.9000000000000004</v>
      </c>
      <c r="K719" s="126">
        <v>0</v>
      </c>
      <c r="L719" s="126">
        <f t="shared" si="213"/>
        <v>92</v>
      </c>
      <c r="M719" s="126">
        <f t="shared" si="214"/>
        <v>47</v>
      </c>
      <c r="N719" s="171">
        <f t="shared" si="215"/>
        <v>0.51090000000000002</v>
      </c>
      <c r="O719" s="132">
        <f t="shared" si="216"/>
        <v>0</v>
      </c>
      <c r="P719" s="177">
        <f t="shared" si="217"/>
        <v>4.9000000000000004</v>
      </c>
      <c r="Q719" s="177">
        <f t="shared" si="218"/>
        <v>4.9000000000000004</v>
      </c>
      <c r="S719" s="233" t="b">
        <f t="shared" si="219"/>
        <v>0</v>
      </c>
    </row>
    <row r="720" spans="1:19">
      <c r="A720" s="126" t="s">
        <v>3876</v>
      </c>
      <c r="B720" s="126" t="str">
        <f t="shared" si="200"/>
        <v>D0240</v>
      </c>
      <c r="C720" s="126">
        <v>1090</v>
      </c>
      <c r="D720" s="126" t="s">
        <v>1383</v>
      </c>
      <c r="E720" s="126">
        <v>74</v>
      </c>
      <c r="F720" s="126">
        <v>0</v>
      </c>
      <c r="G720" s="126">
        <v>37</v>
      </c>
      <c r="H720" s="126">
        <v>0</v>
      </c>
      <c r="I720" s="126">
        <v>50</v>
      </c>
      <c r="J720" s="126">
        <v>3.9</v>
      </c>
      <c r="K720" s="126">
        <v>0</v>
      </c>
      <c r="L720" s="126">
        <f t="shared" si="213"/>
        <v>74</v>
      </c>
      <c r="M720" s="126">
        <f t="shared" si="214"/>
        <v>37</v>
      </c>
      <c r="N720" s="171">
        <f t="shared" si="215"/>
        <v>0.5</v>
      </c>
      <c r="O720" s="132">
        <f t="shared" si="216"/>
        <v>0</v>
      </c>
      <c r="P720" s="177">
        <f t="shared" si="217"/>
        <v>3.9</v>
      </c>
      <c r="Q720" s="177">
        <f t="shared" si="218"/>
        <v>3.9</v>
      </c>
      <c r="S720" s="233" t="b">
        <f t="shared" si="219"/>
        <v>0</v>
      </c>
    </row>
    <row r="721" spans="1:19">
      <c r="A721" s="126" t="s">
        <v>3877</v>
      </c>
      <c r="B721" s="126" t="str">
        <f t="shared" ref="B721:B740" si="220">LEFT(A721,5)</f>
        <v>D0251</v>
      </c>
      <c r="C721" s="126">
        <v>1350</v>
      </c>
      <c r="D721" s="126" t="s">
        <v>3603</v>
      </c>
      <c r="E721" s="126">
        <v>237</v>
      </c>
      <c r="F721" s="126">
        <v>0</v>
      </c>
      <c r="G721" s="126">
        <v>83</v>
      </c>
      <c r="H721" s="126">
        <v>0</v>
      </c>
      <c r="I721" s="126">
        <v>35.020000000000003</v>
      </c>
      <c r="J721" s="126">
        <v>0</v>
      </c>
      <c r="K721" s="126">
        <v>0</v>
      </c>
      <c r="L721" s="126">
        <f t="shared" si="213"/>
        <v>237</v>
      </c>
      <c r="M721" s="126">
        <f t="shared" si="214"/>
        <v>83</v>
      </c>
      <c r="N721" s="171">
        <f t="shared" si="215"/>
        <v>0.35020000000000001</v>
      </c>
      <c r="O721" s="132">
        <f t="shared" si="216"/>
        <v>0</v>
      </c>
      <c r="P721" s="177">
        <f t="shared" si="217"/>
        <v>0</v>
      </c>
      <c r="Q721" s="177">
        <f t="shared" si="218"/>
        <v>0</v>
      </c>
      <c r="S721" s="233" t="b">
        <f t="shared" si="219"/>
        <v>0</v>
      </c>
    </row>
    <row r="722" spans="1:19">
      <c r="A722" s="126" t="s">
        <v>3877</v>
      </c>
      <c r="B722" s="126" t="str">
        <f t="shared" si="220"/>
        <v>D0251</v>
      </c>
      <c r="C722" s="126">
        <v>1358</v>
      </c>
      <c r="D722" s="126" t="s">
        <v>1450</v>
      </c>
      <c r="E722" s="126">
        <v>110</v>
      </c>
      <c r="F722" s="126">
        <v>0</v>
      </c>
      <c r="G722" s="126">
        <v>43</v>
      </c>
      <c r="H722" s="126">
        <v>0</v>
      </c>
      <c r="I722" s="126">
        <v>39.090000000000003</v>
      </c>
      <c r="J722" s="126">
        <v>0</v>
      </c>
      <c r="K722" s="126">
        <v>1.2</v>
      </c>
      <c r="L722" s="126">
        <f t="shared" si="213"/>
        <v>110</v>
      </c>
      <c r="M722" s="126">
        <f t="shared" si="214"/>
        <v>43</v>
      </c>
      <c r="N722" s="171">
        <f t="shared" si="215"/>
        <v>0.39090000000000003</v>
      </c>
      <c r="O722" s="132">
        <f t="shared" si="216"/>
        <v>1.2</v>
      </c>
      <c r="P722" s="177">
        <f t="shared" si="217"/>
        <v>0</v>
      </c>
      <c r="Q722" s="177">
        <f t="shared" si="218"/>
        <v>1.2</v>
      </c>
      <c r="S722" s="233" t="b">
        <f t="shared" si="219"/>
        <v>0</v>
      </c>
    </row>
    <row r="723" spans="1:19">
      <c r="A723" s="126" t="s">
        <v>3883</v>
      </c>
      <c r="B723" s="126" t="str">
        <f t="shared" si="220"/>
        <v>D0397</v>
      </c>
      <c r="C723" s="126">
        <v>5435</v>
      </c>
      <c r="D723" s="126" t="s">
        <v>2482</v>
      </c>
      <c r="E723" s="126">
        <v>196</v>
      </c>
      <c r="F723" s="126">
        <v>0</v>
      </c>
      <c r="G723" s="126">
        <v>61</v>
      </c>
      <c r="H723" s="126">
        <v>0</v>
      </c>
      <c r="I723" s="126">
        <v>31.12</v>
      </c>
      <c r="J723" s="126">
        <v>0</v>
      </c>
      <c r="K723" s="126">
        <v>0</v>
      </c>
      <c r="L723" s="126">
        <f t="shared" ref="L723:L749" si="221">SUM(E723:F723)</f>
        <v>196</v>
      </c>
      <c r="M723" s="126">
        <f t="shared" ref="M723:M749" si="222">SUM(G723:H723)</f>
        <v>61</v>
      </c>
      <c r="N723" s="171">
        <f t="shared" ref="N723:N749" si="223">IF(ISERROR(M723/L723),0,M723/L723)</f>
        <v>0.31119999999999998</v>
      </c>
      <c r="O723" s="132">
        <f t="shared" ref="O723:O749" si="224">IF(AND((N723-35%)&gt;0,N723&lt;50%),M723*(N723-35%)*0.7,0)</f>
        <v>0</v>
      </c>
      <c r="P723" s="177">
        <f t="shared" ref="P723:P749" si="225">IF(N723&gt;=50%,M723*10.5%,0)</f>
        <v>0</v>
      </c>
      <c r="Q723" s="177">
        <f t="shared" ref="Q723:Q749" si="226">MAX(O723,P723)</f>
        <v>0</v>
      </c>
      <c r="S723" s="233" t="b">
        <f t="shared" si="219"/>
        <v>0</v>
      </c>
    </row>
    <row r="724" spans="1:19">
      <c r="A724" s="126" t="s">
        <v>3884</v>
      </c>
      <c r="B724" s="126" t="str">
        <f t="shared" si="220"/>
        <v>D0398</v>
      </c>
      <c r="C724" s="126">
        <v>5460</v>
      </c>
      <c r="D724" s="126" t="s">
        <v>2484</v>
      </c>
      <c r="E724" s="126">
        <v>108</v>
      </c>
      <c r="F724" s="126">
        <v>0</v>
      </c>
      <c r="G724" s="126">
        <v>57</v>
      </c>
      <c r="H724" s="126">
        <v>0</v>
      </c>
      <c r="I724" s="126">
        <v>52.78</v>
      </c>
      <c r="J724" s="126">
        <v>6</v>
      </c>
      <c r="K724" s="126">
        <v>0</v>
      </c>
      <c r="L724" s="126">
        <f t="shared" si="221"/>
        <v>108</v>
      </c>
      <c r="M724" s="126">
        <f t="shared" si="222"/>
        <v>57</v>
      </c>
      <c r="N724" s="171">
        <f t="shared" si="223"/>
        <v>0.52780000000000005</v>
      </c>
      <c r="O724" s="132">
        <f t="shared" si="224"/>
        <v>0</v>
      </c>
      <c r="P724" s="177">
        <f t="shared" si="225"/>
        <v>6</v>
      </c>
      <c r="Q724" s="177">
        <f t="shared" si="226"/>
        <v>6</v>
      </c>
      <c r="S724" s="233" t="b">
        <f t="shared" si="219"/>
        <v>0</v>
      </c>
    </row>
    <row r="725" spans="1:19">
      <c r="A725" s="126" t="s">
        <v>3884</v>
      </c>
      <c r="B725" s="126" t="str">
        <f t="shared" si="220"/>
        <v>D0398</v>
      </c>
      <c r="C725" s="126">
        <v>5462</v>
      </c>
      <c r="D725" s="126" t="s">
        <v>2486</v>
      </c>
      <c r="E725" s="126">
        <v>132</v>
      </c>
      <c r="F725" s="126">
        <v>0</v>
      </c>
      <c r="G725" s="126">
        <v>59</v>
      </c>
      <c r="H725" s="126">
        <v>0</v>
      </c>
      <c r="I725" s="126">
        <v>44.7</v>
      </c>
      <c r="J725" s="126">
        <v>0</v>
      </c>
      <c r="K725" s="126">
        <v>4</v>
      </c>
      <c r="L725" s="126">
        <f t="shared" si="221"/>
        <v>132</v>
      </c>
      <c r="M725" s="126">
        <f t="shared" si="222"/>
        <v>59</v>
      </c>
      <c r="N725" s="171">
        <f t="shared" si="223"/>
        <v>0.44700000000000001</v>
      </c>
      <c r="O725" s="132">
        <f t="shared" si="224"/>
        <v>4</v>
      </c>
      <c r="P725" s="177">
        <f t="shared" si="225"/>
        <v>0</v>
      </c>
      <c r="Q725" s="177">
        <f t="shared" si="226"/>
        <v>4</v>
      </c>
      <c r="S725" s="233" t="b">
        <f t="shared" si="219"/>
        <v>0</v>
      </c>
    </row>
    <row r="726" spans="1:19">
      <c r="A726" s="126" t="s">
        <v>3886</v>
      </c>
      <c r="B726" s="126" t="str">
        <f t="shared" si="220"/>
        <v>D0423</v>
      </c>
      <c r="C726" s="126">
        <v>6140</v>
      </c>
      <c r="D726" s="126" t="s">
        <v>2626</v>
      </c>
      <c r="E726" s="126">
        <v>135</v>
      </c>
      <c r="F726" s="126">
        <v>0</v>
      </c>
      <c r="G726" s="126">
        <v>37</v>
      </c>
      <c r="H726" s="126">
        <v>0</v>
      </c>
      <c r="I726" s="126">
        <v>27.41</v>
      </c>
      <c r="J726" s="126">
        <v>0</v>
      </c>
      <c r="K726" s="126">
        <v>0</v>
      </c>
      <c r="L726" s="126">
        <f t="shared" si="221"/>
        <v>135</v>
      </c>
      <c r="M726" s="126">
        <f t="shared" si="222"/>
        <v>37</v>
      </c>
      <c r="N726" s="171">
        <f t="shared" si="223"/>
        <v>0.27410000000000001</v>
      </c>
      <c r="O726" s="132">
        <f t="shared" si="224"/>
        <v>0</v>
      </c>
      <c r="P726" s="177">
        <f t="shared" si="225"/>
        <v>0</v>
      </c>
      <c r="Q726" s="177">
        <f t="shared" si="226"/>
        <v>0</v>
      </c>
      <c r="S726" s="233" t="b">
        <f t="shared" si="219"/>
        <v>0</v>
      </c>
    </row>
    <row r="727" spans="1:19">
      <c r="A727" s="126" t="s">
        <v>3886</v>
      </c>
      <c r="B727" s="126" t="str">
        <f t="shared" si="220"/>
        <v>D0423</v>
      </c>
      <c r="C727" s="126">
        <v>6142</v>
      </c>
      <c r="D727" s="126" t="s">
        <v>2628</v>
      </c>
      <c r="E727" s="126">
        <v>104</v>
      </c>
      <c r="F727" s="126">
        <v>0</v>
      </c>
      <c r="G727" s="126">
        <v>18</v>
      </c>
      <c r="H727" s="126">
        <v>0</v>
      </c>
      <c r="I727" s="126">
        <v>17.309999999999999</v>
      </c>
      <c r="J727" s="126">
        <v>0</v>
      </c>
      <c r="K727" s="126">
        <v>0</v>
      </c>
      <c r="L727" s="126">
        <f t="shared" si="221"/>
        <v>104</v>
      </c>
      <c r="M727" s="126">
        <f t="shared" si="222"/>
        <v>18</v>
      </c>
      <c r="N727" s="171">
        <f t="shared" si="223"/>
        <v>0.1731</v>
      </c>
      <c r="O727" s="132">
        <f t="shared" si="224"/>
        <v>0</v>
      </c>
      <c r="P727" s="177">
        <f t="shared" si="225"/>
        <v>0</v>
      </c>
      <c r="Q727" s="177">
        <f t="shared" si="226"/>
        <v>0</v>
      </c>
      <c r="S727" s="233" t="b">
        <f t="shared" si="219"/>
        <v>0</v>
      </c>
    </row>
    <row r="728" spans="1:19">
      <c r="A728" s="126" t="s">
        <v>3886</v>
      </c>
      <c r="B728" s="126" t="str">
        <f t="shared" si="220"/>
        <v>D0423</v>
      </c>
      <c r="C728" s="126">
        <v>6146</v>
      </c>
      <c r="D728" s="126" t="s">
        <v>2630</v>
      </c>
      <c r="E728" s="126">
        <v>173</v>
      </c>
      <c r="F728" s="126">
        <v>0</v>
      </c>
      <c r="G728" s="126">
        <v>29</v>
      </c>
      <c r="H728" s="126">
        <v>0</v>
      </c>
      <c r="I728" s="126">
        <v>16.760000000000002</v>
      </c>
      <c r="J728" s="126">
        <v>0</v>
      </c>
      <c r="K728" s="126">
        <v>0</v>
      </c>
      <c r="L728" s="126">
        <f t="shared" si="221"/>
        <v>173</v>
      </c>
      <c r="M728" s="126">
        <f t="shared" si="222"/>
        <v>29</v>
      </c>
      <c r="N728" s="171">
        <f t="shared" si="223"/>
        <v>0.1676</v>
      </c>
      <c r="O728" s="132">
        <f t="shared" si="224"/>
        <v>0</v>
      </c>
      <c r="P728" s="177">
        <f t="shared" si="225"/>
        <v>0</v>
      </c>
      <c r="Q728" s="177">
        <f t="shared" si="226"/>
        <v>0</v>
      </c>
      <c r="S728" s="233" t="b">
        <f t="shared" si="219"/>
        <v>0</v>
      </c>
    </row>
    <row r="729" spans="1:19">
      <c r="A729" s="126" t="s">
        <v>3887</v>
      </c>
      <c r="B729" s="126" t="str">
        <f t="shared" si="220"/>
        <v>D0445</v>
      </c>
      <c r="C729" s="126">
        <v>6756</v>
      </c>
      <c r="D729" s="126" t="s">
        <v>2752</v>
      </c>
      <c r="E729" s="126">
        <v>1054</v>
      </c>
      <c r="F729" s="126">
        <v>0</v>
      </c>
      <c r="G729" s="126">
        <v>757</v>
      </c>
      <c r="H729" s="126">
        <v>0</v>
      </c>
      <c r="I729" s="126">
        <v>71.819999999999993</v>
      </c>
      <c r="J729" s="126">
        <v>79.5</v>
      </c>
      <c r="K729" s="126">
        <v>0</v>
      </c>
      <c r="L729" s="126">
        <f t="shared" si="221"/>
        <v>1054</v>
      </c>
      <c r="M729" s="126">
        <f t="shared" si="222"/>
        <v>757</v>
      </c>
      <c r="N729" s="171">
        <f t="shared" si="223"/>
        <v>0.71819999999999995</v>
      </c>
      <c r="O729" s="132">
        <f t="shared" si="224"/>
        <v>0</v>
      </c>
      <c r="P729" s="177">
        <f t="shared" si="225"/>
        <v>79.5</v>
      </c>
      <c r="Q729" s="177">
        <f t="shared" si="226"/>
        <v>79.5</v>
      </c>
      <c r="S729" s="233" t="b">
        <f t="shared" si="219"/>
        <v>0</v>
      </c>
    </row>
    <row r="730" spans="1:19">
      <c r="A730" s="126" t="s">
        <v>3887</v>
      </c>
      <c r="B730" s="126" t="str">
        <f t="shared" si="220"/>
        <v>D0445</v>
      </c>
      <c r="C730" s="126">
        <v>6770</v>
      </c>
      <c r="D730" s="126" t="s">
        <v>2754</v>
      </c>
      <c r="E730" s="126">
        <v>250</v>
      </c>
      <c r="F730" s="126">
        <v>0</v>
      </c>
      <c r="G730" s="126">
        <v>164</v>
      </c>
      <c r="H730" s="126">
        <v>0</v>
      </c>
      <c r="I730" s="126">
        <v>65.599999999999994</v>
      </c>
      <c r="J730" s="126">
        <v>17.2</v>
      </c>
      <c r="K730" s="126">
        <v>0</v>
      </c>
      <c r="L730" s="126">
        <f t="shared" si="221"/>
        <v>250</v>
      </c>
      <c r="M730" s="126">
        <f t="shared" si="222"/>
        <v>164</v>
      </c>
      <c r="N730" s="171">
        <f t="shared" si="223"/>
        <v>0.65600000000000003</v>
      </c>
      <c r="O730" s="132">
        <f t="shared" si="224"/>
        <v>0</v>
      </c>
      <c r="P730" s="177">
        <f t="shared" si="225"/>
        <v>17.2</v>
      </c>
      <c r="Q730" s="177">
        <f t="shared" si="226"/>
        <v>17.2</v>
      </c>
      <c r="S730" s="233" t="b">
        <f t="shared" si="219"/>
        <v>0</v>
      </c>
    </row>
    <row r="731" spans="1:19">
      <c r="A731" s="126" t="s">
        <v>3887</v>
      </c>
      <c r="B731" s="126" t="str">
        <f t="shared" si="220"/>
        <v>D0445</v>
      </c>
      <c r="C731" s="126">
        <v>6772</v>
      </c>
      <c r="D731" s="126" t="s">
        <v>2756</v>
      </c>
      <c r="E731" s="126">
        <v>482</v>
      </c>
      <c r="F731" s="126">
        <v>0</v>
      </c>
      <c r="G731" s="126">
        <v>301</v>
      </c>
      <c r="H731" s="126">
        <v>0</v>
      </c>
      <c r="I731" s="126">
        <v>62.45</v>
      </c>
      <c r="J731" s="126">
        <v>31.6</v>
      </c>
      <c r="K731" s="126">
        <v>0</v>
      </c>
      <c r="L731" s="126">
        <f t="shared" si="221"/>
        <v>482</v>
      </c>
      <c r="M731" s="126">
        <f t="shared" si="222"/>
        <v>301</v>
      </c>
      <c r="N731" s="171">
        <f t="shared" si="223"/>
        <v>0.62450000000000006</v>
      </c>
      <c r="O731" s="132">
        <f t="shared" si="224"/>
        <v>0</v>
      </c>
      <c r="P731" s="177">
        <f t="shared" si="225"/>
        <v>31.6</v>
      </c>
      <c r="Q731" s="177">
        <f t="shared" si="226"/>
        <v>31.6</v>
      </c>
      <c r="S731" s="233" t="b">
        <f t="shared" si="219"/>
        <v>0</v>
      </c>
    </row>
    <row r="732" spans="1:19">
      <c r="A732" s="126" t="s">
        <v>3888</v>
      </c>
      <c r="B732" s="126" t="str">
        <f t="shared" si="220"/>
        <v>D0449</v>
      </c>
      <c r="C732" s="126">
        <v>6917</v>
      </c>
      <c r="D732" s="126" t="s">
        <v>1193</v>
      </c>
      <c r="E732" s="126">
        <v>141</v>
      </c>
      <c r="F732" s="126">
        <v>0</v>
      </c>
      <c r="G732" s="126">
        <v>29</v>
      </c>
      <c r="H732" s="126">
        <v>0</v>
      </c>
      <c r="I732" s="126">
        <v>20.57</v>
      </c>
      <c r="J732" s="126">
        <v>0</v>
      </c>
      <c r="K732" s="126">
        <v>0</v>
      </c>
      <c r="L732" s="126">
        <f t="shared" si="221"/>
        <v>141</v>
      </c>
      <c r="M732" s="126">
        <f t="shared" si="222"/>
        <v>29</v>
      </c>
      <c r="N732" s="171">
        <f t="shared" si="223"/>
        <v>0.20569999999999999</v>
      </c>
      <c r="O732" s="132">
        <f t="shared" si="224"/>
        <v>0</v>
      </c>
      <c r="P732" s="177">
        <f t="shared" si="225"/>
        <v>0</v>
      </c>
      <c r="Q732" s="177">
        <f t="shared" si="226"/>
        <v>0</v>
      </c>
      <c r="S732" s="233" t="b">
        <f t="shared" si="219"/>
        <v>0</v>
      </c>
    </row>
    <row r="733" spans="1:19">
      <c r="A733" s="126" t="s">
        <v>3888</v>
      </c>
      <c r="B733" s="126" t="str">
        <f t="shared" si="220"/>
        <v>D0449</v>
      </c>
      <c r="C733" s="126">
        <v>6918</v>
      </c>
      <c r="D733" s="126" t="s">
        <v>2776</v>
      </c>
      <c r="E733" s="126">
        <v>231</v>
      </c>
      <c r="F733" s="126">
        <v>0</v>
      </c>
      <c r="G733" s="126">
        <v>44</v>
      </c>
      <c r="H733" s="126">
        <v>0</v>
      </c>
      <c r="I733" s="126">
        <v>19.05</v>
      </c>
      <c r="J733" s="126">
        <v>0</v>
      </c>
      <c r="K733" s="126">
        <v>0</v>
      </c>
      <c r="L733" s="126">
        <f t="shared" si="221"/>
        <v>231</v>
      </c>
      <c r="M733" s="126">
        <f t="shared" si="222"/>
        <v>44</v>
      </c>
      <c r="N733" s="171">
        <f t="shared" si="223"/>
        <v>0.1905</v>
      </c>
      <c r="O733" s="132">
        <f t="shared" si="224"/>
        <v>0</v>
      </c>
      <c r="P733" s="177">
        <f t="shared" si="225"/>
        <v>0</v>
      </c>
      <c r="Q733" s="177">
        <f t="shared" si="226"/>
        <v>0</v>
      </c>
      <c r="S733" s="233" t="b">
        <f t="shared" si="219"/>
        <v>0</v>
      </c>
    </row>
    <row r="734" spans="1:19">
      <c r="A734" s="126" t="s">
        <v>3888</v>
      </c>
      <c r="B734" s="126" t="str">
        <f t="shared" si="220"/>
        <v>D0449</v>
      </c>
      <c r="C734" s="126">
        <v>6919</v>
      </c>
      <c r="D734" s="126" t="s">
        <v>2778</v>
      </c>
      <c r="E734" s="126">
        <v>284</v>
      </c>
      <c r="F734" s="126">
        <v>0</v>
      </c>
      <c r="G734" s="126">
        <v>65</v>
      </c>
      <c r="H734" s="126">
        <v>0</v>
      </c>
      <c r="I734" s="126">
        <v>22.89</v>
      </c>
      <c r="J734" s="126">
        <v>0</v>
      </c>
      <c r="K734" s="126">
        <v>0</v>
      </c>
      <c r="L734" s="126">
        <f t="shared" si="221"/>
        <v>284</v>
      </c>
      <c r="M734" s="126">
        <f t="shared" si="222"/>
        <v>65</v>
      </c>
      <c r="N734" s="171">
        <f t="shared" si="223"/>
        <v>0.22889999999999999</v>
      </c>
      <c r="O734" s="132">
        <f t="shared" si="224"/>
        <v>0</v>
      </c>
      <c r="P734" s="177">
        <f t="shared" si="225"/>
        <v>0</v>
      </c>
      <c r="Q734" s="177">
        <f t="shared" si="226"/>
        <v>0</v>
      </c>
      <c r="S734" s="233" t="b">
        <f t="shared" si="219"/>
        <v>0</v>
      </c>
    </row>
    <row r="735" spans="1:19">
      <c r="A735" s="126" t="s">
        <v>3889</v>
      </c>
      <c r="B735" s="126" t="str">
        <f t="shared" si="220"/>
        <v>D0469</v>
      </c>
      <c r="C735" s="126">
        <v>7423</v>
      </c>
      <c r="D735" s="126" t="s">
        <v>2923</v>
      </c>
      <c r="E735" s="126">
        <v>681</v>
      </c>
      <c r="F735" s="126">
        <v>0</v>
      </c>
      <c r="G735" s="126">
        <v>182</v>
      </c>
      <c r="H735" s="126">
        <v>0</v>
      </c>
      <c r="I735" s="126">
        <v>26.73</v>
      </c>
      <c r="J735" s="126">
        <v>0</v>
      </c>
      <c r="K735" s="126">
        <v>0</v>
      </c>
      <c r="L735" s="126">
        <f t="shared" si="221"/>
        <v>681</v>
      </c>
      <c r="M735" s="126">
        <f t="shared" si="222"/>
        <v>182</v>
      </c>
      <c r="N735" s="171">
        <f t="shared" si="223"/>
        <v>0.26729999999999998</v>
      </c>
      <c r="O735" s="132">
        <f t="shared" si="224"/>
        <v>0</v>
      </c>
      <c r="P735" s="177">
        <f t="shared" si="225"/>
        <v>0</v>
      </c>
      <c r="Q735" s="177">
        <f t="shared" si="226"/>
        <v>0</v>
      </c>
      <c r="S735" s="233" t="b">
        <f t="shared" si="219"/>
        <v>0</v>
      </c>
    </row>
    <row r="736" spans="1:19">
      <c r="A736" s="126" t="s">
        <v>3889</v>
      </c>
      <c r="B736" s="126" t="str">
        <f t="shared" si="220"/>
        <v>D0469</v>
      </c>
      <c r="C736" s="126">
        <v>7426</v>
      </c>
      <c r="D736" s="126" t="s">
        <v>2925</v>
      </c>
      <c r="E736" s="126">
        <v>858</v>
      </c>
      <c r="F736" s="126">
        <v>0</v>
      </c>
      <c r="G736" s="126">
        <v>136</v>
      </c>
      <c r="H736" s="126">
        <v>0</v>
      </c>
      <c r="I736" s="126">
        <v>15.85</v>
      </c>
      <c r="J736" s="126">
        <v>0</v>
      </c>
      <c r="K736" s="126">
        <v>0</v>
      </c>
      <c r="L736" s="126">
        <f t="shared" si="221"/>
        <v>858</v>
      </c>
      <c r="M736" s="126">
        <f t="shared" si="222"/>
        <v>136</v>
      </c>
      <c r="N736" s="171">
        <f t="shared" si="223"/>
        <v>0.1585</v>
      </c>
      <c r="O736" s="132">
        <f t="shared" si="224"/>
        <v>0</v>
      </c>
      <c r="P736" s="177">
        <f t="shared" si="225"/>
        <v>0</v>
      </c>
      <c r="Q736" s="177">
        <f t="shared" si="226"/>
        <v>0</v>
      </c>
      <c r="S736" s="233" t="b">
        <f t="shared" si="219"/>
        <v>0</v>
      </c>
    </row>
    <row r="737" spans="1:19">
      <c r="A737" s="126" t="s">
        <v>3889</v>
      </c>
      <c r="B737" s="126" t="str">
        <f t="shared" si="220"/>
        <v>D0469</v>
      </c>
      <c r="C737" s="126">
        <v>7435</v>
      </c>
      <c r="D737" s="126" t="s">
        <v>3610</v>
      </c>
      <c r="E737" s="126">
        <v>387</v>
      </c>
      <c r="F737" s="126">
        <v>0</v>
      </c>
      <c r="G737" s="126">
        <v>92</v>
      </c>
      <c r="H737" s="126">
        <v>0</v>
      </c>
      <c r="I737" s="126">
        <v>23.77</v>
      </c>
      <c r="J737" s="126">
        <v>0</v>
      </c>
      <c r="K737" s="126">
        <v>0</v>
      </c>
      <c r="L737" s="126">
        <f t="shared" si="221"/>
        <v>387</v>
      </c>
      <c r="M737" s="126">
        <f t="shared" si="222"/>
        <v>92</v>
      </c>
      <c r="N737" s="171">
        <f t="shared" si="223"/>
        <v>0.23769999999999999</v>
      </c>
      <c r="O737" s="132">
        <f t="shared" si="224"/>
        <v>0</v>
      </c>
      <c r="P737" s="177">
        <f t="shared" si="225"/>
        <v>0</v>
      </c>
      <c r="Q737" s="177">
        <f t="shared" si="226"/>
        <v>0</v>
      </c>
      <c r="S737" s="233" t="b">
        <f t="shared" si="219"/>
        <v>0</v>
      </c>
    </row>
    <row r="738" spans="1:19">
      <c r="A738" s="126" t="s">
        <v>3890</v>
      </c>
      <c r="B738" s="126" t="str">
        <f t="shared" si="220"/>
        <v>D0480</v>
      </c>
      <c r="C738" s="126">
        <v>7715</v>
      </c>
      <c r="D738" s="126" t="s">
        <v>2998</v>
      </c>
      <c r="E738" s="126">
        <v>515</v>
      </c>
      <c r="F738" s="126">
        <v>0</v>
      </c>
      <c r="G738" s="126">
        <v>356</v>
      </c>
      <c r="H738" s="126">
        <v>0</v>
      </c>
      <c r="I738" s="126">
        <v>69.13</v>
      </c>
      <c r="J738" s="126">
        <v>37.4</v>
      </c>
      <c r="K738" s="126">
        <v>0</v>
      </c>
      <c r="L738" s="126">
        <f t="shared" si="221"/>
        <v>515</v>
      </c>
      <c r="M738" s="126">
        <f t="shared" si="222"/>
        <v>356</v>
      </c>
      <c r="N738" s="171">
        <f t="shared" si="223"/>
        <v>0.69130000000000003</v>
      </c>
      <c r="O738" s="132">
        <f t="shared" si="224"/>
        <v>0</v>
      </c>
      <c r="P738" s="177">
        <f t="shared" si="225"/>
        <v>37.4</v>
      </c>
      <c r="Q738" s="177">
        <f t="shared" si="226"/>
        <v>37.4</v>
      </c>
      <c r="S738" s="233" t="b">
        <f t="shared" si="219"/>
        <v>0</v>
      </c>
    </row>
    <row r="739" spans="1:19">
      <c r="A739" s="126" t="s">
        <v>3890</v>
      </c>
      <c r="B739" s="126" t="str">
        <f t="shared" si="220"/>
        <v>D0480</v>
      </c>
      <c r="C739" s="126">
        <v>7718</v>
      </c>
      <c r="D739" s="126" t="s">
        <v>3000</v>
      </c>
      <c r="E739" s="126">
        <v>428</v>
      </c>
      <c r="F739" s="126">
        <v>0</v>
      </c>
      <c r="G739" s="126">
        <v>223</v>
      </c>
      <c r="H739" s="126">
        <v>0</v>
      </c>
      <c r="I739" s="126">
        <v>52.1</v>
      </c>
      <c r="J739" s="126">
        <v>23.4</v>
      </c>
      <c r="K739" s="126">
        <v>0</v>
      </c>
      <c r="L739" s="126">
        <f t="shared" si="221"/>
        <v>428</v>
      </c>
      <c r="M739" s="126">
        <f t="shared" si="222"/>
        <v>223</v>
      </c>
      <c r="N739" s="171">
        <f t="shared" si="223"/>
        <v>0.52100000000000002</v>
      </c>
      <c r="O739" s="132">
        <f t="shared" si="224"/>
        <v>0</v>
      </c>
      <c r="P739" s="177">
        <f t="shared" si="225"/>
        <v>23.4</v>
      </c>
      <c r="Q739" s="177">
        <f t="shared" si="226"/>
        <v>23.4</v>
      </c>
      <c r="S739" s="233" t="b">
        <f t="shared" si="219"/>
        <v>0</v>
      </c>
    </row>
    <row r="740" spans="1:19">
      <c r="A740" s="126" t="s">
        <v>3890</v>
      </c>
      <c r="B740" s="126" t="str">
        <f t="shared" si="220"/>
        <v>D0480</v>
      </c>
      <c r="C740" s="126">
        <v>7725</v>
      </c>
      <c r="D740" s="126" t="s">
        <v>1888</v>
      </c>
      <c r="E740" s="126">
        <v>662</v>
      </c>
      <c r="F740" s="126">
        <v>0</v>
      </c>
      <c r="G740" s="126">
        <v>471</v>
      </c>
      <c r="H740" s="126">
        <v>0</v>
      </c>
      <c r="I740" s="126">
        <v>71.150000000000006</v>
      </c>
      <c r="J740" s="126">
        <v>49.5</v>
      </c>
      <c r="K740" s="126">
        <v>0</v>
      </c>
      <c r="L740" s="126">
        <f t="shared" si="221"/>
        <v>662</v>
      </c>
      <c r="M740" s="126">
        <f t="shared" si="222"/>
        <v>471</v>
      </c>
      <c r="N740" s="171">
        <f t="shared" si="223"/>
        <v>0.71150000000000002</v>
      </c>
      <c r="O740" s="132">
        <f t="shared" si="224"/>
        <v>0</v>
      </c>
      <c r="P740" s="177">
        <f t="shared" si="225"/>
        <v>49.5</v>
      </c>
      <c r="Q740" s="177">
        <f t="shared" si="226"/>
        <v>49.5</v>
      </c>
      <c r="S740" s="233" t="b">
        <f t="shared" si="219"/>
        <v>0</v>
      </c>
    </row>
    <row r="741" spans="1:19">
      <c r="A741" s="126" t="s">
        <v>3890</v>
      </c>
      <c r="B741" s="126" t="str">
        <f t="shared" ref="B741:B771" si="227">LEFT(A741,5)</f>
        <v>D0480</v>
      </c>
      <c r="C741" s="126">
        <v>7732</v>
      </c>
      <c r="D741" s="126" t="s">
        <v>3003</v>
      </c>
      <c r="E741" s="126">
        <v>1397</v>
      </c>
      <c r="F741" s="126">
        <v>0</v>
      </c>
      <c r="G741" s="126">
        <v>892</v>
      </c>
      <c r="H741" s="126">
        <v>0</v>
      </c>
      <c r="I741" s="126">
        <v>63.85</v>
      </c>
      <c r="J741" s="126">
        <v>93.7</v>
      </c>
      <c r="K741" s="126">
        <v>0</v>
      </c>
      <c r="L741" s="126">
        <f t="shared" si="221"/>
        <v>1397</v>
      </c>
      <c r="M741" s="126">
        <f t="shared" si="222"/>
        <v>892</v>
      </c>
      <c r="N741" s="171">
        <f t="shared" si="223"/>
        <v>0.63849999999999996</v>
      </c>
      <c r="O741" s="132">
        <f t="shared" si="224"/>
        <v>0</v>
      </c>
      <c r="P741" s="177">
        <f t="shared" si="225"/>
        <v>93.7</v>
      </c>
      <c r="Q741" s="177">
        <f t="shared" si="226"/>
        <v>93.7</v>
      </c>
      <c r="S741" s="233" t="b">
        <f t="shared" si="219"/>
        <v>0</v>
      </c>
    </row>
    <row r="742" spans="1:19">
      <c r="A742" s="126" t="s">
        <v>3890</v>
      </c>
      <c r="B742" s="126" t="str">
        <f t="shared" si="227"/>
        <v>D0480</v>
      </c>
      <c r="C742" s="126">
        <v>7736</v>
      </c>
      <c r="D742" s="126" t="s">
        <v>3005</v>
      </c>
      <c r="E742" s="126">
        <v>567</v>
      </c>
      <c r="F742" s="126">
        <v>0</v>
      </c>
      <c r="G742" s="126">
        <v>363</v>
      </c>
      <c r="H742" s="126">
        <v>0</v>
      </c>
      <c r="I742" s="126">
        <v>64.02</v>
      </c>
      <c r="J742" s="126">
        <v>38.1</v>
      </c>
      <c r="K742" s="126">
        <v>0</v>
      </c>
      <c r="L742" s="126">
        <f t="shared" si="221"/>
        <v>567</v>
      </c>
      <c r="M742" s="126">
        <f t="shared" si="222"/>
        <v>363</v>
      </c>
      <c r="N742" s="171">
        <f t="shared" si="223"/>
        <v>0.64019999999999999</v>
      </c>
      <c r="O742" s="132">
        <f t="shared" si="224"/>
        <v>0</v>
      </c>
      <c r="P742" s="177">
        <f t="shared" si="225"/>
        <v>38.1</v>
      </c>
      <c r="Q742" s="177">
        <f t="shared" si="226"/>
        <v>38.1</v>
      </c>
      <c r="S742" s="233" t="b">
        <f t="shared" si="219"/>
        <v>0</v>
      </c>
    </row>
    <row r="743" spans="1:19">
      <c r="A743" s="126" t="s">
        <v>3890</v>
      </c>
      <c r="B743" s="126" t="str">
        <f t="shared" si="227"/>
        <v>D0480</v>
      </c>
      <c r="C743" s="126">
        <v>7737</v>
      </c>
      <c r="D743" s="126" t="s">
        <v>3007</v>
      </c>
      <c r="E743" s="126">
        <v>441</v>
      </c>
      <c r="F743" s="126">
        <v>0</v>
      </c>
      <c r="G743" s="126">
        <v>277</v>
      </c>
      <c r="H743" s="126">
        <v>0</v>
      </c>
      <c r="I743" s="126">
        <v>62.81</v>
      </c>
      <c r="J743" s="126">
        <v>29.1</v>
      </c>
      <c r="K743" s="126">
        <v>0</v>
      </c>
      <c r="L743" s="126">
        <f t="shared" si="221"/>
        <v>441</v>
      </c>
      <c r="M743" s="126">
        <f t="shared" si="222"/>
        <v>277</v>
      </c>
      <c r="N743" s="171">
        <f t="shared" si="223"/>
        <v>0.62809999999999999</v>
      </c>
      <c r="O743" s="132">
        <f t="shared" si="224"/>
        <v>0</v>
      </c>
      <c r="P743" s="177">
        <f t="shared" si="225"/>
        <v>29.1</v>
      </c>
      <c r="Q743" s="177">
        <f t="shared" si="226"/>
        <v>29.1</v>
      </c>
      <c r="S743" s="233" t="b">
        <f t="shared" si="219"/>
        <v>0</v>
      </c>
    </row>
    <row r="744" spans="1:19">
      <c r="A744" s="126" t="s">
        <v>3890</v>
      </c>
      <c r="B744" s="126" t="str">
        <f t="shared" si="227"/>
        <v>D0480</v>
      </c>
      <c r="C744" s="126">
        <v>7738</v>
      </c>
      <c r="D744" s="126" t="s">
        <v>3009</v>
      </c>
      <c r="E744" s="126">
        <v>372</v>
      </c>
      <c r="F744" s="126">
        <v>0</v>
      </c>
      <c r="G744" s="126">
        <v>325</v>
      </c>
      <c r="H744" s="126">
        <v>0</v>
      </c>
      <c r="I744" s="126">
        <v>87.37</v>
      </c>
      <c r="J744" s="126">
        <v>34.1</v>
      </c>
      <c r="K744" s="126">
        <v>0</v>
      </c>
      <c r="L744" s="126">
        <f t="shared" si="221"/>
        <v>372</v>
      </c>
      <c r="M744" s="126">
        <f t="shared" si="222"/>
        <v>325</v>
      </c>
      <c r="N744" s="171">
        <f t="shared" si="223"/>
        <v>0.87370000000000003</v>
      </c>
      <c r="O744" s="132">
        <f t="shared" si="224"/>
        <v>0</v>
      </c>
      <c r="P744" s="177">
        <f t="shared" si="225"/>
        <v>34.1</v>
      </c>
      <c r="Q744" s="177">
        <f t="shared" si="226"/>
        <v>34.1</v>
      </c>
      <c r="S744" s="233" t="b">
        <f t="shared" si="219"/>
        <v>0</v>
      </c>
    </row>
    <row r="745" spans="1:19">
      <c r="A745" s="126" t="s">
        <v>3890</v>
      </c>
      <c r="B745" s="126" t="str">
        <f t="shared" si="227"/>
        <v>D0480</v>
      </c>
      <c r="C745" s="126">
        <v>7739</v>
      </c>
      <c r="D745" s="126" t="s">
        <v>3011</v>
      </c>
      <c r="E745" s="126">
        <v>474</v>
      </c>
      <c r="F745" s="126">
        <v>0</v>
      </c>
      <c r="G745" s="126">
        <v>359</v>
      </c>
      <c r="H745" s="126">
        <v>0</v>
      </c>
      <c r="I745" s="126">
        <v>75.739999999999995</v>
      </c>
      <c r="J745" s="126">
        <v>37.700000000000003</v>
      </c>
      <c r="K745" s="126">
        <v>0</v>
      </c>
      <c r="L745" s="126">
        <f t="shared" si="221"/>
        <v>474</v>
      </c>
      <c r="M745" s="126">
        <f t="shared" si="222"/>
        <v>359</v>
      </c>
      <c r="N745" s="171">
        <f t="shared" si="223"/>
        <v>0.75739999999999996</v>
      </c>
      <c r="O745" s="132">
        <f t="shared" si="224"/>
        <v>0</v>
      </c>
      <c r="P745" s="177">
        <f t="shared" si="225"/>
        <v>37.700000000000003</v>
      </c>
      <c r="Q745" s="177">
        <f t="shared" si="226"/>
        <v>37.700000000000003</v>
      </c>
      <c r="S745" s="233" t="b">
        <f t="shared" si="219"/>
        <v>0</v>
      </c>
    </row>
    <row r="746" spans="1:19">
      <c r="A746" s="126" t="s">
        <v>3891</v>
      </c>
      <c r="B746" s="126" t="str">
        <f t="shared" si="227"/>
        <v>D0481</v>
      </c>
      <c r="C746" s="126">
        <v>7750</v>
      </c>
      <c r="D746" s="126" t="s">
        <v>3013</v>
      </c>
      <c r="E746" s="126">
        <v>76</v>
      </c>
      <c r="F746" s="126">
        <v>0</v>
      </c>
      <c r="G746" s="126">
        <v>29</v>
      </c>
      <c r="H746" s="126">
        <v>0</v>
      </c>
      <c r="I746" s="126">
        <v>38.159999999999997</v>
      </c>
      <c r="J746" s="126">
        <v>0</v>
      </c>
      <c r="K746" s="126">
        <v>0.6</v>
      </c>
      <c r="L746" s="126">
        <f t="shared" si="221"/>
        <v>76</v>
      </c>
      <c r="M746" s="126">
        <f t="shared" si="222"/>
        <v>29</v>
      </c>
      <c r="N746" s="171">
        <f t="shared" si="223"/>
        <v>0.38159999999999999</v>
      </c>
      <c r="O746" s="132">
        <f t="shared" si="224"/>
        <v>0.6</v>
      </c>
      <c r="P746" s="177">
        <f t="shared" si="225"/>
        <v>0</v>
      </c>
      <c r="Q746" s="177">
        <f t="shared" si="226"/>
        <v>0.6</v>
      </c>
      <c r="S746" s="233" t="b">
        <f t="shared" si="219"/>
        <v>0</v>
      </c>
    </row>
    <row r="747" spans="1:19">
      <c r="A747" s="126" t="s">
        <v>3891</v>
      </c>
      <c r="B747" s="126" t="str">
        <f t="shared" si="227"/>
        <v>D0481</v>
      </c>
      <c r="C747" s="126">
        <v>7752</v>
      </c>
      <c r="D747" s="126" t="s">
        <v>3015</v>
      </c>
      <c r="E747" s="126">
        <v>44</v>
      </c>
      <c r="F747" s="126">
        <v>0</v>
      </c>
      <c r="G747" s="126">
        <v>16</v>
      </c>
      <c r="H747" s="126">
        <v>0</v>
      </c>
      <c r="I747" s="126">
        <v>36.36</v>
      </c>
      <c r="J747" s="126">
        <v>0</v>
      </c>
      <c r="K747" s="126">
        <v>0.2</v>
      </c>
      <c r="L747" s="126">
        <f t="shared" si="221"/>
        <v>44</v>
      </c>
      <c r="M747" s="126">
        <f t="shared" si="222"/>
        <v>16</v>
      </c>
      <c r="N747" s="171">
        <f t="shared" si="223"/>
        <v>0.36359999999999998</v>
      </c>
      <c r="O747" s="132">
        <f t="shared" si="224"/>
        <v>0.2</v>
      </c>
      <c r="P747" s="177">
        <f t="shared" si="225"/>
        <v>0</v>
      </c>
      <c r="Q747" s="177">
        <f t="shared" si="226"/>
        <v>0.2</v>
      </c>
      <c r="S747" s="233" t="b">
        <f t="shared" si="219"/>
        <v>0</v>
      </c>
    </row>
    <row r="748" spans="1:19">
      <c r="A748" s="126" t="s">
        <v>3891</v>
      </c>
      <c r="B748" s="126" t="str">
        <f t="shared" si="227"/>
        <v>D0481</v>
      </c>
      <c r="C748" s="126">
        <v>7758</v>
      </c>
      <c r="D748" s="126" t="s">
        <v>3017</v>
      </c>
      <c r="E748" s="126">
        <v>110</v>
      </c>
      <c r="F748" s="126">
        <v>0</v>
      </c>
      <c r="G748" s="126">
        <v>48</v>
      </c>
      <c r="H748" s="126">
        <v>0</v>
      </c>
      <c r="I748" s="126">
        <v>43.64</v>
      </c>
      <c r="J748" s="126">
        <v>0</v>
      </c>
      <c r="K748" s="126">
        <v>2.9</v>
      </c>
      <c r="L748" s="126">
        <f t="shared" si="221"/>
        <v>110</v>
      </c>
      <c r="M748" s="126">
        <f t="shared" si="222"/>
        <v>48</v>
      </c>
      <c r="N748" s="171">
        <f t="shared" si="223"/>
        <v>0.43640000000000001</v>
      </c>
      <c r="O748" s="132">
        <f t="shared" si="224"/>
        <v>2.9</v>
      </c>
      <c r="P748" s="177">
        <f t="shared" si="225"/>
        <v>0</v>
      </c>
      <c r="Q748" s="177">
        <f t="shared" si="226"/>
        <v>2.9</v>
      </c>
      <c r="S748" s="233" t="b">
        <f t="shared" si="219"/>
        <v>0</v>
      </c>
    </row>
    <row r="749" spans="1:19">
      <c r="A749" s="126" t="s">
        <v>3891</v>
      </c>
      <c r="B749" s="126" t="str">
        <f t="shared" si="227"/>
        <v>D0481</v>
      </c>
      <c r="C749" s="126">
        <v>7760</v>
      </c>
      <c r="D749" s="126" t="s">
        <v>3019</v>
      </c>
      <c r="E749" s="126">
        <v>38</v>
      </c>
      <c r="F749" s="126">
        <v>0</v>
      </c>
      <c r="G749" s="126">
        <v>10</v>
      </c>
      <c r="H749" s="126">
        <v>0</v>
      </c>
      <c r="I749" s="126">
        <v>26.32</v>
      </c>
      <c r="J749" s="126">
        <v>0</v>
      </c>
      <c r="K749" s="126">
        <v>0</v>
      </c>
      <c r="L749" s="126">
        <f t="shared" si="221"/>
        <v>38</v>
      </c>
      <c r="M749" s="126">
        <f t="shared" si="222"/>
        <v>10</v>
      </c>
      <c r="N749" s="171">
        <f t="shared" si="223"/>
        <v>0.26319999999999999</v>
      </c>
      <c r="O749" s="132">
        <f t="shared" si="224"/>
        <v>0</v>
      </c>
      <c r="P749" s="177">
        <f t="shared" si="225"/>
        <v>0</v>
      </c>
      <c r="Q749" s="177">
        <f t="shared" si="226"/>
        <v>0</v>
      </c>
      <c r="S749" s="233" t="b">
        <f t="shared" si="219"/>
        <v>0</v>
      </c>
    </row>
    <row r="750" spans="1:19">
      <c r="A750" s="126" t="s">
        <v>3893</v>
      </c>
      <c r="B750" s="126" t="str">
        <f t="shared" si="227"/>
        <v>D0463</v>
      </c>
      <c r="C750" s="126">
        <v>7270</v>
      </c>
      <c r="D750" s="126" t="s">
        <v>2883</v>
      </c>
      <c r="E750" s="126">
        <v>155</v>
      </c>
      <c r="F750" s="126">
        <v>0</v>
      </c>
      <c r="G750" s="126">
        <v>56</v>
      </c>
      <c r="H750" s="126">
        <v>0</v>
      </c>
      <c r="I750" s="126">
        <v>36.130000000000003</v>
      </c>
      <c r="J750" s="126">
        <v>0</v>
      </c>
      <c r="K750" s="126">
        <v>0.4</v>
      </c>
      <c r="L750" s="126">
        <f t="shared" ref="L750:L752" si="228">SUM(E750:F750)</f>
        <v>155</v>
      </c>
      <c r="M750" s="126">
        <f t="shared" ref="M750:M752" si="229">SUM(G750:H750)</f>
        <v>56</v>
      </c>
      <c r="N750" s="171">
        <f t="shared" ref="N750:N752" si="230">IF(ISERROR(M750/L750),0,M750/L750)</f>
        <v>0.36130000000000001</v>
      </c>
      <c r="O750" s="132">
        <f t="shared" ref="O750:O752" si="231">IF(AND((N750-35%)&gt;0,N750&lt;50%),M750*(N750-35%)*0.7,0)</f>
        <v>0.4</v>
      </c>
      <c r="P750" s="177">
        <f t="shared" ref="P750:P752" si="232">IF(N750&gt;=50%,M750*10.5%,0)</f>
        <v>0</v>
      </c>
      <c r="Q750" s="177">
        <f t="shared" ref="Q750:Q752" si="233">MAX(O750,P750)</f>
        <v>0.4</v>
      </c>
      <c r="S750" s="233" t="b">
        <f t="shared" si="219"/>
        <v>0</v>
      </c>
    </row>
    <row r="751" spans="1:19">
      <c r="A751" s="126" t="s">
        <v>3893</v>
      </c>
      <c r="B751" s="126" t="str">
        <f t="shared" si="227"/>
        <v>D0463</v>
      </c>
      <c r="C751" s="126">
        <v>7271</v>
      </c>
      <c r="D751" s="126" t="s">
        <v>2885</v>
      </c>
      <c r="E751" s="126">
        <v>72</v>
      </c>
      <c r="F751" s="126">
        <v>0</v>
      </c>
      <c r="G751" s="126">
        <v>23</v>
      </c>
      <c r="H751" s="126">
        <v>0</v>
      </c>
      <c r="I751" s="126">
        <v>31.94</v>
      </c>
      <c r="J751" s="126">
        <v>0</v>
      </c>
      <c r="K751" s="126">
        <v>0</v>
      </c>
      <c r="L751" s="126">
        <f t="shared" si="228"/>
        <v>72</v>
      </c>
      <c r="M751" s="126">
        <f t="shared" si="229"/>
        <v>23</v>
      </c>
      <c r="N751" s="171">
        <f t="shared" si="230"/>
        <v>0.31940000000000002</v>
      </c>
      <c r="O751" s="132">
        <f t="shared" si="231"/>
        <v>0</v>
      </c>
      <c r="P751" s="177">
        <f t="shared" si="232"/>
        <v>0</v>
      </c>
      <c r="Q751" s="177">
        <f t="shared" si="233"/>
        <v>0</v>
      </c>
      <c r="S751" s="233" t="b">
        <f t="shared" si="219"/>
        <v>0</v>
      </c>
    </row>
    <row r="752" spans="1:19">
      <c r="A752" s="126" t="s">
        <v>3893</v>
      </c>
      <c r="B752" s="126" t="str">
        <f t="shared" si="227"/>
        <v>D0463</v>
      </c>
      <c r="C752" s="126">
        <v>7272</v>
      </c>
      <c r="D752" s="126" t="s">
        <v>2887</v>
      </c>
      <c r="E752" s="126">
        <v>95</v>
      </c>
      <c r="F752" s="126">
        <v>0</v>
      </c>
      <c r="G752" s="126">
        <v>24</v>
      </c>
      <c r="H752" s="126">
        <v>0</v>
      </c>
      <c r="I752" s="126">
        <v>25.26</v>
      </c>
      <c r="J752" s="126">
        <v>0</v>
      </c>
      <c r="K752" s="126">
        <v>0</v>
      </c>
      <c r="L752" s="126">
        <f t="shared" si="228"/>
        <v>95</v>
      </c>
      <c r="M752" s="126">
        <f t="shared" si="229"/>
        <v>24</v>
      </c>
      <c r="N752" s="171">
        <f t="shared" si="230"/>
        <v>0.25259999999999999</v>
      </c>
      <c r="O752" s="132">
        <f t="shared" si="231"/>
        <v>0</v>
      </c>
      <c r="P752" s="177">
        <f t="shared" si="232"/>
        <v>0</v>
      </c>
      <c r="Q752" s="177">
        <f t="shared" si="233"/>
        <v>0</v>
      </c>
      <c r="S752" s="233" t="b">
        <f t="shared" si="219"/>
        <v>0</v>
      </c>
    </row>
    <row r="753" spans="1:19">
      <c r="A753" s="126" t="s">
        <v>3894</v>
      </c>
      <c r="B753" s="126" t="str">
        <f t="shared" si="227"/>
        <v>D0101</v>
      </c>
      <c r="C753" s="126">
        <v>111</v>
      </c>
      <c r="D753" s="126" t="s">
        <v>895</v>
      </c>
      <c r="E753" s="126">
        <v>196</v>
      </c>
      <c r="F753" s="126">
        <v>0</v>
      </c>
      <c r="G753" s="126">
        <v>109</v>
      </c>
      <c r="H753" s="126">
        <v>0</v>
      </c>
      <c r="I753" s="126">
        <v>55.61</v>
      </c>
      <c r="J753" s="126">
        <v>11.4</v>
      </c>
      <c r="K753" s="126">
        <v>0</v>
      </c>
      <c r="L753" s="126">
        <f t="shared" ref="L753:L771" si="234">SUM(E753:F753)</f>
        <v>196</v>
      </c>
      <c r="M753" s="126">
        <f t="shared" ref="M753:M771" si="235">SUM(G753:H753)</f>
        <v>109</v>
      </c>
      <c r="N753" s="171">
        <f t="shared" ref="N753:N771" si="236">IF(ISERROR(M753/L753),0,M753/L753)</f>
        <v>0.55610000000000004</v>
      </c>
      <c r="O753" s="132">
        <f t="shared" ref="O753:O771" si="237">IF(AND((N753-35%)&gt;0,N753&lt;50%),M753*(N753-35%)*0.7,0)</f>
        <v>0</v>
      </c>
      <c r="P753" s="177">
        <f t="shared" ref="P753:P771" si="238">IF(N753&gt;=50%,M753*10.5%,0)</f>
        <v>11.4</v>
      </c>
      <c r="Q753" s="177">
        <f t="shared" ref="Q753:Q771" si="239">MAX(O753,P753)</f>
        <v>11.4</v>
      </c>
      <c r="S753" s="233" t="b">
        <f t="shared" si="219"/>
        <v>0</v>
      </c>
    </row>
    <row r="754" spans="1:19">
      <c r="A754" s="126" t="s">
        <v>3894</v>
      </c>
      <c r="B754" s="126" t="str">
        <f t="shared" si="227"/>
        <v>D0101</v>
      </c>
      <c r="C754" s="126">
        <v>112</v>
      </c>
      <c r="D754" s="126" t="s">
        <v>897</v>
      </c>
      <c r="E754" s="126">
        <v>123</v>
      </c>
      <c r="F754" s="126">
        <v>0</v>
      </c>
      <c r="G754" s="126">
        <v>56</v>
      </c>
      <c r="H754" s="126">
        <v>0</v>
      </c>
      <c r="I754" s="126">
        <v>45.53</v>
      </c>
      <c r="J754" s="126">
        <v>0</v>
      </c>
      <c r="K754" s="126">
        <v>4.0999999999999996</v>
      </c>
      <c r="L754" s="126">
        <f t="shared" si="234"/>
        <v>123</v>
      </c>
      <c r="M754" s="126">
        <f t="shared" si="235"/>
        <v>56</v>
      </c>
      <c r="N754" s="171">
        <f t="shared" si="236"/>
        <v>0.45529999999999998</v>
      </c>
      <c r="O754" s="132">
        <f t="shared" si="237"/>
        <v>4.0999999999999996</v>
      </c>
      <c r="P754" s="177">
        <f t="shared" si="238"/>
        <v>0</v>
      </c>
      <c r="Q754" s="177">
        <f t="shared" si="239"/>
        <v>4.0999999999999996</v>
      </c>
      <c r="S754" s="233" t="b">
        <f t="shared" si="219"/>
        <v>0</v>
      </c>
    </row>
    <row r="755" spans="1:19">
      <c r="A755" s="126" t="s">
        <v>3894</v>
      </c>
      <c r="B755" s="126" t="str">
        <f t="shared" si="227"/>
        <v>D0101</v>
      </c>
      <c r="C755" s="126">
        <v>113</v>
      </c>
      <c r="D755" s="126" t="s">
        <v>899</v>
      </c>
      <c r="E755" s="126">
        <v>176</v>
      </c>
      <c r="F755" s="126">
        <v>0</v>
      </c>
      <c r="G755" s="126">
        <v>71</v>
      </c>
      <c r="H755" s="126">
        <v>0</v>
      </c>
      <c r="I755" s="126">
        <v>40.340000000000003</v>
      </c>
      <c r="J755" s="126">
        <v>0</v>
      </c>
      <c r="K755" s="126">
        <v>2.7</v>
      </c>
      <c r="L755" s="126">
        <f t="shared" si="234"/>
        <v>176</v>
      </c>
      <c r="M755" s="126">
        <f t="shared" si="235"/>
        <v>71</v>
      </c>
      <c r="N755" s="171">
        <f t="shared" si="236"/>
        <v>0.40339999999999998</v>
      </c>
      <c r="O755" s="132">
        <f t="shared" si="237"/>
        <v>2.7</v>
      </c>
      <c r="P755" s="177">
        <f t="shared" si="238"/>
        <v>0</v>
      </c>
      <c r="Q755" s="177">
        <f t="shared" si="239"/>
        <v>2.7</v>
      </c>
      <c r="S755" s="233" t="b">
        <f t="shared" si="219"/>
        <v>0</v>
      </c>
    </row>
    <row r="756" spans="1:19">
      <c r="A756" s="126" t="s">
        <v>3895</v>
      </c>
      <c r="B756" s="126" t="str">
        <f t="shared" si="227"/>
        <v>D0114</v>
      </c>
      <c r="C756" s="126">
        <v>433</v>
      </c>
      <c r="D756" s="126" t="s">
        <v>965</v>
      </c>
      <c r="E756" s="126">
        <v>149</v>
      </c>
      <c r="F756" s="126">
        <v>0</v>
      </c>
      <c r="G756" s="126">
        <v>60</v>
      </c>
      <c r="H756" s="126">
        <v>0</v>
      </c>
      <c r="I756" s="126">
        <v>40.270000000000003</v>
      </c>
      <c r="J756" s="126">
        <v>0</v>
      </c>
      <c r="K756" s="126">
        <v>2.2000000000000002</v>
      </c>
      <c r="L756" s="126">
        <f t="shared" si="234"/>
        <v>149</v>
      </c>
      <c r="M756" s="126">
        <f t="shared" si="235"/>
        <v>60</v>
      </c>
      <c r="N756" s="171">
        <f t="shared" si="236"/>
        <v>0.4027</v>
      </c>
      <c r="O756" s="132">
        <f t="shared" si="237"/>
        <v>2.2000000000000002</v>
      </c>
      <c r="P756" s="177">
        <f t="shared" si="238"/>
        <v>0</v>
      </c>
      <c r="Q756" s="177">
        <f t="shared" si="239"/>
        <v>2.2000000000000002</v>
      </c>
      <c r="S756" s="233" t="b">
        <f t="shared" si="219"/>
        <v>0</v>
      </c>
    </row>
    <row r="757" spans="1:19">
      <c r="A757" s="126" t="s">
        <v>3895</v>
      </c>
      <c r="B757" s="126" t="str">
        <f t="shared" si="227"/>
        <v>D0114</v>
      </c>
      <c r="C757" s="126">
        <v>434</v>
      </c>
      <c r="D757" s="126" t="s">
        <v>967</v>
      </c>
      <c r="E757" s="126">
        <v>104</v>
      </c>
      <c r="F757" s="126">
        <v>0</v>
      </c>
      <c r="G757" s="126">
        <v>46</v>
      </c>
      <c r="H757" s="126">
        <v>0</v>
      </c>
      <c r="I757" s="126">
        <v>44.23</v>
      </c>
      <c r="J757" s="126">
        <v>0</v>
      </c>
      <c r="K757" s="126">
        <v>3</v>
      </c>
      <c r="L757" s="126">
        <f t="shared" si="234"/>
        <v>104</v>
      </c>
      <c r="M757" s="126">
        <f t="shared" si="235"/>
        <v>46</v>
      </c>
      <c r="N757" s="171">
        <f t="shared" si="236"/>
        <v>0.44230000000000003</v>
      </c>
      <c r="O757" s="132">
        <f t="shared" si="237"/>
        <v>3</v>
      </c>
      <c r="P757" s="177">
        <f t="shared" si="238"/>
        <v>0</v>
      </c>
      <c r="Q757" s="177">
        <f t="shared" si="239"/>
        <v>3</v>
      </c>
      <c r="S757" s="233" t="b">
        <f t="shared" si="219"/>
        <v>0</v>
      </c>
    </row>
    <row r="758" spans="1:19">
      <c r="A758" s="126" t="s">
        <v>3895</v>
      </c>
      <c r="B758" s="126" t="str">
        <f t="shared" si="227"/>
        <v>D0114</v>
      </c>
      <c r="C758" s="126">
        <v>435</v>
      </c>
      <c r="D758" s="126" t="s">
        <v>969</v>
      </c>
      <c r="E758" s="126">
        <v>173</v>
      </c>
      <c r="F758" s="126">
        <v>0</v>
      </c>
      <c r="G758" s="126">
        <v>71</v>
      </c>
      <c r="H758" s="126">
        <v>0</v>
      </c>
      <c r="I758" s="126">
        <v>41.04</v>
      </c>
      <c r="J758" s="126">
        <v>0</v>
      </c>
      <c r="K758" s="126">
        <v>3</v>
      </c>
      <c r="L758" s="126">
        <f t="shared" si="234"/>
        <v>173</v>
      </c>
      <c r="M758" s="126">
        <f t="shared" si="235"/>
        <v>71</v>
      </c>
      <c r="N758" s="171">
        <f t="shared" si="236"/>
        <v>0.41039999999999999</v>
      </c>
      <c r="O758" s="132">
        <f t="shared" si="237"/>
        <v>3</v>
      </c>
      <c r="P758" s="177">
        <f t="shared" si="238"/>
        <v>0</v>
      </c>
      <c r="Q758" s="177">
        <f t="shared" si="239"/>
        <v>3</v>
      </c>
      <c r="S758" s="233" t="b">
        <f t="shared" si="219"/>
        <v>0</v>
      </c>
    </row>
    <row r="759" spans="1:19">
      <c r="A759" s="126" t="s">
        <v>3895</v>
      </c>
      <c r="B759" s="126" t="str">
        <f t="shared" si="227"/>
        <v>D0114</v>
      </c>
      <c r="C759" s="126">
        <v>436</v>
      </c>
      <c r="D759" s="126" t="s">
        <v>971</v>
      </c>
      <c r="E759" s="126">
        <v>174</v>
      </c>
      <c r="F759" s="126">
        <v>0</v>
      </c>
      <c r="G759" s="126">
        <v>59</v>
      </c>
      <c r="H759" s="126">
        <v>0</v>
      </c>
      <c r="I759" s="126">
        <v>33.909999999999997</v>
      </c>
      <c r="J759" s="126">
        <v>0</v>
      </c>
      <c r="K759" s="126">
        <v>0</v>
      </c>
      <c r="L759" s="126">
        <f t="shared" si="234"/>
        <v>174</v>
      </c>
      <c r="M759" s="126">
        <f t="shared" si="235"/>
        <v>59</v>
      </c>
      <c r="N759" s="171">
        <f t="shared" si="236"/>
        <v>0.33910000000000001</v>
      </c>
      <c r="O759" s="132">
        <f t="shared" si="237"/>
        <v>0</v>
      </c>
      <c r="P759" s="177">
        <f t="shared" si="238"/>
        <v>0</v>
      </c>
      <c r="Q759" s="177">
        <f t="shared" si="239"/>
        <v>0</v>
      </c>
      <c r="S759" s="233" t="b">
        <f t="shared" si="219"/>
        <v>0</v>
      </c>
    </row>
    <row r="760" spans="1:19">
      <c r="A760" s="126" t="s">
        <v>3896</v>
      </c>
      <c r="B760" s="126" t="str">
        <f t="shared" si="227"/>
        <v>D0208</v>
      </c>
      <c r="C760" s="126">
        <v>306</v>
      </c>
      <c r="D760" s="126" t="s">
        <v>1032</v>
      </c>
      <c r="E760" s="126">
        <v>265</v>
      </c>
      <c r="F760" s="126">
        <v>0</v>
      </c>
      <c r="G760" s="126">
        <v>76</v>
      </c>
      <c r="H760" s="126">
        <v>0</v>
      </c>
      <c r="I760" s="126">
        <v>28.68</v>
      </c>
      <c r="J760" s="126">
        <v>0</v>
      </c>
      <c r="K760" s="126">
        <v>0</v>
      </c>
      <c r="L760" s="126">
        <f t="shared" si="234"/>
        <v>265</v>
      </c>
      <c r="M760" s="126">
        <f t="shared" si="235"/>
        <v>76</v>
      </c>
      <c r="N760" s="171">
        <f t="shared" si="236"/>
        <v>0.2868</v>
      </c>
      <c r="O760" s="132">
        <f t="shared" si="237"/>
        <v>0</v>
      </c>
      <c r="P760" s="177">
        <f t="shared" si="238"/>
        <v>0</v>
      </c>
      <c r="Q760" s="177">
        <f t="shared" si="239"/>
        <v>0</v>
      </c>
      <c r="S760" s="233" t="b">
        <f t="shared" si="219"/>
        <v>0</v>
      </c>
    </row>
    <row r="761" spans="1:19">
      <c r="A761" s="126" t="s">
        <v>3896</v>
      </c>
      <c r="B761" s="126" t="str">
        <f t="shared" si="227"/>
        <v>D0208</v>
      </c>
      <c r="C761" s="126">
        <v>308</v>
      </c>
      <c r="D761" s="126" t="s">
        <v>1034</v>
      </c>
      <c r="E761" s="126">
        <v>115</v>
      </c>
      <c r="F761" s="126">
        <v>0</v>
      </c>
      <c r="G761" s="126">
        <v>26</v>
      </c>
      <c r="H761" s="126">
        <v>0</v>
      </c>
      <c r="I761" s="126">
        <v>22.61</v>
      </c>
      <c r="J761" s="126">
        <v>0</v>
      </c>
      <c r="K761" s="126">
        <v>0</v>
      </c>
      <c r="L761" s="126">
        <f t="shared" si="234"/>
        <v>115</v>
      </c>
      <c r="M761" s="126">
        <f t="shared" si="235"/>
        <v>26</v>
      </c>
      <c r="N761" s="171">
        <f t="shared" si="236"/>
        <v>0.2261</v>
      </c>
      <c r="O761" s="132">
        <f t="shared" si="237"/>
        <v>0</v>
      </c>
      <c r="P761" s="177">
        <f t="shared" si="238"/>
        <v>0</v>
      </c>
      <c r="Q761" s="177">
        <f t="shared" si="239"/>
        <v>0</v>
      </c>
      <c r="S761" s="233" t="b">
        <f t="shared" si="219"/>
        <v>0</v>
      </c>
    </row>
    <row r="762" spans="1:19">
      <c r="A762" s="126" t="s">
        <v>3897</v>
      </c>
      <c r="B762" s="126" t="str">
        <f t="shared" si="227"/>
        <v>D0214</v>
      </c>
      <c r="C762" s="126">
        <v>443</v>
      </c>
      <c r="D762" s="126" t="s">
        <v>1059</v>
      </c>
      <c r="E762" s="126">
        <v>360</v>
      </c>
      <c r="F762" s="126">
        <v>0</v>
      </c>
      <c r="G762" s="126">
        <v>192</v>
      </c>
      <c r="H762" s="126">
        <v>0</v>
      </c>
      <c r="I762" s="126">
        <v>53.33</v>
      </c>
      <c r="J762" s="126">
        <v>20.2</v>
      </c>
      <c r="K762" s="126">
        <v>0</v>
      </c>
      <c r="L762" s="126">
        <f t="shared" si="234"/>
        <v>360</v>
      </c>
      <c r="M762" s="126">
        <f t="shared" si="235"/>
        <v>192</v>
      </c>
      <c r="N762" s="171">
        <f t="shared" si="236"/>
        <v>0.5333</v>
      </c>
      <c r="O762" s="132">
        <f t="shared" si="237"/>
        <v>0</v>
      </c>
      <c r="P762" s="177">
        <f t="shared" si="238"/>
        <v>20.2</v>
      </c>
      <c r="Q762" s="177">
        <f t="shared" si="239"/>
        <v>20.2</v>
      </c>
      <c r="S762" s="233" t="b">
        <f t="shared" si="219"/>
        <v>0</v>
      </c>
    </row>
    <row r="763" spans="1:19">
      <c r="A763" s="126" t="s">
        <v>3897</v>
      </c>
      <c r="B763" s="126" t="str">
        <f t="shared" si="227"/>
        <v>D0214</v>
      </c>
      <c r="C763" s="126">
        <v>444</v>
      </c>
      <c r="D763" s="126" t="s">
        <v>1061</v>
      </c>
      <c r="E763" s="126">
        <v>378</v>
      </c>
      <c r="F763" s="126">
        <v>0</v>
      </c>
      <c r="G763" s="126">
        <v>213</v>
      </c>
      <c r="H763" s="126">
        <v>0</v>
      </c>
      <c r="I763" s="126">
        <v>56.35</v>
      </c>
      <c r="J763" s="126">
        <v>22.4</v>
      </c>
      <c r="K763" s="126">
        <v>0</v>
      </c>
      <c r="L763" s="126">
        <f t="shared" si="234"/>
        <v>378</v>
      </c>
      <c r="M763" s="126">
        <f t="shared" si="235"/>
        <v>213</v>
      </c>
      <c r="N763" s="171">
        <f t="shared" si="236"/>
        <v>0.5635</v>
      </c>
      <c r="O763" s="132">
        <f t="shared" si="237"/>
        <v>0</v>
      </c>
      <c r="P763" s="177">
        <f t="shared" si="238"/>
        <v>22.4</v>
      </c>
      <c r="Q763" s="177">
        <f t="shared" si="239"/>
        <v>22.4</v>
      </c>
      <c r="S763" s="233" t="b">
        <f t="shared" si="219"/>
        <v>0</v>
      </c>
    </row>
    <row r="764" spans="1:19">
      <c r="A764" s="126" t="s">
        <v>3897</v>
      </c>
      <c r="B764" s="126" t="str">
        <f t="shared" si="227"/>
        <v>D0214</v>
      </c>
      <c r="C764" s="126">
        <v>446</v>
      </c>
      <c r="D764" s="126" t="s">
        <v>1063</v>
      </c>
      <c r="E764" s="126">
        <v>437</v>
      </c>
      <c r="F764" s="126">
        <v>0</v>
      </c>
      <c r="G764" s="126">
        <v>181</v>
      </c>
      <c r="H764" s="126">
        <v>0</v>
      </c>
      <c r="I764" s="126">
        <v>41.42</v>
      </c>
      <c r="J764" s="126">
        <v>0</v>
      </c>
      <c r="K764" s="126">
        <v>8.1</v>
      </c>
      <c r="L764" s="126">
        <f t="shared" si="234"/>
        <v>437</v>
      </c>
      <c r="M764" s="126">
        <f t="shared" si="235"/>
        <v>181</v>
      </c>
      <c r="N764" s="171">
        <f t="shared" si="236"/>
        <v>0.41420000000000001</v>
      </c>
      <c r="O764" s="132">
        <f t="shared" si="237"/>
        <v>8.1</v>
      </c>
      <c r="P764" s="177">
        <f t="shared" si="238"/>
        <v>0</v>
      </c>
      <c r="Q764" s="177">
        <f t="shared" si="239"/>
        <v>8.1</v>
      </c>
      <c r="S764" s="233" t="b">
        <f t="shared" si="219"/>
        <v>0</v>
      </c>
    </row>
    <row r="765" spans="1:19">
      <c r="A765" s="126" t="s">
        <v>3897</v>
      </c>
      <c r="B765" s="126" t="str">
        <f t="shared" si="227"/>
        <v>D0214</v>
      </c>
      <c r="C765" s="126">
        <v>450</v>
      </c>
      <c r="D765" s="126" t="s">
        <v>1065</v>
      </c>
      <c r="E765" s="126">
        <v>415</v>
      </c>
      <c r="F765" s="126">
        <v>0</v>
      </c>
      <c r="G765" s="126">
        <v>210</v>
      </c>
      <c r="H765" s="126">
        <v>0</v>
      </c>
      <c r="I765" s="126">
        <v>50.6</v>
      </c>
      <c r="J765" s="126">
        <v>22</v>
      </c>
      <c r="K765" s="126">
        <v>0</v>
      </c>
      <c r="L765" s="126">
        <f t="shared" si="234"/>
        <v>415</v>
      </c>
      <c r="M765" s="126">
        <f t="shared" si="235"/>
        <v>210</v>
      </c>
      <c r="N765" s="171">
        <f t="shared" si="236"/>
        <v>0.50600000000000001</v>
      </c>
      <c r="O765" s="132">
        <f t="shared" si="237"/>
        <v>0</v>
      </c>
      <c r="P765" s="177">
        <f t="shared" si="238"/>
        <v>22.1</v>
      </c>
      <c r="Q765" s="177">
        <f t="shared" si="239"/>
        <v>22.1</v>
      </c>
      <c r="S765" s="233" t="b">
        <f t="shared" si="219"/>
        <v>0</v>
      </c>
    </row>
    <row r="766" spans="1:19">
      <c r="A766" s="126" t="s">
        <v>3898</v>
      </c>
      <c r="B766" s="126" t="str">
        <f t="shared" si="227"/>
        <v>D0218</v>
      </c>
      <c r="C766" s="126">
        <v>514</v>
      </c>
      <c r="D766" s="126" t="s">
        <v>1083</v>
      </c>
      <c r="E766" s="126">
        <v>118</v>
      </c>
      <c r="F766" s="126">
        <v>0</v>
      </c>
      <c r="G766" s="126">
        <v>55</v>
      </c>
      <c r="H766" s="126">
        <v>0</v>
      </c>
      <c r="I766" s="126">
        <v>46.61</v>
      </c>
      <c r="J766" s="126">
        <v>0</v>
      </c>
      <c r="K766" s="126">
        <v>4.5</v>
      </c>
      <c r="L766" s="126">
        <f t="shared" si="234"/>
        <v>118</v>
      </c>
      <c r="M766" s="126">
        <f t="shared" si="235"/>
        <v>55</v>
      </c>
      <c r="N766" s="171">
        <f t="shared" si="236"/>
        <v>0.46610000000000001</v>
      </c>
      <c r="O766" s="132">
        <f t="shared" si="237"/>
        <v>4.5</v>
      </c>
      <c r="P766" s="177">
        <f t="shared" si="238"/>
        <v>0</v>
      </c>
      <c r="Q766" s="177">
        <f t="shared" si="239"/>
        <v>4.5</v>
      </c>
      <c r="S766" s="233" t="b">
        <f t="shared" si="219"/>
        <v>0</v>
      </c>
    </row>
    <row r="767" spans="1:19">
      <c r="A767" s="126" t="s">
        <v>3898</v>
      </c>
      <c r="B767" s="126" t="str">
        <f t="shared" si="227"/>
        <v>D0218</v>
      </c>
      <c r="C767" s="126">
        <v>516</v>
      </c>
      <c r="D767" s="126" t="s">
        <v>1085</v>
      </c>
      <c r="E767" s="126">
        <v>166</v>
      </c>
      <c r="F767" s="126">
        <v>0</v>
      </c>
      <c r="G767" s="126">
        <v>73</v>
      </c>
      <c r="H767" s="126">
        <v>0</v>
      </c>
      <c r="I767" s="126">
        <v>43.98</v>
      </c>
      <c r="J767" s="126">
        <v>0</v>
      </c>
      <c r="K767" s="126">
        <v>4.5999999999999996</v>
      </c>
      <c r="L767" s="126">
        <f t="shared" si="234"/>
        <v>166</v>
      </c>
      <c r="M767" s="126">
        <f t="shared" si="235"/>
        <v>73</v>
      </c>
      <c r="N767" s="171">
        <f t="shared" si="236"/>
        <v>0.43980000000000002</v>
      </c>
      <c r="O767" s="132">
        <f t="shared" si="237"/>
        <v>4.5999999999999996</v>
      </c>
      <c r="P767" s="177">
        <f t="shared" si="238"/>
        <v>0</v>
      </c>
      <c r="Q767" s="177">
        <f t="shared" si="239"/>
        <v>4.5999999999999996</v>
      </c>
      <c r="S767" s="233" t="b">
        <f t="shared" si="219"/>
        <v>0</v>
      </c>
    </row>
    <row r="768" spans="1:19">
      <c r="A768" s="126" t="s">
        <v>3898</v>
      </c>
      <c r="B768" s="126" t="str">
        <f t="shared" si="227"/>
        <v>D0218</v>
      </c>
      <c r="C768" s="126">
        <v>520</v>
      </c>
      <c r="D768" s="126" t="s">
        <v>1087</v>
      </c>
      <c r="E768" s="126">
        <v>116</v>
      </c>
      <c r="F768" s="126">
        <v>0</v>
      </c>
      <c r="G768" s="126">
        <v>37</v>
      </c>
      <c r="H768" s="126">
        <v>0</v>
      </c>
      <c r="I768" s="126">
        <v>31.9</v>
      </c>
      <c r="J768" s="126">
        <v>0</v>
      </c>
      <c r="K768" s="126">
        <v>0</v>
      </c>
      <c r="L768" s="126">
        <f t="shared" si="234"/>
        <v>116</v>
      </c>
      <c r="M768" s="126">
        <f t="shared" si="235"/>
        <v>37</v>
      </c>
      <c r="N768" s="171">
        <f t="shared" si="236"/>
        <v>0.31900000000000001</v>
      </c>
      <c r="O768" s="132">
        <f t="shared" si="237"/>
        <v>0</v>
      </c>
      <c r="P768" s="177">
        <f t="shared" si="238"/>
        <v>0</v>
      </c>
      <c r="Q768" s="177">
        <f t="shared" si="239"/>
        <v>0</v>
      </c>
      <c r="S768" s="233" t="b">
        <f t="shared" si="219"/>
        <v>0</v>
      </c>
    </row>
    <row r="769" spans="1:19">
      <c r="A769" s="126" t="s">
        <v>3898</v>
      </c>
      <c r="B769" s="126" t="str">
        <f t="shared" si="227"/>
        <v>D0218</v>
      </c>
      <c r="C769" s="126">
        <v>525</v>
      </c>
      <c r="D769" s="126" t="s">
        <v>1091</v>
      </c>
      <c r="E769" s="126">
        <v>31</v>
      </c>
      <c r="F769" s="126">
        <v>0</v>
      </c>
      <c r="G769" s="126">
        <v>4</v>
      </c>
      <c r="H769" s="126">
        <v>0</v>
      </c>
      <c r="I769" s="126">
        <v>12.9</v>
      </c>
      <c r="J769" s="126">
        <v>0</v>
      </c>
      <c r="K769" s="126">
        <v>0</v>
      </c>
      <c r="L769" s="126">
        <f t="shared" si="234"/>
        <v>31</v>
      </c>
      <c r="M769" s="126">
        <f t="shared" si="235"/>
        <v>4</v>
      </c>
      <c r="N769" s="171">
        <f t="shared" si="236"/>
        <v>0.129</v>
      </c>
      <c r="O769" s="132">
        <f t="shared" si="237"/>
        <v>0</v>
      </c>
      <c r="P769" s="177">
        <f t="shared" si="238"/>
        <v>0</v>
      </c>
      <c r="Q769" s="177">
        <f t="shared" si="239"/>
        <v>0</v>
      </c>
      <c r="S769" s="233" t="b">
        <f t="shared" si="219"/>
        <v>0</v>
      </c>
    </row>
    <row r="770" spans="1:19">
      <c r="A770" s="126" t="s">
        <v>3899</v>
      </c>
      <c r="B770" s="126" t="str">
        <f t="shared" si="227"/>
        <v>D0227</v>
      </c>
      <c r="C770" s="126">
        <v>722</v>
      </c>
      <c r="D770" s="126" t="s">
        <v>1125</v>
      </c>
      <c r="E770" s="126">
        <v>151</v>
      </c>
      <c r="F770" s="126">
        <v>0</v>
      </c>
      <c r="G770" s="126">
        <v>43</v>
      </c>
      <c r="H770" s="126">
        <v>0</v>
      </c>
      <c r="I770" s="126">
        <v>28.48</v>
      </c>
      <c r="J770" s="126">
        <v>0</v>
      </c>
      <c r="K770" s="126">
        <v>0</v>
      </c>
      <c r="L770" s="126">
        <f t="shared" si="234"/>
        <v>151</v>
      </c>
      <c r="M770" s="126">
        <f t="shared" si="235"/>
        <v>43</v>
      </c>
      <c r="N770" s="171">
        <f t="shared" si="236"/>
        <v>0.2848</v>
      </c>
      <c r="O770" s="132">
        <f t="shared" si="237"/>
        <v>0</v>
      </c>
      <c r="P770" s="177">
        <f t="shared" si="238"/>
        <v>0</v>
      </c>
      <c r="Q770" s="177">
        <f t="shared" si="239"/>
        <v>0</v>
      </c>
      <c r="S770" s="233" t="b">
        <f t="shared" si="219"/>
        <v>0</v>
      </c>
    </row>
    <row r="771" spans="1:19">
      <c r="A771" s="126" t="s">
        <v>3899</v>
      </c>
      <c r="B771" s="126" t="str">
        <f t="shared" si="227"/>
        <v>D0227</v>
      </c>
      <c r="C771" s="126">
        <v>724</v>
      </c>
      <c r="D771" s="126" t="s">
        <v>1127</v>
      </c>
      <c r="E771" s="126">
        <v>133</v>
      </c>
      <c r="F771" s="126">
        <v>0</v>
      </c>
      <c r="G771" s="126">
        <v>29</v>
      </c>
      <c r="H771" s="126">
        <v>0</v>
      </c>
      <c r="I771" s="126">
        <v>21.8</v>
      </c>
      <c r="J771" s="126">
        <v>0</v>
      </c>
      <c r="K771" s="126">
        <v>0</v>
      </c>
      <c r="L771" s="126">
        <f t="shared" si="234"/>
        <v>133</v>
      </c>
      <c r="M771" s="126">
        <f t="shared" si="235"/>
        <v>29</v>
      </c>
      <c r="N771" s="171">
        <f t="shared" si="236"/>
        <v>0.218</v>
      </c>
      <c r="O771" s="132">
        <f t="shared" si="237"/>
        <v>0</v>
      </c>
      <c r="P771" s="177">
        <f t="shared" si="238"/>
        <v>0</v>
      </c>
      <c r="Q771" s="177">
        <f t="shared" si="239"/>
        <v>0</v>
      </c>
      <c r="S771" s="233" t="b">
        <f t="shared" si="219"/>
        <v>0</v>
      </c>
    </row>
    <row r="772" spans="1:19">
      <c r="A772" s="126" t="s">
        <v>3901</v>
      </c>
      <c r="B772" s="126" t="str">
        <f t="shared" ref="B772:B801" si="240">LEFT(A772,5)</f>
        <v>D0234</v>
      </c>
      <c r="C772" s="126">
        <v>898</v>
      </c>
      <c r="D772" s="126" t="s">
        <v>1357</v>
      </c>
      <c r="E772" s="126">
        <v>442</v>
      </c>
      <c r="F772" s="126">
        <v>0</v>
      </c>
      <c r="G772" s="126">
        <v>223</v>
      </c>
      <c r="H772" s="126">
        <v>0</v>
      </c>
      <c r="I772" s="126">
        <v>50.45</v>
      </c>
      <c r="J772" s="126">
        <v>23.4</v>
      </c>
      <c r="K772" s="126">
        <v>0</v>
      </c>
      <c r="L772" s="126">
        <f t="shared" ref="L772:L809" si="241">SUM(E772:F772)</f>
        <v>442</v>
      </c>
      <c r="M772" s="126">
        <f t="shared" ref="M772:M809" si="242">SUM(G772:H772)</f>
        <v>223</v>
      </c>
      <c r="N772" s="171">
        <f t="shared" ref="N772:N809" si="243">IF(ISERROR(M772/L772),0,M772/L772)</f>
        <v>0.50449999999999995</v>
      </c>
      <c r="O772" s="132">
        <f t="shared" ref="O772:O809" si="244">IF(AND((N772-35%)&gt;0,N772&lt;50%),M772*(N772-35%)*0.7,0)</f>
        <v>0</v>
      </c>
      <c r="P772" s="177">
        <f t="shared" ref="P772:P809" si="245">IF(N772&gt;=50%,M772*10.5%,0)</f>
        <v>23.4</v>
      </c>
      <c r="Q772" s="177">
        <f t="shared" ref="Q772:Q809" si="246">MAX(O772,P772)</f>
        <v>23.4</v>
      </c>
      <c r="S772" s="233" t="b">
        <f t="shared" si="219"/>
        <v>0</v>
      </c>
    </row>
    <row r="773" spans="1:19">
      <c r="A773" s="126" t="s">
        <v>3901</v>
      </c>
      <c r="B773" s="126" t="str">
        <f t="shared" si="240"/>
        <v>D0234</v>
      </c>
      <c r="C773" s="126">
        <v>900</v>
      </c>
      <c r="D773" s="126" t="s">
        <v>1359</v>
      </c>
      <c r="E773" s="126">
        <v>441</v>
      </c>
      <c r="F773" s="126">
        <v>0</v>
      </c>
      <c r="G773" s="126">
        <v>245</v>
      </c>
      <c r="H773" s="126">
        <v>0</v>
      </c>
      <c r="I773" s="126">
        <v>55.56</v>
      </c>
      <c r="J773" s="126">
        <v>25.7</v>
      </c>
      <c r="K773" s="126">
        <v>0</v>
      </c>
      <c r="L773" s="126">
        <f t="shared" si="241"/>
        <v>441</v>
      </c>
      <c r="M773" s="126">
        <f t="shared" si="242"/>
        <v>245</v>
      </c>
      <c r="N773" s="171">
        <f t="shared" si="243"/>
        <v>0.55559999999999998</v>
      </c>
      <c r="O773" s="132">
        <f t="shared" si="244"/>
        <v>0</v>
      </c>
      <c r="P773" s="177">
        <f t="shared" si="245"/>
        <v>25.7</v>
      </c>
      <c r="Q773" s="177">
        <f t="shared" si="246"/>
        <v>25.7</v>
      </c>
      <c r="S773" s="233" t="b">
        <f t="shared" ref="S773:S836" si="247">COUNTIF(C:C,C773)&gt;1</f>
        <v>0</v>
      </c>
    </row>
    <row r="774" spans="1:19">
      <c r="A774" s="126" t="s">
        <v>3901</v>
      </c>
      <c r="B774" s="126" t="str">
        <f t="shared" si="240"/>
        <v>D0234</v>
      </c>
      <c r="C774" s="126">
        <v>902</v>
      </c>
      <c r="D774" s="126" t="s">
        <v>1361</v>
      </c>
      <c r="E774" s="126">
        <v>431</v>
      </c>
      <c r="F774" s="126">
        <v>0</v>
      </c>
      <c r="G774" s="126">
        <v>180</v>
      </c>
      <c r="H774" s="126">
        <v>0</v>
      </c>
      <c r="I774" s="126">
        <v>41.76</v>
      </c>
      <c r="J774" s="126">
        <v>0</v>
      </c>
      <c r="K774" s="126">
        <v>8.5</v>
      </c>
      <c r="L774" s="126">
        <f t="shared" si="241"/>
        <v>431</v>
      </c>
      <c r="M774" s="126">
        <f t="shared" si="242"/>
        <v>180</v>
      </c>
      <c r="N774" s="171">
        <f t="shared" si="243"/>
        <v>0.41760000000000003</v>
      </c>
      <c r="O774" s="132">
        <f t="shared" si="244"/>
        <v>8.5</v>
      </c>
      <c r="P774" s="177">
        <f t="shared" si="245"/>
        <v>0</v>
      </c>
      <c r="Q774" s="177">
        <f t="shared" si="246"/>
        <v>8.5</v>
      </c>
      <c r="S774" s="233" t="b">
        <f t="shared" si="247"/>
        <v>0</v>
      </c>
    </row>
    <row r="775" spans="1:19">
      <c r="A775" s="126" t="s">
        <v>3901</v>
      </c>
      <c r="B775" s="126" t="str">
        <f t="shared" si="240"/>
        <v>D0234</v>
      </c>
      <c r="C775" s="126">
        <v>904</v>
      </c>
      <c r="D775" s="126" t="s">
        <v>1363</v>
      </c>
      <c r="E775" s="126">
        <v>594</v>
      </c>
      <c r="F775" s="126">
        <v>0</v>
      </c>
      <c r="G775" s="126">
        <v>233</v>
      </c>
      <c r="H775" s="126">
        <v>0</v>
      </c>
      <c r="I775" s="126">
        <v>39.229999999999997</v>
      </c>
      <c r="J775" s="126">
        <v>0</v>
      </c>
      <c r="K775" s="126">
        <v>6.9</v>
      </c>
      <c r="L775" s="126">
        <f t="shared" si="241"/>
        <v>594</v>
      </c>
      <c r="M775" s="126">
        <f t="shared" si="242"/>
        <v>233</v>
      </c>
      <c r="N775" s="171">
        <f t="shared" si="243"/>
        <v>0.39229999999999998</v>
      </c>
      <c r="O775" s="132">
        <f t="shared" si="244"/>
        <v>6.9</v>
      </c>
      <c r="P775" s="177">
        <f t="shared" si="245"/>
        <v>0</v>
      </c>
      <c r="Q775" s="177">
        <f t="shared" si="246"/>
        <v>6.9</v>
      </c>
      <c r="S775" s="233" t="b">
        <f t="shared" si="247"/>
        <v>0</v>
      </c>
    </row>
    <row r="776" spans="1:19">
      <c r="A776" s="126" t="s">
        <v>3902</v>
      </c>
      <c r="B776" s="126" t="str">
        <f t="shared" si="240"/>
        <v>D0261</v>
      </c>
      <c r="C776" s="126">
        <v>1955</v>
      </c>
      <c r="D776" s="126" t="s">
        <v>1702</v>
      </c>
      <c r="E776" s="126">
        <v>598</v>
      </c>
      <c r="F776" s="126">
        <v>0</v>
      </c>
      <c r="G776" s="126">
        <v>269</v>
      </c>
      <c r="H776" s="126">
        <v>0</v>
      </c>
      <c r="I776" s="126">
        <v>44.98</v>
      </c>
      <c r="J776" s="126">
        <v>0</v>
      </c>
      <c r="K776" s="126">
        <v>18.8</v>
      </c>
      <c r="L776" s="126">
        <f t="shared" si="241"/>
        <v>598</v>
      </c>
      <c r="M776" s="126">
        <f t="shared" si="242"/>
        <v>269</v>
      </c>
      <c r="N776" s="171">
        <f t="shared" si="243"/>
        <v>0.44979999999999998</v>
      </c>
      <c r="O776" s="132">
        <f t="shared" si="244"/>
        <v>18.8</v>
      </c>
      <c r="P776" s="177">
        <f t="shared" si="245"/>
        <v>0</v>
      </c>
      <c r="Q776" s="177">
        <f t="shared" si="246"/>
        <v>18.8</v>
      </c>
      <c r="S776" s="233" t="b">
        <f t="shared" si="247"/>
        <v>0</v>
      </c>
    </row>
    <row r="777" spans="1:19">
      <c r="A777" s="126" t="s">
        <v>3902</v>
      </c>
      <c r="B777" s="126" t="str">
        <f t="shared" si="240"/>
        <v>D0261</v>
      </c>
      <c r="C777" s="126">
        <v>1956</v>
      </c>
      <c r="D777" s="126" t="s">
        <v>1704</v>
      </c>
      <c r="E777" s="126">
        <v>1837</v>
      </c>
      <c r="F777" s="126">
        <v>0</v>
      </c>
      <c r="G777" s="126">
        <v>664</v>
      </c>
      <c r="H777" s="126">
        <v>0</v>
      </c>
      <c r="I777" s="126">
        <v>36.15</v>
      </c>
      <c r="J777" s="126">
        <v>0</v>
      </c>
      <c r="K777" s="126">
        <v>5.3</v>
      </c>
      <c r="L777" s="126">
        <f t="shared" si="241"/>
        <v>1837</v>
      </c>
      <c r="M777" s="126">
        <f t="shared" si="242"/>
        <v>664</v>
      </c>
      <c r="N777" s="171">
        <f t="shared" si="243"/>
        <v>0.36149999999999999</v>
      </c>
      <c r="O777" s="132">
        <f t="shared" si="244"/>
        <v>5.3</v>
      </c>
      <c r="P777" s="177">
        <f t="shared" si="245"/>
        <v>0</v>
      </c>
      <c r="Q777" s="177">
        <f t="shared" si="246"/>
        <v>5.3</v>
      </c>
      <c r="S777" s="233" t="b">
        <f t="shared" si="247"/>
        <v>0</v>
      </c>
    </row>
    <row r="778" spans="1:19">
      <c r="A778" s="126" t="s">
        <v>3902</v>
      </c>
      <c r="B778" s="126" t="str">
        <f t="shared" si="240"/>
        <v>D0261</v>
      </c>
      <c r="C778" s="126">
        <v>1958</v>
      </c>
      <c r="D778" s="126" t="s">
        <v>1706</v>
      </c>
      <c r="E778" s="126">
        <v>746</v>
      </c>
      <c r="F778" s="126">
        <v>0</v>
      </c>
      <c r="G778" s="126">
        <v>377</v>
      </c>
      <c r="H778" s="126">
        <v>0</v>
      </c>
      <c r="I778" s="126">
        <v>50.54</v>
      </c>
      <c r="J778" s="126">
        <v>39.6</v>
      </c>
      <c r="K778" s="126">
        <v>0</v>
      </c>
      <c r="L778" s="126">
        <f t="shared" si="241"/>
        <v>746</v>
      </c>
      <c r="M778" s="126">
        <f t="shared" si="242"/>
        <v>377</v>
      </c>
      <c r="N778" s="171">
        <f t="shared" si="243"/>
        <v>0.50539999999999996</v>
      </c>
      <c r="O778" s="132">
        <f t="shared" si="244"/>
        <v>0</v>
      </c>
      <c r="P778" s="177">
        <f t="shared" si="245"/>
        <v>39.6</v>
      </c>
      <c r="Q778" s="177">
        <f t="shared" si="246"/>
        <v>39.6</v>
      </c>
      <c r="S778" s="233" t="b">
        <f t="shared" si="247"/>
        <v>0</v>
      </c>
    </row>
    <row r="779" spans="1:19">
      <c r="A779" s="126" t="s">
        <v>3902</v>
      </c>
      <c r="B779" s="126" t="str">
        <f t="shared" si="240"/>
        <v>D0261</v>
      </c>
      <c r="C779" s="126">
        <v>1960</v>
      </c>
      <c r="D779" s="126" t="s">
        <v>1708</v>
      </c>
      <c r="E779" s="126">
        <v>326</v>
      </c>
      <c r="F779" s="126">
        <v>0</v>
      </c>
      <c r="G779" s="126">
        <v>130</v>
      </c>
      <c r="H779" s="126">
        <v>0</v>
      </c>
      <c r="I779" s="126">
        <v>39.880000000000003</v>
      </c>
      <c r="J779" s="126">
        <v>0</v>
      </c>
      <c r="K779" s="126">
        <v>4.4000000000000004</v>
      </c>
      <c r="L779" s="126">
        <f t="shared" si="241"/>
        <v>326</v>
      </c>
      <c r="M779" s="126">
        <f t="shared" si="242"/>
        <v>130</v>
      </c>
      <c r="N779" s="171">
        <f t="shared" si="243"/>
        <v>0.39879999999999999</v>
      </c>
      <c r="O779" s="132">
        <f t="shared" si="244"/>
        <v>4.4000000000000004</v>
      </c>
      <c r="P779" s="177">
        <f t="shared" si="245"/>
        <v>0</v>
      </c>
      <c r="Q779" s="177">
        <f t="shared" si="246"/>
        <v>4.4000000000000004</v>
      </c>
      <c r="S779" s="233" t="b">
        <f t="shared" si="247"/>
        <v>0</v>
      </c>
    </row>
    <row r="780" spans="1:19">
      <c r="A780" s="126" t="s">
        <v>3902</v>
      </c>
      <c r="B780" s="126" t="str">
        <f t="shared" si="240"/>
        <v>D0261</v>
      </c>
      <c r="C780" s="126">
        <v>1961</v>
      </c>
      <c r="D780" s="126" t="s">
        <v>1710</v>
      </c>
      <c r="E780" s="126">
        <v>468</v>
      </c>
      <c r="F780" s="126">
        <v>0</v>
      </c>
      <c r="G780" s="126">
        <v>247</v>
      </c>
      <c r="H780" s="126">
        <v>0</v>
      </c>
      <c r="I780" s="126">
        <v>52.78</v>
      </c>
      <c r="J780" s="126">
        <v>25.9</v>
      </c>
      <c r="K780" s="126">
        <v>0</v>
      </c>
      <c r="L780" s="126">
        <f t="shared" si="241"/>
        <v>468</v>
      </c>
      <c r="M780" s="126">
        <f t="shared" si="242"/>
        <v>247</v>
      </c>
      <c r="N780" s="171">
        <f t="shared" si="243"/>
        <v>0.52780000000000005</v>
      </c>
      <c r="O780" s="132">
        <f t="shared" si="244"/>
        <v>0</v>
      </c>
      <c r="P780" s="177">
        <f t="shared" si="245"/>
        <v>25.9</v>
      </c>
      <c r="Q780" s="177">
        <f t="shared" si="246"/>
        <v>25.9</v>
      </c>
      <c r="S780" s="233" t="b">
        <f t="shared" si="247"/>
        <v>0</v>
      </c>
    </row>
    <row r="781" spans="1:19">
      <c r="A781" s="126" t="s">
        <v>3902</v>
      </c>
      <c r="B781" s="126" t="str">
        <f t="shared" si="240"/>
        <v>D0261</v>
      </c>
      <c r="C781" s="126">
        <v>1964</v>
      </c>
      <c r="D781" s="126" t="s">
        <v>1712</v>
      </c>
      <c r="E781" s="126">
        <v>472</v>
      </c>
      <c r="F781" s="126">
        <v>0</v>
      </c>
      <c r="G781" s="126">
        <v>218</v>
      </c>
      <c r="H781" s="126">
        <v>0</v>
      </c>
      <c r="I781" s="126">
        <v>46.19</v>
      </c>
      <c r="J781" s="126">
        <v>0</v>
      </c>
      <c r="K781" s="126">
        <v>17.100000000000001</v>
      </c>
      <c r="L781" s="126">
        <f t="shared" si="241"/>
        <v>472</v>
      </c>
      <c r="M781" s="126">
        <f t="shared" si="242"/>
        <v>218</v>
      </c>
      <c r="N781" s="171">
        <f t="shared" si="243"/>
        <v>0.46189999999999998</v>
      </c>
      <c r="O781" s="132">
        <f t="shared" si="244"/>
        <v>17.100000000000001</v>
      </c>
      <c r="P781" s="177">
        <f t="shared" si="245"/>
        <v>0</v>
      </c>
      <c r="Q781" s="177">
        <f t="shared" si="246"/>
        <v>17.100000000000001</v>
      </c>
      <c r="S781" s="233" t="b">
        <f t="shared" si="247"/>
        <v>0</v>
      </c>
    </row>
    <row r="782" spans="1:19">
      <c r="A782" s="126" t="s">
        <v>3902</v>
      </c>
      <c r="B782" s="126" t="str">
        <f t="shared" si="240"/>
        <v>D0261</v>
      </c>
      <c r="C782" s="126">
        <v>1965</v>
      </c>
      <c r="D782" s="126" t="s">
        <v>1714</v>
      </c>
      <c r="E782" s="126">
        <v>397</v>
      </c>
      <c r="F782" s="126">
        <v>0</v>
      </c>
      <c r="G782" s="126">
        <v>170</v>
      </c>
      <c r="H782" s="126">
        <v>0</v>
      </c>
      <c r="I782" s="126">
        <v>42.82</v>
      </c>
      <c r="J782" s="126">
        <v>0</v>
      </c>
      <c r="K782" s="126">
        <v>9.3000000000000007</v>
      </c>
      <c r="L782" s="126">
        <f t="shared" si="241"/>
        <v>397</v>
      </c>
      <c r="M782" s="126">
        <f t="shared" si="242"/>
        <v>170</v>
      </c>
      <c r="N782" s="171">
        <f t="shared" si="243"/>
        <v>0.42820000000000003</v>
      </c>
      <c r="O782" s="132">
        <f t="shared" si="244"/>
        <v>9.3000000000000007</v>
      </c>
      <c r="P782" s="177">
        <f t="shared" si="245"/>
        <v>0</v>
      </c>
      <c r="Q782" s="177">
        <f t="shared" si="246"/>
        <v>9.3000000000000007</v>
      </c>
      <c r="S782" s="233" t="b">
        <f t="shared" si="247"/>
        <v>0</v>
      </c>
    </row>
    <row r="783" spans="1:19">
      <c r="A783" s="126" t="s">
        <v>3902</v>
      </c>
      <c r="B783" s="126" t="str">
        <f t="shared" si="240"/>
        <v>D0261</v>
      </c>
      <c r="C783" s="126">
        <v>1966</v>
      </c>
      <c r="D783" s="126" t="s">
        <v>1716</v>
      </c>
      <c r="E783" s="126">
        <v>411</v>
      </c>
      <c r="F783" s="126">
        <v>0</v>
      </c>
      <c r="G783" s="126">
        <v>152</v>
      </c>
      <c r="H783" s="126">
        <v>0</v>
      </c>
      <c r="I783" s="126">
        <v>36.979999999999997</v>
      </c>
      <c r="J783" s="126">
        <v>0</v>
      </c>
      <c r="K783" s="126">
        <v>2.1</v>
      </c>
      <c r="L783" s="126">
        <f t="shared" si="241"/>
        <v>411</v>
      </c>
      <c r="M783" s="126">
        <f t="shared" si="242"/>
        <v>152</v>
      </c>
      <c r="N783" s="171">
        <f t="shared" si="243"/>
        <v>0.36980000000000002</v>
      </c>
      <c r="O783" s="132">
        <f t="shared" si="244"/>
        <v>2.1</v>
      </c>
      <c r="P783" s="177">
        <f t="shared" si="245"/>
        <v>0</v>
      </c>
      <c r="Q783" s="177">
        <f t="shared" si="246"/>
        <v>2.1</v>
      </c>
      <c r="S783" s="233" t="b">
        <f t="shared" si="247"/>
        <v>0</v>
      </c>
    </row>
    <row r="784" spans="1:19">
      <c r="A784" s="126" t="s">
        <v>3902</v>
      </c>
      <c r="B784" s="126" t="str">
        <f t="shared" si="240"/>
        <v>D0261</v>
      </c>
      <c r="C784" s="126">
        <v>1968</v>
      </c>
      <c r="D784" s="126" t="s">
        <v>1718</v>
      </c>
      <c r="E784" s="126">
        <v>551</v>
      </c>
      <c r="F784" s="126">
        <v>0</v>
      </c>
      <c r="G784" s="126">
        <v>256</v>
      </c>
      <c r="H784" s="126">
        <v>0</v>
      </c>
      <c r="I784" s="126">
        <v>46.46</v>
      </c>
      <c r="J784" s="126">
        <v>0</v>
      </c>
      <c r="K784" s="126">
        <v>20.5</v>
      </c>
      <c r="L784" s="126">
        <f t="shared" si="241"/>
        <v>551</v>
      </c>
      <c r="M784" s="126">
        <f t="shared" si="242"/>
        <v>256</v>
      </c>
      <c r="N784" s="171">
        <f t="shared" si="243"/>
        <v>0.46460000000000001</v>
      </c>
      <c r="O784" s="132">
        <f t="shared" si="244"/>
        <v>20.5</v>
      </c>
      <c r="P784" s="177">
        <f t="shared" si="245"/>
        <v>0</v>
      </c>
      <c r="Q784" s="177">
        <f t="shared" si="246"/>
        <v>20.5</v>
      </c>
      <c r="S784" s="233" t="b">
        <f t="shared" si="247"/>
        <v>0</v>
      </c>
    </row>
    <row r="785" spans="1:19">
      <c r="A785" s="126" t="s">
        <v>3903</v>
      </c>
      <c r="B785" s="126" t="str">
        <f t="shared" si="240"/>
        <v>D0262</v>
      </c>
      <c r="C785" s="126">
        <v>1977</v>
      </c>
      <c r="D785" s="126" t="s">
        <v>1720</v>
      </c>
      <c r="E785" s="126">
        <v>461</v>
      </c>
      <c r="F785" s="126">
        <v>0</v>
      </c>
      <c r="G785" s="126">
        <v>142</v>
      </c>
      <c r="H785" s="126">
        <v>0</v>
      </c>
      <c r="I785" s="126">
        <v>30.8</v>
      </c>
      <c r="J785" s="126">
        <v>0</v>
      </c>
      <c r="K785" s="126">
        <v>0</v>
      </c>
      <c r="L785" s="126">
        <f t="shared" si="241"/>
        <v>461</v>
      </c>
      <c r="M785" s="126">
        <f t="shared" si="242"/>
        <v>142</v>
      </c>
      <c r="N785" s="171">
        <f t="shared" si="243"/>
        <v>0.308</v>
      </c>
      <c r="O785" s="132">
        <f t="shared" si="244"/>
        <v>0</v>
      </c>
      <c r="P785" s="177">
        <f t="shared" si="245"/>
        <v>0</v>
      </c>
      <c r="Q785" s="177">
        <f t="shared" si="246"/>
        <v>0</v>
      </c>
      <c r="S785" s="233" t="b">
        <f t="shared" si="247"/>
        <v>0</v>
      </c>
    </row>
    <row r="786" spans="1:19">
      <c r="A786" s="126" t="s">
        <v>3903</v>
      </c>
      <c r="B786" s="126" t="str">
        <f t="shared" si="240"/>
        <v>D0262</v>
      </c>
      <c r="C786" s="126">
        <v>1980</v>
      </c>
      <c r="D786" s="126" t="s">
        <v>1722</v>
      </c>
      <c r="E786" s="126">
        <v>231</v>
      </c>
      <c r="F786" s="126">
        <v>0</v>
      </c>
      <c r="G786" s="126">
        <v>70</v>
      </c>
      <c r="H786" s="126">
        <v>0</v>
      </c>
      <c r="I786" s="126">
        <v>30.3</v>
      </c>
      <c r="J786" s="126">
        <v>0</v>
      </c>
      <c r="K786" s="126">
        <v>0</v>
      </c>
      <c r="L786" s="126">
        <f t="shared" si="241"/>
        <v>231</v>
      </c>
      <c r="M786" s="126">
        <f t="shared" si="242"/>
        <v>70</v>
      </c>
      <c r="N786" s="171">
        <f t="shared" si="243"/>
        <v>0.30299999999999999</v>
      </c>
      <c r="O786" s="132">
        <f t="shared" si="244"/>
        <v>0</v>
      </c>
      <c r="P786" s="177">
        <f t="shared" si="245"/>
        <v>0</v>
      </c>
      <c r="Q786" s="177">
        <f t="shared" si="246"/>
        <v>0</v>
      </c>
      <c r="S786" s="233" t="b">
        <f t="shared" si="247"/>
        <v>0</v>
      </c>
    </row>
    <row r="787" spans="1:19">
      <c r="A787" s="126" t="s">
        <v>3903</v>
      </c>
      <c r="B787" s="126" t="str">
        <f t="shared" si="240"/>
        <v>D0262</v>
      </c>
      <c r="C787" s="126">
        <v>1981</v>
      </c>
      <c r="D787" s="126" t="s">
        <v>1724</v>
      </c>
      <c r="E787" s="126">
        <v>329</v>
      </c>
      <c r="F787" s="126">
        <v>0</v>
      </c>
      <c r="G787" s="126">
        <v>103</v>
      </c>
      <c r="H787" s="126">
        <v>0</v>
      </c>
      <c r="I787" s="126">
        <v>31.31</v>
      </c>
      <c r="J787" s="126">
        <v>0</v>
      </c>
      <c r="K787" s="126">
        <v>0</v>
      </c>
      <c r="L787" s="126">
        <f t="shared" si="241"/>
        <v>329</v>
      </c>
      <c r="M787" s="126">
        <f t="shared" si="242"/>
        <v>103</v>
      </c>
      <c r="N787" s="171">
        <f t="shared" si="243"/>
        <v>0.31309999999999999</v>
      </c>
      <c r="O787" s="132">
        <f t="shared" si="244"/>
        <v>0</v>
      </c>
      <c r="P787" s="177">
        <f t="shared" si="245"/>
        <v>0</v>
      </c>
      <c r="Q787" s="177">
        <f t="shared" si="246"/>
        <v>0</v>
      </c>
      <c r="S787" s="233" t="b">
        <f t="shared" si="247"/>
        <v>0</v>
      </c>
    </row>
    <row r="788" spans="1:19">
      <c r="A788" s="126" t="s">
        <v>3903</v>
      </c>
      <c r="B788" s="126" t="str">
        <f t="shared" si="240"/>
        <v>D0262</v>
      </c>
      <c r="C788" s="126">
        <v>1984</v>
      </c>
      <c r="D788" s="126" t="s">
        <v>1726</v>
      </c>
      <c r="E788" s="126">
        <v>329</v>
      </c>
      <c r="F788" s="126">
        <v>0</v>
      </c>
      <c r="G788" s="126">
        <v>112</v>
      </c>
      <c r="H788" s="126">
        <v>0</v>
      </c>
      <c r="I788" s="126">
        <v>34.04</v>
      </c>
      <c r="J788" s="126">
        <v>0</v>
      </c>
      <c r="K788" s="126">
        <v>0</v>
      </c>
      <c r="L788" s="126">
        <f t="shared" si="241"/>
        <v>329</v>
      </c>
      <c r="M788" s="126">
        <f t="shared" si="242"/>
        <v>112</v>
      </c>
      <c r="N788" s="171">
        <f t="shared" si="243"/>
        <v>0.34039999999999998</v>
      </c>
      <c r="O788" s="132">
        <f t="shared" si="244"/>
        <v>0</v>
      </c>
      <c r="P788" s="177">
        <f t="shared" si="245"/>
        <v>0</v>
      </c>
      <c r="Q788" s="177">
        <f t="shared" si="246"/>
        <v>0</v>
      </c>
      <c r="S788" s="233" t="b">
        <f t="shared" si="247"/>
        <v>0</v>
      </c>
    </row>
    <row r="789" spans="1:19">
      <c r="A789" s="126" t="s">
        <v>3903</v>
      </c>
      <c r="B789" s="126" t="str">
        <f t="shared" si="240"/>
        <v>D0262</v>
      </c>
      <c r="C789" s="126">
        <v>1985</v>
      </c>
      <c r="D789" s="126" t="s">
        <v>1728</v>
      </c>
      <c r="E789" s="126">
        <v>718</v>
      </c>
      <c r="F789" s="126">
        <v>0</v>
      </c>
      <c r="G789" s="126">
        <v>192</v>
      </c>
      <c r="H789" s="126">
        <v>0</v>
      </c>
      <c r="I789" s="126">
        <v>26.74</v>
      </c>
      <c r="J789" s="126">
        <v>0</v>
      </c>
      <c r="K789" s="126">
        <v>0</v>
      </c>
      <c r="L789" s="126">
        <f t="shared" si="241"/>
        <v>718</v>
      </c>
      <c r="M789" s="126">
        <f t="shared" si="242"/>
        <v>192</v>
      </c>
      <c r="N789" s="171">
        <f t="shared" si="243"/>
        <v>0.26740000000000003</v>
      </c>
      <c r="O789" s="132">
        <f t="shared" si="244"/>
        <v>0</v>
      </c>
      <c r="P789" s="177">
        <f t="shared" si="245"/>
        <v>0</v>
      </c>
      <c r="Q789" s="177">
        <f t="shared" si="246"/>
        <v>0</v>
      </c>
      <c r="S789" s="233" t="b">
        <f t="shared" si="247"/>
        <v>0</v>
      </c>
    </row>
    <row r="790" spans="1:19">
      <c r="A790" s="126" t="s">
        <v>3903</v>
      </c>
      <c r="B790" s="126" t="str">
        <f t="shared" si="240"/>
        <v>D0262</v>
      </c>
      <c r="C790" s="126">
        <v>1986</v>
      </c>
      <c r="D790" s="126" t="s">
        <v>1730</v>
      </c>
      <c r="E790" s="126">
        <v>885</v>
      </c>
      <c r="F790" s="126">
        <v>0</v>
      </c>
      <c r="G790" s="126">
        <v>233</v>
      </c>
      <c r="H790" s="126">
        <v>0</v>
      </c>
      <c r="I790" s="126">
        <v>26.33</v>
      </c>
      <c r="J790" s="126">
        <v>0</v>
      </c>
      <c r="K790" s="126">
        <v>0</v>
      </c>
      <c r="L790" s="126">
        <f t="shared" si="241"/>
        <v>885</v>
      </c>
      <c r="M790" s="126">
        <f t="shared" si="242"/>
        <v>233</v>
      </c>
      <c r="N790" s="171">
        <f t="shared" si="243"/>
        <v>0.26329999999999998</v>
      </c>
      <c r="O790" s="132">
        <f t="shared" si="244"/>
        <v>0</v>
      </c>
      <c r="P790" s="177">
        <f t="shared" si="245"/>
        <v>0</v>
      </c>
      <c r="Q790" s="177">
        <f t="shared" si="246"/>
        <v>0</v>
      </c>
      <c r="S790" s="233" t="b">
        <f t="shared" si="247"/>
        <v>0</v>
      </c>
    </row>
    <row r="791" spans="1:19">
      <c r="A791" s="126" t="s">
        <v>3878</v>
      </c>
      <c r="B791" s="126" t="str">
        <f t="shared" si="240"/>
        <v>D0264</v>
      </c>
      <c r="C791" s="126">
        <v>2011</v>
      </c>
      <c r="D791" s="126" t="s">
        <v>1742</v>
      </c>
      <c r="E791" s="126">
        <v>334</v>
      </c>
      <c r="F791" s="126">
        <v>0</v>
      </c>
      <c r="G791" s="126">
        <v>74</v>
      </c>
      <c r="H791" s="126">
        <v>0</v>
      </c>
      <c r="I791" s="126">
        <v>22.16</v>
      </c>
      <c r="J791" s="126">
        <v>0</v>
      </c>
      <c r="K791" s="126">
        <v>0</v>
      </c>
      <c r="L791" s="126">
        <f t="shared" si="241"/>
        <v>334</v>
      </c>
      <c r="M791" s="126">
        <f t="shared" si="242"/>
        <v>74</v>
      </c>
      <c r="N791" s="171">
        <f t="shared" si="243"/>
        <v>0.22159999999999999</v>
      </c>
      <c r="O791" s="132">
        <f t="shared" si="244"/>
        <v>0</v>
      </c>
      <c r="P791" s="177">
        <f t="shared" si="245"/>
        <v>0</v>
      </c>
      <c r="Q791" s="177">
        <f t="shared" si="246"/>
        <v>0</v>
      </c>
      <c r="S791" s="233" t="b">
        <f t="shared" si="247"/>
        <v>0</v>
      </c>
    </row>
    <row r="792" spans="1:19">
      <c r="A792" s="126" t="s">
        <v>3878</v>
      </c>
      <c r="B792" s="126" t="str">
        <f t="shared" si="240"/>
        <v>D0264</v>
      </c>
      <c r="C792" s="126">
        <v>2012</v>
      </c>
      <c r="D792" s="126" t="s">
        <v>3606</v>
      </c>
      <c r="E792" s="126">
        <v>423</v>
      </c>
      <c r="F792" s="126">
        <v>0</v>
      </c>
      <c r="G792" s="126">
        <v>81</v>
      </c>
      <c r="H792" s="126">
        <v>0</v>
      </c>
      <c r="I792" s="126">
        <v>19.149999999999999</v>
      </c>
      <c r="J792" s="126">
        <v>0</v>
      </c>
      <c r="K792" s="126">
        <v>0</v>
      </c>
      <c r="L792" s="126">
        <f t="shared" si="241"/>
        <v>423</v>
      </c>
      <c r="M792" s="126">
        <f t="shared" si="242"/>
        <v>81</v>
      </c>
      <c r="N792" s="171">
        <f t="shared" si="243"/>
        <v>0.1915</v>
      </c>
      <c r="O792" s="132">
        <f t="shared" si="244"/>
        <v>0</v>
      </c>
      <c r="P792" s="177">
        <f t="shared" si="245"/>
        <v>0</v>
      </c>
      <c r="Q792" s="177">
        <f t="shared" si="246"/>
        <v>0</v>
      </c>
      <c r="S792" s="233" t="b">
        <f t="shared" si="247"/>
        <v>0</v>
      </c>
    </row>
    <row r="793" spans="1:19">
      <c r="A793" s="126" t="s">
        <v>3878</v>
      </c>
      <c r="B793" s="126" t="str">
        <f t="shared" si="240"/>
        <v>D0264</v>
      </c>
      <c r="C793" s="126">
        <v>2014</v>
      </c>
      <c r="D793" s="126" t="s">
        <v>1745</v>
      </c>
      <c r="E793" s="126">
        <v>367</v>
      </c>
      <c r="F793" s="126">
        <v>0</v>
      </c>
      <c r="G793" s="126">
        <v>57</v>
      </c>
      <c r="H793" s="126">
        <v>0</v>
      </c>
      <c r="I793" s="126">
        <v>15.53</v>
      </c>
      <c r="J793" s="126">
        <v>0</v>
      </c>
      <c r="K793" s="126">
        <v>0</v>
      </c>
      <c r="L793" s="126">
        <f t="shared" si="241"/>
        <v>367</v>
      </c>
      <c r="M793" s="126">
        <f t="shared" si="242"/>
        <v>57</v>
      </c>
      <c r="N793" s="171">
        <f t="shared" si="243"/>
        <v>0.15529999999999999</v>
      </c>
      <c r="O793" s="132">
        <f t="shared" si="244"/>
        <v>0</v>
      </c>
      <c r="P793" s="177">
        <f t="shared" si="245"/>
        <v>0</v>
      </c>
      <c r="Q793" s="177">
        <f t="shared" si="246"/>
        <v>0</v>
      </c>
      <c r="S793" s="233" t="b">
        <f t="shared" si="247"/>
        <v>0</v>
      </c>
    </row>
    <row r="794" spans="1:19">
      <c r="A794" s="126" t="s">
        <v>3904</v>
      </c>
      <c r="B794" s="126" t="str">
        <f t="shared" si="240"/>
        <v>D0266</v>
      </c>
      <c r="C794" s="126">
        <v>2044</v>
      </c>
      <c r="D794" s="126" t="s">
        <v>1771</v>
      </c>
      <c r="E794" s="126">
        <v>856</v>
      </c>
      <c r="F794" s="126">
        <v>0</v>
      </c>
      <c r="G794" s="126">
        <v>162</v>
      </c>
      <c r="H794" s="126">
        <v>0</v>
      </c>
      <c r="I794" s="126">
        <v>18.93</v>
      </c>
      <c r="J794" s="126">
        <v>0</v>
      </c>
      <c r="K794" s="126">
        <v>0</v>
      </c>
      <c r="L794" s="126">
        <f t="shared" si="241"/>
        <v>856</v>
      </c>
      <c r="M794" s="126">
        <f t="shared" si="242"/>
        <v>162</v>
      </c>
      <c r="N794" s="171">
        <f t="shared" si="243"/>
        <v>0.1893</v>
      </c>
      <c r="O794" s="132">
        <f t="shared" si="244"/>
        <v>0</v>
      </c>
      <c r="P794" s="177">
        <f t="shared" si="245"/>
        <v>0</v>
      </c>
      <c r="Q794" s="177">
        <f t="shared" si="246"/>
        <v>0</v>
      </c>
      <c r="S794" s="233" t="b">
        <f t="shared" si="247"/>
        <v>0</v>
      </c>
    </row>
    <row r="795" spans="1:19">
      <c r="A795" s="126" t="s">
        <v>3904</v>
      </c>
      <c r="B795" s="126" t="str">
        <f t="shared" si="240"/>
        <v>D0266</v>
      </c>
      <c r="C795" s="126">
        <v>2045</v>
      </c>
      <c r="D795" s="126" t="s">
        <v>1773</v>
      </c>
      <c r="E795" s="126">
        <v>653</v>
      </c>
      <c r="F795" s="126">
        <v>0</v>
      </c>
      <c r="G795" s="126">
        <v>99</v>
      </c>
      <c r="H795" s="126">
        <v>0</v>
      </c>
      <c r="I795" s="126">
        <v>15.16</v>
      </c>
      <c r="J795" s="126">
        <v>0</v>
      </c>
      <c r="K795" s="126">
        <v>0</v>
      </c>
      <c r="L795" s="126">
        <f t="shared" si="241"/>
        <v>653</v>
      </c>
      <c r="M795" s="126">
        <f t="shared" si="242"/>
        <v>99</v>
      </c>
      <c r="N795" s="171">
        <f t="shared" si="243"/>
        <v>0.15160000000000001</v>
      </c>
      <c r="O795" s="132">
        <f t="shared" si="244"/>
        <v>0</v>
      </c>
      <c r="P795" s="177">
        <f t="shared" si="245"/>
        <v>0</v>
      </c>
      <c r="Q795" s="177">
        <f t="shared" si="246"/>
        <v>0</v>
      </c>
      <c r="S795" s="233" t="b">
        <f t="shared" si="247"/>
        <v>0</v>
      </c>
    </row>
    <row r="796" spans="1:19">
      <c r="A796" s="126" t="s">
        <v>3904</v>
      </c>
      <c r="B796" s="126" t="str">
        <f t="shared" si="240"/>
        <v>D0266</v>
      </c>
      <c r="C796" s="126">
        <v>2046</v>
      </c>
      <c r="D796" s="126" t="s">
        <v>1775</v>
      </c>
      <c r="E796" s="126">
        <v>557</v>
      </c>
      <c r="F796" s="126">
        <v>0</v>
      </c>
      <c r="G796" s="126">
        <v>79</v>
      </c>
      <c r="H796" s="126">
        <v>0</v>
      </c>
      <c r="I796" s="126">
        <v>14.18</v>
      </c>
      <c r="J796" s="126">
        <v>0</v>
      </c>
      <c r="K796" s="126">
        <v>0</v>
      </c>
      <c r="L796" s="126">
        <f t="shared" si="241"/>
        <v>557</v>
      </c>
      <c r="M796" s="126">
        <f t="shared" si="242"/>
        <v>79</v>
      </c>
      <c r="N796" s="171">
        <f t="shared" si="243"/>
        <v>0.14180000000000001</v>
      </c>
      <c r="O796" s="132">
        <f t="shared" si="244"/>
        <v>0</v>
      </c>
      <c r="P796" s="177">
        <f t="shared" si="245"/>
        <v>0</v>
      </c>
      <c r="Q796" s="177">
        <f t="shared" si="246"/>
        <v>0</v>
      </c>
      <c r="S796" s="233" t="b">
        <f t="shared" si="247"/>
        <v>0</v>
      </c>
    </row>
    <row r="797" spans="1:19">
      <c r="A797" s="126" t="s">
        <v>3904</v>
      </c>
      <c r="B797" s="126" t="str">
        <f t="shared" si="240"/>
        <v>D0266</v>
      </c>
      <c r="C797" s="126">
        <v>2047</v>
      </c>
      <c r="D797" s="126" t="s">
        <v>1777</v>
      </c>
      <c r="E797" s="126">
        <v>837</v>
      </c>
      <c r="F797" s="126">
        <v>0</v>
      </c>
      <c r="G797" s="126">
        <v>116</v>
      </c>
      <c r="H797" s="126">
        <v>0</v>
      </c>
      <c r="I797" s="126">
        <v>13.86</v>
      </c>
      <c r="J797" s="126">
        <v>0</v>
      </c>
      <c r="K797" s="126">
        <v>0</v>
      </c>
      <c r="L797" s="126">
        <f t="shared" si="241"/>
        <v>837</v>
      </c>
      <c r="M797" s="126">
        <f t="shared" si="242"/>
        <v>116</v>
      </c>
      <c r="N797" s="171">
        <f t="shared" si="243"/>
        <v>0.1386</v>
      </c>
      <c r="O797" s="132">
        <f t="shared" si="244"/>
        <v>0</v>
      </c>
      <c r="P797" s="177">
        <f t="shared" si="245"/>
        <v>0</v>
      </c>
      <c r="Q797" s="177">
        <f t="shared" si="246"/>
        <v>0</v>
      </c>
      <c r="S797" s="233" t="b">
        <f t="shared" si="247"/>
        <v>0</v>
      </c>
    </row>
    <row r="798" spans="1:19">
      <c r="A798" s="126" t="s">
        <v>3904</v>
      </c>
      <c r="B798" s="126" t="str">
        <f t="shared" si="240"/>
        <v>D0266</v>
      </c>
      <c r="C798" s="126">
        <v>2050</v>
      </c>
      <c r="D798" s="126" t="s">
        <v>1779</v>
      </c>
      <c r="E798" s="126">
        <v>1244</v>
      </c>
      <c r="F798" s="126">
        <v>0</v>
      </c>
      <c r="G798" s="126">
        <v>162</v>
      </c>
      <c r="H798" s="126">
        <v>0</v>
      </c>
      <c r="I798" s="126">
        <v>13.02</v>
      </c>
      <c r="J798" s="126">
        <v>0</v>
      </c>
      <c r="K798" s="126">
        <v>0</v>
      </c>
      <c r="L798" s="126">
        <f t="shared" si="241"/>
        <v>1244</v>
      </c>
      <c r="M798" s="126">
        <f t="shared" si="242"/>
        <v>162</v>
      </c>
      <c r="N798" s="171">
        <f t="shared" si="243"/>
        <v>0.13020000000000001</v>
      </c>
      <c r="O798" s="132">
        <f t="shared" si="244"/>
        <v>0</v>
      </c>
      <c r="P798" s="177">
        <f t="shared" si="245"/>
        <v>0</v>
      </c>
      <c r="Q798" s="177">
        <f t="shared" si="246"/>
        <v>0</v>
      </c>
      <c r="S798" s="233" t="b">
        <f t="shared" si="247"/>
        <v>0</v>
      </c>
    </row>
    <row r="799" spans="1:19">
      <c r="A799" s="126" t="s">
        <v>3904</v>
      </c>
      <c r="B799" s="126" t="str">
        <f t="shared" si="240"/>
        <v>D0266</v>
      </c>
      <c r="C799" s="126">
        <v>2051</v>
      </c>
      <c r="D799" s="126" t="s">
        <v>1781</v>
      </c>
      <c r="E799" s="126">
        <v>713</v>
      </c>
      <c r="F799" s="126">
        <v>0</v>
      </c>
      <c r="G799" s="126">
        <v>126</v>
      </c>
      <c r="H799" s="126">
        <v>0</v>
      </c>
      <c r="I799" s="126">
        <v>17.670000000000002</v>
      </c>
      <c r="J799" s="126">
        <v>0</v>
      </c>
      <c r="K799" s="126">
        <v>0</v>
      </c>
      <c r="L799" s="126">
        <f t="shared" si="241"/>
        <v>713</v>
      </c>
      <c r="M799" s="126">
        <f t="shared" si="242"/>
        <v>126</v>
      </c>
      <c r="N799" s="171">
        <f t="shared" si="243"/>
        <v>0.1767</v>
      </c>
      <c r="O799" s="132">
        <f t="shared" si="244"/>
        <v>0</v>
      </c>
      <c r="P799" s="177">
        <f t="shared" si="245"/>
        <v>0</v>
      </c>
      <c r="Q799" s="177">
        <f t="shared" si="246"/>
        <v>0</v>
      </c>
      <c r="S799" s="233" t="b">
        <f t="shared" si="247"/>
        <v>0</v>
      </c>
    </row>
    <row r="800" spans="1:19">
      <c r="A800" s="126" t="s">
        <v>3904</v>
      </c>
      <c r="B800" s="126" t="str">
        <f t="shared" si="240"/>
        <v>D0266</v>
      </c>
      <c r="C800" s="126">
        <v>2052</v>
      </c>
      <c r="D800" s="126" t="s">
        <v>1783</v>
      </c>
      <c r="E800" s="126">
        <v>1029</v>
      </c>
      <c r="F800" s="126">
        <v>0</v>
      </c>
      <c r="G800" s="126">
        <v>75</v>
      </c>
      <c r="H800" s="126">
        <v>0</v>
      </c>
      <c r="I800" s="126">
        <v>7.29</v>
      </c>
      <c r="J800" s="126">
        <v>0</v>
      </c>
      <c r="K800" s="126">
        <v>0</v>
      </c>
      <c r="L800" s="126">
        <f t="shared" si="241"/>
        <v>1029</v>
      </c>
      <c r="M800" s="126">
        <f t="shared" si="242"/>
        <v>75</v>
      </c>
      <c r="N800" s="171">
        <f t="shared" si="243"/>
        <v>7.2900000000000006E-2</v>
      </c>
      <c r="O800" s="132">
        <f t="shared" si="244"/>
        <v>0</v>
      </c>
      <c r="P800" s="177">
        <f t="shared" si="245"/>
        <v>0</v>
      </c>
      <c r="Q800" s="177">
        <f t="shared" si="246"/>
        <v>0</v>
      </c>
      <c r="S800" s="233" t="b">
        <f t="shared" si="247"/>
        <v>0</v>
      </c>
    </row>
    <row r="801" spans="1:19">
      <c r="A801" s="126" t="s">
        <v>3904</v>
      </c>
      <c r="B801" s="126" t="str">
        <f t="shared" si="240"/>
        <v>D0266</v>
      </c>
      <c r="C801" s="126">
        <v>2075</v>
      </c>
      <c r="D801" s="126" t="s">
        <v>1785</v>
      </c>
      <c r="E801" s="126">
        <v>690</v>
      </c>
      <c r="F801" s="126">
        <v>0</v>
      </c>
      <c r="G801" s="126">
        <v>136</v>
      </c>
      <c r="H801" s="126">
        <v>0</v>
      </c>
      <c r="I801" s="126">
        <v>19.71</v>
      </c>
      <c r="J801" s="126">
        <v>0</v>
      </c>
      <c r="K801" s="126">
        <v>0</v>
      </c>
      <c r="L801" s="126">
        <f t="shared" si="241"/>
        <v>690</v>
      </c>
      <c r="M801" s="126">
        <f t="shared" si="242"/>
        <v>136</v>
      </c>
      <c r="N801" s="171">
        <f t="shared" si="243"/>
        <v>0.1971</v>
      </c>
      <c r="O801" s="132">
        <f t="shared" si="244"/>
        <v>0</v>
      </c>
      <c r="P801" s="177">
        <f t="shared" si="245"/>
        <v>0</v>
      </c>
      <c r="Q801" s="177">
        <f t="shared" si="246"/>
        <v>0</v>
      </c>
      <c r="S801" s="233" t="b">
        <f t="shared" si="247"/>
        <v>0</v>
      </c>
    </row>
    <row r="802" spans="1:19">
      <c r="A802" s="126" t="s">
        <v>3905</v>
      </c>
      <c r="B802" s="126" t="str">
        <f t="shared" ref="B802:B833" si="248">LEFT(A802,5)</f>
        <v>D0267</v>
      </c>
      <c r="C802" s="126">
        <v>2062</v>
      </c>
      <c r="D802" s="126" t="s">
        <v>1789</v>
      </c>
      <c r="E802" s="126">
        <v>350</v>
      </c>
      <c r="F802" s="126">
        <v>0</v>
      </c>
      <c r="G802" s="126">
        <v>24</v>
      </c>
      <c r="H802" s="126">
        <v>0</v>
      </c>
      <c r="I802" s="126">
        <v>6.86</v>
      </c>
      <c r="J802" s="126">
        <v>0</v>
      </c>
      <c r="K802" s="126">
        <v>0</v>
      </c>
      <c r="L802" s="126">
        <f t="shared" si="241"/>
        <v>350</v>
      </c>
      <c r="M802" s="126">
        <f t="shared" si="242"/>
        <v>24</v>
      </c>
      <c r="N802" s="171">
        <f t="shared" si="243"/>
        <v>6.8599999999999994E-2</v>
      </c>
      <c r="O802" s="132">
        <f t="shared" si="244"/>
        <v>0</v>
      </c>
      <c r="P802" s="177">
        <f t="shared" si="245"/>
        <v>0</v>
      </c>
      <c r="Q802" s="177">
        <f t="shared" si="246"/>
        <v>0</v>
      </c>
      <c r="S802" s="233" t="b">
        <f t="shared" si="247"/>
        <v>0</v>
      </c>
    </row>
    <row r="803" spans="1:19">
      <c r="A803" s="126" t="s">
        <v>3905</v>
      </c>
      <c r="B803" s="126" t="str">
        <f t="shared" si="248"/>
        <v>D0267</v>
      </c>
      <c r="C803" s="126">
        <v>2064</v>
      </c>
      <c r="D803" s="126" t="s">
        <v>1791</v>
      </c>
      <c r="E803" s="126">
        <v>389</v>
      </c>
      <c r="F803" s="126">
        <v>0</v>
      </c>
      <c r="G803" s="126">
        <v>23</v>
      </c>
      <c r="H803" s="126">
        <v>0</v>
      </c>
      <c r="I803" s="126">
        <v>5.91</v>
      </c>
      <c r="J803" s="126">
        <v>0</v>
      </c>
      <c r="K803" s="126">
        <v>0</v>
      </c>
      <c r="L803" s="126">
        <f t="shared" si="241"/>
        <v>389</v>
      </c>
      <c r="M803" s="126">
        <f t="shared" si="242"/>
        <v>23</v>
      </c>
      <c r="N803" s="171">
        <f t="shared" si="243"/>
        <v>5.91E-2</v>
      </c>
      <c r="O803" s="132">
        <f t="shared" si="244"/>
        <v>0</v>
      </c>
      <c r="P803" s="177">
        <f t="shared" si="245"/>
        <v>0</v>
      </c>
      <c r="Q803" s="177">
        <f t="shared" si="246"/>
        <v>0</v>
      </c>
      <c r="S803" s="233" t="b">
        <f t="shared" si="247"/>
        <v>0</v>
      </c>
    </row>
    <row r="804" spans="1:19">
      <c r="A804" s="126" t="s">
        <v>3905</v>
      </c>
      <c r="B804" s="126" t="str">
        <f t="shared" si="248"/>
        <v>D0267</v>
      </c>
      <c r="C804" s="126">
        <v>2066</v>
      </c>
      <c r="D804" s="126" t="s">
        <v>1793</v>
      </c>
      <c r="E804" s="126">
        <v>211</v>
      </c>
      <c r="F804" s="126">
        <v>0</v>
      </c>
      <c r="G804" s="126">
        <v>33</v>
      </c>
      <c r="H804" s="126">
        <v>0</v>
      </c>
      <c r="I804" s="126">
        <v>15.64</v>
      </c>
      <c r="J804" s="126">
        <v>0</v>
      </c>
      <c r="K804" s="126">
        <v>0</v>
      </c>
      <c r="L804" s="126">
        <f t="shared" si="241"/>
        <v>211</v>
      </c>
      <c r="M804" s="126">
        <f t="shared" si="242"/>
        <v>33</v>
      </c>
      <c r="N804" s="171">
        <f t="shared" si="243"/>
        <v>0.15640000000000001</v>
      </c>
      <c r="O804" s="132">
        <f t="shared" si="244"/>
        <v>0</v>
      </c>
      <c r="P804" s="177">
        <f t="shared" si="245"/>
        <v>0</v>
      </c>
      <c r="Q804" s="177">
        <f t="shared" si="246"/>
        <v>0</v>
      </c>
      <c r="S804" s="233" t="b">
        <f t="shared" si="247"/>
        <v>0</v>
      </c>
    </row>
    <row r="805" spans="1:19">
      <c r="A805" s="126" t="s">
        <v>3905</v>
      </c>
      <c r="B805" s="126" t="str">
        <f t="shared" si="248"/>
        <v>D0267</v>
      </c>
      <c r="C805" s="126">
        <v>2068</v>
      </c>
      <c r="D805" s="126" t="s">
        <v>1795</v>
      </c>
      <c r="E805" s="126">
        <v>346</v>
      </c>
      <c r="F805" s="126">
        <v>0</v>
      </c>
      <c r="G805" s="126">
        <v>35</v>
      </c>
      <c r="H805" s="126">
        <v>0</v>
      </c>
      <c r="I805" s="126">
        <v>10.119999999999999</v>
      </c>
      <c r="J805" s="126">
        <v>0</v>
      </c>
      <c r="K805" s="126">
        <v>0</v>
      </c>
      <c r="L805" s="126">
        <f t="shared" si="241"/>
        <v>346</v>
      </c>
      <c r="M805" s="126">
        <f t="shared" si="242"/>
        <v>35</v>
      </c>
      <c r="N805" s="171">
        <f t="shared" si="243"/>
        <v>0.1012</v>
      </c>
      <c r="O805" s="132">
        <f t="shared" si="244"/>
        <v>0</v>
      </c>
      <c r="P805" s="177">
        <f t="shared" si="245"/>
        <v>0</v>
      </c>
      <c r="Q805" s="177">
        <f t="shared" si="246"/>
        <v>0</v>
      </c>
      <c r="S805" s="233" t="b">
        <f t="shared" si="247"/>
        <v>0</v>
      </c>
    </row>
    <row r="806" spans="1:19">
      <c r="A806" s="126" t="s">
        <v>3905</v>
      </c>
      <c r="B806" s="126" t="str">
        <f t="shared" si="248"/>
        <v>D0267</v>
      </c>
      <c r="C806" s="126">
        <v>2070</v>
      </c>
      <c r="D806" s="126" t="s">
        <v>1797</v>
      </c>
      <c r="E806" s="126">
        <v>156</v>
      </c>
      <c r="F806" s="126">
        <v>0</v>
      </c>
      <c r="G806" s="126">
        <v>16</v>
      </c>
      <c r="H806" s="126">
        <v>0</v>
      </c>
      <c r="I806" s="126">
        <v>10.26</v>
      </c>
      <c r="J806" s="126">
        <v>0</v>
      </c>
      <c r="K806" s="126">
        <v>0</v>
      </c>
      <c r="L806" s="126">
        <f t="shared" si="241"/>
        <v>156</v>
      </c>
      <c r="M806" s="126">
        <f t="shared" si="242"/>
        <v>16</v>
      </c>
      <c r="N806" s="171">
        <f t="shared" si="243"/>
        <v>0.1026</v>
      </c>
      <c r="O806" s="132">
        <f t="shared" si="244"/>
        <v>0</v>
      </c>
      <c r="P806" s="177">
        <f t="shared" si="245"/>
        <v>0</v>
      </c>
      <c r="Q806" s="177">
        <f t="shared" si="246"/>
        <v>0</v>
      </c>
      <c r="S806" s="233" t="b">
        <f t="shared" si="247"/>
        <v>0</v>
      </c>
    </row>
    <row r="807" spans="1:19">
      <c r="A807" s="126" t="s">
        <v>3905</v>
      </c>
      <c r="B807" s="126" t="str">
        <f t="shared" si="248"/>
        <v>D0267</v>
      </c>
      <c r="C807" s="126">
        <v>2071</v>
      </c>
      <c r="D807" s="126" t="s">
        <v>1799</v>
      </c>
      <c r="E807" s="126">
        <v>345</v>
      </c>
      <c r="F807" s="126">
        <v>0</v>
      </c>
      <c r="G807" s="126">
        <v>27</v>
      </c>
      <c r="H807" s="126">
        <v>0</v>
      </c>
      <c r="I807" s="126">
        <v>7.83</v>
      </c>
      <c r="J807" s="126">
        <v>0</v>
      </c>
      <c r="K807" s="126">
        <v>0</v>
      </c>
      <c r="L807" s="126">
        <f t="shared" si="241"/>
        <v>345</v>
      </c>
      <c r="M807" s="126">
        <f t="shared" si="242"/>
        <v>27</v>
      </c>
      <c r="N807" s="171">
        <f t="shared" si="243"/>
        <v>7.8299999999999995E-2</v>
      </c>
      <c r="O807" s="132">
        <f t="shared" si="244"/>
        <v>0</v>
      </c>
      <c r="P807" s="177">
        <f t="shared" si="245"/>
        <v>0</v>
      </c>
      <c r="Q807" s="177">
        <f t="shared" si="246"/>
        <v>0</v>
      </c>
      <c r="S807" s="233" t="b">
        <f t="shared" si="247"/>
        <v>0</v>
      </c>
    </row>
    <row r="808" spans="1:19">
      <c r="A808" s="126" t="s">
        <v>3907</v>
      </c>
      <c r="B808" s="126" t="str">
        <f t="shared" si="248"/>
        <v>D0275</v>
      </c>
      <c r="C808" s="126">
        <v>2286</v>
      </c>
      <c r="D808" s="126" t="s">
        <v>1837</v>
      </c>
      <c r="E808" s="126">
        <v>47</v>
      </c>
      <c r="F808" s="126">
        <v>0</v>
      </c>
      <c r="G808" s="126">
        <v>9</v>
      </c>
      <c r="H808" s="126">
        <v>0</v>
      </c>
      <c r="I808" s="126">
        <v>19.149999999999999</v>
      </c>
      <c r="J808" s="126">
        <v>0</v>
      </c>
      <c r="K808" s="126">
        <v>0</v>
      </c>
      <c r="L808" s="126">
        <f t="shared" si="241"/>
        <v>47</v>
      </c>
      <c r="M808" s="126">
        <f t="shared" si="242"/>
        <v>9</v>
      </c>
      <c r="N808" s="171">
        <f t="shared" si="243"/>
        <v>0.1915</v>
      </c>
      <c r="O808" s="132">
        <f t="shared" si="244"/>
        <v>0</v>
      </c>
      <c r="P808" s="177">
        <f t="shared" si="245"/>
        <v>0</v>
      </c>
      <c r="Q808" s="177">
        <f t="shared" si="246"/>
        <v>0</v>
      </c>
      <c r="S808" s="233" t="b">
        <f t="shared" si="247"/>
        <v>0</v>
      </c>
    </row>
    <row r="809" spans="1:19">
      <c r="A809" s="126" t="s">
        <v>3907</v>
      </c>
      <c r="B809" s="126" t="str">
        <f t="shared" si="248"/>
        <v>D0275</v>
      </c>
      <c r="C809" s="126">
        <v>2288</v>
      </c>
      <c r="D809" s="126" t="s">
        <v>1839</v>
      </c>
      <c r="E809" s="126">
        <v>24</v>
      </c>
      <c r="F809" s="126">
        <v>0</v>
      </c>
      <c r="G809" s="126">
        <v>10</v>
      </c>
      <c r="H809" s="126">
        <v>0</v>
      </c>
      <c r="I809" s="126">
        <v>41.67</v>
      </c>
      <c r="J809" s="126">
        <v>0</v>
      </c>
      <c r="K809" s="126">
        <v>0.5</v>
      </c>
      <c r="L809" s="126">
        <f t="shared" si="241"/>
        <v>24</v>
      </c>
      <c r="M809" s="126">
        <f t="shared" si="242"/>
        <v>10</v>
      </c>
      <c r="N809" s="171">
        <f t="shared" si="243"/>
        <v>0.41670000000000001</v>
      </c>
      <c r="O809" s="132">
        <f t="shared" si="244"/>
        <v>0.5</v>
      </c>
      <c r="P809" s="177">
        <f t="shared" si="245"/>
        <v>0</v>
      </c>
      <c r="Q809" s="177">
        <f t="shared" si="246"/>
        <v>0.5</v>
      </c>
      <c r="S809" s="233" t="b">
        <f t="shared" si="247"/>
        <v>0</v>
      </c>
    </row>
    <row r="810" spans="1:19">
      <c r="A810" s="126" t="s">
        <v>3909</v>
      </c>
      <c r="B810" s="126" t="str">
        <f t="shared" si="248"/>
        <v>D0307</v>
      </c>
      <c r="C810" s="126">
        <v>3080</v>
      </c>
      <c r="D810" s="126" t="s">
        <v>1954</v>
      </c>
      <c r="E810" s="126">
        <v>208</v>
      </c>
      <c r="F810" s="126">
        <v>0</v>
      </c>
      <c r="G810" s="126">
        <v>49</v>
      </c>
      <c r="H810" s="126">
        <v>0</v>
      </c>
      <c r="I810" s="126">
        <v>23.56</v>
      </c>
      <c r="J810" s="126">
        <v>0</v>
      </c>
      <c r="K810" s="126">
        <v>0</v>
      </c>
      <c r="L810" s="126">
        <f t="shared" ref="L810:L838" si="249">SUM(E810:F810)</f>
        <v>208</v>
      </c>
      <c r="M810" s="126">
        <f t="shared" ref="M810:M838" si="250">SUM(G810:H810)</f>
        <v>49</v>
      </c>
      <c r="N810" s="171">
        <f t="shared" ref="N810:N838" si="251">IF(ISERROR(M810/L810),0,M810/L810)</f>
        <v>0.2356</v>
      </c>
      <c r="O810" s="132">
        <f t="shared" ref="O810:O838" si="252">IF(AND((N810-35%)&gt;0,N810&lt;50%),M810*(N810-35%)*0.7,0)</f>
        <v>0</v>
      </c>
      <c r="P810" s="177">
        <f t="shared" ref="P810:P838" si="253">IF(N810&gt;=50%,M810*10.5%,0)</f>
        <v>0</v>
      </c>
      <c r="Q810" s="177">
        <f t="shared" ref="Q810:Q838" si="254">MAX(O810,P810)</f>
        <v>0</v>
      </c>
      <c r="S810" s="233" t="b">
        <f t="shared" si="247"/>
        <v>0</v>
      </c>
    </row>
    <row r="811" spans="1:19">
      <c r="A811" s="126" t="s">
        <v>3909</v>
      </c>
      <c r="B811" s="126" t="str">
        <f t="shared" si="248"/>
        <v>D0307</v>
      </c>
      <c r="C811" s="126">
        <v>3082</v>
      </c>
      <c r="D811" s="126" t="s">
        <v>1956</v>
      </c>
      <c r="E811" s="126">
        <v>269</v>
      </c>
      <c r="F811" s="126">
        <v>0</v>
      </c>
      <c r="G811" s="126">
        <v>75</v>
      </c>
      <c r="H811" s="126">
        <v>0</v>
      </c>
      <c r="I811" s="126">
        <v>27.88</v>
      </c>
      <c r="J811" s="126">
        <v>0</v>
      </c>
      <c r="K811" s="126">
        <v>0</v>
      </c>
      <c r="L811" s="126">
        <f t="shared" si="249"/>
        <v>269</v>
      </c>
      <c r="M811" s="126">
        <f t="shared" si="250"/>
        <v>75</v>
      </c>
      <c r="N811" s="171">
        <f t="shared" si="251"/>
        <v>0.27879999999999999</v>
      </c>
      <c r="O811" s="132">
        <f t="shared" si="252"/>
        <v>0</v>
      </c>
      <c r="P811" s="177">
        <f t="shared" si="253"/>
        <v>0</v>
      </c>
      <c r="Q811" s="177">
        <f t="shared" si="254"/>
        <v>0</v>
      </c>
      <c r="S811" s="233" t="b">
        <f t="shared" si="247"/>
        <v>0</v>
      </c>
    </row>
    <row r="812" spans="1:19">
      <c r="A812" s="126" t="s">
        <v>3910</v>
      </c>
      <c r="B812" s="126" t="str">
        <f t="shared" si="248"/>
        <v>D0308</v>
      </c>
      <c r="C812" s="126">
        <v>3101</v>
      </c>
      <c r="D812" s="126" t="s">
        <v>1958</v>
      </c>
      <c r="E812" s="126">
        <v>280</v>
      </c>
      <c r="F812" s="126">
        <v>0</v>
      </c>
      <c r="G812" s="126">
        <v>143</v>
      </c>
      <c r="H812" s="126">
        <v>0</v>
      </c>
      <c r="I812" s="126">
        <v>51.07</v>
      </c>
      <c r="J812" s="126">
        <v>15</v>
      </c>
      <c r="K812" s="126">
        <v>0</v>
      </c>
      <c r="L812" s="126">
        <f t="shared" si="249"/>
        <v>280</v>
      </c>
      <c r="M812" s="126">
        <f t="shared" si="250"/>
        <v>143</v>
      </c>
      <c r="N812" s="171">
        <f t="shared" si="251"/>
        <v>0.51070000000000004</v>
      </c>
      <c r="O812" s="132">
        <f t="shared" si="252"/>
        <v>0</v>
      </c>
      <c r="P812" s="177">
        <f t="shared" si="253"/>
        <v>15</v>
      </c>
      <c r="Q812" s="177">
        <f t="shared" si="254"/>
        <v>15</v>
      </c>
      <c r="S812" s="233" t="b">
        <f t="shared" si="247"/>
        <v>0</v>
      </c>
    </row>
    <row r="813" spans="1:19">
      <c r="A813" s="126" t="s">
        <v>3910</v>
      </c>
      <c r="B813" s="126" t="str">
        <f t="shared" si="248"/>
        <v>D0308</v>
      </c>
      <c r="C813" s="126">
        <v>3106</v>
      </c>
      <c r="D813" s="126" t="s">
        <v>1960</v>
      </c>
      <c r="E813" s="126">
        <v>270</v>
      </c>
      <c r="F813" s="126">
        <v>0</v>
      </c>
      <c r="G813" s="126">
        <v>200</v>
      </c>
      <c r="H813" s="126">
        <v>0</v>
      </c>
      <c r="I813" s="126">
        <v>74.069999999999993</v>
      </c>
      <c r="J813" s="126">
        <v>21</v>
      </c>
      <c r="K813" s="126">
        <v>0</v>
      </c>
      <c r="L813" s="126">
        <f t="shared" si="249"/>
        <v>270</v>
      </c>
      <c r="M813" s="126">
        <f t="shared" si="250"/>
        <v>200</v>
      </c>
      <c r="N813" s="171">
        <f t="shared" si="251"/>
        <v>0.74070000000000003</v>
      </c>
      <c r="O813" s="132">
        <f t="shared" si="252"/>
        <v>0</v>
      </c>
      <c r="P813" s="177">
        <f t="shared" si="253"/>
        <v>21</v>
      </c>
      <c r="Q813" s="177">
        <f t="shared" si="254"/>
        <v>21</v>
      </c>
      <c r="S813" s="233" t="b">
        <f t="shared" si="247"/>
        <v>0</v>
      </c>
    </row>
    <row r="814" spans="1:19">
      <c r="A814" s="126" t="s">
        <v>3910</v>
      </c>
      <c r="B814" s="126" t="str">
        <f t="shared" si="248"/>
        <v>D0308</v>
      </c>
      <c r="C814" s="126">
        <v>3108</v>
      </c>
      <c r="D814" s="126" t="s">
        <v>1962</v>
      </c>
      <c r="E814" s="126">
        <v>308</v>
      </c>
      <c r="F814" s="126">
        <v>0</v>
      </c>
      <c r="G814" s="126">
        <v>173</v>
      </c>
      <c r="H814" s="126">
        <v>0</v>
      </c>
      <c r="I814" s="126">
        <v>56.17</v>
      </c>
      <c r="J814" s="126">
        <v>18.2</v>
      </c>
      <c r="K814" s="126">
        <v>0</v>
      </c>
      <c r="L814" s="126">
        <f t="shared" si="249"/>
        <v>308</v>
      </c>
      <c r="M814" s="126">
        <f t="shared" si="250"/>
        <v>173</v>
      </c>
      <c r="N814" s="171">
        <f t="shared" si="251"/>
        <v>0.56169999999999998</v>
      </c>
      <c r="O814" s="132">
        <f t="shared" si="252"/>
        <v>0</v>
      </c>
      <c r="P814" s="177">
        <f t="shared" si="253"/>
        <v>18.2</v>
      </c>
      <c r="Q814" s="177">
        <f t="shared" si="254"/>
        <v>18.2</v>
      </c>
      <c r="S814" s="233" t="b">
        <f t="shared" si="247"/>
        <v>0</v>
      </c>
    </row>
    <row r="815" spans="1:19">
      <c r="A815" s="126" t="s">
        <v>3910</v>
      </c>
      <c r="B815" s="126" t="str">
        <f t="shared" si="248"/>
        <v>D0308</v>
      </c>
      <c r="C815" s="126">
        <v>3114</v>
      </c>
      <c r="D815" s="126" t="s">
        <v>1964</v>
      </c>
      <c r="E815" s="126">
        <v>267</v>
      </c>
      <c r="F815" s="126">
        <v>0</v>
      </c>
      <c r="G815" s="126">
        <v>210</v>
      </c>
      <c r="H815" s="126">
        <v>0</v>
      </c>
      <c r="I815" s="126">
        <v>78.650000000000006</v>
      </c>
      <c r="J815" s="126">
        <v>22</v>
      </c>
      <c r="K815" s="126">
        <v>0</v>
      </c>
      <c r="L815" s="126">
        <f t="shared" si="249"/>
        <v>267</v>
      </c>
      <c r="M815" s="126">
        <f t="shared" si="250"/>
        <v>210</v>
      </c>
      <c r="N815" s="171">
        <f t="shared" si="251"/>
        <v>0.78649999999999998</v>
      </c>
      <c r="O815" s="132">
        <f t="shared" si="252"/>
        <v>0</v>
      </c>
      <c r="P815" s="177">
        <f t="shared" si="253"/>
        <v>22.1</v>
      </c>
      <c r="Q815" s="177">
        <f t="shared" si="254"/>
        <v>22.1</v>
      </c>
      <c r="S815" s="233" t="b">
        <f t="shared" si="247"/>
        <v>0</v>
      </c>
    </row>
    <row r="816" spans="1:19">
      <c r="A816" s="126" t="s">
        <v>3910</v>
      </c>
      <c r="B816" s="126" t="str">
        <f t="shared" si="248"/>
        <v>D0308</v>
      </c>
      <c r="C816" s="126">
        <v>3116</v>
      </c>
      <c r="D816" s="126" t="s">
        <v>1966</v>
      </c>
      <c r="E816" s="126">
        <v>240</v>
      </c>
      <c r="F816" s="126">
        <v>0</v>
      </c>
      <c r="G816" s="126">
        <v>184</v>
      </c>
      <c r="H816" s="126">
        <v>0</v>
      </c>
      <c r="I816" s="126">
        <v>76.67</v>
      </c>
      <c r="J816" s="126">
        <v>19.3</v>
      </c>
      <c r="K816" s="126">
        <v>0</v>
      </c>
      <c r="L816" s="126">
        <f t="shared" si="249"/>
        <v>240</v>
      </c>
      <c r="M816" s="126">
        <f t="shared" si="250"/>
        <v>184</v>
      </c>
      <c r="N816" s="171">
        <f t="shared" si="251"/>
        <v>0.76670000000000005</v>
      </c>
      <c r="O816" s="132">
        <f t="shared" si="252"/>
        <v>0</v>
      </c>
      <c r="P816" s="177">
        <f t="shared" si="253"/>
        <v>19.3</v>
      </c>
      <c r="Q816" s="177">
        <f t="shared" si="254"/>
        <v>19.3</v>
      </c>
      <c r="S816" s="233" t="b">
        <f t="shared" si="247"/>
        <v>0</v>
      </c>
    </row>
    <row r="817" spans="1:19">
      <c r="A817" s="126" t="s">
        <v>3910</v>
      </c>
      <c r="B817" s="126" t="str">
        <f t="shared" si="248"/>
        <v>D0308</v>
      </c>
      <c r="C817" s="126">
        <v>3118</v>
      </c>
      <c r="D817" s="126" t="s">
        <v>1968</v>
      </c>
      <c r="E817" s="126">
        <v>414</v>
      </c>
      <c r="F817" s="126">
        <v>0</v>
      </c>
      <c r="G817" s="126">
        <v>170</v>
      </c>
      <c r="H817" s="126">
        <v>0</v>
      </c>
      <c r="I817" s="126">
        <v>41.06</v>
      </c>
      <c r="J817" s="126">
        <v>0</v>
      </c>
      <c r="K817" s="126">
        <v>7.2</v>
      </c>
      <c r="L817" s="126">
        <f t="shared" si="249"/>
        <v>414</v>
      </c>
      <c r="M817" s="126">
        <f t="shared" si="250"/>
        <v>170</v>
      </c>
      <c r="N817" s="171">
        <f t="shared" si="251"/>
        <v>0.41060000000000002</v>
      </c>
      <c r="O817" s="132">
        <f t="shared" si="252"/>
        <v>7.2</v>
      </c>
      <c r="P817" s="177">
        <f t="shared" si="253"/>
        <v>0</v>
      </c>
      <c r="Q817" s="177">
        <f t="shared" si="254"/>
        <v>7.2</v>
      </c>
      <c r="S817" s="233" t="b">
        <f t="shared" si="247"/>
        <v>0</v>
      </c>
    </row>
    <row r="818" spans="1:19">
      <c r="A818" s="126" t="s">
        <v>3910</v>
      </c>
      <c r="B818" s="126" t="str">
        <f t="shared" si="248"/>
        <v>D0308</v>
      </c>
      <c r="C818" s="126">
        <v>3124</v>
      </c>
      <c r="D818" s="126" t="s">
        <v>1970</v>
      </c>
      <c r="E818" s="126">
        <v>331</v>
      </c>
      <c r="F818" s="126">
        <v>0</v>
      </c>
      <c r="G818" s="126">
        <v>158</v>
      </c>
      <c r="H818" s="126">
        <v>0</v>
      </c>
      <c r="I818" s="126">
        <v>47.73</v>
      </c>
      <c r="J818" s="126">
        <v>0</v>
      </c>
      <c r="K818" s="126">
        <v>14.1</v>
      </c>
      <c r="L818" s="126">
        <f t="shared" si="249"/>
        <v>331</v>
      </c>
      <c r="M818" s="126">
        <f t="shared" si="250"/>
        <v>158</v>
      </c>
      <c r="N818" s="171">
        <f t="shared" si="251"/>
        <v>0.4773</v>
      </c>
      <c r="O818" s="132">
        <f t="shared" si="252"/>
        <v>14.1</v>
      </c>
      <c r="P818" s="177">
        <f t="shared" si="253"/>
        <v>0</v>
      </c>
      <c r="Q818" s="177">
        <f t="shared" si="254"/>
        <v>14.1</v>
      </c>
      <c r="S818" s="233" t="b">
        <f t="shared" si="247"/>
        <v>0</v>
      </c>
    </row>
    <row r="819" spans="1:19">
      <c r="A819" s="126" t="s">
        <v>3910</v>
      </c>
      <c r="B819" s="126" t="str">
        <f t="shared" si="248"/>
        <v>D0308</v>
      </c>
      <c r="C819" s="126">
        <v>3130</v>
      </c>
      <c r="D819" s="126" t="s">
        <v>1972</v>
      </c>
      <c r="E819" s="126">
        <v>311</v>
      </c>
      <c r="F819" s="126">
        <v>0</v>
      </c>
      <c r="G819" s="126">
        <v>164</v>
      </c>
      <c r="H819" s="126">
        <v>0</v>
      </c>
      <c r="I819" s="126">
        <v>52.73</v>
      </c>
      <c r="J819" s="126">
        <v>17.2</v>
      </c>
      <c r="K819" s="126">
        <v>0</v>
      </c>
      <c r="L819" s="126">
        <f t="shared" si="249"/>
        <v>311</v>
      </c>
      <c r="M819" s="126">
        <f t="shared" si="250"/>
        <v>164</v>
      </c>
      <c r="N819" s="171">
        <f t="shared" si="251"/>
        <v>0.52729999999999999</v>
      </c>
      <c r="O819" s="132">
        <f t="shared" si="252"/>
        <v>0</v>
      </c>
      <c r="P819" s="177">
        <f t="shared" si="253"/>
        <v>17.2</v>
      </c>
      <c r="Q819" s="177">
        <f t="shared" si="254"/>
        <v>17.2</v>
      </c>
      <c r="S819" s="233" t="b">
        <f t="shared" si="247"/>
        <v>0</v>
      </c>
    </row>
    <row r="820" spans="1:19">
      <c r="A820" s="126" t="s">
        <v>3910</v>
      </c>
      <c r="B820" s="126" t="str">
        <f t="shared" si="248"/>
        <v>D0308</v>
      </c>
      <c r="C820" s="126">
        <v>3134</v>
      </c>
      <c r="D820" s="126" t="s">
        <v>1974</v>
      </c>
      <c r="E820" s="126">
        <v>1441</v>
      </c>
      <c r="F820" s="126">
        <v>0</v>
      </c>
      <c r="G820" s="126">
        <v>709</v>
      </c>
      <c r="H820" s="126">
        <v>0</v>
      </c>
      <c r="I820" s="126">
        <v>49.2</v>
      </c>
      <c r="J820" s="126">
        <v>0</v>
      </c>
      <c r="K820" s="126">
        <v>70.5</v>
      </c>
      <c r="L820" s="126">
        <f t="shared" si="249"/>
        <v>1441</v>
      </c>
      <c r="M820" s="126">
        <f t="shared" si="250"/>
        <v>709</v>
      </c>
      <c r="N820" s="171">
        <f t="shared" si="251"/>
        <v>0.49199999999999999</v>
      </c>
      <c r="O820" s="132">
        <f t="shared" si="252"/>
        <v>70.5</v>
      </c>
      <c r="P820" s="177">
        <f t="shared" si="253"/>
        <v>0</v>
      </c>
      <c r="Q820" s="177">
        <f t="shared" si="254"/>
        <v>70.5</v>
      </c>
      <c r="S820" s="233" t="b">
        <f t="shared" si="247"/>
        <v>0</v>
      </c>
    </row>
    <row r="821" spans="1:19">
      <c r="A821" s="126" t="s">
        <v>3910</v>
      </c>
      <c r="B821" s="126" t="str">
        <f t="shared" si="248"/>
        <v>D0308</v>
      </c>
      <c r="C821" s="126">
        <v>3139</v>
      </c>
      <c r="D821" s="126" t="s">
        <v>1976</v>
      </c>
      <c r="E821" s="126">
        <v>339</v>
      </c>
      <c r="F821" s="126">
        <v>0</v>
      </c>
      <c r="G821" s="126">
        <v>180</v>
      </c>
      <c r="H821" s="126">
        <v>0</v>
      </c>
      <c r="I821" s="126">
        <v>53.1</v>
      </c>
      <c r="J821" s="126">
        <v>18.899999999999999</v>
      </c>
      <c r="K821" s="126">
        <v>0</v>
      </c>
      <c r="L821" s="126">
        <f t="shared" si="249"/>
        <v>339</v>
      </c>
      <c r="M821" s="126">
        <f t="shared" si="250"/>
        <v>180</v>
      </c>
      <c r="N821" s="171">
        <f t="shared" si="251"/>
        <v>0.53100000000000003</v>
      </c>
      <c r="O821" s="132">
        <f t="shared" si="252"/>
        <v>0</v>
      </c>
      <c r="P821" s="177">
        <f t="shared" si="253"/>
        <v>18.899999999999999</v>
      </c>
      <c r="Q821" s="177">
        <f t="shared" si="254"/>
        <v>18.899999999999999</v>
      </c>
      <c r="S821" s="233" t="b">
        <f t="shared" si="247"/>
        <v>0</v>
      </c>
    </row>
    <row r="822" spans="1:19">
      <c r="A822" s="126" t="s">
        <v>3911</v>
      </c>
      <c r="B822" s="126" t="str">
        <f t="shared" si="248"/>
        <v>D0310</v>
      </c>
      <c r="C822" s="126">
        <v>3191</v>
      </c>
      <c r="D822" s="126" t="s">
        <v>1987</v>
      </c>
      <c r="E822" s="126">
        <v>277</v>
      </c>
      <c r="F822" s="126">
        <v>0</v>
      </c>
      <c r="G822" s="126">
        <v>135</v>
      </c>
      <c r="H822" s="126">
        <v>0</v>
      </c>
      <c r="I822" s="126">
        <v>48.74</v>
      </c>
      <c r="J822" s="126">
        <v>0</v>
      </c>
      <c r="K822" s="126">
        <v>13</v>
      </c>
      <c r="L822" s="126">
        <f t="shared" si="249"/>
        <v>277</v>
      </c>
      <c r="M822" s="126">
        <f t="shared" si="250"/>
        <v>135</v>
      </c>
      <c r="N822" s="171">
        <f t="shared" si="251"/>
        <v>0.4874</v>
      </c>
      <c r="O822" s="132">
        <f t="shared" si="252"/>
        <v>13</v>
      </c>
      <c r="P822" s="177">
        <f t="shared" si="253"/>
        <v>0</v>
      </c>
      <c r="Q822" s="177">
        <f t="shared" si="254"/>
        <v>13</v>
      </c>
      <c r="S822" s="233" t="b">
        <f t="shared" si="247"/>
        <v>0</v>
      </c>
    </row>
    <row r="823" spans="1:19">
      <c r="A823" s="126" t="s">
        <v>3658</v>
      </c>
      <c r="B823" s="126" t="str">
        <f t="shared" si="248"/>
        <v>D0315</v>
      </c>
      <c r="C823" s="126">
        <v>3290</v>
      </c>
      <c r="D823" s="126" t="s">
        <v>2019</v>
      </c>
      <c r="E823" s="126">
        <v>380</v>
      </c>
      <c r="F823" s="126">
        <v>0</v>
      </c>
      <c r="G823" s="126">
        <v>132</v>
      </c>
      <c r="H823" s="126">
        <v>0</v>
      </c>
      <c r="I823" s="126">
        <v>34.74</v>
      </c>
      <c r="J823" s="126">
        <v>0</v>
      </c>
      <c r="K823" s="126">
        <v>0</v>
      </c>
      <c r="L823" s="126">
        <f t="shared" si="249"/>
        <v>380</v>
      </c>
      <c r="M823" s="126">
        <f t="shared" si="250"/>
        <v>132</v>
      </c>
      <c r="N823" s="171">
        <f t="shared" si="251"/>
        <v>0.34739999999999999</v>
      </c>
      <c r="O823" s="132">
        <f t="shared" si="252"/>
        <v>0</v>
      </c>
      <c r="P823" s="177">
        <f t="shared" si="253"/>
        <v>0</v>
      </c>
      <c r="Q823" s="177">
        <f t="shared" si="254"/>
        <v>0</v>
      </c>
      <c r="S823" s="233" t="b">
        <f t="shared" si="247"/>
        <v>0</v>
      </c>
    </row>
    <row r="824" spans="1:19">
      <c r="A824" s="126" t="s">
        <v>3658</v>
      </c>
      <c r="B824" s="126" t="str">
        <f t="shared" si="248"/>
        <v>D0315</v>
      </c>
      <c r="C824" s="126">
        <v>3292</v>
      </c>
      <c r="D824" s="126" t="s">
        <v>2021</v>
      </c>
      <c r="E824" s="126">
        <v>290</v>
      </c>
      <c r="F824" s="126">
        <v>0</v>
      </c>
      <c r="G824" s="126">
        <v>75</v>
      </c>
      <c r="H824" s="126">
        <v>0</v>
      </c>
      <c r="I824" s="126">
        <v>25.86</v>
      </c>
      <c r="J824" s="126">
        <v>0</v>
      </c>
      <c r="K824" s="126">
        <v>0</v>
      </c>
      <c r="L824" s="126">
        <f t="shared" si="249"/>
        <v>290</v>
      </c>
      <c r="M824" s="126">
        <f t="shared" si="250"/>
        <v>75</v>
      </c>
      <c r="N824" s="171">
        <f t="shared" si="251"/>
        <v>0.2586</v>
      </c>
      <c r="O824" s="132">
        <f t="shared" si="252"/>
        <v>0</v>
      </c>
      <c r="P824" s="177">
        <f t="shared" si="253"/>
        <v>0</v>
      </c>
      <c r="Q824" s="177">
        <f t="shared" si="254"/>
        <v>0</v>
      </c>
      <c r="S824" s="233" t="b">
        <f t="shared" si="247"/>
        <v>0</v>
      </c>
    </row>
    <row r="825" spans="1:19">
      <c r="A825" s="126" t="s">
        <v>3658</v>
      </c>
      <c r="B825" s="126" t="str">
        <f t="shared" si="248"/>
        <v>D0315</v>
      </c>
      <c r="C825" s="126">
        <v>3294</v>
      </c>
      <c r="D825" s="126" t="s">
        <v>2023</v>
      </c>
      <c r="E825" s="126">
        <v>253</v>
      </c>
      <c r="F825" s="126">
        <v>0</v>
      </c>
      <c r="G825" s="126">
        <v>49</v>
      </c>
      <c r="H825" s="126">
        <v>0</v>
      </c>
      <c r="I825" s="126">
        <v>19.37</v>
      </c>
      <c r="J825" s="126">
        <v>0</v>
      </c>
      <c r="K825" s="126">
        <v>0</v>
      </c>
      <c r="L825" s="126">
        <f t="shared" si="249"/>
        <v>253</v>
      </c>
      <c r="M825" s="126">
        <f t="shared" si="250"/>
        <v>49</v>
      </c>
      <c r="N825" s="171">
        <f t="shared" si="251"/>
        <v>0.19370000000000001</v>
      </c>
      <c r="O825" s="132">
        <f t="shared" si="252"/>
        <v>0</v>
      </c>
      <c r="P825" s="177">
        <f t="shared" si="253"/>
        <v>0</v>
      </c>
      <c r="Q825" s="177">
        <f t="shared" si="254"/>
        <v>0</v>
      </c>
      <c r="S825" s="233" t="b">
        <f t="shared" si="247"/>
        <v>0</v>
      </c>
    </row>
    <row r="826" spans="1:19">
      <c r="A826" s="126" t="s">
        <v>3912</v>
      </c>
      <c r="B826" s="126" t="str">
        <f t="shared" si="248"/>
        <v>D0327</v>
      </c>
      <c r="C826" s="126">
        <v>3594</v>
      </c>
      <c r="D826" s="126" t="s">
        <v>2065</v>
      </c>
      <c r="E826" s="126">
        <v>260</v>
      </c>
      <c r="F826" s="126">
        <v>0</v>
      </c>
      <c r="G826" s="126">
        <v>63</v>
      </c>
      <c r="H826" s="126">
        <v>0</v>
      </c>
      <c r="I826" s="126">
        <v>24.23</v>
      </c>
      <c r="J826" s="126">
        <v>0</v>
      </c>
      <c r="K826" s="126">
        <v>0</v>
      </c>
      <c r="L826" s="126">
        <f t="shared" si="249"/>
        <v>260</v>
      </c>
      <c r="M826" s="126">
        <f t="shared" si="250"/>
        <v>63</v>
      </c>
      <c r="N826" s="171">
        <f t="shared" si="251"/>
        <v>0.24229999999999999</v>
      </c>
      <c r="O826" s="132">
        <f t="shared" si="252"/>
        <v>0</v>
      </c>
      <c r="P826" s="177">
        <f t="shared" si="253"/>
        <v>0</v>
      </c>
      <c r="Q826" s="177">
        <f t="shared" si="254"/>
        <v>0</v>
      </c>
      <c r="S826" s="233" t="b">
        <f t="shared" si="247"/>
        <v>0</v>
      </c>
    </row>
    <row r="827" spans="1:19">
      <c r="A827" s="126" t="s">
        <v>3912</v>
      </c>
      <c r="B827" s="126" t="str">
        <f t="shared" si="248"/>
        <v>D0327</v>
      </c>
      <c r="C827" s="126">
        <v>3598</v>
      </c>
      <c r="D827" s="126" t="s">
        <v>2067</v>
      </c>
      <c r="E827" s="126">
        <v>270</v>
      </c>
      <c r="F827" s="126">
        <v>0</v>
      </c>
      <c r="G827" s="126">
        <v>63</v>
      </c>
      <c r="H827" s="126">
        <v>0</v>
      </c>
      <c r="I827" s="126">
        <v>23.33</v>
      </c>
      <c r="J827" s="126">
        <v>0</v>
      </c>
      <c r="K827" s="126">
        <v>0</v>
      </c>
      <c r="L827" s="126">
        <f t="shared" si="249"/>
        <v>270</v>
      </c>
      <c r="M827" s="126">
        <f t="shared" si="250"/>
        <v>63</v>
      </c>
      <c r="N827" s="171">
        <f t="shared" si="251"/>
        <v>0.23330000000000001</v>
      </c>
      <c r="O827" s="132">
        <f t="shared" si="252"/>
        <v>0</v>
      </c>
      <c r="P827" s="177">
        <f t="shared" si="253"/>
        <v>0</v>
      </c>
      <c r="Q827" s="177">
        <f t="shared" si="254"/>
        <v>0</v>
      </c>
      <c r="S827" s="233" t="b">
        <f t="shared" si="247"/>
        <v>0</v>
      </c>
    </row>
    <row r="828" spans="1:19">
      <c r="A828" s="126" t="s">
        <v>3912</v>
      </c>
      <c r="B828" s="126" t="str">
        <f t="shared" si="248"/>
        <v>D0327</v>
      </c>
      <c r="C828" s="126">
        <v>3600</v>
      </c>
      <c r="D828" s="126" t="s">
        <v>2069</v>
      </c>
      <c r="E828" s="126">
        <v>110</v>
      </c>
      <c r="F828" s="126">
        <v>0</v>
      </c>
      <c r="G828" s="126">
        <v>27</v>
      </c>
      <c r="H828" s="126">
        <v>0</v>
      </c>
      <c r="I828" s="126">
        <v>24.55</v>
      </c>
      <c r="J828" s="126">
        <v>0</v>
      </c>
      <c r="K828" s="126">
        <v>0</v>
      </c>
      <c r="L828" s="126">
        <f t="shared" si="249"/>
        <v>110</v>
      </c>
      <c r="M828" s="126">
        <f t="shared" si="250"/>
        <v>27</v>
      </c>
      <c r="N828" s="171">
        <f t="shared" si="251"/>
        <v>0.2455</v>
      </c>
      <c r="O828" s="132">
        <f t="shared" si="252"/>
        <v>0</v>
      </c>
      <c r="P828" s="177">
        <f t="shared" si="253"/>
        <v>0</v>
      </c>
      <c r="Q828" s="177">
        <f t="shared" si="254"/>
        <v>0</v>
      </c>
      <c r="S828" s="233" t="b">
        <f t="shared" si="247"/>
        <v>0</v>
      </c>
    </row>
    <row r="829" spans="1:19">
      <c r="A829" s="126" t="s">
        <v>3914</v>
      </c>
      <c r="B829" s="126" t="str">
        <f t="shared" si="248"/>
        <v>D0351</v>
      </c>
      <c r="C829" s="126">
        <v>4196</v>
      </c>
      <c r="D829" s="126" t="s">
        <v>2204</v>
      </c>
      <c r="E829" s="126">
        <v>115</v>
      </c>
      <c r="F829" s="126">
        <v>0</v>
      </c>
      <c r="G829" s="126">
        <v>73</v>
      </c>
      <c r="H829" s="126">
        <v>0</v>
      </c>
      <c r="I829" s="126">
        <v>63.48</v>
      </c>
      <c r="J829" s="126">
        <v>7.7</v>
      </c>
      <c r="K829" s="126">
        <v>0</v>
      </c>
      <c r="L829" s="126">
        <f t="shared" si="249"/>
        <v>115</v>
      </c>
      <c r="M829" s="126">
        <f t="shared" si="250"/>
        <v>73</v>
      </c>
      <c r="N829" s="171">
        <f t="shared" si="251"/>
        <v>0.63480000000000003</v>
      </c>
      <c r="O829" s="132">
        <f t="shared" si="252"/>
        <v>0</v>
      </c>
      <c r="P829" s="177">
        <f t="shared" si="253"/>
        <v>7.7</v>
      </c>
      <c r="Q829" s="177">
        <f t="shared" si="254"/>
        <v>7.7</v>
      </c>
      <c r="S829" s="233" t="b">
        <f t="shared" si="247"/>
        <v>0</v>
      </c>
    </row>
    <row r="830" spans="1:19">
      <c r="A830" s="126" t="s">
        <v>3914</v>
      </c>
      <c r="B830" s="126" t="str">
        <f t="shared" si="248"/>
        <v>D0351</v>
      </c>
      <c r="C830" s="126">
        <v>4200</v>
      </c>
      <c r="D830" s="126" t="s">
        <v>2206</v>
      </c>
      <c r="E830" s="126">
        <v>106</v>
      </c>
      <c r="F830" s="126">
        <v>0</v>
      </c>
      <c r="G830" s="126">
        <v>35</v>
      </c>
      <c r="H830" s="126">
        <v>0</v>
      </c>
      <c r="I830" s="126">
        <v>33.020000000000003</v>
      </c>
      <c r="J830" s="126">
        <v>0</v>
      </c>
      <c r="K830" s="126">
        <v>0</v>
      </c>
      <c r="L830" s="126">
        <f t="shared" si="249"/>
        <v>106</v>
      </c>
      <c r="M830" s="126">
        <f t="shared" si="250"/>
        <v>35</v>
      </c>
      <c r="N830" s="171">
        <f t="shared" si="251"/>
        <v>0.33019999999999999</v>
      </c>
      <c r="O830" s="132">
        <f t="shared" si="252"/>
        <v>0</v>
      </c>
      <c r="P830" s="177">
        <f t="shared" si="253"/>
        <v>0</v>
      </c>
      <c r="Q830" s="177">
        <f t="shared" si="254"/>
        <v>0</v>
      </c>
      <c r="S830" s="233" t="b">
        <f t="shared" si="247"/>
        <v>0</v>
      </c>
    </row>
    <row r="831" spans="1:19">
      <c r="A831" s="126" t="s">
        <v>3915</v>
      </c>
      <c r="B831" s="126" t="str">
        <f t="shared" si="248"/>
        <v>D0361</v>
      </c>
      <c r="C831" s="126">
        <v>4438</v>
      </c>
      <c r="D831" s="126" t="s">
        <v>2252</v>
      </c>
      <c r="E831" s="126">
        <v>252</v>
      </c>
      <c r="F831" s="126">
        <v>0</v>
      </c>
      <c r="G831" s="126">
        <v>109</v>
      </c>
      <c r="H831" s="126">
        <v>0</v>
      </c>
      <c r="I831" s="126">
        <v>43.25</v>
      </c>
      <c r="J831" s="126">
        <v>0</v>
      </c>
      <c r="K831" s="126">
        <v>6.3</v>
      </c>
      <c r="L831" s="126">
        <f t="shared" si="249"/>
        <v>252</v>
      </c>
      <c r="M831" s="126">
        <f t="shared" si="250"/>
        <v>109</v>
      </c>
      <c r="N831" s="171">
        <f t="shared" si="251"/>
        <v>0.4325</v>
      </c>
      <c r="O831" s="132">
        <f t="shared" si="252"/>
        <v>6.3</v>
      </c>
      <c r="P831" s="177">
        <f t="shared" si="253"/>
        <v>0</v>
      </c>
      <c r="Q831" s="177">
        <f t="shared" si="254"/>
        <v>6.3</v>
      </c>
      <c r="S831" s="233" t="b">
        <f t="shared" si="247"/>
        <v>0</v>
      </c>
    </row>
    <row r="832" spans="1:19">
      <c r="A832" s="126" t="s">
        <v>3915</v>
      </c>
      <c r="B832" s="126" t="str">
        <f t="shared" si="248"/>
        <v>D0361</v>
      </c>
      <c r="C832" s="126">
        <v>4442</v>
      </c>
      <c r="D832" s="126" t="s">
        <v>2254</v>
      </c>
      <c r="E832" s="126">
        <v>318</v>
      </c>
      <c r="F832" s="126">
        <v>0</v>
      </c>
      <c r="G832" s="126">
        <v>137</v>
      </c>
      <c r="H832" s="126">
        <v>0</v>
      </c>
      <c r="I832" s="126">
        <v>43.08</v>
      </c>
      <c r="J832" s="126">
        <v>0</v>
      </c>
      <c r="K832" s="126">
        <v>7.7</v>
      </c>
      <c r="L832" s="126">
        <f t="shared" si="249"/>
        <v>318</v>
      </c>
      <c r="M832" s="126">
        <f t="shared" si="250"/>
        <v>137</v>
      </c>
      <c r="N832" s="171">
        <f t="shared" si="251"/>
        <v>0.43080000000000002</v>
      </c>
      <c r="O832" s="132">
        <f t="shared" si="252"/>
        <v>7.7</v>
      </c>
      <c r="P832" s="177">
        <f t="shared" si="253"/>
        <v>0</v>
      </c>
      <c r="Q832" s="177">
        <f t="shared" si="254"/>
        <v>7.7</v>
      </c>
      <c r="S832" s="233" t="b">
        <f t="shared" si="247"/>
        <v>0</v>
      </c>
    </row>
    <row r="833" spans="1:19">
      <c r="A833" s="126" t="s">
        <v>3915</v>
      </c>
      <c r="B833" s="126" t="str">
        <f t="shared" si="248"/>
        <v>D0361</v>
      </c>
      <c r="C833" s="126">
        <v>4458</v>
      </c>
      <c r="D833" s="126" t="s">
        <v>2256</v>
      </c>
      <c r="E833" s="126">
        <v>254</v>
      </c>
      <c r="F833" s="126">
        <v>0</v>
      </c>
      <c r="G833" s="126">
        <v>139</v>
      </c>
      <c r="H833" s="126">
        <v>0</v>
      </c>
      <c r="I833" s="126">
        <v>54.72</v>
      </c>
      <c r="J833" s="126">
        <v>14.6</v>
      </c>
      <c r="K833" s="126">
        <v>0</v>
      </c>
      <c r="L833" s="126">
        <f t="shared" si="249"/>
        <v>254</v>
      </c>
      <c r="M833" s="126">
        <f t="shared" si="250"/>
        <v>139</v>
      </c>
      <c r="N833" s="171">
        <f t="shared" si="251"/>
        <v>0.54720000000000002</v>
      </c>
      <c r="O833" s="132">
        <f t="shared" si="252"/>
        <v>0</v>
      </c>
      <c r="P833" s="177">
        <f t="shared" si="253"/>
        <v>14.6</v>
      </c>
      <c r="Q833" s="177">
        <f t="shared" si="254"/>
        <v>14.6</v>
      </c>
      <c r="S833" s="233" t="b">
        <f t="shared" si="247"/>
        <v>0</v>
      </c>
    </row>
    <row r="834" spans="1:19">
      <c r="A834" s="126" t="s">
        <v>357</v>
      </c>
      <c r="B834" s="126" t="str">
        <f t="shared" ref="B834:B859" si="255">LEFT(A834,5)</f>
        <v>D0369</v>
      </c>
      <c r="C834" s="126">
        <v>4734</v>
      </c>
      <c r="D834" s="126" t="s">
        <v>2306</v>
      </c>
      <c r="E834" s="126">
        <v>100</v>
      </c>
      <c r="F834" s="126">
        <v>0</v>
      </c>
      <c r="G834" s="126">
        <v>45</v>
      </c>
      <c r="H834" s="126">
        <v>0</v>
      </c>
      <c r="I834" s="126">
        <v>45</v>
      </c>
      <c r="J834" s="126">
        <v>0</v>
      </c>
      <c r="K834" s="126">
        <v>3.1</v>
      </c>
      <c r="L834" s="126">
        <f t="shared" si="249"/>
        <v>100</v>
      </c>
      <c r="M834" s="126">
        <f t="shared" si="250"/>
        <v>45</v>
      </c>
      <c r="N834" s="171">
        <f t="shared" si="251"/>
        <v>0.45</v>
      </c>
      <c r="O834" s="132">
        <f t="shared" si="252"/>
        <v>3.2</v>
      </c>
      <c r="P834" s="177">
        <f t="shared" si="253"/>
        <v>0</v>
      </c>
      <c r="Q834" s="177">
        <f t="shared" si="254"/>
        <v>3.2</v>
      </c>
      <c r="S834" s="233" t="b">
        <f t="shared" si="247"/>
        <v>0</v>
      </c>
    </row>
    <row r="835" spans="1:19">
      <c r="A835" s="126" t="s">
        <v>357</v>
      </c>
      <c r="B835" s="126" t="str">
        <f t="shared" si="255"/>
        <v>D0369</v>
      </c>
      <c r="C835" s="126">
        <v>4736</v>
      </c>
      <c r="D835" s="126" t="s">
        <v>2308</v>
      </c>
      <c r="E835" s="126">
        <v>127</v>
      </c>
      <c r="F835" s="126">
        <v>0</v>
      </c>
      <c r="G835" s="126">
        <v>48</v>
      </c>
      <c r="H835" s="126">
        <v>0</v>
      </c>
      <c r="I835" s="126">
        <v>37.799999999999997</v>
      </c>
      <c r="J835" s="126">
        <v>0</v>
      </c>
      <c r="K835" s="126">
        <v>0.9</v>
      </c>
      <c r="L835" s="126">
        <f t="shared" si="249"/>
        <v>127</v>
      </c>
      <c r="M835" s="126">
        <f t="shared" si="250"/>
        <v>48</v>
      </c>
      <c r="N835" s="171">
        <f t="shared" si="251"/>
        <v>0.378</v>
      </c>
      <c r="O835" s="132">
        <f t="shared" si="252"/>
        <v>0.9</v>
      </c>
      <c r="P835" s="177">
        <f t="shared" si="253"/>
        <v>0</v>
      </c>
      <c r="Q835" s="177">
        <f t="shared" si="254"/>
        <v>0.9</v>
      </c>
      <c r="S835" s="233" t="b">
        <f t="shared" si="247"/>
        <v>0</v>
      </c>
    </row>
    <row r="836" spans="1:19">
      <c r="A836" s="126" t="s">
        <v>3918</v>
      </c>
      <c r="B836" s="126" t="str">
        <f t="shared" si="255"/>
        <v>D0374</v>
      </c>
      <c r="C836" s="126">
        <v>4834</v>
      </c>
      <c r="D836" s="126" t="s">
        <v>2334</v>
      </c>
      <c r="E836" s="126">
        <v>229</v>
      </c>
      <c r="F836" s="126">
        <v>0</v>
      </c>
      <c r="G836" s="126">
        <v>125</v>
      </c>
      <c r="H836" s="126">
        <v>0</v>
      </c>
      <c r="I836" s="126">
        <v>54.59</v>
      </c>
      <c r="J836" s="126">
        <v>13.1</v>
      </c>
      <c r="K836" s="126">
        <v>0</v>
      </c>
      <c r="L836" s="126">
        <f t="shared" si="249"/>
        <v>229</v>
      </c>
      <c r="M836" s="126">
        <f t="shared" si="250"/>
        <v>125</v>
      </c>
      <c r="N836" s="171">
        <f t="shared" si="251"/>
        <v>0.54590000000000005</v>
      </c>
      <c r="O836" s="132">
        <f t="shared" si="252"/>
        <v>0</v>
      </c>
      <c r="P836" s="177">
        <f t="shared" si="253"/>
        <v>13.1</v>
      </c>
      <c r="Q836" s="177">
        <f t="shared" si="254"/>
        <v>13.1</v>
      </c>
      <c r="S836" s="233" t="b">
        <f t="shared" si="247"/>
        <v>0</v>
      </c>
    </row>
    <row r="837" spans="1:19">
      <c r="A837" s="126" t="s">
        <v>3918</v>
      </c>
      <c r="B837" s="126" t="str">
        <f t="shared" si="255"/>
        <v>D0374</v>
      </c>
      <c r="C837" s="126">
        <v>4836</v>
      </c>
      <c r="D837" s="126" t="s">
        <v>2336</v>
      </c>
      <c r="E837" s="126">
        <v>117</v>
      </c>
      <c r="F837" s="126">
        <v>0</v>
      </c>
      <c r="G837" s="126">
        <v>44</v>
      </c>
      <c r="H837" s="126">
        <v>0</v>
      </c>
      <c r="I837" s="126">
        <v>37.61</v>
      </c>
      <c r="J837" s="126">
        <v>0</v>
      </c>
      <c r="K837" s="126">
        <v>0.8</v>
      </c>
      <c r="L837" s="126">
        <f t="shared" si="249"/>
        <v>117</v>
      </c>
      <c r="M837" s="126">
        <f t="shared" si="250"/>
        <v>44</v>
      </c>
      <c r="N837" s="171">
        <f t="shared" si="251"/>
        <v>0.37609999999999999</v>
      </c>
      <c r="O837" s="132">
        <f t="shared" si="252"/>
        <v>0.8</v>
      </c>
      <c r="P837" s="177">
        <f t="shared" si="253"/>
        <v>0</v>
      </c>
      <c r="Q837" s="177">
        <f t="shared" si="254"/>
        <v>0.8</v>
      </c>
      <c r="S837" s="233" t="b">
        <f t="shared" ref="S837:S900" si="256">COUNTIF(C:C,C837)&gt;1</f>
        <v>0</v>
      </c>
    </row>
    <row r="838" spans="1:19">
      <c r="A838" s="126" t="s">
        <v>3918</v>
      </c>
      <c r="B838" s="126" t="str">
        <f t="shared" si="255"/>
        <v>D0374</v>
      </c>
      <c r="C838" s="126">
        <v>4838</v>
      </c>
      <c r="D838" s="126" t="s">
        <v>2338</v>
      </c>
      <c r="E838" s="126">
        <v>68</v>
      </c>
      <c r="F838" s="126">
        <v>0</v>
      </c>
      <c r="G838" s="126">
        <v>34</v>
      </c>
      <c r="H838" s="126">
        <v>0</v>
      </c>
      <c r="I838" s="126">
        <v>50</v>
      </c>
      <c r="J838" s="126">
        <v>3.6</v>
      </c>
      <c r="K838" s="126">
        <v>0</v>
      </c>
      <c r="L838" s="126">
        <f t="shared" si="249"/>
        <v>68</v>
      </c>
      <c r="M838" s="126">
        <f t="shared" si="250"/>
        <v>34</v>
      </c>
      <c r="N838" s="171">
        <f t="shared" si="251"/>
        <v>0.5</v>
      </c>
      <c r="O838" s="132">
        <f t="shared" si="252"/>
        <v>0</v>
      </c>
      <c r="P838" s="177">
        <f t="shared" si="253"/>
        <v>3.6</v>
      </c>
      <c r="Q838" s="177">
        <f t="shared" si="254"/>
        <v>3.6</v>
      </c>
      <c r="S838" s="233" t="b">
        <f t="shared" si="256"/>
        <v>0</v>
      </c>
    </row>
    <row r="839" spans="1:19">
      <c r="A839" s="126" t="s">
        <v>3921</v>
      </c>
      <c r="B839" s="126" t="str">
        <f t="shared" si="255"/>
        <v>D0401</v>
      </c>
      <c r="C839" s="126">
        <v>5534</v>
      </c>
      <c r="D839" s="126" t="s">
        <v>2500</v>
      </c>
      <c r="E839" s="126">
        <v>72</v>
      </c>
      <c r="F839" s="126">
        <v>0</v>
      </c>
      <c r="G839" s="126">
        <v>43</v>
      </c>
      <c r="H839" s="126">
        <v>0</v>
      </c>
      <c r="I839" s="126">
        <v>59.72</v>
      </c>
      <c r="J839" s="126">
        <v>4.5</v>
      </c>
      <c r="K839" s="126">
        <v>0</v>
      </c>
      <c r="L839" s="126">
        <f t="shared" ref="L839:L868" si="257">SUM(E839:F839)</f>
        <v>72</v>
      </c>
      <c r="M839" s="126">
        <f t="shared" ref="M839:M868" si="258">SUM(G839:H839)</f>
        <v>43</v>
      </c>
      <c r="N839" s="171">
        <f t="shared" ref="N839:N868" si="259">IF(ISERROR(M839/L839),0,M839/L839)</f>
        <v>0.59719999999999995</v>
      </c>
      <c r="O839" s="132">
        <f t="shared" ref="O839:O868" si="260">IF(AND((N839-35%)&gt;0,N839&lt;50%),M839*(N839-35%)*0.7,0)</f>
        <v>0</v>
      </c>
      <c r="P839" s="177">
        <f t="shared" ref="P839:P868" si="261">IF(N839&gt;=50%,M839*10.5%,0)</f>
        <v>4.5</v>
      </c>
      <c r="Q839" s="177">
        <f t="shared" ref="Q839:Q868" si="262">MAX(O839,P839)</f>
        <v>4.5</v>
      </c>
      <c r="S839" s="233" t="b">
        <f t="shared" si="256"/>
        <v>0</v>
      </c>
    </row>
    <row r="840" spans="1:19">
      <c r="A840" s="126" t="s">
        <v>3921</v>
      </c>
      <c r="B840" s="126" t="str">
        <f t="shared" si="255"/>
        <v>D0401</v>
      </c>
      <c r="C840" s="126">
        <v>5536</v>
      </c>
      <c r="D840" s="126" t="s">
        <v>2502</v>
      </c>
      <c r="E840" s="126">
        <v>43</v>
      </c>
      <c r="F840" s="126">
        <v>0</v>
      </c>
      <c r="G840" s="126">
        <v>24</v>
      </c>
      <c r="H840" s="126">
        <v>0</v>
      </c>
      <c r="I840" s="126">
        <v>55.81</v>
      </c>
      <c r="J840" s="126">
        <v>2.5</v>
      </c>
      <c r="K840" s="126">
        <v>0</v>
      </c>
      <c r="L840" s="126">
        <f t="shared" si="257"/>
        <v>43</v>
      </c>
      <c r="M840" s="126">
        <f t="shared" si="258"/>
        <v>24</v>
      </c>
      <c r="N840" s="171">
        <f t="shared" si="259"/>
        <v>0.55810000000000004</v>
      </c>
      <c r="O840" s="132">
        <f t="shared" si="260"/>
        <v>0</v>
      </c>
      <c r="P840" s="177">
        <f t="shared" si="261"/>
        <v>2.5</v>
      </c>
      <c r="Q840" s="177">
        <f t="shared" si="262"/>
        <v>2.5</v>
      </c>
      <c r="S840" s="233" t="b">
        <f t="shared" si="256"/>
        <v>0</v>
      </c>
    </row>
    <row r="841" spans="1:19">
      <c r="A841" s="126" t="s">
        <v>3921</v>
      </c>
      <c r="B841" s="126" t="str">
        <f t="shared" si="255"/>
        <v>D0401</v>
      </c>
      <c r="C841" s="126">
        <v>5538</v>
      </c>
      <c r="D841" s="126" t="s">
        <v>2504</v>
      </c>
      <c r="E841" s="126">
        <v>38</v>
      </c>
      <c r="F841" s="126">
        <v>0</v>
      </c>
      <c r="G841" s="126">
        <v>24</v>
      </c>
      <c r="H841" s="126">
        <v>0</v>
      </c>
      <c r="I841" s="126">
        <v>63.16</v>
      </c>
      <c r="J841" s="126">
        <v>2.5</v>
      </c>
      <c r="K841" s="126">
        <v>0</v>
      </c>
      <c r="L841" s="126">
        <f t="shared" si="257"/>
        <v>38</v>
      </c>
      <c r="M841" s="126">
        <f t="shared" si="258"/>
        <v>24</v>
      </c>
      <c r="N841" s="171">
        <f t="shared" si="259"/>
        <v>0.63160000000000005</v>
      </c>
      <c r="O841" s="132">
        <f t="shared" si="260"/>
        <v>0</v>
      </c>
      <c r="P841" s="177">
        <f t="shared" si="261"/>
        <v>2.5</v>
      </c>
      <c r="Q841" s="177">
        <f t="shared" si="262"/>
        <v>2.5</v>
      </c>
      <c r="S841" s="233" t="b">
        <f t="shared" si="256"/>
        <v>0</v>
      </c>
    </row>
    <row r="842" spans="1:19">
      <c r="A842" s="126" t="s">
        <v>3922</v>
      </c>
      <c r="B842" s="126" t="str">
        <f t="shared" si="255"/>
        <v>D0408</v>
      </c>
      <c r="C842" s="126">
        <v>5746</v>
      </c>
      <c r="D842" s="126" t="s">
        <v>2544</v>
      </c>
      <c r="E842" s="126">
        <v>106</v>
      </c>
      <c r="F842" s="126">
        <v>0</v>
      </c>
      <c r="G842" s="126">
        <v>36</v>
      </c>
      <c r="H842" s="126">
        <v>0</v>
      </c>
      <c r="I842" s="126">
        <v>33.96</v>
      </c>
      <c r="J842" s="126">
        <v>0</v>
      </c>
      <c r="K842" s="126">
        <v>0</v>
      </c>
      <c r="L842" s="126">
        <f t="shared" si="257"/>
        <v>106</v>
      </c>
      <c r="M842" s="126">
        <f t="shared" si="258"/>
        <v>36</v>
      </c>
      <c r="N842" s="171">
        <f t="shared" si="259"/>
        <v>0.33960000000000001</v>
      </c>
      <c r="O842" s="132">
        <f t="shared" si="260"/>
        <v>0</v>
      </c>
      <c r="P842" s="177">
        <f t="shared" si="261"/>
        <v>0</v>
      </c>
      <c r="Q842" s="177">
        <f t="shared" si="262"/>
        <v>0</v>
      </c>
      <c r="S842" s="233" t="b">
        <f t="shared" si="256"/>
        <v>0</v>
      </c>
    </row>
    <row r="843" spans="1:19">
      <c r="A843" s="126" t="s">
        <v>3922</v>
      </c>
      <c r="B843" s="126" t="str">
        <f t="shared" si="255"/>
        <v>D0408</v>
      </c>
      <c r="C843" s="126">
        <v>5748</v>
      </c>
      <c r="D843" s="126" t="s">
        <v>2546</v>
      </c>
      <c r="E843" s="126">
        <v>144</v>
      </c>
      <c r="F843" s="126">
        <v>0</v>
      </c>
      <c r="G843" s="126">
        <v>43</v>
      </c>
      <c r="H843" s="126">
        <v>0</v>
      </c>
      <c r="I843" s="126">
        <v>29.86</v>
      </c>
      <c r="J843" s="126">
        <v>0</v>
      </c>
      <c r="K843" s="126">
        <v>0</v>
      </c>
      <c r="L843" s="126">
        <f t="shared" si="257"/>
        <v>144</v>
      </c>
      <c r="M843" s="126">
        <f t="shared" si="258"/>
        <v>43</v>
      </c>
      <c r="N843" s="171">
        <f t="shared" si="259"/>
        <v>0.29859999999999998</v>
      </c>
      <c r="O843" s="132">
        <f t="shared" si="260"/>
        <v>0</v>
      </c>
      <c r="P843" s="177">
        <f t="shared" si="261"/>
        <v>0</v>
      </c>
      <c r="Q843" s="177">
        <f t="shared" si="262"/>
        <v>0</v>
      </c>
      <c r="S843" s="233" t="b">
        <f t="shared" si="256"/>
        <v>0</v>
      </c>
    </row>
    <row r="844" spans="1:19">
      <c r="A844" s="126" t="s">
        <v>3922</v>
      </c>
      <c r="B844" s="126" t="str">
        <f t="shared" si="255"/>
        <v>D0408</v>
      </c>
      <c r="C844" s="126">
        <v>5750</v>
      </c>
      <c r="D844" s="126" t="s">
        <v>2548</v>
      </c>
      <c r="E844" s="126">
        <v>238</v>
      </c>
      <c r="F844" s="126">
        <v>0</v>
      </c>
      <c r="G844" s="126">
        <v>78</v>
      </c>
      <c r="H844" s="126">
        <v>0</v>
      </c>
      <c r="I844" s="126">
        <v>32.770000000000003</v>
      </c>
      <c r="J844" s="126">
        <v>0</v>
      </c>
      <c r="K844" s="126">
        <v>0</v>
      </c>
      <c r="L844" s="126">
        <f t="shared" si="257"/>
        <v>238</v>
      </c>
      <c r="M844" s="126">
        <f t="shared" si="258"/>
        <v>78</v>
      </c>
      <c r="N844" s="171">
        <f t="shared" si="259"/>
        <v>0.32769999999999999</v>
      </c>
      <c r="O844" s="132">
        <f t="shared" si="260"/>
        <v>0</v>
      </c>
      <c r="P844" s="177">
        <f t="shared" si="261"/>
        <v>0</v>
      </c>
      <c r="Q844" s="177">
        <f t="shared" si="262"/>
        <v>0</v>
      </c>
      <c r="S844" s="233" t="b">
        <f t="shared" si="256"/>
        <v>0</v>
      </c>
    </row>
    <row r="845" spans="1:19">
      <c r="A845" s="126" t="s">
        <v>3924</v>
      </c>
      <c r="B845" s="126" t="str">
        <f t="shared" si="255"/>
        <v>D0440</v>
      </c>
      <c r="C845" s="126">
        <v>6586</v>
      </c>
      <c r="D845" s="126" t="s">
        <v>2717</v>
      </c>
      <c r="E845" s="126">
        <v>247</v>
      </c>
      <c r="F845" s="126">
        <v>0</v>
      </c>
      <c r="G845" s="126">
        <v>77</v>
      </c>
      <c r="H845" s="126">
        <v>0</v>
      </c>
      <c r="I845" s="126">
        <v>31.17</v>
      </c>
      <c r="J845" s="126">
        <v>0</v>
      </c>
      <c r="K845" s="126">
        <v>0</v>
      </c>
      <c r="L845" s="126">
        <f t="shared" si="257"/>
        <v>247</v>
      </c>
      <c r="M845" s="126">
        <f t="shared" si="258"/>
        <v>77</v>
      </c>
      <c r="N845" s="171">
        <f t="shared" si="259"/>
        <v>0.31169999999999998</v>
      </c>
      <c r="O845" s="132">
        <f t="shared" si="260"/>
        <v>0</v>
      </c>
      <c r="P845" s="177">
        <f t="shared" si="261"/>
        <v>0</v>
      </c>
      <c r="Q845" s="177">
        <f t="shared" si="262"/>
        <v>0</v>
      </c>
      <c r="S845" s="233" t="b">
        <f t="shared" si="256"/>
        <v>0</v>
      </c>
    </row>
    <row r="846" spans="1:19">
      <c r="A846" s="126" t="s">
        <v>3924</v>
      </c>
      <c r="B846" s="126" t="str">
        <f t="shared" si="255"/>
        <v>D0440</v>
      </c>
      <c r="C846" s="126">
        <v>6592</v>
      </c>
      <c r="D846" s="126" t="s">
        <v>2719</v>
      </c>
      <c r="E846" s="126">
        <v>314</v>
      </c>
      <c r="F846" s="126">
        <v>0</v>
      </c>
      <c r="G846" s="126">
        <v>101</v>
      </c>
      <c r="H846" s="126">
        <v>0</v>
      </c>
      <c r="I846" s="126">
        <v>32.17</v>
      </c>
      <c r="J846" s="126">
        <v>0</v>
      </c>
      <c r="K846" s="126">
        <v>0</v>
      </c>
      <c r="L846" s="126">
        <f t="shared" si="257"/>
        <v>314</v>
      </c>
      <c r="M846" s="126">
        <f t="shared" si="258"/>
        <v>101</v>
      </c>
      <c r="N846" s="171">
        <f t="shared" si="259"/>
        <v>0.32169999999999999</v>
      </c>
      <c r="O846" s="132">
        <f t="shared" si="260"/>
        <v>0</v>
      </c>
      <c r="P846" s="177">
        <f t="shared" si="261"/>
        <v>0</v>
      </c>
      <c r="Q846" s="177">
        <f t="shared" si="262"/>
        <v>0</v>
      </c>
      <c r="S846" s="233" t="b">
        <f t="shared" si="256"/>
        <v>0</v>
      </c>
    </row>
    <row r="847" spans="1:19">
      <c r="A847" s="126" t="s">
        <v>3924</v>
      </c>
      <c r="B847" s="126" t="str">
        <f t="shared" si="255"/>
        <v>D0440</v>
      </c>
      <c r="C847" s="126">
        <v>6594</v>
      </c>
      <c r="D847" s="126" t="s">
        <v>2721</v>
      </c>
      <c r="E847" s="126">
        <v>235</v>
      </c>
      <c r="F847" s="126">
        <v>0</v>
      </c>
      <c r="G847" s="126">
        <v>52</v>
      </c>
      <c r="H847" s="126">
        <v>0</v>
      </c>
      <c r="I847" s="126">
        <v>22.13</v>
      </c>
      <c r="J847" s="126">
        <v>0</v>
      </c>
      <c r="K847" s="126">
        <v>0</v>
      </c>
      <c r="L847" s="126">
        <f t="shared" si="257"/>
        <v>235</v>
      </c>
      <c r="M847" s="126">
        <f t="shared" si="258"/>
        <v>52</v>
      </c>
      <c r="N847" s="171">
        <f t="shared" si="259"/>
        <v>0.2213</v>
      </c>
      <c r="O847" s="132">
        <f t="shared" si="260"/>
        <v>0</v>
      </c>
      <c r="P847" s="177">
        <f t="shared" si="261"/>
        <v>0</v>
      </c>
      <c r="Q847" s="177">
        <f t="shared" si="262"/>
        <v>0</v>
      </c>
      <c r="S847" s="233" t="b">
        <f t="shared" si="256"/>
        <v>0</v>
      </c>
    </row>
    <row r="848" spans="1:19">
      <c r="A848" s="126" t="s">
        <v>424</v>
      </c>
      <c r="B848" s="126" t="str">
        <f t="shared" si="255"/>
        <v>D0446</v>
      </c>
      <c r="C848" s="126">
        <v>6821</v>
      </c>
      <c r="D848" s="126" t="s">
        <v>1026</v>
      </c>
      <c r="E848" s="126">
        <v>421</v>
      </c>
      <c r="F848" s="126">
        <v>0</v>
      </c>
      <c r="G848" s="126">
        <v>270</v>
      </c>
      <c r="H848" s="126">
        <v>0</v>
      </c>
      <c r="I848" s="126">
        <v>64.13</v>
      </c>
      <c r="J848" s="126">
        <v>28.3</v>
      </c>
      <c r="K848" s="126">
        <v>0</v>
      </c>
      <c r="L848" s="126">
        <f t="shared" si="257"/>
        <v>421</v>
      </c>
      <c r="M848" s="126">
        <f t="shared" si="258"/>
        <v>270</v>
      </c>
      <c r="N848" s="171">
        <f t="shared" si="259"/>
        <v>0.64129999999999998</v>
      </c>
      <c r="O848" s="132">
        <f t="shared" si="260"/>
        <v>0</v>
      </c>
      <c r="P848" s="177">
        <f t="shared" si="261"/>
        <v>28.4</v>
      </c>
      <c r="Q848" s="177">
        <f t="shared" si="262"/>
        <v>28.4</v>
      </c>
      <c r="S848" s="233" t="b">
        <f t="shared" si="256"/>
        <v>0</v>
      </c>
    </row>
    <row r="849" spans="1:19">
      <c r="A849" s="126" t="s">
        <v>424</v>
      </c>
      <c r="B849" s="126" t="str">
        <f t="shared" si="255"/>
        <v>D0446</v>
      </c>
      <c r="C849" s="126">
        <v>6825</v>
      </c>
      <c r="D849" s="126" t="s">
        <v>2759</v>
      </c>
      <c r="E849" s="126">
        <v>629</v>
      </c>
      <c r="F849" s="126">
        <v>0</v>
      </c>
      <c r="G849" s="126">
        <v>333</v>
      </c>
      <c r="H849" s="126">
        <v>0</v>
      </c>
      <c r="I849" s="126">
        <v>52.94</v>
      </c>
      <c r="J849" s="126">
        <v>35</v>
      </c>
      <c r="K849" s="126">
        <v>0</v>
      </c>
      <c r="L849" s="126">
        <f t="shared" si="257"/>
        <v>629</v>
      </c>
      <c r="M849" s="126">
        <f t="shared" si="258"/>
        <v>333</v>
      </c>
      <c r="N849" s="171">
        <f t="shared" si="259"/>
        <v>0.52939999999999998</v>
      </c>
      <c r="O849" s="132">
        <f t="shared" si="260"/>
        <v>0</v>
      </c>
      <c r="P849" s="177">
        <f t="shared" si="261"/>
        <v>35</v>
      </c>
      <c r="Q849" s="177">
        <f t="shared" si="262"/>
        <v>35</v>
      </c>
      <c r="S849" s="233" t="b">
        <f t="shared" si="256"/>
        <v>0</v>
      </c>
    </row>
    <row r="850" spans="1:19">
      <c r="A850" s="126" t="s">
        <v>424</v>
      </c>
      <c r="B850" s="126" t="str">
        <f t="shared" si="255"/>
        <v>D0446</v>
      </c>
      <c r="C850" s="126">
        <v>6828</v>
      </c>
      <c r="D850" s="126" t="s">
        <v>2761</v>
      </c>
      <c r="E850" s="126">
        <v>486</v>
      </c>
      <c r="F850" s="126">
        <v>0</v>
      </c>
      <c r="G850" s="126">
        <v>250</v>
      </c>
      <c r="H850" s="126">
        <v>0</v>
      </c>
      <c r="I850" s="126">
        <v>51.44</v>
      </c>
      <c r="J850" s="126">
        <v>26.3</v>
      </c>
      <c r="K850" s="126">
        <v>0</v>
      </c>
      <c r="L850" s="126">
        <f t="shared" si="257"/>
        <v>486</v>
      </c>
      <c r="M850" s="126">
        <f t="shared" si="258"/>
        <v>250</v>
      </c>
      <c r="N850" s="171">
        <f t="shared" si="259"/>
        <v>0.51439999999999997</v>
      </c>
      <c r="O850" s="132">
        <f t="shared" si="260"/>
        <v>0</v>
      </c>
      <c r="P850" s="177">
        <f t="shared" si="261"/>
        <v>26.3</v>
      </c>
      <c r="Q850" s="177">
        <f t="shared" si="262"/>
        <v>26.3</v>
      </c>
      <c r="S850" s="233" t="b">
        <f t="shared" si="256"/>
        <v>0</v>
      </c>
    </row>
    <row r="851" spans="1:19">
      <c r="A851" s="126" t="s">
        <v>424</v>
      </c>
      <c r="B851" s="126" t="str">
        <f t="shared" si="255"/>
        <v>D0446</v>
      </c>
      <c r="C851" s="126">
        <v>6830</v>
      </c>
      <c r="D851" s="126" t="s">
        <v>2763</v>
      </c>
      <c r="E851" s="126">
        <v>614</v>
      </c>
      <c r="F851" s="126">
        <v>0</v>
      </c>
      <c r="G851" s="126">
        <v>231</v>
      </c>
      <c r="H851" s="126">
        <v>0</v>
      </c>
      <c r="I851" s="126">
        <v>37.619999999999997</v>
      </c>
      <c r="J851" s="126">
        <v>0</v>
      </c>
      <c r="K851" s="126">
        <v>4.2</v>
      </c>
      <c r="L851" s="126">
        <f t="shared" si="257"/>
        <v>614</v>
      </c>
      <c r="M851" s="126">
        <f t="shared" si="258"/>
        <v>231</v>
      </c>
      <c r="N851" s="171">
        <f t="shared" si="259"/>
        <v>0.37619999999999998</v>
      </c>
      <c r="O851" s="132">
        <f t="shared" si="260"/>
        <v>4.2</v>
      </c>
      <c r="P851" s="177">
        <f t="shared" si="261"/>
        <v>0</v>
      </c>
      <c r="Q851" s="177">
        <f t="shared" si="262"/>
        <v>4.2</v>
      </c>
      <c r="S851" s="233" t="b">
        <f t="shared" si="256"/>
        <v>0</v>
      </c>
    </row>
    <row r="852" spans="1:19">
      <c r="A852" s="126" t="s">
        <v>429</v>
      </c>
      <c r="B852" s="126" t="str">
        <f t="shared" si="255"/>
        <v>D0452</v>
      </c>
      <c r="C852" s="126">
        <v>6982</v>
      </c>
      <c r="D852" s="126" t="s">
        <v>2792</v>
      </c>
      <c r="E852" s="126">
        <v>242</v>
      </c>
      <c r="F852" s="126">
        <v>0</v>
      </c>
      <c r="G852" s="126">
        <v>99</v>
      </c>
      <c r="H852" s="126">
        <v>0</v>
      </c>
      <c r="I852" s="126">
        <v>40.909999999999997</v>
      </c>
      <c r="J852" s="126">
        <v>0</v>
      </c>
      <c r="K852" s="126">
        <v>4.0999999999999996</v>
      </c>
      <c r="L852" s="126">
        <f t="shared" si="257"/>
        <v>242</v>
      </c>
      <c r="M852" s="126">
        <f t="shared" si="258"/>
        <v>99</v>
      </c>
      <c r="N852" s="171">
        <f t="shared" si="259"/>
        <v>0.40910000000000002</v>
      </c>
      <c r="O852" s="132">
        <f t="shared" si="260"/>
        <v>4.0999999999999996</v>
      </c>
      <c r="P852" s="177">
        <f t="shared" si="261"/>
        <v>0</v>
      </c>
      <c r="Q852" s="177">
        <f t="shared" si="262"/>
        <v>4.0999999999999996</v>
      </c>
      <c r="S852" s="233" t="b">
        <f t="shared" si="256"/>
        <v>0</v>
      </c>
    </row>
    <row r="853" spans="1:19">
      <c r="A853" s="126" t="s">
        <v>429</v>
      </c>
      <c r="B853" s="126" t="str">
        <f t="shared" si="255"/>
        <v>D0452</v>
      </c>
      <c r="C853" s="126">
        <v>6984</v>
      </c>
      <c r="D853" s="126" t="s">
        <v>2794</v>
      </c>
      <c r="E853" s="126">
        <v>196</v>
      </c>
      <c r="F853" s="126">
        <v>0</v>
      </c>
      <c r="G853" s="126">
        <v>67</v>
      </c>
      <c r="H853" s="126">
        <v>0</v>
      </c>
      <c r="I853" s="126">
        <v>34.18</v>
      </c>
      <c r="J853" s="126">
        <v>0</v>
      </c>
      <c r="K853" s="126">
        <v>0</v>
      </c>
      <c r="L853" s="126">
        <f t="shared" si="257"/>
        <v>196</v>
      </c>
      <c r="M853" s="126">
        <f t="shared" si="258"/>
        <v>67</v>
      </c>
      <c r="N853" s="171">
        <f t="shared" si="259"/>
        <v>0.34179999999999999</v>
      </c>
      <c r="O853" s="132">
        <f t="shared" si="260"/>
        <v>0</v>
      </c>
      <c r="P853" s="177">
        <f t="shared" si="261"/>
        <v>0</v>
      </c>
      <c r="Q853" s="177">
        <f t="shared" si="262"/>
        <v>0</v>
      </c>
      <c r="S853" s="233" t="b">
        <f t="shared" si="256"/>
        <v>0</v>
      </c>
    </row>
    <row r="854" spans="1:19">
      <c r="A854" s="126" t="s">
        <v>3925</v>
      </c>
      <c r="B854" s="126" t="str">
        <f t="shared" si="255"/>
        <v>D0453</v>
      </c>
      <c r="C854" s="126">
        <v>7020</v>
      </c>
      <c r="D854" s="126" t="s">
        <v>2796</v>
      </c>
      <c r="E854" s="126">
        <v>1332</v>
      </c>
      <c r="F854" s="126">
        <v>0</v>
      </c>
      <c r="G854" s="126">
        <v>412</v>
      </c>
      <c r="H854" s="126">
        <v>0</v>
      </c>
      <c r="I854" s="126">
        <v>30.93</v>
      </c>
      <c r="J854" s="126">
        <v>0</v>
      </c>
      <c r="K854" s="126">
        <v>0</v>
      </c>
      <c r="L854" s="126">
        <f t="shared" si="257"/>
        <v>1332</v>
      </c>
      <c r="M854" s="126">
        <f t="shared" si="258"/>
        <v>412</v>
      </c>
      <c r="N854" s="171">
        <f t="shared" si="259"/>
        <v>0.30930000000000002</v>
      </c>
      <c r="O854" s="132">
        <f t="shared" si="260"/>
        <v>0</v>
      </c>
      <c r="P854" s="177">
        <f t="shared" si="261"/>
        <v>0</v>
      </c>
      <c r="Q854" s="177">
        <f t="shared" si="262"/>
        <v>0</v>
      </c>
      <c r="S854" s="233" t="b">
        <f t="shared" si="256"/>
        <v>0</v>
      </c>
    </row>
    <row r="855" spans="1:19">
      <c r="A855" s="126" t="s">
        <v>3925</v>
      </c>
      <c r="B855" s="126" t="str">
        <f t="shared" si="255"/>
        <v>D0453</v>
      </c>
      <c r="C855" s="126">
        <v>7028</v>
      </c>
      <c r="D855" s="126" t="s">
        <v>2800</v>
      </c>
      <c r="E855" s="126">
        <v>567</v>
      </c>
      <c r="F855" s="126">
        <v>0</v>
      </c>
      <c r="G855" s="126">
        <v>197</v>
      </c>
      <c r="H855" s="126">
        <v>0</v>
      </c>
      <c r="I855" s="126">
        <v>34.74</v>
      </c>
      <c r="J855" s="126">
        <v>0</v>
      </c>
      <c r="K855" s="126">
        <v>0</v>
      </c>
      <c r="L855" s="126">
        <f t="shared" si="257"/>
        <v>567</v>
      </c>
      <c r="M855" s="126">
        <f t="shared" si="258"/>
        <v>197</v>
      </c>
      <c r="N855" s="171">
        <f t="shared" si="259"/>
        <v>0.34739999999999999</v>
      </c>
      <c r="O855" s="132">
        <f t="shared" si="260"/>
        <v>0</v>
      </c>
      <c r="P855" s="177">
        <f t="shared" si="261"/>
        <v>0</v>
      </c>
      <c r="Q855" s="177">
        <f t="shared" si="262"/>
        <v>0</v>
      </c>
      <c r="S855" s="233" t="b">
        <f t="shared" si="256"/>
        <v>0</v>
      </c>
    </row>
    <row r="856" spans="1:19">
      <c r="A856" s="126" t="s">
        <v>3925</v>
      </c>
      <c r="B856" s="126" t="str">
        <f t="shared" si="255"/>
        <v>D0453</v>
      </c>
      <c r="C856" s="126">
        <v>7029</v>
      </c>
      <c r="D856" s="126" t="s">
        <v>2802</v>
      </c>
      <c r="E856" s="126">
        <v>432</v>
      </c>
      <c r="F856" s="126">
        <v>0</v>
      </c>
      <c r="G856" s="126">
        <v>298</v>
      </c>
      <c r="H856" s="126">
        <v>0</v>
      </c>
      <c r="I856" s="126">
        <v>68.98</v>
      </c>
      <c r="J856" s="126">
        <v>31.3</v>
      </c>
      <c r="K856" s="126">
        <v>0</v>
      </c>
      <c r="L856" s="126">
        <f t="shared" si="257"/>
        <v>432</v>
      </c>
      <c r="M856" s="126">
        <f t="shared" si="258"/>
        <v>298</v>
      </c>
      <c r="N856" s="171">
        <f t="shared" si="259"/>
        <v>0.68979999999999997</v>
      </c>
      <c r="O856" s="132">
        <f t="shared" si="260"/>
        <v>0</v>
      </c>
      <c r="P856" s="177">
        <f t="shared" si="261"/>
        <v>31.3</v>
      </c>
      <c r="Q856" s="177">
        <f t="shared" si="262"/>
        <v>31.3</v>
      </c>
      <c r="S856" s="233" t="b">
        <f t="shared" si="256"/>
        <v>0</v>
      </c>
    </row>
    <row r="857" spans="1:19">
      <c r="A857" s="126" t="s">
        <v>3925</v>
      </c>
      <c r="B857" s="126" t="str">
        <f t="shared" si="255"/>
        <v>D0453</v>
      </c>
      <c r="C857" s="126">
        <v>7031</v>
      </c>
      <c r="D857" s="126" t="s">
        <v>2804</v>
      </c>
      <c r="E857" s="126">
        <v>431</v>
      </c>
      <c r="F857" s="126">
        <v>0</v>
      </c>
      <c r="G857" s="126">
        <v>233</v>
      </c>
      <c r="H857" s="126">
        <v>0</v>
      </c>
      <c r="I857" s="126">
        <v>54.06</v>
      </c>
      <c r="J857" s="126">
        <v>24.5</v>
      </c>
      <c r="K857" s="126">
        <v>0</v>
      </c>
      <c r="L857" s="126">
        <f t="shared" si="257"/>
        <v>431</v>
      </c>
      <c r="M857" s="126">
        <f t="shared" si="258"/>
        <v>233</v>
      </c>
      <c r="N857" s="171">
        <f t="shared" si="259"/>
        <v>0.54059999999999997</v>
      </c>
      <c r="O857" s="132">
        <f t="shared" si="260"/>
        <v>0</v>
      </c>
      <c r="P857" s="177">
        <f t="shared" si="261"/>
        <v>24.5</v>
      </c>
      <c r="Q857" s="177">
        <f t="shared" si="262"/>
        <v>24.5</v>
      </c>
      <c r="S857" s="233" t="b">
        <f t="shared" si="256"/>
        <v>0</v>
      </c>
    </row>
    <row r="858" spans="1:19">
      <c r="A858" s="126" t="s">
        <v>3925</v>
      </c>
      <c r="B858" s="126" t="str">
        <f t="shared" si="255"/>
        <v>D0453</v>
      </c>
      <c r="C858" s="126">
        <v>7033</v>
      </c>
      <c r="D858" s="126" t="s">
        <v>2806</v>
      </c>
      <c r="E858" s="126">
        <v>735</v>
      </c>
      <c r="F858" s="126">
        <v>0</v>
      </c>
      <c r="G858" s="126">
        <v>376</v>
      </c>
      <c r="H858" s="126">
        <v>0</v>
      </c>
      <c r="I858" s="126">
        <v>51.16</v>
      </c>
      <c r="J858" s="126">
        <v>39.5</v>
      </c>
      <c r="K858" s="126">
        <v>0</v>
      </c>
      <c r="L858" s="126">
        <f t="shared" si="257"/>
        <v>735</v>
      </c>
      <c r="M858" s="126">
        <f t="shared" si="258"/>
        <v>376</v>
      </c>
      <c r="N858" s="171">
        <f t="shared" si="259"/>
        <v>0.51160000000000005</v>
      </c>
      <c r="O858" s="132">
        <f t="shared" si="260"/>
        <v>0</v>
      </c>
      <c r="P858" s="177">
        <f t="shared" si="261"/>
        <v>39.5</v>
      </c>
      <c r="Q858" s="177">
        <f t="shared" si="262"/>
        <v>39.5</v>
      </c>
      <c r="S858" s="233" t="b">
        <f t="shared" si="256"/>
        <v>0</v>
      </c>
    </row>
    <row r="859" spans="1:19">
      <c r="A859" s="126" t="s">
        <v>3925</v>
      </c>
      <c r="B859" s="126" t="str">
        <f t="shared" si="255"/>
        <v>D0453</v>
      </c>
      <c r="C859" s="126">
        <v>7037</v>
      </c>
      <c r="D859" s="126" t="s">
        <v>2808</v>
      </c>
      <c r="E859" s="126">
        <v>256</v>
      </c>
      <c r="F859" s="126">
        <v>0</v>
      </c>
      <c r="G859" s="126">
        <v>171</v>
      </c>
      <c r="H859" s="126">
        <v>0</v>
      </c>
      <c r="I859" s="126">
        <v>66.8</v>
      </c>
      <c r="J859" s="126">
        <v>18</v>
      </c>
      <c r="K859" s="126">
        <v>0</v>
      </c>
      <c r="L859" s="126">
        <f t="shared" si="257"/>
        <v>256</v>
      </c>
      <c r="M859" s="126">
        <f t="shared" si="258"/>
        <v>171</v>
      </c>
      <c r="N859" s="171">
        <f t="shared" si="259"/>
        <v>0.66800000000000004</v>
      </c>
      <c r="O859" s="132">
        <f t="shared" si="260"/>
        <v>0</v>
      </c>
      <c r="P859" s="177">
        <f t="shared" si="261"/>
        <v>18</v>
      </c>
      <c r="Q859" s="177">
        <f t="shared" si="262"/>
        <v>18</v>
      </c>
      <c r="S859" s="233" t="b">
        <f t="shared" si="256"/>
        <v>0</v>
      </c>
    </row>
    <row r="860" spans="1:19">
      <c r="A860" s="126" t="s">
        <v>448</v>
      </c>
      <c r="B860" s="126" t="str">
        <f t="shared" ref="B860:B893" si="263">LEFT(A860,5)</f>
        <v>D0473</v>
      </c>
      <c r="C860" s="126">
        <v>7534</v>
      </c>
      <c r="D860" s="126" t="s">
        <v>2944</v>
      </c>
      <c r="E860" s="126">
        <v>77</v>
      </c>
      <c r="F860" s="126">
        <v>0</v>
      </c>
      <c r="G860" s="126">
        <v>15</v>
      </c>
      <c r="H860" s="126">
        <v>0</v>
      </c>
      <c r="I860" s="126">
        <v>19.48</v>
      </c>
      <c r="J860" s="126">
        <v>0</v>
      </c>
      <c r="K860" s="126">
        <v>0</v>
      </c>
      <c r="L860" s="126">
        <f t="shared" si="257"/>
        <v>77</v>
      </c>
      <c r="M860" s="126">
        <f t="shared" si="258"/>
        <v>15</v>
      </c>
      <c r="N860" s="171">
        <f t="shared" si="259"/>
        <v>0.1948</v>
      </c>
      <c r="O860" s="132">
        <f t="shared" si="260"/>
        <v>0</v>
      </c>
      <c r="P860" s="177">
        <f t="shared" si="261"/>
        <v>0</v>
      </c>
      <c r="Q860" s="177">
        <f t="shared" si="262"/>
        <v>0</v>
      </c>
      <c r="S860" s="233" t="b">
        <f t="shared" si="256"/>
        <v>0</v>
      </c>
    </row>
    <row r="861" spans="1:19">
      <c r="A861" s="126" t="s">
        <v>448</v>
      </c>
      <c r="B861" s="126" t="str">
        <f t="shared" si="263"/>
        <v>D0473</v>
      </c>
      <c r="C861" s="126">
        <v>7540</v>
      </c>
      <c r="D861" s="126" t="s">
        <v>2946</v>
      </c>
      <c r="E861" s="126">
        <v>292</v>
      </c>
      <c r="F861" s="126">
        <v>0</v>
      </c>
      <c r="G861" s="126">
        <v>82</v>
      </c>
      <c r="H861" s="126">
        <v>0</v>
      </c>
      <c r="I861" s="126">
        <v>28.08</v>
      </c>
      <c r="J861" s="126">
        <v>0</v>
      </c>
      <c r="K861" s="126">
        <v>0</v>
      </c>
      <c r="L861" s="126">
        <f t="shared" si="257"/>
        <v>292</v>
      </c>
      <c r="M861" s="126">
        <f t="shared" si="258"/>
        <v>82</v>
      </c>
      <c r="N861" s="171">
        <f t="shared" si="259"/>
        <v>0.28079999999999999</v>
      </c>
      <c r="O861" s="132">
        <f t="shared" si="260"/>
        <v>0</v>
      </c>
      <c r="P861" s="177">
        <f t="shared" si="261"/>
        <v>0</v>
      </c>
      <c r="Q861" s="177">
        <f t="shared" si="262"/>
        <v>0</v>
      </c>
      <c r="S861" s="233" t="b">
        <f t="shared" si="256"/>
        <v>0</v>
      </c>
    </row>
    <row r="862" spans="1:19">
      <c r="A862" s="126" t="s">
        <v>448</v>
      </c>
      <c r="B862" s="126" t="str">
        <f t="shared" si="263"/>
        <v>D0473</v>
      </c>
      <c r="C862" s="126">
        <v>7541</v>
      </c>
      <c r="D862" s="126" t="s">
        <v>2948</v>
      </c>
      <c r="E862" s="126">
        <v>244</v>
      </c>
      <c r="F862" s="126">
        <v>0</v>
      </c>
      <c r="G862" s="126">
        <v>89</v>
      </c>
      <c r="H862" s="126">
        <v>0</v>
      </c>
      <c r="I862" s="126">
        <v>36.479999999999997</v>
      </c>
      <c r="J862" s="126">
        <v>0</v>
      </c>
      <c r="K862" s="126">
        <v>0.9</v>
      </c>
      <c r="L862" s="126">
        <f t="shared" si="257"/>
        <v>244</v>
      </c>
      <c r="M862" s="126">
        <f t="shared" si="258"/>
        <v>89</v>
      </c>
      <c r="N862" s="171">
        <f t="shared" si="259"/>
        <v>0.36480000000000001</v>
      </c>
      <c r="O862" s="132">
        <f t="shared" si="260"/>
        <v>0.9</v>
      </c>
      <c r="P862" s="177">
        <f t="shared" si="261"/>
        <v>0</v>
      </c>
      <c r="Q862" s="177">
        <f t="shared" si="262"/>
        <v>0.9</v>
      </c>
      <c r="S862" s="233" t="b">
        <f t="shared" si="256"/>
        <v>0</v>
      </c>
    </row>
    <row r="863" spans="1:19">
      <c r="A863" s="126" t="s">
        <v>448</v>
      </c>
      <c r="B863" s="126" t="str">
        <f t="shared" si="263"/>
        <v>D0473</v>
      </c>
      <c r="C863" s="126">
        <v>7542</v>
      </c>
      <c r="D863" s="126" t="s">
        <v>2950</v>
      </c>
      <c r="E863" s="126">
        <v>322</v>
      </c>
      <c r="F863" s="126">
        <v>0</v>
      </c>
      <c r="G863" s="126">
        <v>94</v>
      </c>
      <c r="H863" s="126">
        <v>0</v>
      </c>
      <c r="I863" s="126">
        <v>29.19</v>
      </c>
      <c r="J863" s="126">
        <v>0</v>
      </c>
      <c r="K863" s="126">
        <v>0</v>
      </c>
      <c r="L863" s="126">
        <f t="shared" si="257"/>
        <v>322</v>
      </c>
      <c r="M863" s="126">
        <f t="shared" si="258"/>
        <v>94</v>
      </c>
      <c r="N863" s="171">
        <f t="shared" si="259"/>
        <v>0.29189999999999999</v>
      </c>
      <c r="O863" s="132">
        <f t="shared" si="260"/>
        <v>0</v>
      </c>
      <c r="P863" s="177">
        <f t="shared" si="261"/>
        <v>0</v>
      </c>
      <c r="Q863" s="177">
        <f t="shared" si="262"/>
        <v>0</v>
      </c>
      <c r="S863" s="233" t="b">
        <f t="shared" si="256"/>
        <v>0</v>
      </c>
    </row>
    <row r="864" spans="1:19">
      <c r="A864" s="126" t="s">
        <v>448</v>
      </c>
      <c r="B864" s="126" t="str">
        <f t="shared" si="263"/>
        <v>D0473</v>
      </c>
      <c r="C864" s="126">
        <v>7546</v>
      </c>
      <c r="D864" s="126" t="s">
        <v>1546</v>
      </c>
      <c r="E864" s="126">
        <v>77</v>
      </c>
      <c r="F864" s="126">
        <v>0</v>
      </c>
      <c r="G864" s="126">
        <v>41</v>
      </c>
      <c r="H864" s="126">
        <v>0</v>
      </c>
      <c r="I864" s="126">
        <v>53.25</v>
      </c>
      <c r="J864" s="126">
        <v>4.3</v>
      </c>
      <c r="K864" s="126">
        <v>0</v>
      </c>
      <c r="L864" s="126">
        <f t="shared" si="257"/>
        <v>77</v>
      </c>
      <c r="M864" s="126">
        <f t="shared" si="258"/>
        <v>41</v>
      </c>
      <c r="N864" s="171">
        <f t="shared" si="259"/>
        <v>0.53249999999999997</v>
      </c>
      <c r="O864" s="132">
        <f t="shared" si="260"/>
        <v>0</v>
      </c>
      <c r="P864" s="177">
        <f t="shared" si="261"/>
        <v>4.3</v>
      </c>
      <c r="Q864" s="177">
        <f t="shared" si="262"/>
        <v>4.3</v>
      </c>
      <c r="S864" s="233" t="b">
        <f t="shared" si="256"/>
        <v>0</v>
      </c>
    </row>
    <row r="865" spans="1:19">
      <c r="A865" s="126" t="s">
        <v>448</v>
      </c>
      <c r="B865" s="126" t="str">
        <f t="shared" si="263"/>
        <v>D0473</v>
      </c>
      <c r="C865" s="126">
        <v>7552</v>
      </c>
      <c r="D865" s="126" t="s">
        <v>2953</v>
      </c>
      <c r="E865" s="126">
        <v>43</v>
      </c>
      <c r="F865" s="126">
        <v>0</v>
      </c>
      <c r="G865" s="126">
        <v>14</v>
      </c>
      <c r="H865" s="126">
        <v>0</v>
      </c>
      <c r="I865" s="126">
        <v>32.56</v>
      </c>
      <c r="J865" s="126">
        <v>0</v>
      </c>
      <c r="K865" s="126">
        <v>0</v>
      </c>
      <c r="L865" s="126">
        <f t="shared" si="257"/>
        <v>43</v>
      </c>
      <c r="M865" s="126">
        <f t="shared" si="258"/>
        <v>14</v>
      </c>
      <c r="N865" s="171">
        <f t="shared" si="259"/>
        <v>0.3256</v>
      </c>
      <c r="O865" s="132">
        <f t="shared" si="260"/>
        <v>0</v>
      </c>
      <c r="P865" s="177">
        <f t="shared" si="261"/>
        <v>0</v>
      </c>
      <c r="Q865" s="177">
        <f t="shared" si="262"/>
        <v>0</v>
      </c>
      <c r="S865" s="233" t="b">
        <f t="shared" si="256"/>
        <v>0</v>
      </c>
    </row>
    <row r="866" spans="1:19">
      <c r="A866" s="126" t="s">
        <v>3927</v>
      </c>
      <c r="B866" s="126" t="str">
        <f t="shared" si="263"/>
        <v>D0479</v>
      </c>
      <c r="C866" s="126">
        <v>7692</v>
      </c>
      <c r="D866" s="126" t="s">
        <v>2994</v>
      </c>
      <c r="E866" s="126">
        <v>161</v>
      </c>
      <c r="F866" s="126">
        <v>0</v>
      </c>
      <c r="G866" s="126">
        <v>60</v>
      </c>
      <c r="H866" s="126">
        <v>0</v>
      </c>
      <c r="I866" s="126">
        <v>37.270000000000003</v>
      </c>
      <c r="J866" s="126">
        <v>0</v>
      </c>
      <c r="K866" s="126">
        <v>1</v>
      </c>
      <c r="L866" s="126">
        <f t="shared" si="257"/>
        <v>161</v>
      </c>
      <c r="M866" s="126">
        <f t="shared" si="258"/>
        <v>60</v>
      </c>
      <c r="N866" s="171">
        <f t="shared" si="259"/>
        <v>0.37269999999999998</v>
      </c>
      <c r="O866" s="132">
        <f t="shared" si="260"/>
        <v>1</v>
      </c>
      <c r="P866" s="177">
        <f t="shared" si="261"/>
        <v>0</v>
      </c>
      <c r="Q866" s="177">
        <f t="shared" si="262"/>
        <v>1</v>
      </c>
      <c r="S866" s="233" t="b">
        <f t="shared" si="256"/>
        <v>0</v>
      </c>
    </row>
    <row r="867" spans="1:19">
      <c r="A867" s="126" t="s">
        <v>3927</v>
      </c>
      <c r="B867" s="126" t="str">
        <f t="shared" si="263"/>
        <v>D0479</v>
      </c>
      <c r="C867" s="126">
        <v>7694</v>
      </c>
      <c r="D867" s="126" t="s">
        <v>2996</v>
      </c>
      <c r="E867" s="126">
        <v>57</v>
      </c>
      <c r="F867" s="126">
        <v>0</v>
      </c>
      <c r="G867" s="126">
        <v>20</v>
      </c>
      <c r="H867" s="126">
        <v>0</v>
      </c>
      <c r="I867" s="126">
        <v>35.090000000000003</v>
      </c>
      <c r="J867" s="126">
        <v>0</v>
      </c>
      <c r="K867" s="126">
        <v>0</v>
      </c>
      <c r="L867" s="126">
        <f t="shared" si="257"/>
        <v>57</v>
      </c>
      <c r="M867" s="126">
        <f t="shared" si="258"/>
        <v>20</v>
      </c>
      <c r="N867" s="171">
        <f t="shared" si="259"/>
        <v>0.35089999999999999</v>
      </c>
      <c r="O867" s="132">
        <f t="shared" si="260"/>
        <v>0</v>
      </c>
      <c r="P867" s="177">
        <f t="shared" si="261"/>
        <v>0</v>
      </c>
      <c r="Q867" s="177">
        <f t="shared" si="262"/>
        <v>0</v>
      </c>
      <c r="S867" s="233" t="b">
        <f t="shared" si="256"/>
        <v>0</v>
      </c>
    </row>
    <row r="868" spans="1:19">
      <c r="A868" s="126" t="s">
        <v>3929</v>
      </c>
      <c r="B868" s="126" t="str">
        <f t="shared" si="263"/>
        <v>D0492</v>
      </c>
      <c r="C868" s="126">
        <v>8038</v>
      </c>
      <c r="D868" s="126" t="s">
        <v>3057</v>
      </c>
      <c r="E868" s="126">
        <v>64</v>
      </c>
      <c r="F868" s="126">
        <v>0</v>
      </c>
      <c r="G868" s="126">
        <v>25</v>
      </c>
      <c r="H868" s="126">
        <v>0</v>
      </c>
      <c r="I868" s="126">
        <v>39.06</v>
      </c>
      <c r="J868" s="126">
        <v>0</v>
      </c>
      <c r="K868" s="126">
        <v>0.7</v>
      </c>
      <c r="L868" s="126">
        <f t="shared" si="257"/>
        <v>64</v>
      </c>
      <c r="M868" s="126">
        <f t="shared" si="258"/>
        <v>25</v>
      </c>
      <c r="N868" s="171">
        <f t="shared" si="259"/>
        <v>0.3906</v>
      </c>
      <c r="O868" s="132">
        <f t="shared" si="260"/>
        <v>0.7</v>
      </c>
      <c r="P868" s="177">
        <f t="shared" si="261"/>
        <v>0</v>
      </c>
      <c r="Q868" s="177">
        <f t="shared" si="262"/>
        <v>0.7</v>
      </c>
      <c r="S868" s="233" t="b">
        <f t="shared" si="256"/>
        <v>0</v>
      </c>
    </row>
    <row r="869" spans="1:19">
      <c r="A869" s="126" t="s">
        <v>3929</v>
      </c>
      <c r="B869" s="126" t="str">
        <f t="shared" si="263"/>
        <v>D0492</v>
      </c>
      <c r="C869" s="126">
        <v>8046</v>
      </c>
      <c r="D869" s="126" t="s">
        <v>3059</v>
      </c>
      <c r="E869" s="126">
        <v>58</v>
      </c>
      <c r="F869" s="126">
        <v>0</v>
      </c>
      <c r="G869" s="126">
        <v>22</v>
      </c>
      <c r="H869" s="126">
        <v>0</v>
      </c>
      <c r="I869" s="126">
        <v>37.93</v>
      </c>
      <c r="J869" s="126">
        <v>0</v>
      </c>
      <c r="K869" s="126">
        <v>0.5</v>
      </c>
      <c r="L869" s="126">
        <f t="shared" ref="L869:L893" si="264">SUM(E869:F869)</f>
        <v>58</v>
      </c>
      <c r="M869" s="126">
        <f t="shared" ref="M869:M893" si="265">SUM(G869:H869)</f>
        <v>22</v>
      </c>
      <c r="N869" s="171">
        <f t="shared" ref="N869:N893" si="266">IF(ISERROR(M869/L869),0,M869/L869)</f>
        <v>0.37930000000000003</v>
      </c>
      <c r="O869" s="132">
        <f t="shared" ref="O869:O893" si="267">IF(AND((N869-35%)&gt;0,N869&lt;50%),M869*(N869-35%)*0.7,0)</f>
        <v>0.5</v>
      </c>
      <c r="P869" s="177">
        <f t="shared" ref="P869:P893" si="268">IF(N869&gt;=50%,M869*10.5%,0)</f>
        <v>0</v>
      </c>
      <c r="Q869" s="177">
        <f t="shared" ref="Q869:Q893" si="269">MAX(O869,P869)</f>
        <v>0.5</v>
      </c>
      <c r="S869" s="233" t="b">
        <f t="shared" si="256"/>
        <v>0</v>
      </c>
    </row>
    <row r="870" spans="1:19">
      <c r="A870" s="126" t="s">
        <v>3929</v>
      </c>
      <c r="B870" s="126" t="str">
        <f t="shared" si="263"/>
        <v>D0492</v>
      </c>
      <c r="C870" s="126">
        <v>8050</v>
      </c>
      <c r="D870" s="126" t="s">
        <v>3061</v>
      </c>
      <c r="E870" s="126">
        <v>68</v>
      </c>
      <c r="F870" s="126">
        <v>0</v>
      </c>
      <c r="G870" s="126">
        <v>24</v>
      </c>
      <c r="H870" s="126">
        <v>0</v>
      </c>
      <c r="I870" s="126">
        <v>35.29</v>
      </c>
      <c r="J870" s="126">
        <v>0</v>
      </c>
      <c r="K870" s="126">
        <v>0</v>
      </c>
      <c r="L870" s="126">
        <f t="shared" si="264"/>
        <v>68</v>
      </c>
      <c r="M870" s="126">
        <f t="shared" si="265"/>
        <v>24</v>
      </c>
      <c r="N870" s="171">
        <f t="shared" si="266"/>
        <v>0.35289999999999999</v>
      </c>
      <c r="O870" s="132">
        <f t="shared" si="267"/>
        <v>0</v>
      </c>
      <c r="P870" s="177">
        <f t="shared" si="268"/>
        <v>0</v>
      </c>
      <c r="Q870" s="177">
        <f t="shared" si="269"/>
        <v>0</v>
      </c>
      <c r="S870" s="233" t="b">
        <f t="shared" si="256"/>
        <v>0</v>
      </c>
    </row>
    <row r="871" spans="1:19">
      <c r="A871" s="126" t="s">
        <v>3929</v>
      </c>
      <c r="B871" s="126" t="str">
        <f t="shared" si="263"/>
        <v>D0492</v>
      </c>
      <c r="C871" s="126">
        <v>8051</v>
      </c>
      <c r="D871" s="126" t="s">
        <v>3063</v>
      </c>
      <c r="E871" s="126">
        <v>93</v>
      </c>
      <c r="F871" s="126">
        <v>0</v>
      </c>
      <c r="G871" s="126">
        <v>26</v>
      </c>
      <c r="H871" s="126">
        <v>0</v>
      </c>
      <c r="I871" s="126">
        <v>27.96</v>
      </c>
      <c r="J871" s="126">
        <v>0</v>
      </c>
      <c r="K871" s="126">
        <v>0</v>
      </c>
      <c r="L871" s="126">
        <f t="shared" si="264"/>
        <v>93</v>
      </c>
      <c r="M871" s="126">
        <f t="shared" si="265"/>
        <v>26</v>
      </c>
      <c r="N871" s="171">
        <f t="shared" si="266"/>
        <v>0.27960000000000002</v>
      </c>
      <c r="O871" s="132">
        <f t="shared" si="267"/>
        <v>0</v>
      </c>
      <c r="P871" s="177">
        <f t="shared" si="268"/>
        <v>0</v>
      </c>
      <c r="Q871" s="177">
        <f t="shared" si="269"/>
        <v>0</v>
      </c>
      <c r="S871" s="233" t="b">
        <f t="shared" si="256"/>
        <v>0</v>
      </c>
    </row>
    <row r="872" spans="1:19">
      <c r="A872" s="126" t="s">
        <v>3930</v>
      </c>
      <c r="B872" s="126" t="str">
        <f t="shared" si="263"/>
        <v>D0494</v>
      </c>
      <c r="C872" s="126">
        <v>8110</v>
      </c>
      <c r="D872" s="126" t="s">
        <v>3071</v>
      </c>
      <c r="E872" s="126">
        <v>344</v>
      </c>
      <c r="F872" s="126">
        <v>0</v>
      </c>
      <c r="G872" s="126">
        <v>186</v>
      </c>
      <c r="H872" s="126">
        <v>0</v>
      </c>
      <c r="I872" s="126">
        <v>54.07</v>
      </c>
      <c r="J872" s="126">
        <v>19.5</v>
      </c>
      <c r="K872" s="126">
        <v>0</v>
      </c>
      <c r="L872" s="126">
        <f t="shared" si="264"/>
        <v>344</v>
      </c>
      <c r="M872" s="126">
        <f t="shared" si="265"/>
        <v>186</v>
      </c>
      <c r="N872" s="171">
        <f t="shared" si="266"/>
        <v>0.54069999999999996</v>
      </c>
      <c r="O872" s="132">
        <f t="shared" si="267"/>
        <v>0</v>
      </c>
      <c r="P872" s="177">
        <f t="shared" si="268"/>
        <v>19.5</v>
      </c>
      <c r="Q872" s="177">
        <f t="shared" si="269"/>
        <v>19.5</v>
      </c>
      <c r="S872" s="233" t="b">
        <f t="shared" si="256"/>
        <v>0</v>
      </c>
    </row>
    <row r="873" spans="1:19">
      <c r="A873" s="126" t="s">
        <v>3930</v>
      </c>
      <c r="B873" s="126" t="str">
        <f t="shared" si="263"/>
        <v>D0494</v>
      </c>
      <c r="C873" s="126">
        <v>8114</v>
      </c>
      <c r="D873" s="126" t="s">
        <v>3073</v>
      </c>
      <c r="E873" s="126">
        <v>220</v>
      </c>
      <c r="F873" s="126">
        <v>0</v>
      </c>
      <c r="G873" s="126">
        <v>114</v>
      </c>
      <c r="H873" s="126">
        <v>0</v>
      </c>
      <c r="I873" s="126">
        <v>51.82</v>
      </c>
      <c r="J873" s="126">
        <v>12</v>
      </c>
      <c r="K873" s="126">
        <v>0</v>
      </c>
      <c r="L873" s="126">
        <f t="shared" si="264"/>
        <v>220</v>
      </c>
      <c r="M873" s="126">
        <f t="shared" si="265"/>
        <v>114</v>
      </c>
      <c r="N873" s="171">
        <f t="shared" si="266"/>
        <v>0.51819999999999999</v>
      </c>
      <c r="O873" s="132">
        <f t="shared" si="267"/>
        <v>0</v>
      </c>
      <c r="P873" s="177">
        <f t="shared" si="268"/>
        <v>12</v>
      </c>
      <c r="Q873" s="177">
        <f t="shared" si="269"/>
        <v>12</v>
      </c>
      <c r="S873" s="233" t="b">
        <f t="shared" si="256"/>
        <v>0</v>
      </c>
    </row>
    <row r="874" spans="1:19">
      <c r="A874" s="126" t="s">
        <v>3931</v>
      </c>
      <c r="B874" s="126" t="str">
        <f t="shared" si="263"/>
        <v>D0497</v>
      </c>
      <c r="C874" s="126">
        <v>8189</v>
      </c>
      <c r="D874" s="126" t="s">
        <v>1219</v>
      </c>
      <c r="E874" s="126">
        <v>463</v>
      </c>
      <c r="F874" s="126">
        <v>0</v>
      </c>
      <c r="G874" s="126">
        <v>170</v>
      </c>
      <c r="H874" s="126">
        <v>0</v>
      </c>
      <c r="I874" s="126">
        <v>36.72</v>
      </c>
      <c r="J874" s="126">
        <v>0</v>
      </c>
      <c r="K874" s="126">
        <v>2</v>
      </c>
      <c r="L874" s="126">
        <f t="shared" si="264"/>
        <v>463</v>
      </c>
      <c r="M874" s="126">
        <f t="shared" si="265"/>
        <v>170</v>
      </c>
      <c r="N874" s="171">
        <f t="shared" si="266"/>
        <v>0.36720000000000003</v>
      </c>
      <c r="O874" s="132">
        <f t="shared" si="267"/>
        <v>2</v>
      </c>
      <c r="P874" s="177">
        <f t="shared" si="268"/>
        <v>0</v>
      </c>
      <c r="Q874" s="177">
        <f t="shared" si="269"/>
        <v>2</v>
      </c>
      <c r="S874" s="233" t="b">
        <f t="shared" si="256"/>
        <v>0</v>
      </c>
    </row>
    <row r="875" spans="1:19">
      <c r="A875" s="126" t="s">
        <v>3931</v>
      </c>
      <c r="B875" s="126" t="str">
        <f t="shared" si="263"/>
        <v>D0497</v>
      </c>
      <c r="C875" s="126">
        <v>8190</v>
      </c>
      <c r="D875" s="126" t="s">
        <v>3086</v>
      </c>
      <c r="E875" s="126">
        <v>386</v>
      </c>
      <c r="F875" s="126">
        <v>0</v>
      </c>
      <c r="G875" s="126">
        <v>148</v>
      </c>
      <c r="H875" s="126">
        <v>0</v>
      </c>
      <c r="I875" s="126">
        <v>38.340000000000003</v>
      </c>
      <c r="J875" s="126">
        <v>0</v>
      </c>
      <c r="K875" s="126">
        <v>3.5</v>
      </c>
      <c r="L875" s="126">
        <f t="shared" si="264"/>
        <v>386</v>
      </c>
      <c r="M875" s="126">
        <f t="shared" si="265"/>
        <v>148</v>
      </c>
      <c r="N875" s="171">
        <f t="shared" si="266"/>
        <v>0.38340000000000002</v>
      </c>
      <c r="O875" s="132">
        <f t="shared" si="267"/>
        <v>3.5</v>
      </c>
      <c r="P875" s="177">
        <f t="shared" si="268"/>
        <v>0</v>
      </c>
      <c r="Q875" s="177">
        <f t="shared" si="269"/>
        <v>3.5</v>
      </c>
      <c r="S875" s="233" t="b">
        <f t="shared" si="256"/>
        <v>0</v>
      </c>
    </row>
    <row r="876" spans="1:19">
      <c r="A876" s="126" t="s">
        <v>3931</v>
      </c>
      <c r="B876" s="126" t="str">
        <f t="shared" si="263"/>
        <v>D0497</v>
      </c>
      <c r="C876" s="126">
        <v>8191</v>
      </c>
      <c r="D876" s="126" t="s">
        <v>3088</v>
      </c>
      <c r="E876" s="126">
        <v>291</v>
      </c>
      <c r="F876" s="126">
        <v>0</v>
      </c>
      <c r="G876" s="126">
        <v>86</v>
      </c>
      <c r="H876" s="126">
        <v>0</v>
      </c>
      <c r="I876" s="126">
        <v>29.55</v>
      </c>
      <c r="J876" s="126">
        <v>0</v>
      </c>
      <c r="K876" s="126">
        <v>0</v>
      </c>
      <c r="L876" s="126">
        <f t="shared" si="264"/>
        <v>291</v>
      </c>
      <c r="M876" s="126">
        <f t="shared" si="265"/>
        <v>86</v>
      </c>
      <c r="N876" s="171">
        <f t="shared" si="266"/>
        <v>0.29549999999999998</v>
      </c>
      <c r="O876" s="132">
        <f t="shared" si="267"/>
        <v>0</v>
      </c>
      <c r="P876" s="177">
        <f t="shared" si="268"/>
        <v>0</v>
      </c>
      <c r="Q876" s="177">
        <f t="shared" si="269"/>
        <v>0</v>
      </c>
      <c r="S876" s="233" t="b">
        <f t="shared" si="256"/>
        <v>0</v>
      </c>
    </row>
    <row r="877" spans="1:19">
      <c r="A877" s="126" t="s">
        <v>3931</v>
      </c>
      <c r="B877" s="126" t="str">
        <f t="shared" si="263"/>
        <v>D0497</v>
      </c>
      <c r="C877" s="126">
        <v>8194</v>
      </c>
      <c r="D877" s="126" t="s">
        <v>3090</v>
      </c>
      <c r="E877" s="126">
        <v>230</v>
      </c>
      <c r="F877" s="126">
        <v>0</v>
      </c>
      <c r="G877" s="126">
        <v>86</v>
      </c>
      <c r="H877" s="126">
        <v>0</v>
      </c>
      <c r="I877" s="126">
        <v>37.39</v>
      </c>
      <c r="J877" s="126">
        <v>0</v>
      </c>
      <c r="K877" s="126">
        <v>1.4</v>
      </c>
      <c r="L877" s="126">
        <f t="shared" si="264"/>
        <v>230</v>
      </c>
      <c r="M877" s="126">
        <f t="shared" si="265"/>
        <v>86</v>
      </c>
      <c r="N877" s="171">
        <f t="shared" si="266"/>
        <v>0.37390000000000001</v>
      </c>
      <c r="O877" s="132">
        <f t="shared" si="267"/>
        <v>1.4</v>
      </c>
      <c r="P877" s="177">
        <f t="shared" si="268"/>
        <v>0</v>
      </c>
      <c r="Q877" s="177">
        <f t="shared" si="269"/>
        <v>1.4</v>
      </c>
      <c r="S877" s="233" t="b">
        <f t="shared" si="256"/>
        <v>0</v>
      </c>
    </row>
    <row r="878" spans="1:19">
      <c r="A878" s="126" t="s">
        <v>3931</v>
      </c>
      <c r="B878" s="126" t="str">
        <f t="shared" si="263"/>
        <v>D0497</v>
      </c>
      <c r="C878" s="126">
        <v>8195</v>
      </c>
      <c r="D878" s="126" t="s">
        <v>1073</v>
      </c>
      <c r="E878" s="126">
        <v>492</v>
      </c>
      <c r="F878" s="126">
        <v>0</v>
      </c>
      <c r="G878" s="126">
        <v>84</v>
      </c>
      <c r="H878" s="126">
        <v>0</v>
      </c>
      <c r="I878" s="126">
        <v>17.07</v>
      </c>
      <c r="J878" s="126">
        <v>0</v>
      </c>
      <c r="K878" s="126">
        <v>0</v>
      </c>
      <c r="L878" s="126">
        <f t="shared" si="264"/>
        <v>492</v>
      </c>
      <c r="M878" s="126">
        <f t="shared" si="265"/>
        <v>84</v>
      </c>
      <c r="N878" s="171">
        <f t="shared" si="266"/>
        <v>0.17069999999999999</v>
      </c>
      <c r="O878" s="132">
        <f t="shared" si="267"/>
        <v>0</v>
      </c>
      <c r="P878" s="177">
        <f t="shared" si="268"/>
        <v>0</v>
      </c>
      <c r="Q878" s="177">
        <f t="shared" si="269"/>
        <v>0</v>
      </c>
      <c r="S878" s="233" t="b">
        <f t="shared" si="256"/>
        <v>0</v>
      </c>
    </row>
    <row r="879" spans="1:19">
      <c r="A879" s="126" t="s">
        <v>3931</v>
      </c>
      <c r="B879" s="126" t="str">
        <f t="shared" si="263"/>
        <v>D0497</v>
      </c>
      <c r="C879" s="126">
        <v>8198</v>
      </c>
      <c r="D879" s="126" t="s">
        <v>3093</v>
      </c>
      <c r="E879" s="126">
        <v>332</v>
      </c>
      <c r="F879" s="126">
        <v>0</v>
      </c>
      <c r="G879" s="126">
        <v>158</v>
      </c>
      <c r="H879" s="126">
        <v>0</v>
      </c>
      <c r="I879" s="126">
        <v>47.59</v>
      </c>
      <c r="J879" s="126">
        <v>0</v>
      </c>
      <c r="K879" s="126">
        <v>13.9</v>
      </c>
      <c r="L879" s="126">
        <f t="shared" si="264"/>
        <v>332</v>
      </c>
      <c r="M879" s="126">
        <f t="shared" si="265"/>
        <v>158</v>
      </c>
      <c r="N879" s="171">
        <f t="shared" si="266"/>
        <v>0.47589999999999999</v>
      </c>
      <c r="O879" s="132">
        <f t="shared" si="267"/>
        <v>13.9</v>
      </c>
      <c r="P879" s="177">
        <f t="shared" si="268"/>
        <v>0</v>
      </c>
      <c r="Q879" s="177">
        <f t="shared" si="269"/>
        <v>13.9</v>
      </c>
      <c r="S879" s="233" t="b">
        <f t="shared" si="256"/>
        <v>0</v>
      </c>
    </row>
    <row r="880" spans="1:19">
      <c r="A880" s="126" t="s">
        <v>3931</v>
      </c>
      <c r="B880" s="126" t="str">
        <f t="shared" si="263"/>
        <v>D0497</v>
      </c>
      <c r="C880" s="126">
        <v>8200</v>
      </c>
      <c r="D880" s="126" t="s">
        <v>2215</v>
      </c>
      <c r="E880" s="126">
        <v>365</v>
      </c>
      <c r="F880" s="126">
        <v>0</v>
      </c>
      <c r="G880" s="126">
        <v>202</v>
      </c>
      <c r="H880" s="126">
        <v>0</v>
      </c>
      <c r="I880" s="126">
        <v>55.34</v>
      </c>
      <c r="J880" s="126">
        <v>21.2</v>
      </c>
      <c r="K880" s="126">
        <v>0</v>
      </c>
      <c r="L880" s="126">
        <f t="shared" si="264"/>
        <v>365</v>
      </c>
      <c r="M880" s="126">
        <f t="shared" si="265"/>
        <v>202</v>
      </c>
      <c r="N880" s="171">
        <f t="shared" si="266"/>
        <v>0.5534</v>
      </c>
      <c r="O880" s="132">
        <f t="shared" si="267"/>
        <v>0</v>
      </c>
      <c r="P880" s="177">
        <f t="shared" si="268"/>
        <v>21.2</v>
      </c>
      <c r="Q880" s="177">
        <f t="shared" si="269"/>
        <v>21.2</v>
      </c>
      <c r="S880" s="233" t="b">
        <f t="shared" si="256"/>
        <v>0</v>
      </c>
    </row>
    <row r="881" spans="1:19">
      <c r="A881" s="126" t="s">
        <v>3931</v>
      </c>
      <c r="B881" s="126" t="str">
        <f t="shared" si="263"/>
        <v>D0497</v>
      </c>
      <c r="C881" s="126">
        <v>8202</v>
      </c>
      <c r="D881" s="126" t="s">
        <v>3096</v>
      </c>
      <c r="E881" s="126">
        <v>475</v>
      </c>
      <c r="F881" s="126">
        <v>0</v>
      </c>
      <c r="G881" s="126">
        <v>69</v>
      </c>
      <c r="H881" s="126">
        <v>0</v>
      </c>
      <c r="I881" s="126">
        <v>14.53</v>
      </c>
      <c r="J881" s="126">
        <v>0</v>
      </c>
      <c r="K881" s="126">
        <v>0</v>
      </c>
      <c r="L881" s="126">
        <f t="shared" si="264"/>
        <v>475</v>
      </c>
      <c r="M881" s="126">
        <f t="shared" si="265"/>
        <v>69</v>
      </c>
      <c r="N881" s="171">
        <f t="shared" si="266"/>
        <v>0.14530000000000001</v>
      </c>
      <c r="O881" s="132">
        <f t="shared" si="267"/>
        <v>0</v>
      </c>
      <c r="P881" s="177">
        <f t="shared" si="268"/>
        <v>0</v>
      </c>
      <c r="Q881" s="177">
        <f t="shared" si="269"/>
        <v>0</v>
      </c>
      <c r="S881" s="233" t="b">
        <f t="shared" si="256"/>
        <v>0</v>
      </c>
    </row>
    <row r="882" spans="1:19">
      <c r="A882" s="126" t="s">
        <v>3931</v>
      </c>
      <c r="B882" s="126" t="str">
        <f t="shared" si="263"/>
        <v>D0497</v>
      </c>
      <c r="C882" s="126">
        <v>8204</v>
      </c>
      <c r="D882" s="126" t="s">
        <v>3098</v>
      </c>
      <c r="E882" s="126">
        <v>246</v>
      </c>
      <c r="F882" s="126">
        <v>0</v>
      </c>
      <c r="G882" s="126">
        <v>127</v>
      </c>
      <c r="H882" s="126">
        <v>0</v>
      </c>
      <c r="I882" s="126">
        <v>51.63</v>
      </c>
      <c r="J882" s="126">
        <v>13.3</v>
      </c>
      <c r="K882" s="126">
        <v>0</v>
      </c>
      <c r="L882" s="126">
        <f t="shared" si="264"/>
        <v>246</v>
      </c>
      <c r="M882" s="126">
        <f t="shared" si="265"/>
        <v>127</v>
      </c>
      <c r="N882" s="171">
        <f t="shared" si="266"/>
        <v>0.51629999999999998</v>
      </c>
      <c r="O882" s="132">
        <f t="shared" si="267"/>
        <v>0</v>
      </c>
      <c r="P882" s="177">
        <f t="shared" si="268"/>
        <v>13.3</v>
      </c>
      <c r="Q882" s="177">
        <f t="shared" si="269"/>
        <v>13.3</v>
      </c>
      <c r="S882" s="233" t="b">
        <f t="shared" si="256"/>
        <v>0</v>
      </c>
    </row>
    <row r="883" spans="1:19">
      <c r="A883" s="126" t="s">
        <v>3931</v>
      </c>
      <c r="B883" s="126" t="str">
        <f t="shared" si="263"/>
        <v>D0497</v>
      </c>
      <c r="C883" s="126">
        <v>8206</v>
      </c>
      <c r="D883" s="126" t="s">
        <v>3100</v>
      </c>
      <c r="E883" s="126">
        <v>234</v>
      </c>
      <c r="F883" s="126">
        <v>0</v>
      </c>
      <c r="G883" s="126">
        <v>119</v>
      </c>
      <c r="H883" s="126">
        <v>0</v>
      </c>
      <c r="I883" s="126">
        <v>50.85</v>
      </c>
      <c r="J883" s="126">
        <v>12.5</v>
      </c>
      <c r="K883" s="126">
        <v>0</v>
      </c>
      <c r="L883" s="126">
        <f t="shared" si="264"/>
        <v>234</v>
      </c>
      <c r="M883" s="126">
        <f t="shared" si="265"/>
        <v>119</v>
      </c>
      <c r="N883" s="171">
        <f t="shared" si="266"/>
        <v>0.50849999999999995</v>
      </c>
      <c r="O883" s="132">
        <f t="shared" si="267"/>
        <v>0</v>
      </c>
      <c r="P883" s="177">
        <f t="shared" si="268"/>
        <v>12.5</v>
      </c>
      <c r="Q883" s="177">
        <f t="shared" si="269"/>
        <v>12.5</v>
      </c>
      <c r="S883" s="233" t="b">
        <f t="shared" si="256"/>
        <v>0</v>
      </c>
    </row>
    <row r="884" spans="1:19">
      <c r="A884" s="126" t="s">
        <v>3931</v>
      </c>
      <c r="B884" s="126" t="str">
        <f t="shared" si="263"/>
        <v>D0497</v>
      </c>
      <c r="C884" s="126">
        <v>8208</v>
      </c>
      <c r="D884" s="126" t="s">
        <v>3102</v>
      </c>
      <c r="E884" s="126">
        <v>394</v>
      </c>
      <c r="F884" s="126">
        <v>0</v>
      </c>
      <c r="G884" s="126">
        <v>211</v>
      </c>
      <c r="H884" s="126">
        <v>0</v>
      </c>
      <c r="I884" s="126">
        <v>53.55</v>
      </c>
      <c r="J884" s="126">
        <v>22.2</v>
      </c>
      <c r="K884" s="126">
        <v>0</v>
      </c>
      <c r="L884" s="126">
        <f t="shared" si="264"/>
        <v>394</v>
      </c>
      <c r="M884" s="126">
        <f t="shared" si="265"/>
        <v>211</v>
      </c>
      <c r="N884" s="171">
        <f t="shared" si="266"/>
        <v>0.53549999999999998</v>
      </c>
      <c r="O884" s="132">
        <f t="shared" si="267"/>
        <v>0</v>
      </c>
      <c r="P884" s="177">
        <f t="shared" si="268"/>
        <v>22.2</v>
      </c>
      <c r="Q884" s="177">
        <f t="shared" si="269"/>
        <v>22.2</v>
      </c>
      <c r="S884" s="233" t="b">
        <f t="shared" si="256"/>
        <v>0</v>
      </c>
    </row>
    <row r="885" spans="1:19">
      <c r="A885" s="126" t="s">
        <v>3931</v>
      </c>
      <c r="B885" s="126" t="str">
        <f t="shared" si="263"/>
        <v>D0497</v>
      </c>
      <c r="C885" s="126">
        <v>8210</v>
      </c>
      <c r="D885" s="126" t="s">
        <v>3104</v>
      </c>
      <c r="E885" s="126">
        <v>387</v>
      </c>
      <c r="F885" s="126">
        <v>0</v>
      </c>
      <c r="G885" s="126">
        <v>125</v>
      </c>
      <c r="H885" s="126">
        <v>0</v>
      </c>
      <c r="I885" s="126">
        <v>32.299999999999997</v>
      </c>
      <c r="J885" s="126">
        <v>0</v>
      </c>
      <c r="K885" s="126">
        <v>0</v>
      </c>
      <c r="L885" s="126">
        <f t="shared" si="264"/>
        <v>387</v>
      </c>
      <c r="M885" s="126">
        <f t="shared" si="265"/>
        <v>125</v>
      </c>
      <c r="N885" s="171">
        <f t="shared" si="266"/>
        <v>0.32300000000000001</v>
      </c>
      <c r="O885" s="132">
        <f t="shared" si="267"/>
        <v>0</v>
      </c>
      <c r="P885" s="177">
        <f t="shared" si="268"/>
        <v>0</v>
      </c>
      <c r="Q885" s="177">
        <f t="shared" si="269"/>
        <v>0</v>
      </c>
      <c r="S885" s="233" t="b">
        <f t="shared" si="256"/>
        <v>0</v>
      </c>
    </row>
    <row r="886" spans="1:19">
      <c r="A886" s="126" t="s">
        <v>3931</v>
      </c>
      <c r="B886" s="126" t="str">
        <f t="shared" si="263"/>
        <v>D0497</v>
      </c>
      <c r="C886" s="126">
        <v>8212</v>
      </c>
      <c r="D886" s="126" t="s">
        <v>3106</v>
      </c>
      <c r="E886" s="126">
        <v>208</v>
      </c>
      <c r="F886" s="126">
        <v>0</v>
      </c>
      <c r="G886" s="126">
        <v>85</v>
      </c>
      <c r="H886" s="126">
        <v>0</v>
      </c>
      <c r="I886" s="126">
        <v>40.869999999999997</v>
      </c>
      <c r="J886" s="126">
        <v>0</v>
      </c>
      <c r="K886" s="126">
        <v>3.5</v>
      </c>
      <c r="L886" s="126">
        <f t="shared" si="264"/>
        <v>208</v>
      </c>
      <c r="M886" s="126">
        <f t="shared" si="265"/>
        <v>85</v>
      </c>
      <c r="N886" s="171">
        <f t="shared" si="266"/>
        <v>0.40870000000000001</v>
      </c>
      <c r="O886" s="132">
        <f t="shared" si="267"/>
        <v>3.5</v>
      </c>
      <c r="P886" s="177">
        <f t="shared" si="268"/>
        <v>0</v>
      </c>
      <c r="Q886" s="177">
        <f t="shared" si="269"/>
        <v>3.5</v>
      </c>
      <c r="S886" s="233" t="b">
        <f t="shared" si="256"/>
        <v>0</v>
      </c>
    </row>
    <row r="887" spans="1:19">
      <c r="A887" s="126" t="s">
        <v>3931</v>
      </c>
      <c r="B887" s="126" t="str">
        <f t="shared" si="263"/>
        <v>D0497</v>
      </c>
      <c r="C887" s="126">
        <v>8213</v>
      </c>
      <c r="D887" s="126" t="s">
        <v>3108</v>
      </c>
      <c r="E887" s="126">
        <v>521</v>
      </c>
      <c r="F887" s="126">
        <v>0</v>
      </c>
      <c r="G887" s="126">
        <v>46</v>
      </c>
      <c r="H887" s="126">
        <v>0</v>
      </c>
      <c r="I887" s="126">
        <v>8.83</v>
      </c>
      <c r="J887" s="126">
        <v>0</v>
      </c>
      <c r="K887" s="126">
        <v>0</v>
      </c>
      <c r="L887" s="126">
        <f t="shared" si="264"/>
        <v>521</v>
      </c>
      <c r="M887" s="126">
        <f t="shared" si="265"/>
        <v>46</v>
      </c>
      <c r="N887" s="171">
        <f t="shared" si="266"/>
        <v>8.8300000000000003E-2</v>
      </c>
      <c r="O887" s="132">
        <f t="shared" si="267"/>
        <v>0</v>
      </c>
      <c r="P887" s="177">
        <f t="shared" si="268"/>
        <v>0</v>
      </c>
      <c r="Q887" s="177">
        <f t="shared" si="269"/>
        <v>0</v>
      </c>
      <c r="S887" s="233" t="b">
        <f t="shared" si="256"/>
        <v>0</v>
      </c>
    </row>
    <row r="888" spans="1:19">
      <c r="A888" s="126" t="s">
        <v>3931</v>
      </c>
      <c r="B888" s="126" t="str">
        <f t="shared" si="263"/>
        <v>D0497</v>
      </c>
      <c r="C888" s="126">
        <v>8214</v>
      </c>
      <c r="D888" s="126" t="s">
        <v>3110</v>
      </c>
      <c r="E888" s="126">
        <v>478</v>
      </c>
      <c r="F888" s="126">
        <v>0</v>
      </c>
      <c r="G888" s="126">
        <v>222</v>
      </c>
      <c r="H888" s="126">
        <v>0</v>
      </c>
      <c r="I888" s="126">
        <v>46.44</v>
      </c>
      <c r="J888" s="126">
        <v>0</v>
      </c>
      <c r="K888" s="126">
        <v>17.8</v>
      </c>
      <c r="L888" s="126">
        <f t="shared" si="264"/>
        <v>478</v>
      </c>
      <c r="M888" s="126">
        <f t="shared" si="265"/>
        <v>222</v>
      </c>
      <c r="N888" s="171">
        <f t="shared" si="266"/>
        <v>0.46439999999999998</v>
      </c>
      <c r="O888" s="132">
        <f t="shared" si="267"/>
        <v>17.8</v>
      </c>
      <c r="P888" s="177">
        <f t="shared" si="268"/>
        <v>0</v>
      </c>
      <c r="Q888" s="177">
        <f t="shared" si="269"/>
        <v>17.8</v>
      </c>
      <c r="S888" s="233" t="b">
        <f t="shared" si="256"/>
        <v>0</v>
      </c>
    </row>
    <row r="889" spans="1:19">
      <c r="A889" s="126" t="s">
        <v>3931</v>
      </c>
      <c r="B889" s="126" t="str">
        <f t="shared" si="263"/>
        <v>D0497</v>
      </c>
      <c r="C889" s="126">
        <v>8215</v>
      </c>
      <c r="D889" s="126" t="s">
        <v>3613</v>
      </c>
      <c r="E889" s="126">
        <v>602</v>
      </c>
      <c r="F889" s="126">
        <v>0</v>
      </c>
      <c r="G889" s="126">
        <v>278</v>
      </c>
      <c r="H889" s="126">
        <v>0</v>
      </c>
      <c r="I889" s="126">
        <v>46.18</v>
      </c>
      <c r="J889" s="126">
        <v>0</v>
      </c>
      <c r="K889" s="126">
        <v>21.8</v>
      </c>
      <c r="L889" s="126">
        <f t="shared" si="264"/>
        <v>602</v>
      </c>
      <c r="M889" s="126">
        <f t="shared" si="265"/>
        <v>278</v>
      </c>
      <c r="N889" s="171">
        <f t="shared" si="266"/>
        <v>0.46179999999999999</v>
      </c>
      <c r="O889" s="132">
        <f t="shared" si="267"/>
        <v>21.8</v>
      </c>
      <c r="P889" s="177">
        <f t="shared" si="268"/>
        <v>0</v>
      </c>
      <c r="Q889" s="177">
        <f t="shared" si="269"/>
        <v>21.8</v>
      </c>
      <c r="S889" s="233" t="b">
        <f t="shared" si="256"/>
        <v>0</v>
      </c>
    </row>
    <row r="890" spans="1:19">
      <c r="A890" s="126" t="s">
        <v>3931</v>
      </c>
      <c r="B890" s="126" t="str">
        <f t="shared" si="263"/>
        <v>D0497</v>
      </c>
      <c r="C890" s="126">
        <v>8216</v>
      </c>
      <c r="D890" s="126" t="s">
        <v>3113</v>
      </c>
      <c r="E890" s="126">
        <v>642</v>
      </c>
      <c r="F890" s="126">
        <v>0</v>
      </c>
      <c r="G890" s="126">
        <v>167</v>
      </c>
      <c r="H890" s="126">
        <v>0</v>
      </c>
      <c r="I890" s="126">
        <v>26.01</v>
      </c>
      <c r="J890" s="126">
        <v>0</v>
      </c>
      <c r="K890" s="126">
        <v>0</v>
      </c>
      <c r="L890" s="126">
        <f t="shared" si="264"/>
        <v>642</v>
      </c>
      <c r="M890" s="126">
        <f t="shared" si="265"/>
        <v>167</v>
      </c>
      <c r="N890" s="171">
        <f t="shared" si="266"/>
        <v>0.2601</v>
      </c>
      <c r="O890" s="132">
        <f t="shared" si="267"/>
        <v>0</v>
      </c>
      <c r="P890" s="177">
        <f t="shared" si="268"/>
        <v>0</v>
      </c>
      <c r="Q890" s="177">
        <f t="shared" si="269"/>
        <v>0</v>
      </c>
      <c r="S890" s="233" t="b">
        <f t="shared" si="256"/>
        <v>0</v>
      </c>
    </row>
    <row r="891" spans="1:19">
      <c r="A891" s="126" t="s">
        <v>3931</v>
      </c>
      <c r="B891" s="126" t="str">
        <f t="shared" si="263"/>
        <v>D0497</v>
      </c>
      <c r="C891" s="126">
        <v>8217</v>
      </c>
      <c r="D891" s="126" t="s">
        <v>3115</v>
      </c>
      <c r="E891" s="126">
        <v>667</v>
      </c>
      <c r="F891" s="126">
        <v>0</v>
      </c>
      <c r="G891" s="126">
        <v>126</v>
      </c>
      <c r="H891" s="126">
        <v>0</v>
      </c>
      <c r="I891" s="126">
        <v>18.89</v>
      </c>
      <c r="J891" s="126">
        <v>0</v>
      </c>
      <c r="K891" s="126">
        <v>0</v>
      </c>
      <c r="L891" s="126">
        <f t="shared" si="264"/>
        <v>667</v>
      </c>
      <c r="M891" s="126">
        <f t="shared" si="265"/>
        <v>126</v>
      </c>
      <c r="N891" s="171">
        <f t="shared" si="266"/>
        <v>0.18890000000000001</v>
      </c>
      <c r="O891" s="132">
        <f t="shared" si="267"/>
        <v>0</v>
      </c>
      <c r="P891" s="177">
        <f t="shared" si="268"/>
        <v>0</v>
      </c>
      <c r="Q891" s="177">
        <f t="shared" si="269"/>
        <v>0</v>
      </c>
      <c r="S891" s="233" t="b">
        <f t="shared" si="256"/>
        <v>0</v>
      </c>
    </row>
    <row r="892" spans="1:19">
      <c r="A892" s="126" t="s">
        <v>3931</v>
      </c>
      <c r="B892" s="126" t="str">
        <f t="shared" si="263"/>
        <v>D0497</v>
      </c>
      <c r="C892" s="126">
        <v>8218</v>
      </c>
      <c r="D892" s="126" t="s">
        <v>3117</v>
      </c>
      <c r="E892" s="126">
        <v>1574</v>
      </c>
      <c r="F892" s="126">
        <v>0</v>
      </c>
      <c r="G892" s="126">
        <v>495</v>
      </c>
      <c r="H892" s="126">
        <v>0</v>
      </c>
      <c r="I892" s="126">
        <v>31.45</v>
      </c>
      <c r="J892" s="126">
        <v>0</v>
      </c>
      <c r="K892" s="126">
        <v>0</v>
      </c>
      <c r="L892" s="126">
        <f t="shared" si="264"/>
        <v>1574</v>
      </c>
      <c r="M892" s="126">
        <f t="shared" si="265"/>
        <v>495</v>
      </c>
      <c r="N892" s="171">
        <f t="shared" si="266"/>
        <v>0.3145</v>
      </c>
      <c r="O892" s="132">
        <f t="shared" si="267"/>
        <v>0</v>
      </c>
      <c r="P892" s="177">
        <f t="shared" si="268"/>
        <v>0</v>
      </c>
      <c r="Q892" s="177">
        <f t="shared" si="269"/>
        <v>0</v>
      </c>
      <c r="S892" s="233" t="b">
        <f t="shared" si="256"/>
        <v>0</v>
      </c>
    </row>
    <row r="893" spans="1:19">
      <c r="A893" s="126" t="s">
        <v>3931</v>
      </c>
      <c r="B893" s="126" t="str">
        <f t="shared" si="263"/>
        <v>D0497</v>
      </c>
      <c r="C893" s="126">
        <v>8224</v>
      </c>
      <c r="D893" s="126" t="s">
        <v>3119</v>
      </c>
      <c r="E893" s="126">
        <v>1851</v>
      </c>
      <c r="F893" s="126">
        <v>0</v>
      </c>
      <c r="G893" s="126">
        <v>366</v>
      </c>
      <c r="H893" s="126">
        <v>0</v>
      </c>
      <c r="I893" s="126">
        <v>19.77</v>
      </c>
      <c r="J893" s="126">
        <v>0</v>
      </c>
      <c r="K893" s="126">
        <v>0</v>
      </c>
      <c r="L893" s="126">
        <f t="shared" si="264"/>
        <v>1851</v>
      </c>
      <c r="M893" s="126">
        <f t="shared" si="265"/>
        <v>366</v>
      </c>
      <c r="N893" s="171">
        <f t="shared" si="266"/>
        <v>0.19769999999999999</v>
      </c>
      <c r="O893" s="132">
        <f t="shared" si="267"/>
        <v>0</v>
      </c>
      <c r="P893" s="177">
        <f t="shared" si="268"/>
        <v>0</v>
      </c>
      <c r="Q893" s="177">
        <f t="shared" si="269"/>
        <v>0</v>
      </c>
      <c r="S893" s="233" t="b">
        <f t="shared" si="256"/>
        <v>0</v>
      </c>
    </row>
    <row r="894" spans="1:19">
      <c r="A894" s="126" t="s">
        <v>3933</v>
      </c>
      <c r="B894" s="126" t="str">
        <f t="shared" ref="B894:B903" si="270">LEFT(A894,5)</f>
        <v>D0502</v>
      </c>
      <c r="C894" s="126">
        <v>8580</v>
      </c>
      <c r="D894" s="126" t="s">
        <v>3277</v>
      </c>
      <c r="E894" s="126">
        <v>68</v>
      </c>
      <c r="F894" s="126">
        <v>0</v>
      </c>
      <c r="G894" s="126">
        <v>36</v>
      </c>
      <c r="H894" s="126">
        <v>0</v>
      </c>
      <c r="I894" s="126">
        <v>52.94</v>
      </c>
      <c r="J894" s="126">
        <v>3.8</v>
      </c>
      <c r="K894" s="126">
        <v>0</v>
      </c>
      <c r="L894" s="126">
        <f t="shared" ref="L894:L899" si="271">SUM(E894:F894)</f>
        <v>68</v>
      </c>
      <c r="M894" s="126">
        <f t="shared" ref="M894:M899" si="272">SUM(G894:H894)</f>
        <v>36</v>
      </c>
      <c r="N894" s="171">
        <f t="shared" ref="N894:N899" si="273">IF(ISERROR(M894/L894),0,M894/L894)</f>
        <v>0.52939999999999998</v>
      </c>
      <c r="O894" s="132">
        <f t="shared" ref="O894:O899" si="274">IF(AND((N894-35%)&gt;0,N894&lt;50%),M894*(N894-35%)*0.7,0)</f>
        <v>0</v>
      </c>
      <c r="P894" s="177">
        <f t="shared" ref="P894:P899" si="275">IF(N894&gt;=50%,M894*10.5%,0)</f>
        <v>3.8</v>
      </c>
      <c r="Q894" s="177">
        <f t="shared" ref="Q894:Q899" si="276">MAX(O894,P894)</f>
        <v>3.8</v>
      </c>
      <c r="S894" s="233" t="b">
        <f t="shared" si="256"/>
        <v>0</v>
      </c>
    </row>
    <row r="895" spans="1:19">
      <c r="A895" s="126" t="s">
        <v>3762</v>
      </c>
      <c r="B895" s="126" t="str">
        <f t="shared" si="270"/>
        <v>D0507</v>
      </c>
      <c r="C895" s="126">
        <v>8694</v>
      </c>
      <c r="D895" s="126" t="s">
        <v>3317</v>
      </c>
      <c r="E895" s="126">
        <v>136</v>
      </c>
      <c r="F895" s="126">
        <v>0</v>
      </c>
      <c r="G895" s="126">
        <v>63</v>
      </c>
      <c r="H895" s="126">
        <v>0</v>
      </c>
      <c r="I895" s="126">
        <v>46.32</v>
      </c>
      <c r="J895" s="126">
        <v>0</v>
      </c>
      <c r="K895" s="126">
        <v>5</v>
      </c>
      <c r="L895" s="126">
        <f t="shared" si="271"/>
        <v>136</v>
      </c>
      <c r="M895" s="126">
        <f t="shared" si="272"/>
        <v>63</v>
      </c>
      <c r="N895" s="171">
        <f t="shared" si="273"/>
        <v>0.4632</v>
      </c>
      <c r="O895" s="132">
        <f t="shared" si="274"/>
        <v>5</v>
      </c>
      <c r="P895" s="177">
        <f t="shared" si="275"/>
        <v>0</v>
      </c>
      <c r="Q895" s="177">
        <f t="shared" si="276"/>
        <v>5</v>
      </c>
      <c r="S895" s="233" t="b">
        <f t="shared" si="256"/>
        <v>0</v>
      </c>
    </row>
    <row r="896" spans="1:19">
      <c r="A896" s="126" t="s">
        <v>3762</v>
      </c>
      <c r="B896" s="126" t="str">
        <f t="shared" si="270"/>
        <v>D0507</v>
      </c>
      <c r="C896" s="126">
        <v>8696</v>
      </c>
      <c r="D896" s="126" t="s">
        <v>3319</v>
      </c>
      <c r="E896" s="126">
        <v>152</v>
      </c>
      <c r="F896" s="126">
        <v>0</v>
      </c>
      <c r="G896" s="126">
        <v>77</v>
      </c>
      <c r="H896" s="126">
        <v>0</v>
      </c>
      <c r="I896" s="126">
        <v>50.66</v>
      </c>
      <c r="J896" s="126">
        <v>8.1</v>
      </c>
      <c r="K896" s="126">
        <v>0</v>
      </c>
      <c r="L896" s="126">
        <f t="shared" si="271"/>
        <v>152</v>
      </c>
      <c r="M896" s="126">
        <f t="shared" si="272"/>
        <v>77</v>
      </c>
      <c r="N896" s="171">
        <f t="shared" si="273"/>
        <v>0.50660000000000005</v>
      </c>
      <c r="O896" s="132">
        <f t="shared" si="274"/>
        <v>0</v>
      </c>
      <c r="P896" s="177">
        <f t="shared" si="275"/>
        <v>8.1</v>
      </c>
      <c r="Q896" s="177">
        <f t="shared" si="276"/>
        <v>8.1</v>
      </c>
      <c r="S896" s="233" t="b">
        <f t="shared" si="256"/>
        <v>0</v>
      </c>
    </row>
    <row r="897" spans="1:19">
      <c r="A897" s="126" t="s">
        <v>3934</v>
      </c>
      <c r="B897" s="126" t="str">
        <f t="shared" si="270"/>
        <v>D0508</v>
      </c>
      <c r="C897" s="126">
        <v>8702</v>
      </c>
      <c r="D897" s="126" t="s">
        <v>1267</v>
      </c>
      <c r="E897" s="126">
        <v>258</v>
      </c>
      <c r="F897" s="126">
        <v>0</v>
      </c>
      <c r="G897" s="126">
        <v>130</v>
      </c>
      <c r="H897" s="126">
        <v>0</v>
      </c>
      <c r="I897" s="126">
        <v>50.39</v>
      </c>
      <c r="J897" s="126">
        <v>13.6</v>
      </c>
      <c r="K897" s="126">
        <v>0</v>
      </c>
      <c r="L897" s="126">
        <f t="shared" si="271"/>
        <v>258</v>
      </c>
      <c r="M897" s="126">
        <f t="shared" si="272"/>
        <v>130</v>
      </c>
      <c r="N897" s="171">
        <f t="shared" si="273"/>
        <v>0.50390000000000001</v>
      </c>
      <c r="O897" s="132">
        <f t="shared" si="274"/>
        <v>0</v>
      </c>
      <c r="P897" s="177">
        <f t="shared" si="275"/>
        <v>13.7</v>
      </c>
      <c r="Q897" s="177">
        <f t="shared" si="276"/>
        <v>13.7</v>
      </c>
      <c r="S897" s="233" t="b">
        <f t="shared" si="256"/>
        <v>0</v>
      </c>
    </row>
    <row r="898" spans="1:19">
      <c r="A898" s="126" t="s">
        <v>3934</v>
      </c>
      <c r="B898" s="126" t="str">
        <f t="shared" si="270"/>
        <v>D0508</v>
      </c>
      <c r="C898" s="126">
        <v>8704</v>
      </c>
      <c r="D898" s="126" t="s">
        <v>1490</v>
      </c>
      <c r="E898" s="126">
        <v>220</v>
      </c>
      <c r="F898" s="126">
        <v>0</v>
      </c>
      <c r="G898" s="126">
        <v>121</v>
      </c>
      <c r="H898" s="126">
        <v>0</v>
      </c>
      <c r="I898" s="126">
        <v>55</v>
      </c>
      <c r="J898" s="126">
        <v>12.7</v>
      </c>
      <c r="K898" s="126">
        <v>0</v>
      </c>
      <c r="L898" s="126">
        <f t="shared" si="271"/>
        <v>220</v>
      </c>
      <c r="M898" s="126">
        <f t="shared" si="272"/>
        <v>121</v>
      </c>
      <c r="N898" s="171">
        <f t="shared" si="273"/>
        <v>0.55000000000000004</v>
      </c>
      <c r="O898" s="132">
        <f t="shared" si="274"/>
        <v>0</v>
      </c>
      <c r="P898" s="177">
        <f t="shared" si="275"/>
        <v>12.7</v>
      </c>
      <c r="Q898" s="177">
        <f t="shared" si="276"/>
        <v>12.7</v>
      </c>
      <c r="S898" s="233" t="b">
        <f t="shared" si="256"/>
        <v>0</v>
      </c>
    </row>
    <row r="899" spans="1:19">
      <c r="A899" s="126" t="s">
        <v>3934</v>
      </c>
      <c r="B899" s="126" t="str">
        <f t="shared" si="270"/>
        <v>D0508</v>
      </c>
      <c r="C899" s="126">
        <v>8710</v>
      </c>
      <c r="D899" s="126" t="s">
        <v>3323</v>
      </c>
      <c r="E899" s="126">
        <v>458</v>
      </c>
      <c r="F899" s="126">
        <v>0</v>
      </c>
      <c r="G899" s="126">
        <v>212</v>
      </c>
      <c r="H899" s="126">
        <v>0</v>
      </c>
      <c r="I899" s="126">
        <v>46.29</v>
      </c>
      <c r="J899" s="126">
        <v>0</v>
      </c>
      <c r="K899" s="126">
        <v>16.8</v>
      </c>
      <c r="L899" s="126">
        <f t="shared" si="271"/>
        <v>458</v>
      </c>
      <c r="M899" s="126">
        <f t="shared" si="272"/>
        <v>212</v>
      </c>
      <c r="N899" s="171">
        <f t="shared" si="273"/>
        <v>0.46289999999999998</v>
      </c>
      <c r="O899" s="132">
        <f t="shared" si="274"/>
        <v>16.8</v>
      </c>
      <c r="P899" s="177">
        <f t="shared" si="275"/>
        <v>0</v>
      </c>
      <c r="Q899" s="177">
        <f t="shared" si="276"/>
        <v>16.8</v>
      </c>
      <c r="S899" s="233" t="b">
        <f t="shared" si="256"/>
        <v>0</v>
      </c>
    </row>
    <row r="900" spans="1:19">
      <c r="A900" s="126" t="s">
        <v>3935</v>
      </c>
      <c r="B900" s="126" t="str">
        <f t="shared" si="270"/>
        <v>D0207</v>
      </c>
      <c r="C900" s="126">
        <v>286</v>
      </c>
      <c r="D900" s="126" t="s">
        <v>1024</v>
      </c>
      <c r="E900" s="126">
        <v>500</v>
      </c>
      <c r="F900" s="126">
        <v>0</v>
      </c>
      <c r="G900" s="126">
        <v>24</v>
      </c>
      <c r="H900" s="126">
        <v>0</v>
      </c>
      <c r="I900" s="126">
        <v>4.8</v>
      </c>
      <c r="J900" s="126">
        <v>0</v>
      </c>
      <c r="K900" s="126">
        <v>0</v>
      </c>
      <c r="L900" s="126">
        <f t="shared" ref="L900:L903" si="277">SUM(E900:F900)</f>
        <v>500</v>
      </c>
      <c r="M900" s="126">
        <f t="shared" ref="M900:M903" si="278">SUM(G900:H900)</f>
        <v>24</v>
      </c>
      <c r="N900" s="171">
        <f t="shared" ref="N900:N903" si="279">IF(ISERROR(M900/L900),0,M900/L900)</f>
        <v>4.8000000000000001E-2</v>
      </c>
      <c r="O900" s="132">
        <f t="shared" ref="O900:O903" si="280">IF(AND((N900-35%)&gt;0,N900&lt;50%),M900*(N900-35%)*0.7,0)</f>
        <v>0</v>
      </c>
      <c r="P900" s="177">
        <f t="shared" ref="P900:P903" si="281">IF(N900&gt;=50%,M900*10.5%,0)</f>
        <v>0</v>
      </c>
      <c r="Q900" s="177">
        <f t="shared" ref="Q900:Q903" si="282">MAX(O900,P900)</f>
        <v>0</v>
      </c>
      <c r="S900" s="233" t="b">
        <f t="shared" si="256"/>
        <v>0</v>
      </c>
    </row>
    <row r="901" spans="1:19">
      <c r="A901" s="126" t="s">
        <v>3935</v>
      </c>
      <c r="B901" s="126" t="str">
        <f t="shared" si="270"/>
        <v>D0207</v>
      </c>
      <c r="C901" s="126">
        <v>288</v>
      </c>
      <c r="D901" s="126" t="s">
        <v>1026</v>
      </c>
      <c r="E901" s="126">
        <v>450</v>
      </c>
      <c r="F901" s="126">
        <v>0</v>
      </c>
      <c r="G901" s="126">
        <v>17</v>
      </c>
      <c r="H901" s="126">
        <v>0</v>
      </c>
      <c r="I901" s="126">
        <v>3.78</v>
      </c>
      <c r="J901" s="126">
        <v>0</v>
      </c>
      <c r="K901" s="126">
        <v>0</v>
      </c>
      <c r="L901" s="126">
        <f t="shared" si="277"/>
        <v>450</v>
      </c>
      <c r="M901" s="126">
        <f t="shared" si="278"/>
        <v>17</v>
      </c>
      <c r="N901" s="171">
        <f t="shared" si="279"/>
        <v>3.78E-2</v>
      </c>
      <c r="O901" s="132">
        <f t="shared" si="280"/>
        <v>0</v>
      </c>
      <c r="P901" s="177">
        <f t="shared" si="281"/>
        <v>0</v>
      </c>
      <c r="Q901" s="177">
        <f t="shared" si="282"/>
        <v>0</v>
      </c>
      <c r="S901" s="233" t="b">
        <f t="shared" ref="S901:S964" si="283">COUNTIF(C:C,C901)&gt;1</f>
        <v>0</v>
      </c>
    </row>
    <row r="902" spans="1:19">
      <c r="A902" s="126" t="s">
        <v>3935</v>
      </c>
      <c r="B902" s="126" t="str">
        <f t="shared" si="270"/>
        <v>D0207</v>
      </c>
      <c r="C902" s="126">
        <v>290</v>
      </c>
      <c r="D902" s="126" t="s">
        <v>1028</v>
      </c>
      <c r="E902" s="126">
        <v>467</v>
      </c>
      <c r="F902" s="126">
        <v>0</v>
      </c>
      <c r="G902" s="126">
        <v>14</v>
      </c>
      <c r="H902" s="126">
        <v>0</v>
      </c>
      <c r="I902" s="126">
        <v>3</v>
      </c>
      <c r="J902" s="126">
        <v>0</v>
      </c>
      <c r="K902" s="126">
        <v>0</v>
      </c>
      <c r="L902" s="126">
        <f t="shared" si="277"/>
        <v>467</v>
      </c>
      <c r="M902" s="126">
        <f t="shared" si="278"/>
        <v>14</v>
      </c>
      <c r="N902" s="171">
        <f t="shared" si="279"/>
        <v>0.03</v>
      </c>
      <c r="O902" s="132">
        <f t="shared" si="280"/>
        <v>0</v>
      </c>
      <c r="P902" s="177">
        <f t="shared" si="281"/>
        <v>0</v>
      </c>
      <c r="Q902" s="177">
        <f t="shared" si="282"/>
        <v>0</v>
      </c>
      <c r="S902" s="233" t="b">
        <f t="shared" si="283"/>
        <v>0</v>
      </c>
    </row>
    <row r="903" spans="1:19">
      <c r="A903" s="126" t="s">
        <v>3935</v>
      </c>
      <c r="B903" s="126" t="str">
        <f t="shared" si="270"/>
        <v>D0207</v>
      </c>
      <c r="C903" s="126">
        <v>294</v>
      </c>
      <c r="D903" s="126" t="s">
        <v>1030</v>
      </c>
      <c r="E903" s="126">
        <v>289</v>
      </c>
      <c r="F903" s="126">
        <v>0</v>
      </c>
      <c r="G903" s="126">
        <v>7</v>
      </c>
      <c r="H903" s="126">
        <v>0</v>
      </c>
      <c r="I903" s="126">
        <v>2.42</v>
      </c>
      <c r="J903" s="126">
        <v>0</v>
      </c>
      <c r="K903" s="126">
        <v>0</v>
      </c>
      <c r="L903" s="126">
        <f t="shared" si="277"/>
        <v>289</v>
      </c>
      <c r="M903" s="126">
        <f t="shared" si="278"/>
        <v>7</v>
      </c>
      <c r="N903" s="171">
        <f t="shared" si="279"/>
        <v>2.4199999999999999E-2</v>
      </c>
      <c r="O903" s="132">
        <f t="shared" si="280"/>
        <v>0</v>
      </c>
      <c r="P903" s="177">
        <f t="shared" si="281"/>
        <v>0</v>
      </c>
      <c r="Q903" s="177">
        <f t="shared" si="282"/>
        <v>0</v>
      </c>
      <c r="S903" s="233" t="b">
        <f t="shared" si="283"/>
        <v>0</v>
      </c>
    </row>
    <row r="904" spans="1:19">
      <c r="A904" s="126" t="s">
        <v>3879</v>
      </c>
      <c r="B904" s="126" t="str">
        <f t="shared" ref="B904:B916" si="284">LEFT(A904,5)</f>
        <v>D0265</v>
      </c>
      <c r="C904" s="126">
        <v>2025</v>
      </c>
      <c r="D904" s="126" t="s">
        <v>1747</v>
      </c>
      <c r="E904" s="126">
        <v>472</v>
      </c>
      <c r="F904" s="126">
        <v>0</v>
      </c>
      <c r="G904" s="126">
        <v>102</v>
      </c>
      <c r="H904" s="126">
        <v>0</v>
      </c>
      <c r="I904" s="126">
        <v>21.61</v>
      </c>
      <c r="J904" s="126">
        <v>0</v>
      </c>
      <c r="K904" s="126">
        <v>0</v>
      </c>
      <c r="L904" s="126">
        <f t="shared" ref="L904:L916" si="285">SUM(E904:F904)</f>
        <v>472</v>
      </c>
      <c r="M904" s="126">
        <f t="shared" ref="M904:M916" si="286">SUM(G904:H904)</f>
        <v>102</v>
      </c>
      <c r="N904" s="171">
        <f t="shared" ref="N904:N916" si="287">IF(ISERROR(M904/L904),0,M904/L904)</f>
        <v>0.21609999999999999</v>
      </c>
      <c r="O904" s="132">
        <f t="shared" ref="O904:O916" si="288">IF(AND((N904-35%)&gt;0,N904&lt;50%),M904*(N904-35%)*0.7,0)</f>
        <v>0</v>
      </c>
      <c r="P904" s="177">
        <f t="shared" ref="P904:P916" si="289">IF(N904&gt;=50%,M904*10.5%,0)</f>
        <v>0</v>
      </c>
      <c r="Q904" s="177">
        <f t="shared" ref="Q904:Q916" si="290">MAX(O904,P904)</f>
        <v>0</v>
      </c>
      <c r="S904" s="233" t="b">
        <f t="shared" si="283"/>
        <v>0</v>
      </c>
    </row>
    <row r="905" spans="1:19">
      <c r="A905" s="126" t="s">
        <v>3879</v>
      </c>
      <c r="B905" s="126" t="str">
        <f t="shared" si="284"/>
        <v>D0265</v>
      </c>
      <c r="C905" s="126">
        <v>2026</v>
      </c>
      <c r="D905" s="126" t="s">
        <v>1749</v>
      </c>
      <c r="E905" s="126">
        <v>365</v>
      </c>
      <c r="F905" s="126">
        <v>0</v>
      </c>
      <c r="G905" s="126">
        <v>48</v>
      </c>
      <c r="H905" s="126">
        <v>0</v>
      </c>
      <c r="I905" s="126">
        <v>13.15</v>
      </c>
      <c r="J905" s="126">
        <v>0</v>
      </c>
      <c r="K905" s="126">
        <v>0</v>
      </c>
      <c r="L905" s="126">
        <f t="shared" si="285"/>
        <v>365</v>
      </c>
      <c r="M905" s="126">
        <f t="shared" si="286"/>
        <v>48</v>
      </c>
      <c r="N905" s="171">
        <f t="shared" si="287"/>
        <v>0.13150000000000001</v>
      </c>
      <c r="O905" s="132">
        <f t="shared" si="288"/>
        <v>0</v>
      </c>
      <c r="P905" s="177">
        <f t="shared" si="289"/>
        <v>0</v>
      </c>
      <c r="Q905" s="177">
        <f t="shared" si="290"/>
        <v>0</v>
      </c>
      <c r="S905" s="233" t="b">
        <f t="shared" si="283"/>
        <v>0</v>
      </c>
    </row>
    <row r="906" spans="1:19">
      <c r="A906" s="126" t="s">
        <v>3879</v>
      </c>
      <c r="B906" s="126" t="str">
        <f t="shared" si="284"/>
        <v>D0265</v>
      </c>
      <c r="C906" s="126">
        <v>2027</v>
      </c>
      <c r="D906" s="126" t="s">
        <v>1751</v>
      </c>
      <c r="E906" s="126">
        <v>461</v>
      </c>
      <c r="F906" s="126">
        <v>0</v>
      </c>
      <c r="G906" s="126">
        <v>116</v>
      </c>
      <c r="H906" s="126">
        <v>0</v>
      </c>
      <c r="I906" s="126">
        <v>25.16</v>
      </c>
      <c r="J906" s="126">
        <v>0</v>
      </c>
      <c r="K906" s="126">
        <v>0</v>
      </c>
      <c r="L906" s="126">
        <f t="shared" si="285"/>
        <v>461</v>
      </c>
      <c r="M906" s="126">
        <f t="shared" si="286"/>
        <v>116</v>
      </c>
      <c r="N906" s="171">
        <f t="shared" si="287"/>
        <v>0.25159999999999999</v>
      </c>
      <c r="O906" s="132">
        <f t="shared" si="288"/>
        <v>0</v>
      </c>
      <c r="P906" s="177">
        <f t="shared" si="289"/>
        <v>0</v>
      </c>
      <c r="Q906" s="177">
        <f t="shared" si="290"/>
        <v>0</v>
      </c>
      <c r="S906" s="233" t="b">
        <f t="shared" si="283"/>
        <v>0</v>
      </c>
    </row>
    <row r="907" spans="1:19">
      <c r="A907" s="126" t="s">
        <v>3879</v>
      </c>
      <c r="B907" s="126" t="str">
        <f t="shared" si="284"/>
        <v>D0265</v>
      </c>
      <c r="C907" s="126">
        <v>2028</v>
      </c>
      <c r="D907" s="126" t="s">
        <v>1753</v>
      </c>
      <c r="E907" s="126">
        <v>472</v>
      </c>
      <c r="F907" s="126">
        <v>0</v>
      </c>
      <c r="G907" s="126">
        <v>83</v>
      </c>
      <c r="H907" s="126">
        <v>0</v>
      </c>
      <c r="I907" s="126">
        <v>17.579999999999998</v>
      </c>
      <c r="J907" s="126">
        <v>0</v>
      </c>
      <c r="K907" s="126">
        <v>0</v>
      </c>
      <c r="L907" s="126">
        <f t="shared" si="285"/>
        <v>472</v>
      </c>
      <c r="M907" s="126">
        <f t="shared" si="286"/>
        <v>83</v>
      </c>
      <c r="N907" s="171">
        <f t="shared" si="287"/>
        <v>0.17580000000000001</v>
      </c>
      <c r="O907" s="132">
        <f t="shared" si="288"/>
        <v>0</v>
      </c>
      <c r="P907" s="177">
        <f t="shared" si="289"/>
        <v>0</v>
      </c>
      <c r="Q907" s="177">
        <f t="shared" si="290"/>
        <v>0</v>
      </c>
      <c r="S907" s="233" t="b">
        <f t="shared" si="283"/>
        <v>0</v>
      </c>
    </row>
    <row r="908" spans="1:19">
      <c r="A908" s="126" t="s">
        <v>3879</v>
      </c>
      <c r="B908" s="126" t="str">
        <f t="shared" si="284"/>
        <v>D0265</v>
      </c>
      <c r="C908" s="126">
        <v>2029</v>
      </c>
      <c r="D908" s="126" t="s">
        <v>1755</v>
      </c>
      <c r="E908" s="126">
        <v>518</v>
      </c>
      <c r="F908" s="126">
        <v>0</v>
      </c>
      <c r="G908" s="126">
        <v>73</v>
      </c>
      <c r="H908" s="126">
        <v>0</v>
      </c>
      <c r="I908" s="126">
        <v>14.09</v>
      </c>
      <c r="J908" s="126">
        <v>0</v>
      </c>
      <c r="K908" s="126">
        <v>0</v>
      </c>
      <c r="L908" s="126">
        <f t="shared" si="285"/>
        <v>518</v>
      </c>
      <c r="M908" s="126">
        <f t="shared" si="286"/>
        <v>73</v>
      </c>
      <c r="N908" s="171">
        <f t="shared" si="287"/>
        <v>0.1409</v>
      </c>
      <c r="O908" s="132">
        <f t="shared" si="288"/>
        <v>0</v>
      </c>
      <c r="P908" s="177">
        <f t="shared" si="289"/>
        <v>0</v>
      </c>
      <c r="Q908" s="177">
        <f t="shared" si="290"/>
        <v>0</v>
      </c>
      <c r="S908" s="233" t="b">
        <f t="shared" si="283"/>
        <v>0</v>
      </c>
    </row>
    <row r="909" spans="1:19">
      <c r="A909" s="126" t="s">
        <v>3879</v>
      </c>
      <c r="B909" s="126" t="str">
        <f t="shared" si="284"/>
        <v>D0265</v>
      </c>
      <c r="C909" s="126">
        <v>2030</v>
      </c>
      <c r="D909" s="126" t="s">
        <v>1757</v>
      </c>
      <c r="E909" s="126">
        <v>843</v>
      </c>
      <c r="F909" s="126">
        <v>0</v>
      </c>
      <c r="G909" s="126">
        <v>154</v>
      </c>
      <c r="H909" s="126">
        <v>0</v>
      </c>
      <c r="I909" s="126">
        <v>18.27</v>
      </c>
      <c r="J909" s="126">
        <v>0</v>
      </c>
      <c r="K909" s="126">
        <v>0</v>
      </c>
      <c r="L909" s="126">
        <f t="shared" si="285"/>
        <v>843</v>
      </c>
      <c r="M909" s="126">
        <f t="shared" si="286"/>
        <v>154</v>
      </c>
      <c r="N909" s="171">
        <f t="shared" si="287"/>
        <v>0.1827</v>
      </c>
      <c r="O909" s="132">
        <f t="shared" si="288"/>
        <v>0</v>
      </c>
      <c r="P909" s="177">
        <f t="shared" si="289"/>
        <v>0</v>
      </c>
      <c r="Q909" s="177">
        <f t="shared" si="290"/>
        <v>0</v>
      </c>
      <c r="S909" s="233" t="b">
        <f t="shared" si="283"/>
        <v>0</v>
      </c>
    </row>
    <row r="910" spans="1:19">
      <c r="A910" s="126" t="s">
        <v>3879</v>
      </c>
      <c r="B910" s="126" t="str">
        <f t="shared" si="284"/>
        <v>D0265</v>
      </c>
      <c r="C910" s="126">
        <v>2033</v>
      </c>
      <c r="D910" s="126" t="s">
        <v>1759</v>
      </c>
      <c r="E910" s="126">
        <v>469</v>
      </c>
      <c r="F910" s="126">
        <v>0</v>
      </c>
      <c r="G910" s="126">
        <v>85</v>
      </c>
      <c r="H910" s="126">
        <v>0</v>
      </c>
      <c r="I910" s="126">
        <v>18.12</v>
      </c>
      <c r="J910" s="126">
        <v>0</v>
      </c>
      <c r="K910" s="126">
        <v>0</v>
      </c>
      <c r="L910" s="126">
        <f t="shared" si="285"/>
        <v>469</v>
      </c>
      <c r="M910" s="126">
        <f t="shared" si="286"/>
        <v>85</v>
      </c>
      <c r="N910" s="171">
        <f t="shared" si="287"/>
        <v>0.1812</v>
      </c>
      <c r="O910" s="132">
        <f t="shared" si="288"/>
        <v>0</v>
      </c>
      <c r="P910" s="177">
        <f t="shared" si="289"/>
        <v>0</v>
      </c>
      <c r="Q910" s="177">
        <f t="shared" si="290"/>
        <v>0</v>
      </c>
      <c r="S910" s="233" t="b">
        <f t="shared" si="283"/>
        <v>0</v>
      </c>
    </row>
    <row r="911" spans="1:19">
      <c r="A911" s="126" t="s">
        <v>3879</v>
      </c>
      <c r="B911" s="126" t="str">
        <f t="shared" si="284"/>
        <v>D0265</v>
      </c>
      <c r="C911" s="126">
        <v>2034</v>
      </c>
      <c r="D911" s="126" t="s">
        <v>1761</v>
      </c>
      <c r="E911" s="126">
        <v>488</v>
      </c>
      <c r="F911" s="126">
        <v>0</v>
      </c>
      <c r="G911" s="126">
        <v>67</v>
      </c>
      <c r="H911" s="126">
        <v>0</v>
      </c>
      <c r="I911" s="126">
        <v>13.73</v>
      </c>
      <c r="J911" s="126">
        <v>0</v>
      </c>
      <c r="K911" s="126">
        <v>0</v>
      </c>
      <c r="L911" s="126">
        <f t="shared" si="285"/>
        <v>488</v>
      </c>
      <c r="M911" s="126">
        <f t="shared" si="286"/>
        <v>67</v>
      </c>
      <c r="N911" s="171">
        <f t="shared" si="287"/>
        <v>0.13730000000000001</v>
      </c>
      <c r="O911" s="132">
        <f t="shared" si="288"/>
        <v>0</v>
      </c>
      <c r="P911" s="177">
        <f t="shared" si="289"/>
        <v>0</v>
      </c>
      <c r="Q911" s="177">
        <f t="shared" si="290"/>
        <v>0</v>
      </c>
      <c r="S911" s="233" t="b">
        <f t="shared" si="283"/>
        <v>0</v>
      </c>
    </row>
    <row r="912" spans="1:19">
      <c r="A912" s="126" t="s">
        <v>3879</v>
      </c>
      <c r="B912" s="126" t="str">
        <f t="shared" si="284"/>
        <v>D0265</v>
      </c>
      <c r="C912" s="126">
        <v>2035</v>
      </c>
      <c r="D912" s="126" t="s">
        <v>1763</v>
      </c>
      <c r="E912" s="126">
        <v>484</v>
      </c>
      <c r="F912" s="126">
        <v>0</v>
      </c>
      <c r="G912" s="126">
        <v>75</v>
      </c>
      <c r="H912" s="126">
        <v>0</v>
      </c>
      <c r="I912" s="126">
        <v>15.5</v>
      </c>
      <c r="J912" s="126">
        <v>0</v>
      </c>
      <c r="K912" s="126">
        <v>0</v>
      </c>
      <c r="L912" s="126">
        <f t="shared" si="285"/>
        <v>484</v>
      </c>
      <c r="M912" s="126">
        <f t="shared" si="286"/>
        <v>75</v>
      </c>
      <c r="N912" s="171">
        <f t="shared" si="287"/>
        <v>0.155</v>
      </c>
      <c r="O912" s="132">
        <f t="shared" si="288"/>
        <v>0</v>
      </c>
      <c r="P912" s="177">
        <f t="shared" si="289"/>
        <v>0</v>
      </c>
      <c r="Q912" s="177">
        <f t="shared" si="290"/>
        <v>0</v>
      </c>
      <c r="S912" s="233" t="b">
        <f t="shared" si="283"/>
        <v>0</v>
      </c>
    </row>
    <row r="913" spans="1:19">
      <c r="A913" s="126" t="s">
        <v>3879</v>
      </c>
      <c r="B913" s="126" t="str">
        <f t="shared" si="284"/>
        <v>D0265</v>
      </c>
      <c r="C913" s="126">
        <v>2069</v>
      </c>
      <c r="D913" s="126" t="s">
        <v>1765</v>
      </c>
      <c r="E913" s="126">
        <v>471</v>
      </c>
      <c r="F913" s="126">
        <v>0</v>
      </c>
      <c r="G913" s="126">
        <v>44</v>
      </c>
      <c r="H913" s="126">
        <v>0</v>
      </c>
      <c r="I913" s="126">
        <v>9.34</v>
      </c>
      <c r="J913" s="126">
        <v>0</v>
      </c>
      <c r="K913" s="126">
        <v>0</v>
      </c>
      <c r="L913" s="126">
        <f t="shared" si="285"/>
        <v>471</v>
      </c>
      <c r="M913" s="126">
        <f t="shared" si="286"/>
        <v>44</v>
      </c>
      <c r="N913" s="171">
        <f t="shared" si="287"/>
        <v>9.3399999999999997E-2</v>
      </c>
      <c r="O913" s="132">
        <f t="shared" si="288"/>
        <v>0</v>
      </c>
      <c r="P913" s="177">
        <f t="shared" si="289"/>
        <v>0</v>
      </c>
      <c r="Q913" s="177">
        <f t="shared" si="290"/>
        <v>0</v>
      </c>
      <c r="S913" s="233" t="b">
        <f t="shared" si="283"/>
        <v>0</v>
      </c>
    </row>
    <row r="914" spans="1:19">
      <c r="A914" s="126" t="s">
        <v>3879</v>
      </c>
      <c r="B914" s="126" t="str">
        <f t="shared" si="284"/>
        <v>D0265</v>
      </c>
      <c r="C914" s="126">
        <v>2073</v>
      </c>
      <c r="D914" s="126" t="s">
        <v>1767</v>
      </c>
      <c r="E914" s="126">
        <v>943</v>
      </c>
      <c r="F914" s="126">
        <v>0</v>
      </c>
      <c r="G914" s="126">
        <v>98</v>
      </c>
      <c r="H914" s="126">
        <v>0</v>
      </c>
      <c r="I914" s="126">
        <v>10.39</v>
      </c>
      <c r="J914" s="126">
        <v>0</v>
      </c>
      <c r="K914" s="126">
        <v>0</v>
      </c>
      <c r="L914" s="126">
        <f t="shared" si="285"/>
        <v>943</v>
      </c>
      <c r="M914" s="126">
        <f t="shared" si="286"/>
        <v>98</v>
      </c>
      <c r="N914" s="171">
        <f t="shared" si="287"/>
        <v>0.10390000000000001</v>
      </c>
      <c r="O914" s="132">
        <f t="shared" si="288"/>
        <v>0</v>
      </c>
      <c r="P914" s="177">
        <f t="shared" si="289"/>
        <v>0</v>
      </c>
      <c r="Q914" s="177">
        <f t="shared" si="290"/>
        <v>0</v>
      </c>
      <c r="S914" s="233" t="b">
        <f t="shared" si="283"/>
        <v>0</v>
      </c>
    </row>
    <row r="915" spans="1:19">
      <c r="A915" s="126" t="s">
        <v>3917</v>
      </c>
      <c r="B915" s="126" t="str">
        <f t="shared" si="284"/>
        <v>D0371</v>
      </c>
      <c r="C915" s="126">
        <v>4762</v>
      </c>
      <c r="D915" s="126" t="s">
        <v>2310</v>
      </c>
      <c r="E915" s="126">
        <v>84</v>
      </c>
      <c r="F915" s="126">
        <v>0</v>
      </c>
      <c r="G915" s="126">
        <v>16</v>
      </c>
      <c r="H915" s="126">
        <v>0</v>
      </c>
      <c r="I915" s="126">
        <v>19.05</v>
      </c>
      <c r="J915" s="126">
        <v>0</v>
      </c>
      <c r="K915" s="126">
        <v>0</v>
      </c>
      <c r="L915" s="126">
        <f t="shared" si="285"/>
        <v>84</v>
      </c>
      <c r="M915" s="126">
        <f t="shared" si="286"/>
        <v>16</v>
      </c>
      <c r="N915" s="171">
        <f t="shared" si="287"/>
        <v>0.1905</v>
      </c>
      <c r="O915" s="132">
        <f t="shared" si="288"/>
        <v>0</v>
      </c>
      <c r="P915" s="177">
        <f t="shared" si="289"/>
        <v>0</v>
      </c>
      <c r="Q915" s="177">
        <f t="shared" si="290"/>
        <v>0</v>
      </c>
      <c r="S915" s="233" t="b">
        <f t="shared" si="283"/>
        <v>0</v>
      </c>
    </row>
    <row r="916" spans="1:19">
      <c r="A916" s="126" t="s">
        <v>3917</v>
      </c>
      <c r="B916" s="126" t="str">
        <f t="shared" si="284"/>
        <v>D0371</v>
      </c>
      <c r="C916" s="126">
        <v>4764</v>
      </c>
      <c r="D916" s="126" t="s">
        <v>2312</v>
      </c>
      <c r="E916" s="126">
        <v>60</v>
      </c>
      <c r="F916" s="126">
        <v>0</v>
      </c>
      <c r="G916" s="126">
        <v>11</v>
      </c>
      <c r="H916" s="126">
        <v>0</v>
      </c>
      <c r="I916" s="126">
        <v>18.329999999999998</v>
      </c>
      <c r="J916" s="126">
        <v>0</v>
      </c>
      <c r="K916" s="126">
        <v>0</v>
      </c>
      <c r="L916" s="126">
        <f t="shared" si="285"/>
        <v>60</v>
      </c>
      <c r="M916" s="126">
        <f t="shared" si="286"/>
        <v>11</v>
      </c>
      <c r="N916" s="171">
        <f t="shared" si="287"/>
        <v>0.18329999999999999</v>
      </c>
      <c r="O916" s="132">
        <f t="shared" si="288"/>
        <v>0</v>
      </c>
      <c r="P916" s="177">
        <f t="shared" si="289"/>
        <v>0</v>
      </c>
      <c r="Q916" s="177">
        <f t="shared" si="290"/>
        <v>0</v>
      </c>
      <c r="S916" s="233" t="b">
        <f t="shared" si="283"/>
        <v>0</v>
      </c>
    </row>
    <row r="917" spans="1:19">
      <c r="A917" s="126" t="s">
        <v>3937</v>
      </c>
      <c r="B917" s="126" t="str">
        <f t="shared" ref="B917:B927" si="291">LEFT(A917,5)</f>
        <v>D0257</v>
      </c>
      <c r="C917" s="126">
        <v>1556</v>
      </c>
      <c r="D917" s="126" t="s">
        <v>1488</v>
      </c>
      <c r="E917" s="126">
        <v>166</v>
      </c>
      <c r="F917" s="126">
        <v>0</v>
      </c>
      <c r="G917" s="126">
        <v>82</v>
      </c>
      <c r="H917" s="126">
        <v>0</v>
      </c>
      <c r="I917" s="126">
        <v>49.4</v>
      </c>
      <c r="J917" s="126">
        <v>0</v>
      </c>
      <c r="K917" s="126">
        <v>8.3000000000000007</v>
      </c>
      <c r="L917" s="126">
        <f t="shared" ref="L917:L931" si="292">SUM(E917:F917)</f>
        <v>166</v>
      </c>
      <c r="M917" s="126">
        <f t="shared" ref="M917:M931" si="293">SUM(G917:H917)</f>
        <v>82</v>
      </c>
      <c r="N917" s="171">
        <f t="shared" ref="N917:N931" si="294">IF(ISERROR(M917/L917),0,M917/L917)</f>
        <v>0.49399999999999999</v>
      </c>
      <c r="O917" s="132">
        <f t="shared" ref="O917:O931" si="295">IF(AND((N917-35%)&gt;0,N917&lt;50%),M917*(N917-35%)*0.7,0)</f>
        <v>8.3000000000000007</v>
      </c>
      <c r="P917" s="177">
        <f t="shared" ref="P917:P931" si="296">IF(N917&gt;=50%,M917*10.5%,0)</f>
        <v>0</v>
      </c>
      <c r="Q917" s="177">
        <f t="shared" ref="Q917:Q931" si="297">MAX(O917,P917)</f>
        <v>8.3000000000000007</v>
      </c>
      <c r="S917" s="233" t="b">
        <f t="shared" si="283"/>
        <v>0</v>
      </c>
    </row>
    <row r="918" spans="1:19">
      <c r="A918" s="126" t="s">
        <v>3937</v>
      </c>
      <c r="B918" s="126" t="str">
        <f t="shared" si="291"/>
        <v>D0257</v>
      </c>
      <c r="C918" s="126">
        <v>1558</v>
      </c>
      <c r="D918" s="126" t="s">
        <v>1490</v>
      </c>
      <c r="E918" s="126">
        <v>169</v>
      </c>
      <c r="F918" s="126">
        <v>0</v>
      </c>
      <c r="G918" s="126">
        <v>86</v>
      </c>
      <c r="H918" s="126">
        <v>0</v>
      </c>
      <c r="I918" s="126">
        <v>50.89</v>
      </c>
      <c r="J918" s="126">
        <v>9</v>
      </c>
      <c r="K918" s="126">
        <v>0</v>
      </c>
      <c r="L918" s="126">
        <f t="shared" si="292"/>
        <v>169</v>
      </c>
      <c r="M918" s="126">
        <f t="shared" si="293"/>
        <v>86</v>
      </c>
      <c r="N918" s="171">
        <f t="shared" si="294"/>
        <v>0.50890000000000002</v>
      </c>
      <c r="O918" s="132">
        <f t="shared" si="295"/>
        <v>0</v>
      </c>
      <c r="P918" s="177">
        <f t="shared" si="296"/>
        <v>9</v>
      </c>
      <c r="Q918" s="177">
        <f t="shared" si="297"/>
        <v>9</v>
      </c>
      <c r="S918" s="233" t="b">
        <f t="shared" si="283"/>
        <v>0</v>
      </c>
    </row>
    <row r="919" spans="1:19">
      <c r="A919" s="126" t="s">
        <v>3937</v>
      </c>
      <c r="B919" s="126" t="str">
        <f t="shared" si="291"/>
        <v>D0257</v>
      </c>
      <c r="C919" s="126">
        <v>1560</v>
      </c>
      <c r="D919" s="126" t="s">
        <v>1492</v>
      </c>
      <c r="E919" s="126">
        <v>130</v>
      </c>
      <c r="F919" s="126">
        <v>0</v>
      </c>
      <c r="G919" s="126">
        <v>72</v>
      </c>
      <c r="H919" s="126">
        <v>0</v>
      </c>
      <c r="I919" s="126">
        <v>55.38</v>
      </c>
      <c r="J919" s="126">
        <v>7.6</v>
      </c>
      <c r="K919" s="126">
        <v>0</v>
      </c>
      <c r="L919" s="126">
        <f t="shared" si="292"/>
        <v>130</v>
      </c>
      <c r="M919" s="126">
        <f t="shared" si="293"/>
        <v>72</v>
      </c>
      <c r="N919" s="171">
        <f t="shared" si="294"/>
        <v>0.55379999999999996</v>
      </c>
      <c r="O919" s="132">
        <f t="shared" si="295"/>
        <v>0</v>
      </c>
      <c r="P919" s="177">
        <f t="shared" si="296"/>
        <v>7.6</v>
      </c>
      <c r="Q919" s="177">
        <f t="shared" si="297"/>
        <v>7.6</v>
      </c>
      <c r="S919" s="233" t="b">
        <f t="shared" si="283"/>
        <v>0</v>
      </c>
    </row>
    <row r="920" spans="1:19">
      <c r="A920" s="126" t="s">
        <v>3937</v>
      </c>
      <c r="B920" s="126" t="str">
        <f t="shared" si="291"/>
        <v>D0257</v>
      </c>
      <c r="C920" s="126">
        <v>1562</v>
      </c>
      <c r="D920" s="126" t="s">
        <v>1494</v>
      </c>
      <c r="E920" s="126">
        <v>360</v>
      </c>
      <c r="F920" s="126">
        <v>0</v>
      </c>
      <c r="G920" s="126">
        <v>160</v>
      </c>
      <c r="H920" s="126">
        <v>0</v>
      </c>
      <c r="I920" s="126">
        <v>44.44</v>
      </c>
      <c r="J920" s="126">
        <v>0</v>
      </c>
      <c r="K920" s="126">
        <v>10.6</v>
      </c>
      <c r="L920" s="126">
        <f t="shared" si="292"/>
        <v>360</v>
      </c>
      <c r="M920" s="126">
        <f t="shared" si="293"/>
        <v>160</v>
      </c>
      <c r="N920" s="171">
        <f t="shared" si="294"/>
        <v>0.44440000000000002</v>
      </c>
      <c r="O920" s="132">
        <f t="shared" si="295"/>
        <v>10.6</v>
      </c>
      <c r="P920" s="177">
        <f t="shared" si="296"/>
        <v>0</v>
      </c>
      <c r="Q920" s="177">
        <f t="shared" si="297"/>
        <v>10.6</v>
      </c>
      <c r="S920" s="233" t="b">
        <f t="shared" si="283"/>
        <v>0</v>
      </c>
    </row>
    <row r="921" spans="1:19">
      <c r="A921" s="126" t="s">
        <v>3937</v>
      </c>
      <c r="B921" s="126" t="str">
        <f t="shared" si="291"/>
        <v>D0257</v>
      </c>
      <c r="C921" s="126">
        <v>1564</v>
      </c>
      <c r="D921" s="126" t="s">
        <v>1496</v>
      </c>
      <c r="E921" s="126">
        <v>361</v>
      </c>
      <c r="F921" s="126">
        <v>0</v>
      </c>
      <c r="G921" s="126">
        <v>133</v>
      </c>
      <c r="H921" s="126">
        <v>0</v>
      </c>
      <c r="I921" s="126">
        <v>36.840000000000003</v>
      </c>
      <c r="J921" s="126">
        <v>0</v>
      </c>
      <c r="K921" s="126">
        <v>1.7</v>
      </c>
      <c r="L921" s="126">
        <f t="shared" si="292"/>
        <v>361</v>
      </c>
      <c r="M921" s="126">
        <f t="shared" si="293"/>
        <v>133</v>
      </c>
      <c r="N921" s="171">
        <f t="shared" si="294"/>
        <v>0.36840000000000001</v>
      </c>
      <c r="O921" s="132">
        <f t="shared" si="295"/>
        <v>1.7</v>
      </c>
      <c r="P921" s="177">
        <f t="shared" si="296"/>
        <v>0</v>
      </c>
      <c r="Q921" s="177">
        <f t="shared" si="297"/>
        <v>1.7</v>
      </c>
      <c r="S921" s="233" t="b">
        <f t="shared" si="283"/>
        <v>0</v>
      </c>
    </row>
    <row r="922" spans="1:19">
      <c r="A922" s="126" t="s">
        <v>3882</v>
      </c>
      <c r="B922" s="126" t="str">
        <f t="shared" si="291"/>
        <v>D0331</v>
      </c>
      <c r="C922" s="126">
        <v>3709</v>
      </c>
      <c r="D922" s="126" t="s">
        <v>2085</v>
      </c>
      <c r="E922" s="126">
        <v>360</v>
      </c>
      <c r="F922" s="126">
        <v>0</v>
      </c>
      <c r="G922" s="126">
        <v>177</v>
      </c>
      <c r="H922" s="126">
        <v>0</v>
      </c>
      <c r="I922" s="126">
        <v>49.17</v>
      </c>
      <c r="J922" s="126">
        <v>0</v>
      </c>
      <c r="K922" s="126">
        <v>17.600000000000001</v>
      </c>
      <c r="L922" s="126">
        <f t="shared" si="292"/>
        <v>360</v>
      </c>
      <c r="M922" s="126">
        <f t="shared" si="293"/>
        <v>177</v>
      </c>
      <c r="N922" s="171">
        <f t="shared" si="294"/>
        <v>0.49170000000000003</v>
      </c>
      <c r="O922" s="132">
        <f t="shared" si="295"/>
        <v>17.600000000000001</v>
      </c>
      <c r="P922" s="177">
        <f t="shared" si="296"/>
        <v>0</v>
      </c>
      <c r="Q922" s="177">
        <f t="shared" si="297"/>
        <v>17.600000000000001</v>
      </c>
      <c r="S922" s="233" t="b">
        <f t="shared" si="283"/>
        <v>0</v>
      </c>
    </row>
    <row r="923" spans="1:19">
      <c r="A923" s="126" t="s">
        <v>3882</v>
      </c>
      <c r="B923" s="126" t="str">
        <f t="shared" si="291"/>
        <v>D0331</v>
      </c>
      <c r="C923" s="126">
        <v>3710</v>
      </c>
      <c r="D923" s="126" t="s">
        <v>2087</v>
      </c>
      <c r="E923" s="126">
        <v>80</v>
      </c>
      <c r="F923" s="126">
        <v>0</v>
      </c>
      <c r="G923" s="126">
        <v>25</v>
      </c>
      <c r="H923" s="126">
        <v>0</v>
      </c>
      <c r="I923" s="126">
        <v>31.25</v>
      </c>
      <c r="J923" s="126">
        <v>0</v>
      </c>
      <c r="K923" s="126">
        <v>0</v>
      </c>
      <c r="L923" s="126">
        <f t="shared" si="292"/>
        <v>80</v>
      </c>
      <c r="M923" s="126">
        <f t="shared" si="293"/>
        <v>25</v>
      </c>
      <c r="N923" s="171">
        <f t="shared" si="294"/>
        <v>0.3125</v>
      </c>
      <c r="O923" s="132">
        <f t="shared" si="295"/>
        <v>0</v>
      </c>
      <c r="P923" s="177">
        <f t="shared" si="296"/>
        <v>0</v>
      </c>
      <c r="Q923" s="177">
        <f t="shared" si="297"/>
        <v>0</v>
      </c>
      <c r="S923" s="233" t="b">
        <f t="shared" si="283"/>
        <v>0</v>
      </c>
    </row>
    <row r="924" spans="1:19">
      <c r="A924" s="126" t="s">
        <v>3882</v>
      </c>
      <c r="B924" s="126" t="str">
        <f t="shared" si="291"/>
        <v>D0331</v>
      </c>
      <c r="C924" s="126">
        <v>3711</v>
      </c>
      <c r="D924" s="126" t="s">
        <v>2089</v>
      </c>
      <c r="E924" s="126">
        <v>40</v>
      </c>
      <c r="F924" s="126">
        <v>0</v>
      </c>
      <c r="G924" s="126">
        <v>9</v>
      </c>
      <c r="H924" s="126">
        <v>0</v>
      </c>
      <c r="I924" s="126">
        <v>22.5</v>
      </c>
      <c r="J924" s="126">
        <v>0</v>
      </c>
      <c r="K924" s="126">
        <v>0</v>
      </c>
      <c r="L924" s="126">
        <f t="shared" si="292"/>
        <v>40</v>
      </c>
      <c r="M924" s="126">
        <f t="shared" si="293"/>
        <v>9</v>
      </c>
      <c r="N924" s="171">
        <f t="shared" si="294"/>
        <v>0.22500000000000001</v>
      </c>
      <c r="O924" s="132">
        <f t="shared" si="295"/>
        <v>0</v>
      </c>
      <c r="P924" s="177">
        <f t="shared" si="296"/>
        <v>0</v>
      </c>
      <c r="Q924" s="177">
        <f t="shared" si="297"/>
        <v>0</v>
      </c>
      <c r="S924" s="233" t="b">
        <f t="shared" si="283"/>
        <v>0</v>
      </c>
    </row>
    <row r="925" spans="1:19">
      <c r="A925" s="126" t="s">
        <v>3882</v>
      </c>
      <c r="B925" s="126" t="str">
        <f t="shared" si="291"/>
        <v>D0331</v>
      </c>
      <c r="C925" s="126">
        <v>3712</v>
      </c>
      <c r="D925" s="126" t="s">
        <v>2091</v>
      </c>
      <c r="E925" s="126">
        <v>135</v>
      </c>
      <c r="F925" s="126">
        <v>0</v>
      </c>
      <c r="G925" s="126">
        <v>42</v>
      </c>
      <c r="H925" s="126">
        <v>0</v>
      </c>
      <c r="I925" s="126">
        <v>31.11</v>
      </c>
      <c r="J925" s="126">
        <v>0</v>
      </c>
      <c r="K925" s="126">
        <v>0</v>
      </c>
      <c r="L925" s="126">
        <f t="shared" si="292"/>
        <v>135</v>
      </c>
      <c r="M925" s="126">
        <f t="shared" si="293"/>
        <v>42</v>
      </c>
      <c r="N925" s="171">
        <f t="shared" si="294"/>
        <v>0.31109999999999999</v>
      </c>
      <c r="O925" s="132">
        <f t="shared" si="295"/>
        <v>0</v>
      </c>
      <c r="P925" s="177">
        <f t="shared" si="296"/>
        <v>0</v>
      </c>
      <c r="Q925" s="177">
        <f t="shared" si="297"/>
        <v>0</v>
      </c>
      <c r="S925" s="233" t="b">
        <f t="shared" si="283"/>
        <v>0</v>
      </c>
    </row>
    <row r="926" spans="1:19">
      <c r="A926" s="126" t="s">
        <v>3882</v>
      </c>
      <c r="B926" s="126" t="str">
        <f t="shared" si="291"/>
        <v>D0331</v>
      </c>
      <c r="C926" s="126">
        <v>3716</v>
      </c>
      <c r="D926" s="126" t="s">
        <v>2095</v>
      </c>
      <c r="E926" s="126">
        <v>225</v>
      </c>
      <c r="F926" s="126">
        <v>0</v>
      </c>
      <c r="G926" s="126">
        <v>56</v>
      </c>
      <c r="H926" s="126">
        <v>0</v>
      </c>
      <c r="I926" s="126">
        <v>24.89</v>
      </c>
      <c r="J926" s="126">
        <v>0</v>
      </c>
      <c r="K926" s="126">
        <v>0</v>
      </c>
      <c r="L926" s="126">
        <f t="shared" si="292"/>
        <v>225</v>
      </c>
      <c r="M926" s="126">
        <f t="shared" si="293"/>
        <v>56</v>
      </c>
      <c r="N926" s="171">
        <f t="shared" si="294"/>
        <v>0.24890000000000001</v>
      </c>
      <c r="O926" s="132">
        <f t="shared" si="295"/>
        <v>0</v>
      </c>
      <c r="P926" s="177">
        <f t="shared" si="296"/>
        <v>0</v>
      </c>
      <c r="Q926" s="177">
        <f t="shared" si="297"/>
        <v>0</v>
      </c>
      <c r="S926" s="233" t="b">
        <f t="shared" si="283"/>
        <v>0</v>
      </c>
    </row>
    <row r="927" spans="1:19">
      <c r="A927" s="126" t="s">
        <v>3882</v>
      </c>
      <c r="B927" s="126" t="str">
        <f t="shared" si="291"/>
        <v>D0331</v>
      </c>
      <c r="C927" s="126">
        <v>3724</v>
      </c>
      <c r="D927" s="126" t="s">
        <v>2097</v>
      </c>
      <c r="E927" s="126">
        <v>76</v>
      </c>
      <c r="F927" s="126">
        <v>0</v>
      </c>
      <c r="G927" s="126">
        <v>13</v>
      </c>
      <c r="H927" s="126">
        <v>0</v>
      </c>
      <c r="I927" s="126">
        <v>17.11</v>
      </c>
      <c r="J927" s="126">
        <v>0</v>
      </c>
      <c r="K927" s="126">
        <v>0</v>
      </c>
      <c r="L927" s="126">
        <f t="shared" si="292"/>
        <v>76</v>
      </c>
      <c r="M927" s="126">
        <f t="shared" si="293"/>
        <v>13</v>
      </c>
      <c r="N927" s="171">
        <f t="shared" si="294"/>
        <v>0.1711</v>
      </c>
      <c r="O927" s="132">
        <f t="shared" si="295"/>
        <v>0</v>
      </c>
      <c r="P927" s="177">
        <f t="shared" si="296"/>
        <v>0</v>
      </c>
      <c r="Q927" s="177">
        <f t="shared" si="297"/>
        <v>0</v>
      </c>
      <c r="S927" s="233" t="b">
        <f t="shared" si="283"/>
        <v>0</v>
      </c>
    </row>
    <row r="928" spans="1:19">
      <c r="A928" s="126" t="s">
        <v>3940</v>
      </c>
      <c r="B928" s="126" t="str">
        <f t="shared" ref="B928:B933" si="298">LEFT(A928,5)</f>
        <v>D0428</v>
      </c>
      <c r="C928" s="126">
        <v>6559</v>
      </c>
      <c r="D928" s="126" t="s">
        <v>2709</v>
      </c>
      <c r="E928" s="126">
        <v>267</v>
      </c>
      <c r="F928" s="126">
        <v>0</v>
      </c>
      <c r="G928" s="126">
        <v>57</v>
      </c>
      <c r="H928" s="126">
        <v>0</v>
      </c>
      <c r="I928" s="126">
        <v>21.35</v>
      </c>
      <c r="J928" s="126">
        <v>0</v>
      </c>
      <c r="K928" s="126">
        <v>0</v>
      </c>
      <c r="L928" s="126">
        <f t="shared" si="292"/>
        <v>267</v>
      </c>
      <c r="M928" s="126">
        <f t="shared" si="293"/>
        <v>57</v>
      </c>
      <c r="N928" s="171">
        <f t="shared" si="294"/>
        <v>0.2135</v>
      </c>
      <c r="O928" s="132">
        <f t="shared" si="295"/>
        <v>0</v>
      </c>
      <c r="P928" s="177">
        <f t="shared" si="296"/>
        <v>0</v>
      </c>
      <c r="Q928" s="177">
        <f t="shared" si="297"/>
        <v>0</v>
      </c>
      <c r="S928" s="233" t="b">
        <f t="shared" si="283"/>
        <v>0</v>
      </c>
    </row>
    <row r="929" spans="1:19">
      <c r="A929" s="126" t="s">
        <v>3940</v>
      </c>
      <c r="B929" s="126" t="str">
        <f t="shared" si="298"/>
        <v>D0428</v>
      </c>
      <c r="C929" s="126">
        <v>6560</v>
      </c>
      <c r="D929" s="126" t="s">
        <v>2711</v>
      </c>
      <c r="E929" s="126">
        <v>125</v>
      </c>
      <c r="F929" s="126">
        <v>0</v>
      </c>
      <c r="G929" s="126">
        <v>14</v>
      </c>
      <c r="H929" s="126">
        <v>0</v>
      </c>
      <c r="I929" s="126">
        <v>11.2</v>
      </c>
      <c r="J929" s="126">
        <v>0</v>
      </c>
      <c r="K929" s="126">
        <v>0</v>
      </c>
      <c r="L929" s="126">
        <f t="shared" si="292"/>
        <v>125</v>
      </c>
      <c r="M929" s="126">
        <f t="shared" si="293"/>
        <v>14</v>
      </c>
      <c r="N929" s="171">
        <f t="shared" si="294"/>
        <v>0.112</v>
      </c>
      <c r="O929" s="132">
        <f t="shared" si="295"/>
        <v>0</v>
      </c>
      <c r="P929" s="177">
        <f t="shared" si="296"/>
        <v>0</v>
      </c>
      <c r="Q929" s="177">
        <f t="shared" si="297"/>
        <v>0</v>
      </c>
      <c r="S929" s="233" t="b">
        <f t="shared" si="283"/>
        <v>0</v>
      </c>
    </row>
    <row r="930" spans="1:19">
      <c r="A930" s="126" t="s">
        <v>3942</v>
      </c>
      <c r="B930" s="126" t="str">
        <f t="shared" si="298"/>
        <v>D0482</v>
      </c>
      <c r="C930" s="126">
        <v>7778</v>
      </c>
      <c r="D930" s="126" t="s">
        <v>3021</v>
      </c>
      <c r="E930" s="126">
        <v>145</v>
      </c>
      <c r="F930" s="126">
        <v>0</v>
      </c>
      <c r="G930" s="126">
        <v>54</v>
      </c>
      <c r="H930" s="126">
        <v>0</v>
      </c>
      <c r="I930" s="126">
        <v>37.24</v>
      </c>
      <c r="J930" s="126">
        <v>0</v>
      </c>
      <c r="K930" s="126">
        <v>0.8</v>
      </c>
      <c r="L930" s="126">
        <f t="shared" si="292"/>
        <v>145</v>
      </c>
      <c r="M930" s="126">
        <f t="shared" si="293"/>
        <v>54</v>
      </c>
      <c r="N930" s="171">
        <f t="shared" si="294"/>
        <v>0.37240000000000001</v>
      </c>
      <c r="O930" s="132">
        <f t="shared" si="295"/>
        <v>0.8</v>
      </c>
      <c r="P930" s="177">
        <f t="shared" si="296"/>
        <v>0</v>
      </c>
      <c r="Q930" s="177">
        <f t="shared" si="297"/>
        <v>0.8</v>
      </c>
      <c r="S930" s="233" t="b">
        <f t="shared" si="283"/>
        <v>0</v>
      </c>
    </row>
    <row r="931" spans="1:19">
      <c r="A931" s="126" t="s">
        <v>3942</v>
      </c>
      <c r="B931" s="126" t="str">
        <f t="shared" si="298"/>
        <v>D0482</v>
      </c>
      <c r="C931" s="126">
        <v>7782</v>
      </c>
      <c r="D931" s="126" t="s">
        <v>3023</v>
      </c>
      <c r="E931" s="126">
        <v>96</v>
      </c>
      <c r="F931" s="126">
        <v>0</v>
      </c>
      <c r="G931" s="126">
        <v>30</v>
      </c>
      <c r="H931" s="126">
        <v>0</v>
      </c>
      <c r="I931" s="126">
        <v>31.25</v>
      </c>
      <c r="J931" s="126">
        <v>0</v>
      </c>
      <c r="K931" s="126">
        <v>0</v>
      </c>
      <c r="L931" s="126">
        <f t="shared" si="292"/>
        <v>96</v>
      </c>
      <c r="M931" s="126">
        <f t="shared" si="293"/>
        <v>30</v>
      </c>
      <c r="N931" s="171">
        <f t="shared" si="294"/>
        <v>0.3125</v>
      </c>
      <c r="O931" s="132">
        <f t="shared" si="295"/>
        <v>0</v>
      </c>
      <c r="P931" s="177">
        <f t="shared" si="296"/>
        <v>0</v>
      </c>
      <c r="Q931" s="177">
        <f t="shared" si="297"/>
        <v>0</v>
      </c>
      <c r="S931" s="233" t="b">
        <f t="shared" si="283"/>
        <v>0</v>
      </c>
    </row>
    <row r="932" spans="1:19">
      <c r="A932" s="126" t="s">
        <v>3913</v>
      </c>
      <c r="B932" s="126" t="str">
        <f t="shared" si="298"/>
        <v>D0350</v>
      </c>
      <c r="C932" s="126">
        <v>4180</v>
      </c>
      <c r="D932" s="126" t="s">
        <v>2200</v>
      </c>
      <c r="E932" s="126">
        <v>184</v>
      </c>
      <c r="F932" s="126">
        <v>0</v>
      </c>
      <c r="G932" s="126">
        <v>74</v>
      </c>
      <c r="H932" s="126">
        <v>0</v>
      </c>
      <c r="I932" s="126">
        <v>40.22</v>
      </c>
      <c r="J932" s="126">
        <v>0</v>
      </c>
      <c r="K932" s="126">
        <v>2.7</v>
      </c>
      <c r="L932" s="126">
        <f t="shared" ref="L932:L933" si="299">SUM(E932:F932)</f>
        <v>184</v>
      </c>
      <c r="M932" s="126">
        <f t="shared" ref="M932:M933" si="300">SUM(G932:H932)</f>
        <v>74</v>
      </c>
      <c r="N932" s="171">
        <f t="shared" ref="N932:N933" si="301">IF(ISERROR(M932/L932),0,M932/L932)</f>
        <v>0.4022</v>
      </c>
      <c r="O932" s="132">
        <f t="shared" ref="O932:O933" si="302">IF(AND((N932-35%)&gt;0,N932&lt;50%),M932*(N932-35%)*0.7,0)</f>
        <v>2.7</v>
      </c>
      <c r="P932" s="177">
        <f t="shared" ref="P932:P933" si="303">IF(N932&gt;=50%,M932*10.5%,0)</f>
        <v>0</v>
      </c>
      <c r="Q932" s="177">
        <f t="shared" ref="Q932:Q933" si="304">MAX(O932,P932)</f>
        <v>2.7</v>
      </c>
      <c r="S932" s="233" t="b">
        <f t="shared" si="283"/>
        <v>0</v>
      </c>
    </row>
    <row r="933" spans="1:19">
      <c r="A933" s="126" t="s">
        <v>3913</v>
      </c>
      <c r="B933" s="126" t="str">
        <f t="shared" si="298"/>
        <v>D0350</v>
      </c>
      <c r="C933" s="126">
        <v>4182</v>
      </c>
      <c r="D933" s="126" t="s">
        <v>2202</v>
      </c>
      <c r="E933" s="126">
        <v>146</v>
      </c>
      <c r="F933" s="126">
        <v>0</v>
      </c>
      <c r="G933" s="126">
        <v>59</v>
      </c>
      <c r="H933" s="126">
        <v>0</v>
      </c>
      <c r="I933" s="126">
        <v>40.409999999999997</v>
      </c>
      <c r="J933" s="126">
        <v>0</v>
      </c>
      <c r="K933" s="126">
        <v>2.2000000000000002</v>
      </c>
      <c r="L933" s="126">
        <f t="shared" si="299"/>
        <v>146</v>
      </c>
      <c r="M933" s="126">
        <f t="shared" si="300"/>
        <v>59</v>
      </c>
      <c r="N933" s="171">
        <f t="shared" si="301"/>
        <v>0.40410000000000001</v>
      </c>
      <c r="O933" s="132">
        <f t="shared" si="302"/>
        <v>2.2000000000000002</v>
      </c>
      <c r="P933" s="177">
        <f t="shared" si="303"/>
        <v>0</v>
      </c>
      <c r="Q933" s="177">
        <f t="shared" si="304"/>
        <v>2.2000000000000002</v>
      </c>
      <c r="S933" s="233" t="b">
        <f t="shared" si="283"/>
        <v>0</v>
      </c>
    </row>
    <row r="934" spans="1:19">
      <c r="A934" s="126" t="s">
        <v>3908</v>
      </c>
      <c r="B934" s="126" t="str">
        <f t="shared" ref="B934:B975" si="305">LEFT(A934,5)</f>
        <v>D0305</v>
      </c>
      <c r="C934" s="126">
        <v>2985</v>
      </c>
      <c r="D934" s="126" t="s">
        <v>1927</v>
      </c>
      <c r="E934" s="126">
        <v>402</v>
      </c>
      <c r="F934" s="126">
        <v>0</v>
      </c>
      <c r="G934" s="126">
        <v>107</v>
      </c>
      <c r="H934" s="126">
        <v>0</v>
      </c>
      <c r="I934" s="126">
        <v>26.62</v>
      </c>
      <c r="J934" s="126">
        <v>0</v>
      </c>
      <c r="K934" s="126">
        <v>0</v>
      </c>
      <c r="L934" s="126">
        <f t="shared" ref="L934:L958" si="306">SUM(E934:F934)</f>
        <v>402</v>
      </c>
      <c r="M934" s="126">
        <f t="shared" ref="M934:M958" si="307">SUM(G934:H934)</f>
        <v>107</v>
      </c>
      <c r="N934" s="171">
        <f t="shared" ref="N934:N958" si="308">IF(ISERROR(M934/L934),0,M934/L934)</f>
        <v>0.26619999999999999</v>
      </c>
      <c r="O934" s="132">
        <f t="shared" ref="O934:O958" si="309">IF(AND((N934-35%)&gt;0,N934&lt;50%),M934*(N934-35%)*0.7,0)</f>
        <v>0</v>
      </c>
      <c r="P934" s="177">
        <f t="shared" ref="P934:P958" si="310">IF(N934&gt;=50%,M934*10.5%,0)</f>
        <v>0</v>
      </c>
      <c r="Q934" s="177">
        <f t="shared" ref="Q934:Q958" si="311">MAX(O934,P934)</f>
        <v>0</v>
      </c>
      <c r="S934" s="233" t="b">
        <f t="shared" si="283"/>
        <v>0</v>
      </c>
    </row>
    <row r="935" spans="1:19">
      <c r="A935" s="126" t="s">
        <v>3908</v>
      </c>
      <c r="B935" s="126" t="str">
        <f t="shared" si="305"/>
        <v>D0305</v>
      </c>
      <c r="C935" s="126">
        <v>2994</v>
      </c>
      <c r="D935" s="126" t="s">
        <v>1929</v>
      </c>
      <c r="E935" s="126">
        <v>433</v>
      </c>
      <c r="F935" s="126">
        <v>0</v>
      </c>
      <c r="G935" s="126">
        <v>190</v>
      </c>
      <c r="H935" s="126">
        <v>0</v>
      </c>
      <c r="I935" s="126">
        <v>43.88</v>
      </c>
      <c r="J935" s="126">
        <v>0</v>
      </c>
      <c r="K935" s="126">
        <v>11.8</v>
      </c>
      <c r="L935" s="126">
        <f t="shared" si="306"/>
        <v>433</v>
      </c>
      <c r="M935" s="126">
        <f t="shared" si="307"/>
        <v>190</v>
      </c>
      <c r="N935" s="171">
        <f t="shared" si="308"/>
        <v>0.43880000000000002</v>
      </c>
      <c r="O935" s="132">
        <f t="shared" si="309"/>
        <v>11.8</v>
      </c>
      <c r="P935" s="177">
        <f t="shared" si="310"/>
        <v>0</v>
      </c>
      <c r="Q935" s="177">
        <f t="shared" si="311"/>
        <v>11.8</v>
      </c>
      <c r="S935" s="233" t="b">
        <f t="shared" si="283"/>
        <v>0</v>
      </c>
    </row>
    <row r="936" spans="1:19">
      <c r="A936" s="126" t="s">
        <v>3908</v>
      </c>
      <c r="B936" s="126" t="str">
        <f t="shared" si="305"/>
        <v>D0305</v>
      </c>
      <c r="C936" s="126">
        <v>3000</v>
      </c>
      <c r="D936" s="126" t="s">
        <v>1931</v>
      </c>
      <c r="E936" s="126">
        <v>460</v>
      </c>
      <c r="F936" s="126">
        <v>0</v>
      </c>
      <c r="G936" s="126">
        <v>125</v>
      </c>
      <c r="H936" s="126">
        <v>0</v>
      </c>
      <c r="I936" s="126">
        <v>27.17</v>
      </c>
      <c r="J936" s="126">
        <v>0</v>
      </c>
      <c r="K936" s="126">
        <v>0</v>
      </c>
      <c r="L936" s="126">
        <f t="shared" si="306"/>
        <v>460</v>
      </c>
      <c r="M936" s="126">
        <f t="shared" si="307"/>
        <v>125</v>
      </c>
      <c r="N936" s="171">
        <f t="shared" si="308"/>
        <v>0.2717</v>
      </c>
      <c r="O936" s="132">
        <f t="shared" si="309"/>
        <v>0</v>
      </c>
      <c r="P936" s="177">
        <f t="shared" si="310"/>
        <v>0</v>
      </c>
      <c r="Q936" s="177">
        <f t="shared" si="311"/>
        <v>0</v>
      </c>
      <c r="S936" s="233" t="b">
        <f t="shared" si="283"/>
        <v>0</v>
      </c>
    </row>
    <row r="937" spans="1:19">
      <c r="A937" s="126" t="s">
        <v>3908</v>
      </c>
      <c r="B937" s="126" t="str">
        <f t="shared" si="305"/>
        <v>D0305</v>
      </c>
      <c r="C937" s="126">
        <v>3002</v>
      </c>
      <c r="D937" s="126" t="s">
        <v>1933</v>
      </c>
      <c r="E937" s="126">
        <v>340</v>
      </c>
      <c r="F937" s="126">
        <v>0</v>
      </c>
      <c r="G937" s="126">
        <v>242</v>
      </c>
      <c r="H937" s="126">
        <v>0</v>
      </c>
      <c r="I937" s="126">
        <v>71.180000000000007</v>
      </c>
      <c r="J937" s="126">
        <v>25.4</v>
      </c>
      <c r="K937" s="126">
        <v>0</v>
      </c>
      <c r="L937" s="126">
        <f t="shared" si="306"/>
        <v>340</v>
      </c>
      <c r="M937" s="126">
        <f t="shared" si="307"/>
        <v>242</v>
      </c>
      <c r="N937" s="171">
        <f t="shared" si="308"/>
        <v>0.71179999999999999</v>
      </c>
      <c r="O937" s="132">
        <f t="shared" si="309"/>
        <v>0</v>
      </c>
      <c r="P937" s="177">
        <f t="shared" si="310"/>
        <v>25.4</v>
      </c>
      <c r="Q937" s="177">
        <f t="shared" si="311"/>
        <v>25.4</v>
      </c>
      <c r="S937" s="233" t="b">
        <f t="shared" si="283"/>
        <v>0</v>
      </c>
    </row>
    <row r="938" spans="1:19">
      <c r="A938" s="126" t="s">
        <v>3908</v>
      </c>
      <c r="B938" s="126" t="str">
        <f t="shared" si="305"/>
        <v>D0305</v>
      </c>
      <c r="C938" s="126">
        <v>3008</v>
      </c>
      <c r="D938" s="126" t="s">
        <v>1935</v>
      </c>
      <c r="E938" s="126">
        <v>421</v>
      </c>
      <c r="F938" s="126">
        <v>0</v>
      </c>
      <c r="G938" s="126">
        <v>264</v>
      </c>
      <c r="H938" s="126">
        <v>0</v>
      </c>
      <c r="I938" s="126">
        <v>62.71</v>
      </c>
      <c r="J938" s="126">
        <v>27.7</v>
      </c>
      <c r="K938" s="126">
        <v>0</v>
      </c>
      <c r="L938" s="126">
        <f t="shared" si="306"/>
        <v>421</v>
      </c>
      <c r="M938" s="126">
        <f t="shared" si="307"/>
        <v>264</v>
      </c>
      <c r="N938" s="171">
        <f t="shared" si="308"/>
        <v>0.62709999999999999</v>
      </c>
      <c r="O938" s="132">
        <f t="shared" si="309"/>
        <v>0</v>
      </c>
      <c r="P938" s="177">
        <f t="shared" si="310"/>
        <v>27.7</v>
      </c>
      <c r="Q938" s="177">
        <f t="shared" si="311"/>
        <v>27.7</v>
      </c>
      <c r="S938" s="233" t="b">
        <f t="shared" si="283"/>
        <v>0</v>
      </c>
    </row>
    <row r="939" spans="1:19">
      <c r="A939" s="126" t="s">
        <v>3908</v>
      </c>
      <c r="B939" s="126" t="str">
        <f t="shared" si="305"/>
        <v>D0305</v>
      </c>
      <c r="C939" s="126">
        <v>3014</v>
      </c>
      <c r="D939" s="126" t="s">
        <v>1937</v>
      </c>
      <c r="E939" s="126">
        <v>446</v>
      </c>
      <c r="F939" s="126">
        <v>0</v>
      </c>
      <c r="G939" s="126">
        <v>138</v>
      </c>
      <c r="H939" s="126">
        <v>0</v>
      </c>
      <c r="I939" s="126">
        <v>30.94</v>
      </c>
      <c r="J939" s="126">
        <v>0</v>
      </c>
      <c r="K939" s="126">
        <v>0</v>
      </c>
      <c r="L939" s="126">
        <f t="shared" si="306"/>
        <v>446</v>
      </c>
      <c r="M939" s="126">
        <f t="shared" si="307"/>
        <v>138</v>
      </c>
      <c r="N939" s="171">
        <f t="shared" si="308"/>
        <v>0.30940000000000001</v>
      </c>
      <c r="O939" s="132">
        <f t="shared" si="309"/>
        <v>0</v>
      </c>
      <c r="P939" s="177">
        <f t="shared" si="310"/>
        <v>0</v>
      </c>
      <c r="Q939" s="177">
        <f t="shared" si="311"/>
        <v>0</v>
      </c>
      <c r="S939" s="233" t="b">
        <f t="shared" si="283"/>
        <v>0</v>
      </c>
    </row>
    <row r="940" spans="1:19">
      <c r="A940" s="126" t="s">
        <v>3908</v>
      </c>
      <c r="B940" s="126" t="str">
        <f t="shared" si="305"/>
        <v>D0305</v>
      </c>
      <c r="C940" s="126">
        <v>3018</v>
      </c>
      <c r="D940" s="126" t="s">
        <v>1939</v>
      </c>
      <c r="E940" s="126">
        <v>412</v>
      </c>
      <c r="F940" s="126">
        <v>0</v>
      </c>
      <c r="G940" s="126">
        <v>226</v>
      </c>
      <c r="H940" s="126">
        <v>0</v>
      </c>
      <c r="I940" s="126">
        <v>54.85</v>
      </c>
      <c r="J940" s="126">
        <v>23.7</v>
      </c>
      <c r="K940" s="126">
        <v>0</v>
      </c>
      <c r="L940" s="126">
        <f t="shared" si="306"/>
        <v>412</v>
      </c>
      <c r="M940" s="126">
        <f t="shared" si="307"/>
        <v>226</v>
      </c>
      <c r="N940" s="171">
        <f t="shared" si="308"/>
        <v>0.54849999999999999</v>
      </c>
      <c r="O940" s="132">
        <f t="shared" si="309"/>
        <v>0</v>
      </c>
      <c r="P940" s="177">
        <f t="shared" si="310"/>
        <v>23.7</v>
      </c>
      <c r="Q940" s="177">
        <f t="shared" si="311"/>
        <v>23.7</v>
      </c>
      <c r="S940" s="233" t="b">
        <f t="shared" si="283"/>
        <v>0</v>
      </c>
    </row>
    <row r="941" spans="1:19">
      <c r="A941" s="126" t="s">
        <v>3908</v>
      </c>
      <c r="B941" s="126" t="str">
        <f t="shared" si="305"/>
        <v>D0305</v>
      </c>
      <c r="C941" s="126">
        <v>3020</v>
      </c>
      <c r="D941" s="126" t="s">
        <v>2998</v>
      </c>
      <c r="E941" s="126">
        <v>464</v>
      </c>
      <c r="F941" s="126">
        <v>0</v>
      </c>
      <c r="G941" s="126">
        <v>319</v>
      </c>
      <c r="H941" s="126">
        <v>0</v>
      </c>
      <c r="I941" s="126">
        <v>68.75</v>
      </c>
      <c r="J941" s="126">
        <v>33.5</v>
      </c>
      <c r="K941" s="126">
        <v>0</v>
      </c>
      <c r="L941" s="126">
        <f t="shared" si="306"/>
        <v>464</v>
      </c>
      <c r="M941" s="126">
        <f t="shared" si="307"/>
        <v>319</v>
      </c>
      <c r="N941" s="171">
        <f t="shared" si="308"/>
        <v>0.6875</v>
      </c>
      <c r="O941" s="132">
        <f t="shared" si="309"/>
        <v>0</v>
      </c>
      <c r="P941" s="177">
        <f t="shared" si="310"/>
        <v>33.5</v>
      </c>
      <c r="Q941" s="177">
        <f t="shared" si="311"/>
        <v>33.5</v>
      </c>
      <c r="S941" s="233" t="b">
        <f t="shared" si="283"/>
        <v>0</v>
      </c>
    </row>
    <row r="942" spans="1:19">
      <c r="A942" s="126" t="s">
        <v>3908</v>
      </c>
      <c r="B942" s="126" t="str">
        <f t="shared" si="305"/>
        <v>D0305</v>
      </c>
      <c r="C942" s="126">
        <v>3022</v>
      </c>
      <c r="D942" s="126" t="s">
        <v>1942</v>
      </c>
      <c r="E942" s="126">
        <v>781</v>
      </c>
      <c r="F942" s="126">
        <v>0</v>
      </c>
      <c r="G942" s="126">
        <v>408</v>
      </c>
      <c r="H942" s="126">
        <v>0</v>
      </c>
      <c r="I942" s="126">
        <v>52.24</v>
      </c>
      <c r="J942" s="126">
        <v>42.8</v>
      </c>
      <c r="K942" s="126">
        <v>0</v>
      </c>
      <c r="L942" s="126">
        <f t="shared" si="306"/>
        <v>781</v>
      </c>
      <c r="M942" s="126">
        <f t="shared" si="307"/>
        <v>408</v>
      </c>
      <c r="N942" s="171">
        <f t="shared" si="308"/>
        <v>0.52239999999999998</v>
      </c>
      <c r="O942" s="132">
        <f t="shared" si="309"/>
        <v>0</v>
      </c>
      <c r="P942" s="177">
        <f t="shared" si="310"/>
        <v>42.8</v>
      </c>
      <c r="Q942" s="177">
        <f t="shared" si="311"/>
        <v>42.8</v>
      </c>
      <c r="S942" s="233" t="b">
        <f t="shared" si="283"/>
        <v>0</v>
      </c>
    </row>
    <row r="943" spans="1:19">
      <c r="A943" s="126" t="s">
        <v>3908</v>
      </c>
      <c r="B943" s="126" t="str">
        <f t="shared" si="305"/>
        <v>D0305</v>
      </c>
      <c r="C943" s="126">
        <v>3024</v>
      </c>
      <c r="D943" s="126" t="s">
        <v>1944</v>
      </c>
      <c r="E943" s="126">
        <v>842</v>
      </c>
      <c r="F943" s="126">
        <v>0</v>
      </c>
      <c r="G943" s="126">
        <v>338</v>
      </c>
      <c r="H943" s="126">
        <v>0</v>
      </c>
      <c r="I943" s="126">
        <v>40.14</v>
      </c>
      <c r="J943" s="126">
        <v>0</v>
      </c>
      <c r="K943" s="126">
        <v>12.2</v>
      </c>
      <c r="L943" s="126">
        <f t="shared" si="306"/>
        <v>842</v>
      </c>
      <c r="M943" s="126">
        <f t="shared" si="307"/>
        <v>338</v>
      </c>
      <c r="N943" s="171">
        <f t="shared" si="308"/>
        <v>0.40139999999999998</v>
      </c>
      <c r="O943" s="132">
        <f t="shared" si="309"/>
        <v>12.2</v>
      </c>
      <c r="P943" s="177">
        <f t="shared" si="310"/>
        <v>0</v>
      </c>
      <c r="Q943" s="177">
        <f t="shared" si="311"/>
        <v>12.2</v>
      </c>
      <c r="S943" s="233" t="b">
        <f t="shared" si="283"/>
        <v>0</v>
      </c>
    </row>
    <row r="944" spans="1:19">
      <c r="A944" s="126" t="s">
        <v>3908</v>
      </c>
      <c r="B944" s="126" t="str">
        <f t="shared" si="305"/>
        <v>D0305</v>
      </c>
      <c r="C944" s="126">
        <v>3026</v>
      </c>
      <c r="D944" s="126" t="s">
        <v>1946</v>
      </c>
      <c r="E944" s="126">
        <v>1066</v>
      </c>
      <c r="F944" s="126">
        <v>0</v>
      </c>
      <c r="G944" s="126">
        <v>467</v>
      </c>
      <c r="H944" s="126">
        <v>0</v>
      </c>
      <c r="I944" s="126">
        <v>43.81</v>
      </c>
      <c r="J944" s="126">
        <v>0</v>
      </c>
      <c r="K944" s="126">
        <v>28.8</v>
      </c>
      <c r="L944" s="126">
        <f t="shared" si="306"/>
        <v>1066</v>
      </c>
      <c r="M944" s="126">
        <f t="shared" si="307"/>
        <v>467</v>
      </c>
      <c r="N944" s="171">
        <f t="shared" si="308"/>
        <v>0.43809999999999999</v>
      </c>
      <c r="O944" s="132">
        <f t="shared" si="309"/>
        <v>28.8</v>
      </c>
      <c r="P944" s="177">
        <f t="shared" si="310"/>
        <v>0</v>
      </c>
      <c r="Q944" s="177">
        <f t="shared" si="311"/>
        <v>28.8</v>
      </c>
      <c r="S944" s="233" t="b">
        <f t="shared" si="283"/>
        <v>0</v>
      </c>
    </row>
    <row r="945" spans="1:19">
      <c r="A945" s="126" t="s">
        <v>3908</v>
      </c>
      <c r="B945" s="126" t="str">
        <f t="shared" si="305"/>
        <v>D0305</v>
      </c>
      <c r="C945" s="126">
        <v>3027</v>
      </c>
      <c r="D945" s="126" t="s">
        <v>1948</v>
      </c>
      <c r="E945" s="126">
        <v>1038</v>
      </c>
      <c r="F945" s="126">
        <v>0</v>
      </c>
      <c r="G945" s="126">
        <v>398</v>
      </c>
      <c r="H945" s="126">
        <v>0</v>
      </c>
      <c r="I945" s="126">
        <v>38.340000000000003</v>
      </c>
      <c r="J945" s="126">
        <v>0</v>
      </c>
      <c r="K945" s="126">
        <v>9.3000000000000007</v>
      </c>
      <c r="L945" s="126">
        <f t="shared" si="306"/>
        <v>1038</v>
      </c>
      <c r="M945" s="126">
        <f t="shared" si="307"/>
        <v>398</v>
      </c>
      <c r="N945" s="171">
        <f t="shared" si="308"/>
        <v>0.38340000000000002</v>
      </c>
      <c r="O945" s="132">
        <f t="shared" si="309"/>
        <v>9.3000000000000007</v>
      </c>
      <c r="P945" s="177">
        <f t="shared" si="310"/>
        <v>0</v>
      </c>
      <c r="Q945" s="177">
        <f t="shared" si="311"/>
        <v>9.3000000000000007</v>
      </c>
      <c r="S945" s="233" t="b">
        <f t="shared" si="283"/>
        <v>0</v>
      </c>
    </row>
    <row r="946" spans="1:19">
      <c r="A946" s="126" t="s">
        <v>3939</v>
      </c>
      <c r="B946" s="126" t="str">
        <f t="shared" si="305"/>
        <v>D0402</v>
      </c>
      <c r="C946" s="126">
        <v>5554</v>
      </c>
      <c r="D946" s="126" t="s">
        <v>1881</v>
      </c>
      <c r="E946" s="126">
        <v>237</v>
      </c>
      <c r="F946" s="126">
        <v>0</v>
      </c>
      <c r="G946" s="126">
        <v>98</v>
      </c>
      <c r="H946" s="126">
        <v>0</v>
      </c>
      <c r="I946" s="126">
        <v>41.35</v>
      </c>
      <c r="J946" s="126">
        <v>0</v>
      </c>
      <c r="K946" s="126">
        <v>4.4000000000000004</v>
      </c>
      <c r="L946" s="126">
        <f t="shared" si="306"/>
        <v>237</v>
      </c>
      <c r="M946" s="126">
        <f t="shared" si="307"/>
        <v>98</v>
      </c>
      <c r="N946" s="171">
        <f t="shared" si="308"/>
        <v>0.41349999999999998</v>
      </c>
      <c r="O946" s="132">
        <f t="shared" si="309"/>
        <v>4.4000000000000004</v>
      </c>
      <c r="P946" s="177">
        <f t="shared" si="310"/>
        <v>0</v>
      </c>
      <c r="Q946" s="177">
        <f t="shared" si="311"/>
        <v>4.4000000000000004</v>
      </c>
      <c r="S946" s="233" t="b">
        <f t="shared" si="283"/>
        <v>0</v>
      </c>
    </row>
    <row r="947" spans="1:19">
      <c r="A947" s="126" t="s">
        <v>3939</v>
      </c>
      <c r="B947" s="126" t="str">
        <f t="shared" si="305"/>
        <v>D0402</v>
      </c>
      <c r="C947" s="126">
        <v>5555</v>
      </c>
      <c r="D947" s="126" t="s">
        <v>2507</v>
      </c>
      <c r="E947" s="126">
        <v>350</v>
      </c>
      <c r="F947" s="126">
        <v>0</v>
      </c>
      <c r="G947" s="126">
        <v>74</v>
      </c>
      <c r="H947" s="126">
        <v>0</v>
      </c>
      <c r="I947" s="126">
        <v>21.14</v>
      </c>
      <c r="J947" s="126">
        <v>0</v>
      </c>
      <c r="K947" s="126">
        <v>0</v>
      </c>
      <c r="L947" s="126">
        <f t="shared" si="306"/>
        <v>350</v>
      </c>
      <c r="M947" s="126">
        <f t="shared" si="307"/>
        <v>74</v>
      </c>
      <c r="N947" s="171">
        <f t="shared" si="308"/>
        <v>0.2114</v>
      </c>
      <c r="O947" s="132">
        <f t="shared" si="309"/>
        <v>0</v>
      </c>
      <c r="P947" s="177">
        <f t="shared" si="310"/>
        <v>0</v>
      </c>
      <c r="Q947" s="177">
        <f t="shared" si="311"/>
        <v>0</v>
      </c>
      <c r="S947" s="233" t="b">
        <f t="shared" si="283"/>
        <v>0</v>
      </c>
    </row>
    <row r="948" spans="1:19">
      <c r="A948" s="126" t="s">
        <v>3939</v>
      </c>
      <c r="B948" s="126" t="str">
        <f t="shared" si="305"/>
        <v>D0402</v>
      </c>
      <c r="C948" s="126">
        <v>5556</v>
      </c>
      <c r="D948" s="126" t="s">
        <v>1490</v>
      </c>
      <c r="E948" s="126">
        <v>229</v>
      </c>
      <c r="F948" s="126">
        <v>0</v>
      </c>
      <c r="G948" s="126">
        <v>73</v>
      </c>
      <c r="H948" s="126">
        <v>0</v>
      </c>
      <c r="I948" s="126">
        <v>31.88</v>
      </c>
      <c r="J948" s="126">
        <v>0</v>
      </c>
      <c r="K948" s="126">
        <v>0</v>
      </c>
      <c r="L948" s="126">
        <f t="shared" si="306"/>
        <v>229</v>
      </c>
      <c r="M948" s="126">
        <f t="shared" si="307"/>
        <v>73</v>
      </c>
      <c r="N948" s="171">
        <f t="shared" si="308"/>
        <v>0.31879999999999997</v>
      </c>
      <c r="O948" s="132">
        <f t="shared" si="309"/>
        <v>0</v>
      </c>
      <c r="P948" s="177">
        <f t="shared" si="310"/>
        <v>0</v>
      </c>
      <c r="Q948" s="177">
        <f t="shared" si="311"/>
        <v>0</v>
      </c>
      <c r="S948" s="233" t="b">
        <f t="shared" si="283"/>
        <v>0</v>
      </c>
    </row>
    <row r="949" spans="1:19">
      <c r="A949" s="126" t="s">
        <v>3939</v>
      </c>
      <c r="B949" s="126" t="str">
        <f t="shared" si="305"/>
        <v>D0402</v>
      </c>
      <c r="C949" s="126">
        <v>5558</v>
      </c>
      <c r="D949" s="126" t="s">
        <v>2510</v>
      </c>
      <c r="E949" s="126">
        <v>217</v>
      </c>
      <c r="F949" s="126">
        <v>0</v>
      </c>
      <c r="G949" s="126">
        <v>103</v>
      </c>
      <c r="H949" s="126">
        <v>0</v>
      </c>
      <c r="I949" s="126">
        <v>47.47</v>
      </c>
      <c r="J949" s="126">
        <v>0</v>
      </c>
      <c r="K949" s="126">
        <v>9</v>
      </c>
      <c r="L949" s="126">
        <f t="shared" si="306"/>
        <v>217</v>
      </c>
      <c r="M949" s="126">
        <f t="shared" si="307"/>
        <v>103</v>
      </c>
      <c r="N949" s="171">
        <f t="shared" si="308"/>
        <v>0.47470000000000001</v>
      </c>
      <c r="O949" s="132">
        <f t="shared" si="309"/>
        <v>9</v>
      </c>
      <c r="P949" s="177">
        <f t="shared" si="310"/>
        <v>0</v>
      </c>
      <c r="Q949" s="177">
        <f t="shared" si="311"/>
        <v>9</v>
      </c>
      <c r="S949" s="233" t="b">
        <f t="shared" si="283"/>
        <v>0</v>
      </c>
    </row>
    <row r="950" spans="1:19">
      <c r="A950" s="126" t="s">
        <v>3939</v>
      </c>
      <c r="B950" s="126" t="str">
        <f t="shared" si="305"/>
        <v>D0402</v>
      </c>
      <c r="C950" s="126">
        <v>5560</v>
      </c>
      <c r="D950" s="126" t="s">
        <v>2512</v>
      </c>
      <c r="E950" s="126">
        <v>527</v>
      </c>
      <c r="F950" s="126">
        <v>0</v>
      </c>
      <c r="G950" s="126">
        <v>151</v>
      </c>
      <c r="H950" s="126">
        <v>0</v>
      </c>
      <c r="I950" s="126">
        <v>28.65</v>
      </c>
      <c r="J950" s="126">
        <v>0</v>
      </c>
      <c r="K950" s="126">
        <v>0</v>
      </c>
      <c r="L950" s="126">
        <f t="shared" si="306"/>
        <v>527</v>
      </c>
      <c r="M950" s="126">
        <f t="shared" si="307"/>
        <v>151</v>
      </c>
      <c r="N950" s="171">
        <f t="shared" si="308"/>
        <v>0.28649999999999998</v>
      </c>
      <c r="O950" s="132">
        <f t="shared" si="309"/>
        <v>0</v>
      </c>
      <c r="P950" s="177">
        <f t="shared" si="310"/>
        <v>0</v>
      </c>
      <c r="Q950" s="177">
        <f t="shared" si="311"/>
        <v>0</v>
      </c>
      <c r="S950" s="233" t="b">
        <f t="shared" si="283"/>
        <v>0</v>
      </c>
    </row>
    <row r="951" spans="1:19">
      <c r="A951" s="126" t="s">
        <v>3939</v>
      </c>
      <c r="B951" s="126" t="str">
        <f t="shared" si="305"/>
        <v>D0402</v>
      </c>
      <c r="C951" s="126">
        <v>5562</v>
      </c>
      <c r="D951" s="126" t="s">
        <v>2514</v>
      </c>
      <c r="E951" s="126">
        <v>662</v>
      </c>
      <c r="F951" s="126">
        <v>0</v>
      </c>
      <c r="G951" s="126">
        <v>178</v>
      </c>
      <c r="H951" s="126">
        <v>0</v>
      </c>
      <c r="I951" s="126">
        <v>26.89</v>
      </c>
      <c r="J951" s="126">
        <v>0</v>
      </c>
      <c r="K951" s="126">
        <v>0</v>
      </c>
      <c r="L951" s="126">
        <f t="shared" si="306"/>
        <v>662</v>
      </c>
      <c r="M951" s="126">
        <f t="shared" si="307"/>
        <v>178</v>
      </c>
      <c r="N951" s="171">
        <f t="shared" si="308"/>
        <v>0.26889999999999997</v>
      </c>
      <c r="O951" s="132">
        <f t="shared" si="309"/>
        <v>0</v>
      </c>
      <c r="P951" s="177">
        <f t="shared" si="310"/>
        <v>0</v>
      </c>
      <c r="Q951" s="177">
        <f t="shared" si="311"/>
        <v>0</v>
      </c>
      <c r="S951" s="233" t="b">
        <f t="shared" si="283"/>
        <v>0</v>
      </c>
    </row>
    <row r="952" spans="1:19">
      <c r="A952" s="126" t="s">
        <v>3859</v>
      </c>
      <c r="B952" s="126" t="str">
        <f t="shared" si="305"/>
        <v>D0407</v>
      </c>
      <c r="C952" s="126">
        <v>5718</v>
      </c>
      <c r="D952" s="126" t="s">
        <v>2536</v>
      </c>
      <c r="E952" s="126">
        <v>266</v>
      </c>
      <c r="F952" s="126">
        <v>0</v>
      </c>
      <c r="G952" s="126">
        <v>121</v>
      </c>
      <c r="H952" s="126">
        <v>0</v>
      </c>
      <c r="I952" s="126">
        <v>45.49</v>
      </c>
      <c r="J952" s="126">
        <v>0</v>
      </c>
      <c r="K952" s="126">
        <v>8.9</v>
      </c>
      <c r="L952" s="126">
        <f t="shared" si="306"/>
        <v>266</v>
      </c>
      <c r="M952" s="126">
        <f t="shared" si="307"/>
        <v>121</v>
      </c>
      <c r="N952" s="171">
        <f t="shared" si="308"/>
        <v>0.45490000000000003</v>
      </c>
      <c r="O952" s="132">
        <f t="shared" si="309"/>
        <v>8.9</v>
      </c>
      <c r="P952" s="177">
        <f t="shared" si="310"/>
        <v>0</v>
      </c>
      <c r="Q952" s="177">
        <f t="shared" si="311"/>
        <v>8.9</v>
      </c>
      <c r="S952" s="233" t="b">
        <f t="shared" si="283"/>
        <v>0</v>
      </c>
    </row>
    <row r="953" spans="1:19">
      <c r="A953" s="126" t="s">
        <v>3859</v>
      </c>
      <c r="B953" s="126" t="str">
        <f t="shared" si="305"/>
        <v>D0407</v>
      </c>
      <c r="C953" s="126">
        <v>5720</v>
      </c>
      <c r="D953" s="126" t="s">
        <v>2538</v>
      </c>
      <c r="E953" s="126">
        <v>163</v>
      </c>
      <c r="F953" s="126">
        <v>0</v>
      </c>
      <c r="G953" s="126">
        <v>71</v>
      </c>
      <c r="H953" s="126">
        <v>0</v>
      </c>
      <c r="I953" s="126">
        <v>43.56</v>
      </c>
      <c r="J953" s="126">
        <v>0</v>
      </c>
      <c r="K953" s="126">
        <v>4.3</v>
      </c>
      <c r="L953" s="126">
        <f t="shared" si="306"/>
        <v>163</v>
      </c>
      <c r="M953" s="126">
        <f t="shared" si="307"/>
        <v>71</v>
      </c>
      <c r="N953" s="171">
        <f t="shared" si="308"/>
        <v>0.43559999999999999</v>
      </c>
      <c r="O953" s="132">
        <f t="shared" si="309"/>
        <v>4.3</v>
      </c>
      <c r="P953" s="177">
        <f t="shared" si="310"/>
        <v>0</v>
      </c>
      <c r="Q953" s="177">
        <f t="shared" si="311"/>
        <v>4.3</v>
      </c>
      <c r="S953" s="233" t="b">
        <f t="shared" si="283"/>
        <v>0</v>
      </c>
    </row>
    <row r="954" spans="1:19">
      <c r="A954" s="126" t="s">
        <v>3859</v>
      </c>
      <c r="B954" s="126" t="str">
        <f t="shared" si="305"/>
        <v>D0407</v>
      </c>
      <c r="C954" s="126">
        <v>5722</v>
      </c>
      <c r="D954" s="126" t="s">
        <v>2540</v>
      </c>
      <c r="E954" s="126">
        <v>175</v>
      </c>
      <c r="F954" s="126">
        <v>0</v>
      </c>
      <c r="G954" s="126">
        <v>88</v>
      </c>
      <c r="H954" s="126">
        <v>0</v>
      </c>
      <c r="I954" s="126">
        <v>50.29</v>
      </c>
      <c r="J954" s="126">
        <v>9.1999999999999993</v>
      </c>
      <c r="K954" s="126">
        <v>0</v>
      </c>
      <c r="L954" s="126">
        <f t="shared" si="306"/>
        <v>175</v>
      </c>
      <c r="M954" s="126">
        <f t="shared" si="307"/>
        <v>88</v>
      </c>
      <c r="N954" s="171">
        <f t="shared" si="308"/>
        <v>0.50290000000000001</v>
      </c>
      <c r="O954" s="132">
        <f t="shared" si="309"/>
        <v>0</v>
      </c>
      <c r="P954" s="177">
        <f t="shared" si="310"/>
        <v>9.1999999999999993</v>
      </c>
      <c r="Q954" s="177">
        <f t="shared" si="311"/>
        <v>9.1999999999999993</v>
      </c>
      <c r="S954" s="233" t="b">
        <f t="shared" si="283"/>
        <v>0</v>
      </c>
    </row>
    <row r="955" spans="1:19">
      <c r="A955" s="126" t="s">
        <v>3859</v>
      </c>
      <c r="B955" s="126" t="str">
        <f t="shared" si="305"/>
        <v>D0407</v>
      </c>
      <c r="C955" s="126">
        <v>5724</v>
      </c>
      <c r="D955" s="126" t="s">
        <v>2542</v>
      </c>
      <c r="E955" s="126">
        <v>253</v>
      </c>
      <c r="F955" s="126">
        <v>0</v>
      </c>
      <c r="G955" s="126">
        <v>99</v>
      </c>
      <c r="H955" s="126">
        <v>0</v>
      </c>
      <c r="I955" s="126">
        <v>39.130000000000003</v>
      </c>
      <c r="J955" s="126">
        <v>0</v>
      </c>
      <c r="K955" s="126">
        <v>2.9</v>
      </c>
      <c r="L955" s="126">
        <f t="shared" si="306"/>
        <v>253</v>
      </c>
      <c r="M955" s="126">
        <f t="shared" si="307"/>
        <v>99</v>
      </c>
      <c r="N955" s="171">
        <f t="shared" si="308"/>
        <v>0.39129999999999998</v>
      </c>
      <c r="O955" s="132">
        <f t="shared" si="309"/>
        <v>2.9</v>
      </c>
      <c r="P955" s="177">
        <f t="shared" si="310"/>
        <v>0</v>
      </c>
      <c r="Q955" s="177">
        <f t="shared" si="311"/>
        <v>2.9</v>
      </c>
      <c r="S955" s="233" t="b">
        <f t="shared" si="283"/>
        <v>0</v>
      </c>
    </row>
    <row r="956" spans="1:19">
      <c r="A956" s="126" t="s">
        <v>3928</v>
      </c>
      <c r="B956" s="126" t="str">
        <f t="shared" si="305"/>
        <v>D0487</v>
      </c>
      <c r="C956" s="126">
        <v>7888</v>
      </c>
      <c r="D956" s="126" t="s">
        <v>3031</v>
      </c>
      <c r="E956" s="126">
        <v>198</v>
      </c>
      <c r="F956" s="126">
        <v>0</v>
      </c>
      <c r="G956" s="126">
        <v>106</v>
      </c>
      <c r="H956" s="126">
        <v>0</v>
      </c>
      <c r="I956" s="126">
        <v>53.54</v>
      </c>
      <c r="J956" s="126">
        <v>11.1</v>
      </c>
      <c r="K956" s="126">
        <v>0</v>
      </c>
      <c r="L956" s="126">
        <f t="shared" si="306"/>
        <v>198</v>
      </c>
      <c r="M956" s="126">
        <f t="shared" si="307"/>
        <v>106</v>
      </c>
      <c r="N956" s="171">
        <f t="shared" si="308"/>
        <v>0.53539999999999999</v>
      </c>
      <c r="O956" s="132">
        <f t="shared" si="309"/>
        <v>0</v>
      </c>
      <c r="P956" s="177">
        <f t="shared" si="310"/>
        <v>11.1</v>
      </c>
      <c r="Q956" s="177">
        <f t="shared" si="311"/>
        <v>11.1</v>
      </c>
      <c r="S956" s="233" t="b">
        <f t="shared" si="283"/>
        <v>0</v>
      </c>
    </row>
    <row r="957" spans="1:19">
      <c r="A957" s="126" t="s">
        <v>3928</v>
      </c>
      <c r="B957" s="126" t="str">
        <f t="shared" si="305"/>
        <v>D0487</v>
      </c>
      <c r="C957" s="126">
        <v>7890</v>
      </c>
      <c r="D957" s="126" t="s">
        <v>3033</v>
      </c>
      <c r="E957" s="126">
        <v>114</v>
      </c>
      <c r="F957" s="126">
        <v>0</v>
      </c>
      <c r="G957" s="126">
        <v>58</v>
      </c>
      <c r="H957" s="126">
        <v>0</v>
      </c>
      <c r="I957" s="126">
        <v>50.88</v>
      </c>
      <c r="J957" s="126">
        <v>6.1</v>
      </c>
      <c r="K957" s="126">
        <v>0</v>
      </c>
      <c r="L957" s="126">
        <f t="shared" si="306"/>
        <v>114</v>
      </c>
      <c r="M957" s="126">
        <f t="shared" si="307"/>
        <v>58</v>
      </c>
      <c r="N957" s="171">
        <f t="shared" si="308"/>
        <v>0.50880000000000003</v>
      </c>
      <c r="O957" s="132">
        <f t="shared" si="309"/>
        <v>0</v>
      </c>
      <c r="P957" s="177">
        <f t="shared" si="310"/>
        <v>6.1</v>
      </c>
      <c r="Q957" s="177">
        <f t="shared" si="311"/>
        <v>6.1</v>
      </c>
      <c r="S957" s="233" t="b">
        <f t="shared" si="283"/>
        <v>0</v>
      </c>
    </row>
    <row r="958" spans="1:19">
      <c r="A958" s="126" t="s">
        <v>3928</v>
      </c>
      <c r="B958" s="126" t="str">
        <f t="shared" si="305"/>
        <v>D0487</v>
      </c>
      <c r="C958" s="126">
        <v>7892</v>
      </c>
      <c r="D958" s="126" t="s">
        <v>3035</v>
      </c>
      <c r="E958" s="126">
        <v>133</v>
      </c>
      <c r="F958" s="126">
        <v>0</v>
      </c>
      <c r="G958" s="126">
        <v>55</v>
      </c>
      <c r="H958" s="126">
        <v>0</v>
      </c>
      <c r="I958" s="126">
        <v>41.35</v>
      </c>
      <c r="J958" s="126">
        <v>0</v>
      </c>
      <c r="K958" s="126">
        <v>2.4</v>
      </c>
      <c r="L958" s="126">
        <f t="shared" si="306"/>
        <v>133</v>
      </c>
      <c r="M958" s="126">
        <f t="shared" si="307"/>
        <v>55</v>
      </c>
      <c r="N958" s="171">
        <f t="shared" si="308"/>
        <v>0.41349999999999998</v>
      </c>
      <c r="O958" s="132">
        <f t="shared" si="309"/>
        <v>2.4</v>
      </c>
      <c r="P958" s="177">
        <f t="shared" si="310"/>
        <v>0</v>
      </c>
      <c r="Q958" s="177">
        <f t="shared" si="311"/>
        <v>2.4</v>
      </c>
      <c r="S958" s="233" t="b">
        <f t="shared" si="283"/>
        <v>0</v>
      </c>
    </row>
    <row r="959" spans="1:19">
      <c r="A959" s="126" t="s">
        <v>3741</v>
      </c>
      <c r="B959" s="126" t="str">
        <f t="shared" si="305"/>
        <v>D0288</v>
      </c>
      <c r="C959" s="126">
        <v>2584</v>
      </c>
      <c r="D959" s="126" t="s">
        <v>1871</v>
      </c>
      <c r="E959" s="126">
        <v>275</v>
      </c>
      <c r="F959" s="126">
        <v>0</v>
      </c>
      <c r="G959" s="126">
        <v>121</v>
      </c>
      <c r="H959" s="126">
        <v>0</v>
      </c>
      <c r="I959" s="126">
        <v>44</v>
      </c>
      <c r="J959" s="126">
        <v>0</v>
      </c>
      <c r="K959" s="126">
        <v>7.6</v>
      </c>
      <c r="L959" s="126">
        <f t="shared" ref="L959:L969" si="312">SUM(E959:F959)</f>
        <v>275</v>
      </c>
      <c r="M959" s="126">
        <f t="shared" ref="M959:M969" si="313">SUM(G959:H959)</f>
        <v>121</v>
      </c>
      <c r="N959" s="171">
        <f t="shared" ref="N959:N969" si="314">IF(ISERROR(M959/L959),0,M959/L959)</f>
        <v>0.44</v>
      </c>
      <c r="O959" s="132">
        <f t="shared" ref="O959:O969" si="315">IF(AND((N959-35%)&gt;0,N959&lt;50%),M959*(N959-35%)*0.7,0)</f>
        <v>7.6</v>
      </c>
      <c r="P959" s="177">
        <f t="shared" ref="P959:P969" si="316">IF(N959&gt;=50%,M959*10.5%,0)</f>
        <v>0</v>
      </c>
      <c r="Q959" s="177">
        <f t="shared" ref="Q959:Q969" si="317">MAX(O959,P959)</f>
        <v>7.6</v>
      </c>
      <c r="S959" s="233" t="b">
        <f t="shared" si="283"/>
        <v>0</v>
      </c>
    </row>
    <row r="960" spans="1:19">
      <c r="A960" s="126" t="s">
        <v>3741</v>
      </c>
      <c r="B960" s="126" t="str">
        <f t="shared" si="305"/>
        <v>D0288</v>
      </c>
      <c r="C960" s="126">
        <v>2585</v>
      </c>
      <c r="D960" s="126" t="s">
        <v>1873</v>
      </c>
      <c r="E960" s="126">
        <v>237</v>
      </c>
      <c r="F960" s="126">
        <v>0</v>
      </c>
      <c r="G960" s="126">
        <v>115</v>
      </c>
      <c r="H960" s="126">
        <v>0</v>
      </c>
      <c r="I960" s="126">
        <v>48.52</v>
      </c>
      <c r="J960" s="126">
        <v>0</v>
      </c>
      <c r="K960" s="126">
        <v>10.9</v>
      </c>
      <c r="L960" s="126">
        <f t="shared" si="312"/>
        <v>237</v>
      </c>
      <c r="M960" s="126">
        <f t="shared" si="313"/>
        <v>115</v>
      </c>
      <c r="N960" s="171">
        <f t="shared" si="314"/>
        <v>0.48520000000000002</v>
      </c>
      <c r="O960" s="132">
        <f t="shared" si="315"/>
        <v>10.9</v>
      </c>
      <c r="P960" s="177">
        <f t="shared" si="316"/>
        <v>0</v>
      </c>
      <c r="Q960" s="177">
        <f t="shared" si="317"/>
        <v>10.9</v>
      </c>
      <c r="S960" s="233" t="b">
        <f t="shared" si="283"/>
        <v>0</v>
      </c>
    </row>
    <row r="961" spans="1:19">
      <c r="A961" s="126" t="s">
        <v>3852</v>
      </c>
      <c r="B961" s="126" t="str">
        <f t="shared" si="305"/>
        <v>D0376</v>
      </c>
      <c r="C961" s="126">
        <v>4864</v>
      </c>
      <c r="D961" s="126" t="s">
        <v>2352</v>
      </c>
      <c r="E961" s="126">
        <v>271</v>
      </c>
      <c r="F961" s="126">
        <v>0</v>
      </c>
      <c r="G961" s="126">
        <v>87</v>
      </c>
      <c r="H961" s="126">
        <v>0</v>
      </c>
      <c r="I961" s="126">
        <v>32.1</v>
      </c>
      <c r="J961" s="126">
        <v>0</v>
      </c>
      <c r="K961" s="126">
        <v>0</v>
      </c>
      <c r="L961" s="126">
        <f t="shared" si="312"/>
        <v>271</v>
      </c>
      <c r="M961" s="126">
        <f t="shared" si="313"/>
        <v>87</v>
      </c>
      <c r="N961" s="171">
        <f t="shared" si="314"/>
        <v>0.32100000000000001</v>
      </c>
      <c r="O961" s="132">
        <f t="shared" si="315"/>
        <v>0</v>
      </c>
      <c r="P961" s="177">
        <f t="shared" si="316"/>
        <v>0</v>
      </c>
      <c r="Q961" s="177">
        <f t="shared" si="317"/>
        <v>0</v>
      </c>
      <c r="S961" s="233" t="b">
        <f t="shared" si="283"/>
        <v>0</v>
      </c>
    </row>
    <row r="962" spans="1:19">
      <c r="A962" s="126" t="s">
        <v>3852</v>
      </c>
      <c r="B962" s="126" t="str">
        <f t="shared" si="305"/>
        <v>D0376</v>
      </c>
      <c r="C962" s="126">
        <v>4866</v>
      </c>
      <c r="D962" s="126" t="s">
        <v>2354</v>
      </c>
      <c r="E962" s="126">
        <v>224</v>
      </c>
      <c r="F962" s="126">
        <v>0</v>
      </c>
      <c r="G962" s="126">
        <v>52</v>
      </c>
      <c r="H962" s="126">
        <v>0</v>
      </c>
      <c r="I962" s="126">
        <v>23.21</v>
      </c>
      <c r="J962" s="126">
        <v>0</v>
      </c>
      <c r="K962" s="126">
        <v>0</v>
      </c>
      <c r="L962" s="126">
        <f t="shared" si="312"/>
        <v>224</v>
      </c>
      <c r="M962" s="126">
        <f t="shared" si="313"/>
        <v>52</v>
      </c>
      <c r="N962" s="171">
        <f t="shared" si="314"/>
        <v>0.2321</v>
      </c>
      <c r="O962" s="132">
        <f t="shared" si="315"/>
        <v>0</v>
      </c>
      <c r="P962" s="177">
        <f t="shared" si="316"/>
        <v>0</v>
      </c>
      <c r="Q962" s="177">
        <f t="shared" si="317"/>
        <v>0</v>
      </c>
      <c r="S962" s="233" t="b">
        <f t="shared" si="283"/>
        <v>0</v>
      </c>
    </row>
    <row r="963" spans="1:19">
      <c r="A963" s="126" t="s">
        <v>3857</v>
      </c>
      <c r="B963" s="126" t="str">
        <f t="shared" si="305"/>
        <v>D0396</v>
      </c>
      <c r="C963" s="126">
        <v>5411</v>
      </c>
      <c r="D963" s="126" t="s">
        <v>2476</v>
      </c>
      <c r="E963" s="126">
        <v>264</v>
      </c>
      <c r="F963" s="126">
        <v>0</v>
      </c>
      <c r="G963" s="126">
        <v>90</v>
      </c>
      <c r="H963" s="126">
        <v>0</v>
      </c>
      <c r="I963" s="126">
        <v>34.090000000000003</v>
      </c>
      <c r="J963" s="126">
        <v>0</v>
      </c>
      <c r="K963" s="126">
        <v>0</v>
      </c>
      <c r="L963" s="126">
        <f t="shared" si="312"/>
        <v>264</v>
      </c>
      <c r="M963" s="126">
        <f t="shared" si="313"/>
        <v>90</v>
      </c>
      <c r="N963" s="171">
        <f t="shared" si="314"/>
        <v>0.34089999999999998</v>
      </c>
      <c r="O963" s="132">
        <f t="shared" si="315"/>
        <v>0</v>
      </c>
      <c r="P963" s="177">
        <f t="shared" si="316"/>
        <v>0</v>
      </c>
      <c r="Q963" s="177">
        <f t="shared" si="317"/>
        <v>0</v>
      </c>
      <c r="S963" s="233" t="b">
        <f t="shared" si="283"/>
        <v>0</v>
      </c>
    </row>
    <row r="964" spans="1:19">
      <c r="A964" s="126" t="s">
        <v>3857</v>
      </c>
      <c r="B964" s="126" t="str">
        <f t="shared" si="305"/>
        <v>D0396</v>
      </c>
      <c r="C964" s="126">
        <v>5413</v>
      </c>
      <c r="D964" s="126" t="s">
        <v>2478</v>
      </c>
      <c r="E964" s="126">
        <v>154</v>
      </c>
      <c r="F964" s="126">
        <v>0</v>
      </c>
      <c r="G964" s="126">
        <v>35</v>
      </c>
      <c r="H964" s="126">
        <v>0</v>
      </c>
      <c r="I964" s="126">
        <v>22.73</v>
      </c>
      <c r="J964" s="126">
        <v>0</v>
      </c>
      <c r="K964" s="126">
        <v>0</v>
      </c>
      <c r="L964" s="126">
        <f t="shared" si="312"/>
        <v>154</v>
      </c>
      <c r="M964" s="126">
        <f t="shared" si="313"/>
        <v>35</v>
      </c>
      <c r="N964" s="171">
        <f t="shared" si="314"/>
        <v>0.2273</v>
      </c>
      <c r="O964" s="132">
        <f t="shared" si="315"/>
        <v>0</v>
      </c>
      <c r="P964" s="177">
        <f t="shared" si="316"/>
        <v>0</v>
      </c>
      <c r="Q964" s="177">
        <f t="shared" si="317"/>
        <v>0</v>
      </c>
      <c r="S964" s="233" t="b">
        <f t="shared" si="283"/>
        <v>0</v>
      </c>
    </row>
    <row r="965" spans="1:19">
      <c r="A965" s="126" t="s">
        <v>3857</v>
      </c>
      <c r="B965" s="126" t="str">
        <f t="shared" si="305"/>
        <v>D0396</v>
      </c>
      <c r="C965" s="126">
        <v>5414</v>
      </c>
      <c r="D965" s="126" t="s">
        <v>2480</v>
      </c>
      <c r="E965" s="126">
        <v>240</v>
      </c>
      <c r="F965" s="126">
        <v>0</v>
      </c>
      <c r="G965" s="126">
        <v>47</v>
      </c>
      <c r="H965" s="126">
        <v>0</v>
      </c>
      <c r="I965" s="126">
        <v>19.579999999999998</v>
      </c>
      <c r="J965" s="126">
        <v>0</v>
      </c>
      <c r="K965" s="126">
        <v>0</v>
      </c>
      <c r="L965" s="126">
        <f t="shared" si="312"/>
        <v>240</v>
      </c>
      <c r="M965" s="126">
        <f t="shared" si="313"/>
        <v>47</v>
      </c>
      <c r="N965" s="171">
        <f t="shared" si="314"/>
        <v>0.1958</v>
      </c>
      <c r="O965" s="132">
        <f t="shared" si="315"/>
        <v>0</v>
      </c>
      <c r="P965" s="177">
        <f t="shared" si="316"/>
        <v>0</v>
      </c>
      <c r="Q965" s="177">
        <f t="shared" si="317"/>
        <v>0</v>
      </c>
      <c r="S965" s="233" t="b">
        <f t="shared" ref="S965:S1028" si="318">COUNTIF(C:C,C965)&gt;1</f>
        <v>0</v>
      </c>
    </row>
    <row r="966" spans="1:19">
      <c r="A966" s="126" t="s">
        <v>3932</v>
      </c>
      <c r="B966" s="126" t="str">
        <f t="shared" si="305"/>
        <v>D0499</v>
      </c>
      <c r="C966" s="126">
        <v>8264</v>
      </c>
      <c r="D966" s="126" t="s">
        <v>3126</v>
      </c>
      <c r="E966" s="126">
        <v>179</v>
      </c>
      <c r="F966" s="126">
        <v>0</v>
      </c>
      <c r="G966" s="126">
        <v>87</v>
      </c>
      <c r="H966" s="126">
        <v>0</v>
      </c>
      <c r="I966" s="126">
        <v>48.6</v>
      </c>
      <c r="J966" s="126">
        <v>0</v>
      </c>
      <c r="K966" s="126">
        <v>8.3000000000000007</v>
      </c>
      <c r="L966" s="126">
        <f t="shared" si="312"/>
        <v>179</v>
      </c>
      <c r="M966" s="126">
        <f t="shared" si="313"/>
        <v>87</v>
      </c>
      <c r="N966" s="171">
        <f t="shared" si="314"/>
        <v>0.48599999999999999</v>
      </c>
      <c r="O966" s="132">
        <f t="shared" si="315"/>
        <v>8.3000000000000007</v>
      </c>
      <c r="P966" s="177">
        <f t="shared" si="316"/>
        <v>0</v>
      </c>
      <c r="Q966" s="177">
        <f t="shared" si="317"/>
        <v>8.3000000000000007</v>
      </c>
      <c r="S966" s="233" t="b">
        <f t="shared" si="318"/>
        <v>0</v>
      </c>
    </row>
    <row r="967" spans="1:19">
      <c r="A967" s="126" t="s">
        <v>3932</v>
      </c>
      <c r="B967" s="126" t="str">
        <f t="shared" si="305"/>
        <v>D0499</v>
      </c>
      <c r="C967" s="126">
        <v>8268</v>
      </c>
      <c r="D967" s="126" t="s">
        <v>3128</v>
      </c>
      <c r="E967" s="126">
        <v>183</v>
      </c>
      <c r="F967" s="126">
        <v>0</v>
      </c>
      <c r="G967" s="126">
        <v>88</v>
      </c>
      <c r="H967" s="126">
        <v>0</v>
      </c>
      <c r="I967" s="126">
        <v>48.09</v>
      </c>
      <c r="J967" s="126">
        <v>0</v>
      </c>
      <c r="K967" s="126">
        <v>8.1</v>
      </c>
      <c r="L967" s="126">
        <f t="shared" si="312"/>
        <v>183</v>
      </c>
      <c r="M967" s="126">
        <f t="shared" si="313"/>
        <v>88</v>
      </c>
      <c r="N967" s="171">
        <f t="shared" si="314"/>
        <v>0.48089999999999999</v>
      </c>
      <c r="O967" s="132">
        <f t="shared" si="315"/>
        <v>8.1</v>
      </c>
      <c r="P967" s="177">
        <f t="shared" si="316"/>
        <v>0</v>
      </c>
      <c r="Q967" s="177">
        <f t="shared" si="317"/>
        <v>8.1</v>
      </c>
      <c r="S967" s="233" t="b">
        <f t="shared" si="318"/>
        <v>0</v>
      </c>
    </row>
    <row r="968" spans="1:19">
      <c r="A968" s="126" t="s">
        <v>3932</v>
      </c>
      <c r="B968" s="126" t="str">
        <f t="shared" si="305"/>
        <v>D0499</v>
      </c>
      <c r="C968" s="126">
        <v>8270</v>
      </c>
      <c r="D968" s="126" t="s">
        <v>3130</v>
      </c>
      <c r="E968" s="126">
        <v>177</v>
      </c>
      <c r="F968" s="126">
        <v>0</v>
      </c>
      <c r="G968" s="126">
        <v>96</v>
      </c>
      <c r="H968" s="126">
        <v>0</v>
      </c>
      <c r="I968" s="126">
        <v>54.24</v>
      </c>
      <c r="J968" s="126">
        <v>10.1</v>
      </c>
      <c r="K968" s="126">
        <v>0</v>
      </c>
      <c r="L968" s="126">
        <f t="shared" si="312"/>
        <v>177</v>
      </c>
      <c r="M968" s="126">
        <f t="shared" si="313"/>
        <v>96</v>
      </c>
      <c r="N968" s="171">
        <f t="shared" si="314"/>
        <v>0.54239999999999999</v>
      </c>
      <c r="O968" s="132">
        <f t="shared" si="315"/>
        <v>0</v>
      </c>
      <c r="P968" s="177">
        <f t="shared" si="316"/>
        <v>10.1</v>
      </c>
      <c r="Q968" s="177">
        <f t="shared" si="317"/>
        <v>10.1</v>
      </c>
      <c r="S968" s="233" t="b">
        <f t="shared" si="318"/>
        <v>0</v>
      </c>
    </row>
    <row r="969" spans="1:19">
      <c r="A969" s="126" t="s">
        <v>3932</v>
      </c>
      <c r="B969" s="126" t="str">
        <f t="shared" si="305"/>
        <v>D0499</v>
      </c>
      <c r="C969" s="126">
        <v>8274</v>
      </c>
      <c r="D969" s="126" t="s">
        <v>3132</v>
      </c>
      <c r="E969" s="126">
        <v>288</v>
      </c>
      <c r="F969" s="126">
        <v>0</v>
      </c>
      <c r="G969" s="126">
        <v>120</v>
      </c>
      <c r="H969" s="126">
        <v>0</v>
      </c>
      <c r="I969" s="126">
        <v>41.67</v>
      </c>
      <c r="J969" s="126">
        <v>0</v>
      </c>
      <c r="K969" s="126">
        <v>5.6</v>
      </c>
      <c r="L969" s="126">
        <f t="shared" si="312"/>
        <v>288</v>
      </c>
      <c r="M969" s="126">
        <f t="shared" si="313"/>
        <v>120</v>
      </c>
      <c r="N969" s="171">
        <f t="shared" si="314"/>
        <v>0.41670000000000001</v>
      </c>
      <c r="O969" s="132">
        <f t="shared" si="315"/>
        <v>5.6</v>
      </c>
      <c r="P969" s="177">
        <f t="shared" si="316"/>
        <v>0</v>
      </c>
      <c r="Q969" s="177">
        <f t="shared" si="317"/>
        <v>5.6</v>
      </c>
      <c r="S969" s="233" t="b">
        <f t="shared" si="318"/>
        <v>0</v>
      </c>
    </row>
    <row r="970" spans="1:19">
      <c r="A970" s="126" t="s">
        <v>3923</v>
      </c>
      <c r="B970" s="126" t="str">
        <f t="shared" si="305"/>
        <v>D0418</v>
      </c>
      <c r="C970" s="126">
        <v>6028</v>
      </c>
      <c r="D970" s="126" t="s">
        <v>2596</v>
      </c>
      <c r="E970" s="126">
        <v>273</v>
      </c>
      <c r="F970" s="126">
        <v>0</v>
      </c>
      <c r="G970" s="126">
        <v>48</v>
      </c>
      <c r="H970" s="126">
        <v>0</v>
      </c>
      <c r="I970" s="126">
        <v>17.579999999999998</v>
      </c>
      <c r="J970" s="126">
        <v>0</v>
      </c>
      <c r="K970" s="126">
        <v>0</v>
      </c>
      <c r="L970" s="126">
        <f t="shared" ref="L970:L975" si="319">SUM(E970:F970)</f>
        <v>273</v>
      </c>
      <c r="M970" s="126">
        <f t="shared" ref="M970:M975" si="320">SUM(G970:H970)</f>
        <v>48</v>
      </c>
      <c r="N970" s="171">
        <f t="shared" ref="N970:N975" si="321">IF(ISERROR(M970/L970),0,M970/L970)</f>
        <v>0.17580000000000001</v>
      </c>
      <c r="O970" s="132">
        <f t="shared" ref="O970:O975" si="322">IF(AND((N970-35%)&gt;0,N970&lt;50%),M970*(N970-35%)*0.7,0)</f>
        <v>0</v>
      </c>
      <c r="P970" s="177">
        <f t="shared" ref="P970:P975" si="323">IF(N970&gt;=50%,M970*10.5%,0)</f>
        <v>0</v>
      </c>
      <c r="Q970" s="177">
        <f t="shared" ref="Q970:Q975" si="324">MAX(O970,P970)</f>
        <v>0</v>
      </c>
      <c r="S970" s="233" t="b">
        <f t="shared" si="318"/>
        <v>0</v>
      </c>
    </row>
    <row r="971" spans="1:19">
      <c r="A971" s="126" t="s">
        <v>3923</v>
      </c>
      <c r="B971" s="126" t="str">
        <f t="shared" si="305"/>
        <v>D0418</v>
      </c>
      <c r="C971" s="126">
        <v>6030</v>
      </c>
      <c r="D971" s="126" t="s">
        <v>1490</v>
      </c>
      <c r="E971" s="126">
        <v>276</v>
      </c>
      <c r="F971" s="126">
        <v>0</v>
      </c>
      <c r="G971" s="126">
        <v>102</v>
      </c>
      <c r="H971" s="126">
        <v>0</v>
      </c>
      <c r="I971" s="126">
        <v>36.96</v>
      </c>
      <c r="J971" s="126">
        <v>0</v>
      </c>
      <c r="K971" s="126">
        <v>1.4</v>
      </c>
      <c r="L971" s="126">
        <f t="shared" si="319"/>
        <v>276</v>
      </c>
      <c r="M971" s="126">
        <f t="shared" si="320"/>
        <v>102</v>
      </c>
      <c r="N971" s="171">
        <f t="shared" si="321"/>
        <v>0.36959999999999998</v>
      </c>
      <c r="O971" s="132">
        <f t="shared" si="322"/>
        <v>1.4</v>
      </c>
      <c r="P971" s="177">
        <f t="shared" si="323"/>
        <v>0</v>
      </c>
      <c r="Q971" s="177">
        <f t="shared" si="324"/>
        <v>1.4</v>
      </c>
      <c r="S971" s="233" t="b">
        <f t="shared" si="318"/>
        <v>0</v>
      </c>
    </row>
    <row r="972" spans="1:19">
      <c r="A972" s="126" t="s">
        <v>3923</v>
      </c>
      <c r="B972" s="126" t="str">
        <f t="shared" si="305"/>
        <v>D0418</v>
      </c>
      <c r="C972" s="126">
        <v>6032</v>
      </c>
      <c r="D972" s="126" t="s">
        <v>2599</v>
      </c>
      <c r="E972" s="126">
        <v>274</v>
      </c>
      <c r="F972" s="126">
        <v>0</v>
      </c>
      <c r="G972" s="126">
        <v>136</v>
      </c>
      <c r="H972" s="126">
        <v>0</v>
      </c>
      <c r="I972" s="126">
        <v>49.64</v>
      </c>
      <c r="J972" s="126">
        <v>0</v>
      </c>
      <c r="K972" s="126">
        <v>13.9</v>
      </c>
      <c r="L972" s="126">
        <f t="shared" si="319"/>
        <v>274</v>
      </c>
      <c r="M972" s="126">
        <f t="shared" si="320"/>
        <v>136</v>
      </c>
      <c r="N972" s="171">
        <f t="shared" si="321"/>
        <v>0.49640000000000001</v>
      </c>
      <c r="O972" s="132">
        <f t="shared" si="322"/>
        <v>13.9</v>
      </c>
      <c r="P972" s="177">
        <f t="shared" si="323"/>
        <v>0</v>
      </c>
      <c r="Q972" s="177">
        <f t="shared" si="324"/>
        <v>13.9</v>
      </c>
      <c r="S972" s="233" t="b">
        <f t="shared" si="318"/>
        <v>0</v>
      </c>
    </row>
    <row r="973" spans="1:19">
      <c r="A973" s="126" t="s">
        <v>3923</v>
      </c>
      <c r="B973" s="126" t="str">
        <f t="shared" si="305"/>
        <v>D0418</v>
      </c>
      <c r="C973" s="126">
        <v>6034</v>
      </c>
      <c r="D973" s="126" t="s">
        <v>1283</v>
      </c>
      <c r="E973" s="126">
        <v>285</v>
      </c>
      <c r="F973" s="126">
        <v>0</v>
      </c>
      <c r="G973" s="126">
        <v>97</v>
      </c>
      <c r="H973" s="126">
        <v>0</v>
      </c>
      <c r="I973" s="126">
        <v>34.04</v>
      </c>
      <c r="J973" s="126">
        <v>0</v>
      </c>
      <c r="K973" s="126">
        <v>0</v>
      </c>
      <c r="L973" s="126">
        <f t="shared" si="319"/>
        <v>285</v>
      </c>
      <c r="M973" s="126">
        <f t="shared" si="320"/>
        <v>97</v>
      </c>
      <c r="N973" s="171">
        <f t="shared" si="321"/>
        <v>0.34039999999999998</v>
      </c>
      <c r="O973" s="132">
        <f t="shared" si="322"/>
        <v>0</v>
      </c>
      <c r="P973" s="177">
        <f t="shared" si="323"/>
        <v>0</v>
      </c>
      <c r="Q973" s="177">
        <f t="shared" si="324"/>
        <v>0</v>
      </c>
      <c r="S973" s="233" t="b">
        <f t="shared" si="318"/>
        <v>0</v>
      </c>
    </row>
    <row r="974" spans="1:19">
      <c r="A974" s="126" t="s">
        <v>3923</v>
      </c>
      <c r="B974" s="126" t="str">
        <f t="shared" si="305"/>
        <v>D0418</v>
      </c>
      <c r="C974" s="126">
        <v>6038</v>
      </c>
      <c r="D974" s="126" t="s">
        <v>2602</v>
      </c>
      <c r="E974" s="126">
        <v>548</v>
      </c>
      <c r="F974" s="126">
        <v>0</v>
      </c>
      <c r="G974" s="126">
        <v>178</v>
      </c>
      <c r="H974" s="126">
        <v>0</v>
      </c>
      <c r="I974" s="126">
        <v>32.479999999999997</v>
      </c>
      <c r="J974" s="126">
        <v>0</v>
      </c>
      <c r="K974" s="126">
        <v>0</v>
      </c>
      <c r="L974" s="126">
        <f t="shared" si="319"/>
        <v>548</v>
      </c>
      <c r="M974" s="126">
        <f t="shared" si="320"/>
        <v>178</v>
      </c>
      <c r="N974" s="171">
        <f t="shared" si="321"/>
        <v>0.32479999999999998</v>
      </c>
      <c r="O974" s="132">
        <f t="shared" si="322"/>
        <v>0</v>
      </c>
      <c r="P974" s="177">
        <f t="shared" si="323"/>
        <v>0</v>
      </c>
      <c r="Q974" s="177">
        <f t="shared" si="324"/>
        <v>0</v>
      </c>
      <c r="S974" s="233" t="b">
        <f t="shared" si="318"/>
        <v>0</v>
      </c>
    </row>
    <row r="975" spans="1:19">
      <c r="A975" s="126" t="s">
        <v>3923</v>
      </c>
      <c r="B975" s="126" t="str">
        <f t="shared" si="305"/>
        <v>D0418</v>
      </c>
      <c r="C975" s="126">
        <v>6040</v>
      </c>
      <c r="D975" s="126" t="s">
        <v>2604</v>
      </c>
      <c r="E975" s="126">
        <v>746</v>
      </c>
      <c r="F975" s="126">
        <v>0</v>
      </c>
      <c r="G975" s="126">
        <v>177</v>
      </c>
      <c r="H975" s="126">
        <v>0</v>
      </c>
      <c r="I975" s="126">
        <v>23.73</v>
      </c>
      <c r="J975" s="126">
        <v>0</v>
      </c>
      <c r="K975" s="126">
        <v>0</v>
      </c>
      <c r="L975" s="126">
        <f t="shared" si="319"/>
        <v>746</v>
      </c>
      <c r="M975" s="126">
        <f t="shared" si="320"/>
        <v>177</v>
      </c>
      <c r="N975" s="171">
        <f t="shared" si="321"/>
        <v>0.23730000000000001</v>
      </c>
      <c r="O975" s="132">
        <f t="shared" si="322"/>
        <v>0</v>
      </c>
      <c r="P975" s="177">
        <f t="shared" si="323"/>
        <v>0</v>
      </c>
      <c r="Q975" s="177">
        <f t="shared" si="324"/>
        <v>0</v>
      </c>
      <c r="S975" s="233" t="b">
        <f t="shared" si="318"/>
        <v>0</v>
      </c>
    </row>
    <row r="976" spans="1:19">
      <c r="A976" s="126" t="s">
        <v>3945</v>
      </c>
      <c r="B976" s="126" t="str">
        <f t="shared" ref="B976:B984" si="325">LEFT(A976,5)</f>
        <v>D0314</v>
      </c>
      <c r="C976" s="126">
        <v>3276</v>
      </c>
      <c r="D976" s="126" t="s">
        <v>2015</v>
      </c>
      <c r="E976" s="126">
        <v>78</v>
      </c>
      <c r="F976" s="126">
        <v>2</v>
      </c>
      <c r="G976" s="126">
        <v>22</v>
      </c>
      <c r="H976" s="126">
        <v>0</v>
      </c>
      <c r="I976" s="126">
        <v>27.5</v>
      </c>
      <c r="J976" s="126">
        <v>0</v>
      </c>
      <c r="K976" s="126">
        <v>0</v>
      </c>
      <c r="L976" s="126">
        <f t="shared" ref="L976:L977" si="326">SUM(E976:F976)</f>
        <v>80</v>
      </c>
      <c r="M976" s="126">
        <f t="shared" ref="M976:M977" si="327">SUM(G976:H976)</f>
        <v>22</v>
      </c>
      <c r="N976" s="171">
        <f t="shared" ref="N976:N977" si="328">IF(ISERROR(M976/L976),0,M976/L976)</f>
        <v>0.27500000000000002</v>
      </c>
      <c r="O976" s="132">
        <f t="shared" ref="O976:O977" si="329">IF(AND((N976-35%)&gt;0,N976&lt;50%),M976*(N976-35%)*0.7,0)</f>
        <v>0</v>
      </c>
      <c r="P976" s="177">
        <f t="shared" ref="P976:P977" si="330">IF(N976&gt;=50%,M976*10.5%,0)</f>
        <v>0</v>
      </c>
      <c r="Q976" s="177">
        <f t="shared" ref="Q976:Q977" si="331">MAX(O976,P976)</f>
        <v>0</v>
      </c>
      <c r="S976" s="233" t="b">
        <f t="shared" si="318"/>
        <v>0</v>
      </c>
    </row>
    <row r="977" spans="1:19">
      <c r="A977" s="126" t="s">
        <v>3945</v>
      </c>
      <c r="B977" s="126" t="str">
        <f t="shared" si="325"/>
        <v>D0314</v>
      </c>
      <c r="C977" s="126">
        <v>3278</v>
      </c>
      <c r="D977" s="126" t="s">
        <v>2017</v>
      </c>
      <c r="E977" s="126">
        <v>37</v>
      </c>
      <c r="F977" s="126">
        <v>0</v>
      </c>
      <c r="G977" s="126">
        <v>15</v>
      </c>
      <c r="H977" s="126">
        <v>0</v>
      </c>
      <c r="I977" s="126">
        <v>40.54</v>
      </c>
      <c r="J977" s="126">
        <v>0</v>
      </c>
      <c r="K977" s="126">
        <v>0.6</v>
      </c>
      <c r="L977" s="126">
        <f t="shared" si="326"/>
        <v>37</v>
      </c>
      <c r="M977" s="126">
        <f t="shared" si="327"/>
        <v>15</v>
      </c>
      <c r="N977" s="171">
        <f t="shared" si="328"/>
        <v>0.40539999999999998</v>
      </c>
      <c r="O977" s="132">
        <f t="shared" si="329"/>
        <v>0.6</v>
      </c>
      <c r="P977" s="177">
        <f t="shared" si="330"/>
        <v>0</v>
      </c>
      <c r="Q977" s="177">
        <f t="shared" si="331"/>
        <v>0.6</v>
      </c>
      <c r="S977" s="233" t="b">
        <f t="shared" si="318"/>
        <v>0</v>
      </c>
    </row>
    <row r="978" spans="1:19">
      <c r="A978" s="126" t="s">
        <v>3892</v>
      </c>
      <c r="B978" s="126" t="str">
        <f t="shared" si="325"/>
        <v>D0489</v>
      </c>
      <c r="C978" s="126">
        <v>7946</v>
      </c>
      <c r="D978" s="126" t="s">
        <v>1490</v>
      </c>
      <c r="E978" s="126">
        <v>339</v>
      </c>
      <c r="F978" s="126">
        <v>0</v>
      </c>
      <c r="G978" s="126">
        <v>161</v>
      </c>
      <c r="H978" s="126">
        <v>0</v>
      </c>
      <c r="I978" s="126">
        <v>47.49</v>
      </c>
      <c r="J978" s="126">
        <v>0</v>
      </c>
      <c r="K978" s="126">
        <v>14.1</v>
      </c>
      <c r="L978" s="126">
        <f t="shared" ref="L978:L983" si="332">SUM(E978:F978)</f>
        <v>339</v>
      </c>
      <c r="M978" s="126">
        <f t="shared" ref="M978:M983" si="333">SUM(G978:H978)</f>
        <v>161</v>
      </c>
      <c r="N978" s="171">
        <f t="shared" ref="N978:N983" si="334">IF(ISERROR(M978/L978),0,M978/L978)</f>
        <v>0.47489999999999999</v>
      </c>
      <c r="O978" s="132">
        <f t="shared" ref="O978:O983" si="335">IF(AND((N978-35%)&gt;0,N978&lt;50%),M978*(N978-35%)*0.7,0)</f>
        <v>14.1</v>
      </c>
      <c r="P978" s="177">
        <f t="shared" ref="P978:P983" si="336">IF(N978&gt;=50%,M978*10.5%,0)</f>
        <v>0</v>
      </c>
      <c r="Q978" s="177">
        <f t="shared" ref="Q978:Q983" si="337">MAX(O978,P978)</f>
        <v>14.1</v>
      </c>
      <c r="S978" s="233" t="b">
        <f t="shared" si="318"/>
        <v>0</v>
      </c>
    </row>
    <row r="979" spans="1:19">
      <c r="A979" s="126" t="s">
        <v>3892</v>
      </c>
      <c r="B979" s="126" t="str">
        <f t="shared" si="325"/>
        <v>D0489</v>
      </c>
      <c r="C979" s="126">
        <v>7950</v>
      </c>
      <c r="D979" s="126" t="s">
        <v>2405</v>
      </c>
      <c r="E979" s="126">
        <v>396</v>
      </c>
      <c r="F979" s="126">
        <v>0</v>
      </c>
      <c r="G979" s="126">
        <v>100</v>
      </c>
      <c r="H979" s="126">
        <v>0</v>
      </c>
      <c r="I979" s="126">
        <v>25.25</v>
      </c>
      <c r="J979" s="126">
        <v>0</v>
      </c>
      <c r="K979" s="126">
        <v>0</v>
      </c>
      <c r="L979" s="126">
        <f t="shared" si="332"/>
        <v>396</v>
      </c>
      <c r="M979" s="126">
        <f t="shared" si="333"/>
        <v>100</v>
      </c>
      <c r="N979" s="171">
        <f t="shared" si="334"/>
        <v>0.2525</v>
      </c>
      <c r="O979" s="132">
        <f t="shared" si="335"/>
        <v>0</v>
      </c>
      <c r="P979" s="177">
        <f t="shared" si="336"/>
        <v>0</v>
      </c>
      <c r="Q979" s="177">
        <f t="shared" si="337"/>
        <v>0</v>
      </c>
      <c r="S979" s="233" t="b">
        <f t="shared" si="318"/>
        <v>0</v>
      </c>
    </row>
    <row r="980" spans="1:19">
      <c r="A980" s="126" t="s">
        <v>3892</v>
      </c>
      <c r="B980" s="126" t="str">
        <f t="shared" si="325"/>
        <v>D0489</v>
      </c>
      <c r="C980" s="126">
        <v>7952</v>
      </c>
      <c r="D980" s="126" t="s">
        <v>3433</v>
      </c>
      <c r="E980" s="126">
        <v>680</v>
      </c>
      <c r="F980" s="126">
        <v>0</v>
      </c>
      <c r="G980" s="126">
        <v>198</v>
      </c>
      <c r="H980" s="126">
        <v>0</v>
      </c>
      <c r="I980" s="126">
        <v>29.12</v>
      </c>
      <c r="J980" s="126">
        <v>0</v>
      </c>
      <c r="K980" s="126">
        <v>0</v>
      </c>
      <c r="L980" s="126">
        <f t="shared" si="332"/>
        <v>680</v>
      </c>
      <c r="M980" s="126">
        <f t="shared" si="333"/>
        <v>198</v>
      </c>
      <c r="N980" s="171">
        <f t="shared" si="334"/>
        <v>0.29120000000000001</v>
      </c>
      <c r="O980" s="132">
        <f t="shared" si="335"/>
        <v>0</v>
      </c>
      <c r="P980" s="177">
        <f t="shared" si="336"/>
        <v>0</v>
      </c>
      <c r="Q980" s="177">
        <f t="shared" si="337"/>
        <v>0</v>
      </c>
      <c r="S980" s="233" t="b">
        <f t="shared" si="318"/>
        <v>0</v>
      </c>
    </row>
    <row r="981" spans="1:19">
      <c r="A981" s="126" t="s">
        <v>3892</v>
      </c>
      <c r="B981" s="126" t="str">
        <f t="shared" si="325"/>
        <v>D0489</v>
      </c>
      <c r="C981" s="126">
        <v>7954</v>
      </c>
      <c r="D981" s="126" t="s">
        <v>3039</v>
      </c>
      <c r="E981" s="126">
        <v>856</v>
      </c>
      <c r="F981" s="126">
        <v>0</v>
      </c>
      <c r="G981" s="126">
        <v>233</v>
      </c>
      <c r="H981" s="126">
        <v>0</v>
      </c>
      <c r="I981" s="126">
        <v>27.22</v>
      </c>
      <c r="J981" s="126">
        <v>0</v>
      </c>
      <c r="K981" s="126">
        <v>0</v>
      </c>
      <c r="L981" s="126">
        <f t="shared" si="332"/>
        <v>856</v>
      </c>
      <c r="M981" s="126">
        <f t="shared" si="333"/>
        <v>233</v>
      </c>
      <c r="N981" s="171">
        <f t="shared" si="334"/>
        <v>0.2722</v>
      </c>
      <c r="O981" s="132">
        <f t="shared" si="335"/>
        <v>0</v>
      </c>
      <c r="P981" s="177">
        <f t="shared" si="336"/>
        <v>0</v>
      </c>
      <c r="Q981" s="177">
        <f t="shared" si="337"/>
        <v>0</v>
      </c>
      <c r="S981" s="233" t="b">
        <f t="shared" si="318"/>
        <v>0</v>
      </c>
    </row>
    <row r="982" spans="1:19">
      <c r="A982" s="126" t="s">
        <v>3892</v>
      </c>
      <c r="B982" s="126" t="str">
        <f t="shared" si="325"/>
        <v>D0489</v>
      </c>
      <c r="C982" s="126">
        <v>7956</v>
      </c>
      <c r="D982" s="126" t="s">
        <v>3041</v>
      </c>
      <c r="E982" s="126">
        <v>383</v>
      </c>
      <c r="F982" s="126">
        <v>0</v>
      </c>
      <c r="G982" s="126">
        <v>119</v>
      </c>
      <c r="H982" s="126">
        <v>0</v>
      </c>
      <c r="I982" s="126">
        <v>31.07</v>
      </c>
      <c r="J982" s="126">
        <v>0</v>
      </c>
      <c r="K982" s="126">
        <v>0</v>
      </c>
      <c r="L982" s="126">
        <f t="shared" si="332"/>
        <v>383</v>
      </c>
      <c r="M982" s="126">
        <f t="shared" si="333"/>
        <v>119</v>
      </c>
      <c r="N982" s="171">
        <f t="shared" si="334"/>
        <v>0.31069999999999998</v>
      </c>
      <c r="O982" s="132">
        <f t="shared" si="335"/>
        <v>0</v>
      </c>
      <c r="P982" s="177">
        <f t="shared" si="336"/>
        <v>0</v>
      </c>
      <c r="Q982" s="177">
        <f t="shared" si="337"/>
        <v>0</v>
      </c>
      <c r="S982" s="233" t="b">
        <f t="shared" si="318"/>
        <v>0</v>
      </c>
    </row>
    <row r="983" spans="1:19">
      <c r="A983" s="126" t="s">
        <v>3892</v>
      </c>
      <c r="B983" s="126" t="str">
        <f t="shared" si="325"/>
        <v>D0489</v>
      </c>
      <c r="C983" s="126">
        <v>7959</v>
      </c>
      <c r="D983" s="126" t="s">
        <v>2599</v>
      </c>
      <c r="E983" s="126">
        <v>420</v>
      </c>
      <c r="F983" s="126">
        <v>0</v>
      </c>
      <c r="G983" s="126">
        <v>119</v>
      </c>
      <c r="H983" s="126">
        <v>0</v>
      </c>
      <c r="I983" s="126">
        <v>28.33</v>
      </c>
      <c r="J983" s="126">
        <v>0</v>
      </c>
      <c r="K983" s="126">
        <v>0</v>
      </c>
      <c r="L983" s="126">
        <f t="shared" si="332"/>
        <v>420</v>
      </c>
      <c r="M983" s="126">
        <f t="shared" si="333"/>
        <v>119</v>
      </c>
      <c r="N983" s="171">
        <f t="shared" si="334"/>
        <v>0.2833</v>
      </c>
      <c r="O983" s="132">
        <f t="shared" si="335"/>
        <v>0</v>
      </c>
      <c r="P983" s="177">
        <f t="shared" si="336"/>
        <v>0</v>
      </c>
      <c r="Q983" s="177">
        <f t="shared" si="337"/>
        <v>0</v>
      </c>
      <c r="S983" s="233" t="b">
        <f t="shared" si="318"/>
        <v>0</v>
      </c>
    </row>
    <row r="984" spans="1:19">
      <c r="A984" s="126" t="s">
        <v>3926</v>
      </c>
      <c r="B984" s="126" t="str">
        <f t="shared" si="325"/>
        <v>D0470</v>
      </c>
      <c r="C984" s="126">
        <v>7440</v>
      </c>
      <c r="D984" s="126" t="s">
        <v>1506</v>
      </c>
      <c r="E984" s="126">
        <v>278</v>
      </c>
      <c r="F984" s="126">
        <v>0</v>
      </c>
      <c r="G984" s="126">
        <v>170</v>
      </c>
      <c r="H984" s="126">
        <v>0</v>
      </c>
      <c r="I984" s="126">
        <v>61.15</v>
      </c>
      <c r="J984" s="126">
        <v>17.899999999999999</v>
      </c>
      <c r="K984" s="126">
        <v>0</v>
      </c>
      <c r="L984" s="126">
        <f t="shared" ref="L984:L991" si="338">SUM(E984:F984)</f>
        <v>278</v>
      </c>
      <c r="M984" s="126">
        <f t="shared" ref="M984:M991" si="339">SUM(G984:H984)</f>
        <v>170</v>
      </c>
      <c r="N984" s="171">
        <f t="shared" ref="N984:N991" si="340">IF(ISERROR(M984/L984),0,M984/L984)</f>
        <v>0.61150000000000004</v>
      </c>
      <c r="O984" s="132">
        <f t="shared" ref="O984:O991" si="341">IF(AND((N984-35%)&gt;0,N984&lt;50%),M984*(N984-35%)*0.7,0)</f>
        <v>0</v>
      </c>
      <c r="P984" s="177">
        <f t="shared" ref="P984:P991" si="342">IF(N984&gt;=50%,M984*10.5%,0)</f>
        <v>17.899999999999999</v>
      </c>
      <c r="Q984" s="177">
        <f t="shared" ref="Q984:Q991" si="343">MAX(O984,P984)</f>
        <v>17.899999999999999</v>
      </c>
      <c r="S984" s="233" t="b">
        <f t="shared" si="318"/>
        <v>0</v>
      </c>
    </row>
    <row r="985" spans="1:19">
      <c r="A985" s="126" t="s">
        <v>3926</v>
      </c>
      <c r="B985" s="126" t="str">
        <f t="shared" ref="B985:B1042" si="344">LEFT(A985,5)</f>
        <v>D0470</v>
      </c>
      <c r="C985" s="126">
        <v>7442</v>
      </c>
      <c r="D985" s="126" t="s">
        <v>2928</v>
      </c>
      <c r="E985" s="126">
        <v>262</v>
      </c>
      <c r="F985" s="126">
        <v>0</v>
      </c>
      <c r="G985" s="126">
        <v>172</v>
      </c>
      <c r="H985" s="126">
        <v>0</v>
      </c>
      <c r="I985" s="126">
        <v>65.650000000000006</v>
      </c>
      <c r="J985" s="126">
        <v>18.100000000000001</v>
      </c>
      <c r="K985" s="126">
        <v>0</v>
      </c>
      <c r="L985" s="126">
        <f t="shared" si="338"/>
        <v>262</v>
      </c>
      <c r="M985" s="126">
        <f t="shared" si="339"/>
        <v>172</v>
      </c>
      <c r="N985" s="171">
        <f t="shared" si="340"/>
        <v>0.65649999999999997</v>
      </c>
      <c r="O985" s="132">
        <f t="shared" si="341"/>
        <v>0</v>
      </c>
      <c r="P985" s="177">
        <f t="shared" si="342"/>
        <v>18.100000000000001</v>
      </c>
      <c r="Q985" s="177">
        <f t="shared" si="343"/>
        <v>18.100000000000001</v>
      </c>
      <c r="S985" s="233" t="b">
        <f t="shared" si="318"/>
        <v>0</v>
      </c>
    </row>
    <row r="986" spans="1:19">
      <c r="A986" s="126" t="s">
        <v>3926</v>
      </c>
      <c r="B986" s="126" t="str">
        <f t="shared" si="344"/>
        <v>D0470</v>
      </c>
      <c r="C986" s="126">
        <v>7443</v>
      </c>
      <c r="D986" s="126" t="s">
        <v>1488</v>
      </c>
      <c r="E986" s="126">
        <v>295</v>
      </c>
      <c r="F986" s="126">
        <v>0</v>
      </c>
      <c r="G986" s="126">
        <v>164</v>
      </c>
      <c r="H986" s="126">
        <v>0</v>
      </c>
      <c r="I986" s="126">
        <v>55.59</v>
      </c>
      <c r="J986" s="126">
        <v>17.2</v>
      </c>
      <c r="K986" s="126">
        <v>0</v>
      </c>
      <c r="L986" s="126">
        <f t="shared" si="338"/>
        <v>295</v>
      </c>
      <c r="M986" s="126">
        <f t="shared" si="339"/>
        <v>164</v>
      </c>
      <c r="N986" s="171">
        <f t="shared" si="340"/>
        <v>0.55589999999999995</v>
      </c>
      <c r="O986" s="132">
        <f t="shared" si="341"/>
        <v>0</v>
      </c>
      <c r="P986" s="177">
        <f t="shared" si="342"/>
        <v>17.2</v>
      </c>
      <c r="Q986" s="177">
        <f t="shared" si="343"/>
        <v>17.2</v>
      </c>
      <c r="S986" s="233" t="b">
        <f t="shared" si="318"/>
        <v>0</v>
      </c>
    </row>
    <row r="987" spans="1:19">
      <c r="A987" s="126" t="s">
        <v>3926</v>
      </c>
      <c r="B987" s="126" t="str">
        <f t="shared" si="344"/>
        <v>D0470</v>
      </c>
      <c r="C987" s="126">
        <v>7448</v>
      </c>
      <c r="D987" s="126" t="s">
        <v>2599</v>
      </c>
      <c r="E987" s="126">
        <v>236</v>
      </c>
      <c r="F987" s="126">
        <v>0</v>
      </c>
      <c r="G987" s="126">
        <v>154</v>
      </c>
      <c r="H987" s="126">
        <v>0</v>
      </c>
      <c r="I987" s="126">
        <v>65.25</v>
      </c>
      <c r="J987" s="126">
        <v>16.2</v>
      </c>
      <c r="K987" s="126">
        <v>0</v>
      </c>
      <c r="L987" s="126">
        <f t="shared" si="338"/>
        <v>236</v>
      </c>
      <c r="M987" s="126">
        <f t="shared" si="339"/>
        <v>154</v>
      </c>
      <c r="N987" s="171">
        <f t="shared" si="340"/>
        <v>0.65249999999999997</v>
      </c>
      <c r="O987" s="132">
        <f t="shared" si="341"/>
        <v>0</v>
      </c>
      <c r="P987" s="177">
        <f t="shared" si="342"/>
        <v>16.2</v>
      </c>
      <c r="Q987" s="177">
        <f t="shared" si="343"/>
        <v>16.2</v>
      </c>
      <c r="S987" s="233" t="b">
        <f t="shared" si="318"/>
        <v>0</v>
      </c>
    </row>
    <row r="988" spans="1:19">
      <c r="A988" s="126" t="s">
        <v>3926</v>
      </c>
      <c r="B988" s="126" t="str">
        <f t="shared" si="344"/>
        <v>D0470</v>
      </c>
      <c r="C988" s="126">
        <v>7454</v>
      </c>
      <c r="D988" s="126" t="s">
        <v>2932</v>
      </c>
      <c r="E988" s="126">
        <v>640</v>
      </c>
      <c r="F988" s="126">
        <v>0</v>
      </c>
      <c r="G988" s="126">
        <v>336</v>
      </c>
      <c r="H988" s="126">
        <v>0</v>
      </c>
      <c r="I988" s="126">
        <v>52.5</v>
      </c>
      <c r="J988" s="126">
        <v>35.299999999999997</v>
      </c>
      <c r="K988" s="126">
        <v>0</v>
      </c>
      <c r="L988" s="126">
        <f t="shared" si="338"/>
        <v>640</v>
      </c>
      <c r="M988" s="126">
        <f t="shared" si="339"/>
        <v>336</v>
      </c>
      <c r="N988" s="171">
        <f t="shared" si="340"/>
        <v>0.52500000000000002</v>
      </c>
      <c r="O988" s="132">
        <f t="shared" si="341"/>
        <v>0</v>
      </c>
      <c r="P988" s="177">
        <f t="shared" si="342"/>
        <v>35.299999999999997</v>
      </c>
      <c r="Q988" s="177">
        <f t="shared" si="343"/>
        <v>35.299999999999997</v>
      </c>
      <c r="S988" s="233" t="b">
        <f t="shared" si="318"/>
        <v>0</v>
      </c>
    </row>
    <row r="989" spans="1:19">
      <c r="A989" s="126" t="s">
        <v>3926</v>
      </c>
      <c r="B989" s="126" t="str">
        <f t="shared" si="344"/>
        <v>D0470</v>
      </c>
      <c r="C989" s="126">
        <v>7456</v>
      </c>
      <c r="D989" s="126" t="s">
        <v>2934</v>
      </c>
      <c r="E989" s="126">
        <v>782</v>
      </c>
      <c r="F989" s="126">
        <v>0</v>
      </c>
      <c r="G989" s="126">
        <v>341</v>
      </c>
      <c r="H989" s="126">
        <v>0</v>
      </c>
      <c r="I989" s="126">
        <v>43.61</v>
      </c>
      <c r="J989" s="126">
        <v>0</v>
      </c>
      <c r="K989" s="126">
        <v>20.6</v>
      </c>
      <c r="L989" s="126">
        <f t="shared" si="338"/>
        <v>782</v>
      </c>
      <c r="M989" s="126">
        <f t="shared" si="339"/>
        <v>341</v>
      </c>
      <c r="N989" s="171">
        <f t="shared" si="340"/>
        <v>0.43609999999999999</v>
      </c>
      <c r="O989" s="132">
        <f t="shared" si="341"/>
        <v>20.6</v>
      </c>
      <c r="P989" s="177">
        <f t="shared" si="342"/>
        <v>0</v>
      </c>
      <c r="Q989" s="177">
        <f t="shared" si="343"/>
        <v>20.6</v>
      </c>
      <c r="S989" s="233" t="b">
        <f t="shared" si="318"/>
        <v>0</v>
      </c>
    </row>
    <row r="990" spans="1:19">
      <c r="A990" s="126" t="s">
        <v>3926</v>
      </c>
      <c r="B990" s="126" t="str">
        <f t="shared" si="344"/>
        <v>D0470</v>
      </c>
      <c r="C990" s="126">
        <v>7458</v>
      </c>
      <c r="D990" s="126" t="s">
        <v>2936</v>
      </c>
      <c r="E990" s="126">
        <v>146</v>
      </c>
      <c r="F990" s="126">
        <v>0</v>
      </c>
      <c r="G990" s="126">
        <v>35</v>
      </c>
      <c r="H990" s="126">
        <v>0</v>
      </c>
      <c r="I990" s="126">
        <v>23.97</v>
      </c>
      <c r="J990" s="126">
        <v>0</v>
      </c>
      <c r="K990" s="126">
        <v>0</v>
      </c>
      <c r="L990" s="126">
        <f t="shared" si="338"/>
        <v>146</v>
      </c>
      <c r="M990" s="126">
        <f t="shared" si="339"/>
        <v>35</v>
      </c>
      <c r="N990" s="171">
        <f t="shared" si="340"/>
        <v>0.2397</v>
      </c>
      <c r="O990" s="132">
        <f t="shared" si="341"/>
        <v>0</v>
      </c>
      <c r="P990" s="177">
        <f t="shared" si="342"/>
        <v>0</v>
      </c>
      <c r="Q990" s="177">
        <f t="shared" si="343"/>
        <v>0</v>
      </c>
      <c r="S990" s="233" t="b">
        <f t="shared" si="318"/>
        <v>0</v>
      </c>
    </row>
    <row r="991" spans="1:19">
      <c r="A991" s="126" t="s">
        <v>3926</v>
      </c>
      <c r="B991" s="126" t="str">
        <f t="shared" si="344"/>
        <v>D0470</v>
      </c>
      <c r="C991" s="126">
        <v>7466</v>
      </c>
      <c r="D991" s="126" t="s">
        <v>2938</v>
      </c>
      <c r="E991" s="126">
        <v>259</v>
      </c>
      <c r="F991" s="126">
        <v>0</v>
      </c>
      <c r="G991" s="126">
        <v>155</v>
      </c>
      <c r="H991" s="126">
        <v>0</v>
      </c>
      <c r="I991" s="126">
        <v>59.85</v>
      </c>
      <c r="J991" s="126">
        <v>16.3</v>
      </c>
      <c r="K991" s="126">
        <v>0</v>
      </c>
      <c r="L991" s="126">
        <f t="shared" si="338"/>
        <v>259</v>
      </c>
      <c r="M991" s="126">
        <f t="shared" si="339"/>
        <v>155</v>
      </c>
      <c r="N991" s="171">
        <f t="shared" si="340"/>
        <v>0.59850000000000003</v>
      </c>
      <c r="O991" s="132">
        <f t="shared" si="341"/>
        <v>0</v>
      </c>
      <c r="P991" s="177">
        <f t="shared" si="342"/>
        <v>16.3</v>
      </c>
      <c r="Q991" s="177">
        <f t="shared" si="343"/>
        <v>16.3</v>
      </c>
      <c r="S991" s="233" t="b">
        <f t="shared" si="318"/>
        <v>0</v>
      </c>
    </row>
    <row r="992" spans="1:19">
      <c r="A992" s="126" t="s">
        <v>3729</v>
      </c>
      <c r="B992" s="126" t="str">
        <f t="shared" si="344"/>
        <v>D0206</v>
      </c>
      <c r="L992" s="126">
        <f t="shared" ref="L992:L1049" si="345">SUM(E992:F992)</f>
        <v>0</v>
      </c>
      <c r="M992" s="126">
        <f t="shared" ref="M992:M1049" si="346">SUM(G992:H992)</f>
        <v>0</v>
      </c>
      <c r="N992" s="171">
        <f t="shared" ref="N992:N1049" si="347">IF(ISERROR(M992/L992),0,M992/L992)</f>
        <v>0</v>
      </c>
      <c r="O992" s="132">
        <f t="shared" ref="O992:O1049" si="348">IF(AND((N992-35%)&gt;0,N992&lt;50%),M992*(N992-35%)*0.7,0)</f>
        <v>0</v>
      </c>
      <c r="P992" s="177">
        <f t="shared" ref="P992:P1049" si="349">IF(N992&gt;=50%,M992*10.5%,0)</f>
        <v>0</v>
      </c>
      <c r="Q992" s="177">
        <f t="shared" ref="Q992:Q1049" si="350">MAX(O992,P992)</f>
        <v>0</v>
      </c>
      <c r="S992" s="233" t="b">
        <f t="shared" si="318"/>
        <v>0</v>
      </c>
    </row>
    <row r="993" spans="1:19">
      <c r="A993" s="126" t="s">
        <v>3729</v>
      </c>
      <c r="B993" s="126" t="str">
        <f t="shared" si="344"/>
        <v>D0206</v>
      </c>
      <c r="C993" s="126">
        <v>260</v>
      </c>
      <c r="D993" s="126" t="s">
        <v>1018</v>
      </c>
      <c r="E993" s="126">
        <v>168</v>
      </c>
      <c r="F993" s="126">
        <v>0</v>
      </c>
      <c r="G993" s="126">
        <v>34</v>
      </c>
      <c r="H993" s="126">
        <v>0</v>
      </c>
      <c r="I993" s="126">
        <v>20.239999999999998</v>
      </c>
      <c r="J993" s="126">
        <v>0</v>
      </c>
      <c r="K993" s="126">
        <v>0</v>
      </c>
      <c r="L993" s="126">
        <f t="shared" si="345"/>
        <v>168</v>
      </c>
      <c r="M993" s="126">
        <f t="shared" si="346"/>
        <v>34</v>
      </c>
      <c r="N993" s="171">
        <f t="shared" si="347"/>
        <v>0.2024</v>
      </c>
      <c r="O993" s="132">
        <f t="shared" si="348"/>
        <v>0</v>
      </c>
      <c r="P993" s="177">
        <f t="shared" si="349"/>
        <v>0</v>
      </c>
      <c r="Q993" s="177">
        <f t="shared" si="350"/>
        <v>0</v>
      </c>
      <c r="S993" s="233" t="b">
        <f t="shared" si="318"/>
        <v>0</v>
      </c>
    </row>
    <row r="994" spans="1:19">
      <c r="A994" s="126" t="s">
        <v>3729</v>
      </c>
      <c r="B994" s="126" t="str">
        <f t="shared" si="344"/>
        <v>D0206</v>
      </c>
      <c r="C994" s="126">
        <v>272</v>
      </c>
      <c r="D994" s="126" t="s">
        <v>1020</v>
      </c>
      <c r="E994" s="126">
        <v>190</v>
      </c>
      <c r="F994" s="126">
        <v>0</v>
      </c>
      <c r="G994" s="126">
        <v>58</v>
      </c>
      <c r="H994" s="126">
        <v>0</v>
      </c>
      <c r="I994" s="126">
        <v>30.53</v>
      </c>
      <c r="J994" s="126">
        <v>0</v>
      </c>
      <c r="K994" s="126">
        <v>0</v>
      </c>
      <c r="L994" s="126">
        <f t="shared" si="345"/>
        <v>190</v>
      </c>
      <c r="M994" s="126">
        <f t="shared" si="346"/>
        <v>58</v>
      </c>
      <c r="N994" s="171">
        <f t="shared" si="347"/>
        <v>0.30530000000000002</v>
      </c>
      <c r="O994" s="132">
        <f t="shared" si="348"/>
        <v>0</v>
      </c>
      <c r="P994" s="177">
        <f t="shared" si="349"/>
        <v>0</v>
      </c>
      <c r="Q994" s="177">
        <f t="shared" si="350"/>
        <v>0</v>
      </c>
      <c r="S994" s="233" t="b">
        <f t="shared" si="318"/>
        <v>0</v>
      </c>
    </row>
    <row r="995" spans="1:19">
      <c r="A995" s="126" t="s">
        <v>3729</v>
      </c>
      <c r="B995" s="126" t="str">
        <f t="shared" si="344"/>
        <v>D0206</v>
      </c>
      <c r="C995" s="126">
        <v>274</v>
      </c>
      <c r="D995" s="126" t="s">
        <v>1022</v>
      </c>
      <c r="E995" s="126">
        <v>148</v>
      </c>
      <c r="F995" s="126">
        <v>0</v>
      </c>
      <c r="G995" s="126">
        <v>38</v>
      </c>
      <c r="H995" s="126">
        <v>0</v>
      </c>
      <c r="I995" s="126">
        <v>25.68</v>
      </c>
      <c r="J995" s="126">
        <v>0</v>
      </c>
      <c r="K995" s="126">
        <v>0</v>
      </c>
      <c r="L995" s="126">
        <f t="shared" si="345"/>
        <v>148</v>
      </c>
      <c r="M995" s="126">
        <f t="shared" si="346"/>
        <v>38</v>
      </c>
      <c r="N995" s="171">
        <f t="shared" si="347"/>
        <v>0.25679999999999997</v>
      </c>
      <c r="O995" s="132">
        <f t="shared" si="348"/>
        <v>0</v>
      </c>
      <c r="P995" s="177">
        <f t="shared" si="349"/>
        <v>0</v>
      </c>
      <c r="Q995" s="177">
        <f t="shared" si="350"/>
        <v>0</v>
      </c>
      <c r="S995" s="233" t="b">
        <f t="shared" si="318"/>
        <v>0</v>
      </c>
    </row>
    <row r="996" spans="1:19">
      <c r="A996" s="126" t="s">
        <v>3692</v>
      </c>
      <c r="B996" s="126" t="str">
        <f t="shared" si="344"/>
        <v>D0229</v>
      </c>
      <c r="L996" s="126">
        <f t="shared" si="345"/>
        <v>0</v>
      </c>
      <c r="M996" s="126">
        <f t="shared" si="346"/>
        <v>0</v>
      </c>
      <c r="N996" s="171">
        <f t="shared" si="347"/>
        <v>0</v>
      </c>
      <c r="O996" s="132">
        <f t="shared" si="348"/>
        <v>0</v>
      </c>
      <c r="P996" s="177">
        <f t="shared" si="349"/>
        <v>0</v>
      </c>
      <c r="Q996" s="177">
        <f t="shared" si="350"/>
        <v>0</v>
      </c>
      <c r="S996" s="233" t="b">
        <f t="shared" si="318"/>
        <v>0</v>
      </c>
    </row>
    <row r="997" spans="1:19">
      <c r="A997" s="126" t="s">
        <v>3692</v>
      </c>
      <c r="B997" s="126" t="str">
        <f t="shared" si="344"/>
        <v>D0229</v>
      </c>
      <c r="C997" s="126">
        <v>756</v>
      </c>
      <c r="D997" s="126" t="s">
        <v>1129</v>
      </c>
      <c r="E997" s="126">
        <v>611</v>
      </c>
      <c r="F997" s="126">
        <v>0</v>
      </c>
      <c r="G997" s="126">
        <v>24</v>
      </c>
      <c r="H997" s="126">
        <v>0</v>
      </c>
      <c r="I997" s="126">
        <v>3.93</v>
      </c>
      <c r="J997" s="126">
        <v>0</v>
      </c>
      <c r="K997" s="126">
        <v>0</v>
      </c>
      <c r="L997" s="126">
        <f t="shared" si="345"/>
        <v>611</v>
      </c>
      <c r="M997" s="126">
        <f t="shared" si="346"/>
        <v>24</v>
      </c>
      <c r="N997" s="171">
        <f t="shared" si="347"/>
        <v>3.9300000000000002E-2</v>
      </c>
      <c r="O997" s="132">
        <f t="shared" si="348"/>
        <v>0</v>
      </c>
      <c r="P997" s="177">
        <f t="shared" si="349"/>
        <v>0</v>
      </c>
      <c r="Q997" s="177">
        <f t="shared" si="350"/>
        <v>0</v>
      </c>
      <c r="S997" s="233" t="b">
        <f t="shared" si="318"/>
        <v>0</v>
      </c>
    </row>
    <row r="998" spans="1:19">
      <c r="A998" s="126" t="s">
        <v>3692</v>
      </c>
      <c r="B998" s="126" t="str">
        <f t="shared" si="344"/>
        <v>D0229</v>
      </c>
      <c r="C998" s="126">
        <v>757</v>
      </c>
      <c r="D998" s="126" t="s">
        <v>3693</v>
      </c>
      <c r="E998" s="126">
        <v>581</v>
      </c>
      <c r="F998" s="126">
        <v>0</v>
      </c>
      <c r="G998" s="126">
        <v>31</v>
      </c>
      <c r="H998" s="126">
        <v>0</v>
      </c>
      <c r="I998" s="126">
        <v>5.34</v>
      </c>
      <c r="J998" s="126">
        <v>0</v>
      </c>
      <c r="K998" s="126">
        <v>0</v>
      </c>
      <c r="L998" s="126">
        <f t="shared" si="345"/>
        <v>581</v>
      </c>
      <c r="M998" s="126">
        <f t="shared" si="346"/>
        <v>31</v>
      </c>
      <c r="N998" s="171">
        <f t="shared" si="347"/>
        <v>5.3400000000000003E-2</v>
      </c>
      <c r="O998" s="132">
        <f t="shared" si="348"/>
        <v>0</v>
      </c>
      <c r="P998" s="177">
        <f t="shared" si="349"/>
        <v>0</v>
      </c>
      <c r="Q998" s="177">
        <f t="shared" si="350"/>
        <v>0</v>
      </c>
      <c r="S998" s="233" t="b">
        <f t="shared" si="318"/>
        <v>0</v>
      </c>
    </row>
    <row r="999" spans="1:19">
      <c r="A999" s="126" t="s">
        <v>3692</v>
      </c>
      <c r="B999" s="126" t="str">
        <f t="shared" si="344"/>
        <v>D0229</v>
      </c>
      <c r="C999" s="126">
        <v>758</v>
      </c>
      <c r="D999" s="126" t="s">
        <v>1133</v>
      </c>
      <c r="E999" s="126">
        <v>633</v>
      </c>
      <c r="F999" s="126">
        <v>0</v>
      </c>
      <c r="G999" s="126">
        <v>11</v>
      </c>
      <c r="H999" s="126">
        <v>0</v>
      </c>
      <c r="I999" s="126">
        <v>1.74</v>
      </c>
      <c r="J999" s="126">
        <v>0</v>
      </c>
      <c r="K999" s="126">
        <v>0</v>
      </c>
      <c r="L999" s="126">
        <f t="shared" si="345"/>
        <v>633</v>
      </c>
      <c r="M999" s="126">
        <f t="shared" si="346"/>
        <v>11</v>
      </c>
      <c r="N999" s="171">
        <f t="shared" si="347"/>
        <v>1.7399999999999999E-2</v>
      </c>
      <c r="O999" s="132">
        <f t="shared" si="348"/>
        <v>0</v>
      </c>
      <c r="P999" s="177">
        <f t="shared" si="349"/>
        <v>0</v>
      </c>
      <c r="Q999" s="177">
        <f t="shared" si="350"/>
        <v>0</v>
      </c>
      <c r="S999" s="233" t="b">
        <f t="shared" si="318"/>
        <v>0</v>
      </c>
    </row>
    <row r="1000" spans="1:19">
      <c r="A1000" s="126" t="s">
        <v>3692</v>
      </c>
      <c r="B1000" s="126" t="str">
        <f t="shared" si="344"/>
        <v>D0229</v>
      </c>
      <c r="C1000" s="126">
        <v>759</v>
      </c>
      <c r="D1000" s="126" t="s">
        <v>1135</v>
      </c>
      <c r="E1000" s="126">
        <v>633</v>
      </c>
      <c r="F1000" s="126">
        <v>0</v>
      </c>
      <c r="G1000" s="126">
        <v>1</v>
      </c>
      <c r="H1000" s="126">
        <v>0</v>
      </c>
      <c r="I1000" s="126">
        <v>0.16</v>
      </c>
      <c r="J1000" s="126">
        <v>0</v>
      </c>
      <c r="K1000" s="126">
        <v>0</v>
      </c>
      <c r="L1000" s="126">
        <f t="shared" si="345"/>
        <v>633</v>
      </c>
      <c r="M1000" s="126">
        <f t="shared" si="346"/>
        <v>1</v>
      </c>
      <c r="N1000" s="171">
        <f t="shared" si="347"/>
        <v>1.6000000000000001E-3</v>
      </c>
      <c r="O1000" s="132">
        <f t="shared" si="348"/>
        <v>0</v>
      </c>
      <c r="P1000" s="177">
        <f t="shared" si="349"/>
        <v>0</v>
      </c>
      <c r="Q1000" s="177">
        <f t="shared" si="350"/>
        <v>0</v>
      </c>
      <c r="S1000" s="233" t="b">
        <f t="shared" si="318"/>
        <v>0</v>
      </c>
    </row>
    <row r="1001" spans="1:19">
      <c r="A1001" s="126" t="s">
        <v>3692</v>
      </c>
      <c r="B1001" s="126" t="str">
        <f t="shared" si="344"/>
        <v>D0229</v>
      </c>
      <c r="C1001" s="126">
        <v>765</v>
      </c>
      <c r="D1001" s="126" t="s">
        <v>1137</v>
      </c>
      <c r="E1001" s="126">
        <v>456</v>
      </c>
      <c r="F1001" s="126">
        <v>0</v>
      </c>
      <c r="G1001" s="126">
        <v>21</v>
      </c>
      <c r="H1001" s="126">
        <v>0</v>
      </c>
      <c r="I1001" s="126">
        <v>4.6100000000000003</v>
      </c>
      <c r="J1001" s="126">
        <v>0</v>
      </c>
      <c r="K1001" s="126">
        <v>0</v>
      </c>
      <c r="L1001" s="126">
        <f t="shared" si="345"/>
        <v>456</v>
      </c>
      <c r="M1001" s="126">
        <f t="shared" si="346"/>
        <v>21</v>
      </c>
      <c r="N1001" s="171">
        <f t="shared" si="347"/>
        <v>4.6100000000000002E-2</v>
      </c>
      <c r="O1001" s="132">
        <f t="shared" si="348"/>
        <v>0</v>
      </c>
      <c r="P1001" s="177">
        <f t="shared" si="349"/>
        <v>0</v>
      </c>
      <c r="Q1001" s="177">
        <f t="shared" si="350"/>
        <v>0</v>
      </c>
      <c r="S1001" s="233" t="b">
        <f t="shared" si="318"/>
        <v>0</v>
      </c>
    </row>
    <row r="1002" spans="1:19">
      <c r="A1002" s="126" t="s">
        <v>3692</v>
      </c>
      <c r="B1002" s="126" t="str">
        <f t="shared" si="344"/>
        <v>D0229</v>
      </c>
      <c r="C1002" s="126">
        <v>767</v>
      </c>
      <c r="D1002" s="126" t="s">
        <v>1139</v>
      </c>
      <c r="E1002" s="126">
        <v>588</v>
      </c>
      <c r="F1002" s="126">
        <v>0</v>
      </c>
      <c r="G1002" s="126">
        <v>56</v>
      </c>
      <c r="H1002" s="126">
        <v>0</v>
      </c>
      <c r="I1002" s="126">
        <v>9.52</v>
      </c>
      <c r="J1002" s="126">
        <v>0</v>
      </c>
      <c r="K1002" s="126">
        <v>0</v>
      </c>
      <c r="L1002" s="126">
        <f t="shared" si="345"/>
        <v>588</v>
      </c>
      <c r="M1002" s="126">
        <f t="shared" si="346"/>
        <v>56</v>
      </c>
      <c r="N1002" s="171">
        <f t="shared" si="347"/>
        <v>9.5200000000000007E-2</v>
      </c>
      <c r="O1002" s="132">
        <f t="shared" si="348"/>
        <v>0</v>
      </c>
      <c r="P1002" s="177">
        <f t="shared" si="349"/>
        <v>0</v>
      </c>
      <c r="Q1002" s="177">
        <f t="shared" si="350"/>
        <v>0</v>
      </c>
      <c r="S1002" s="233" t="b">
        <f t="shared" si="318"/>
        <v>0</v>
      </c>
    </row>
    <row r="1003" spans="1:19">
      <c r="A1003" s="126" t="s">
        <v>3692</v>
      </c>
      <c r="B1003" s="126" t="str">
        <f t="shared" si="344"/>
        <v>D0229</v>
      </c>
      <c r="C1003" s="126">
        <v>768</v>
      </c>
      <c r="D1003" s="126" t="s">
        <v>1141</v>
      </c>
      <c r="E1003" s="126">
        <v>510</v>
      </c>
      <c r="F1003" s="126">
        <v>0</v>
      </c>
      <c r="G1003" s="126">
        <v>44</v>
      </c>
      <c r="H1003" s="126">
        <v>0</v>
      </c>
      <c r="I1003" s="126">
        <v>8.6300000000000008</v>
      </c>
      <c r="J1003" s="126">
        <v>0</v>
      </c>
      <c r="K1003" s="126">
        <v>0</v>
      </c>
      <c r="L1003" s="126">
        <f t="shared" si="345"/>
        <v>510</v>
      </c>
      <c r="M1003" s="126">
        <f t="shared" si="346"/>
        <v>44</v>
      </c>
      <c r="N1003" s="171">
        <f t="shared" si="347"/>
        <v>8.6300000000000002E-2</v>
      </c>
      <c r="O1003" s="132">
        <f t="shared" si="348"/>
        <v>0</v>
      </c>
      <c r="P1003" s="177">
        <f t="shared" si="349"/>
        <v>0</v>
      </c>
      <c r="Q1003" s="177">
        <f t="shared" si="350"/>
        <v>0</v>
      </c>
      <c r="S1003" s="233" t="b">
        <f t="shared" si="318"/>
        <v>0</v>
      </c>
    </row>
    <row r="1004" spans="1:19">
      <c r="A1004" s="126" t="s">
        <v>3692</v>
      </c>
      <c r="B1004" s="126" t="str">
        <f t="shared" si="344"/>
        <v>D0229</v>
      </c>
      <c r="C1004" s="126">
        <v>769</v>
      </c>
      <c r="D1004" s="126" t="s">
        <v>1143</v>
      </c>
      <c r="E1004" s="126">
        <v>1529</v>
      </c>
      <c r="F1004" s="126">
        <v>0</v>
      </c>
      <c r="G1004" s="126">
        <v>89</v>
      </c>
      <c r="H1004" s="126">
        <v>0</v>
      </c>
      <c r="I1004" s="126">
        <v>5.82</v>
      </c>
      <c r="J1004" s="126">
        <v>0</v>
      </c>
      <c r="K1004" s="126">
        <v>0</v>
      </c>
      <c r="L1004" s="126">
        <f t="shared" si="345"/>
        <v>1529</v>
      </c>
      <c r="M1004" s="126">
        <f t="shared" si="346"/>
        <v>89</v>
      </c>
      <c r="N1004" s="171">
        <f t="shared" si="347"/>
        <v>5.8200000000000002E-2</v>
      </c>
      <c r="O1004" s="132">
        <f t="shared" si="348"/>
        <v>0</v>
      </c>
      <c r="P1004" s="177">
        <f t="shared" si="349"/>
        <v>0</v>
      </c>
      <c r="Q1004" s="177">
        <f t="shared" si="350"/>
        <v>0</v>
      </c>
      <c r="S1004" s="233" t="b">
        <f t="shared" si="318"/>
        <v>0</v>
      </c>
    </row>
    <row r="1005" spans="1:19">
      <c r="A1005" s="126" t="s">
        <v>3692</v>
      </c>
      <c r="B1005" s="126" t="str">
        <f t="shared" si="344"/>
        <v>D0229</v>
      </c>
      <c r="C1005" s="126">
        <v>770</v>
      </c>
      <c r="D1005" s="126" t="s">
        <v>1145</v>
      </c>
      <c r="E1005" s="126">
        <v>1646</v>
      </c>
      <c r="F1005" s="126">
        <v>0</v>
      </c>
      <c r="G1005" s="126">
        <v>69</v>
      </c>
      <c r="H1005" s="126">
        <v>0</v>
      </c>
      <c r="I1005" s="126">
        <v>4.1900000000000004</v>
      </c>
      <c r="J1005" s="126">
        <v>0</v>
      </c>
      <c r="K1005" s="126">
        <v>0</v>
      </c>
      <c r="L1005" s="126">
        <f t="shared" si="345"/>
        <v>1646</v>
      </c>
      <c r="M1005" s="126">
        <f t="shared" si="346"/>
        <v>69</v>
      </c>
      <c r="N1005" s="171">
        <f t="shared" si="347"/>
        <v>4.19E-2</v>
      </c>
      <c r="O1005" s="132">
        <f t="shared" si="348"/>
        <v>0</v>
      </c>
      <c r="P1005" s="177">
        <f t="shared" si="349"/>
        <v>0</v>
      </c>
      <c r="Q1005" s="177">
        <f t="shared" si="350"/>
        <v>0</v>
      </c>
      <c r="S1005" s="233" t="b">
        <f t="shared" si="318"/>
        <v>0</v>
      </c>
    </row>
    <row r="1006" spans="1:19">
      <c r="A1006" s="126" t="s">
        <v>3692</v>
      </c>
      <c r="B1006" s="126" t="str">
        <f t="shared" si="344"/>
        <v>D0229</v>
      </c>
      <c r="C1006" s="126">
        <v>771</v>
      </c>
      <c r="D1006" s="126" t="s">
        <v>1147</v>
      </c>
      <c r="E1006" s="126">
        <v>393</v>
      </c>
      <c r="F1006" s="126">
        <v>0</v>
      </c>
      <c r="G1006" s="126">
        <v>11</v>
      </c>
      <c r="H1006" s="126">
        <v>0</v>
      </c>
      <c r="I1006" s="126">
        <v>2.8</v>
      </c>
      <c r="J1006" s="126">
        <v>0</v>
      </c>
      <c r="K1006" s="126">
        <v>0</v>
      </c>
      <c r="L1006" s="126">
        <f t="shared" si="345"/>
        <v>393</v>
      </c>
      <c r="M1006" s="126">
        <f t="shared" si="346"/>
        <v>11</v>
      </c>
      <c r="N1006" s="171">
        <f t="shared" si="347"/>
        <v>2.8000000000000001E-2</v>
      </c>
      <c r="O1006" s="132">
        <f t="shared" si="348"/>
        <v>0</v>
      </c>
      <c r="P1006" s="177">
        <f t="shared" si="349"/>
        <v>0</v>
      </c>
      <c r="Q1006" s="177">
        <f t="shared" si="350"/>
        <v>0</v>
      </c>
      <c r="S1006" s="233" t="b">
        <f t="shared" si="318"/>
        <v>0</v>
      </c>
    </row>
    <row r="1007" spans="1:19">
      <c r="A1007" s="126" t="s">
        <v>3692</v>
      </c>
      <c r="B1007" s="126" t="str">
        <f t="shared" si="344"/>
        <v>D0229</v>
      </c>
      <c r="C1007" s="126">
        <v>772</v>
      </c>
      <c r="D1007" s="126" t="s">
        <v>1149</v>
      </c>
      <c r="E1007" s="126">
        <v>590</v>
      </c>
      <c r="F1007" s="126">
        <v>0</v>
      </c>
      <c r="G1007" s="126">
        <v>64</v>
      </c>
      <c r="H1007" s="126">
        <v>0</v>
      </c>
      <c r="I1007" s="126">
        <v>10.85</v>
      </c>
      <c r="J1007" s="126">
        <v>0</v>
      </c>
      <c r="K1007" s="126">
        <v>0</v>
      </c>
      <c r="L1007" s="126">
        <f t="shared" si="345"/>
        <v>590</v>
      </c>
      <c r="M1007" s="126">
        <f t="shared" si="346"/>
        <v>64</v>
      </c>
      <c r="N1007" s="171">
        <f t="shared" si="347"/>
        <v>0.1085</v>
      </c>
      <c r="O1007" s="132">
        <f t="shared" si="348"/>
        <v>0</v>
      </c>
      <c r="P1007" s="177">
        <f t="shared" si="349"/>
        <v>0</v>
      </c>
      <c r="Q1007" s="177">
        <f t="shared" si="350"/>
        <v>0</v>
      </c>
      <c r="S1007" s="233" t="b">
        <f t="shared" si="318"/>
        <v>0</v>
      </c>
    </row>
    <row r="1008" spans="1:19">
      <c r="A1008" s="126" t="s">
        <v>3692</v>
      </c>
      <c r="B1008" s="126" t="str">
        <f t="shared" si="344"/>
        <v>D0229</v>
      </c>
      <c r="C1008" s="126">
        <v>773</v>
      </c>
      <c r="D1008" s="126" t="s">
        <v>1151</v>
      </c>
      <c r="E1008" s="126">
        <v>520</v>
      </c>
      <c r="F1008" s="126">
        <v>0</v>
      </c>
      <c r="G1008" s="126">
        <v>12</v>
      </c>
      <c r="H1008" s="126">
        <v>0</v>
      </c>
      <c r="I1008" s="126">
        <v>2.31</v>
      </c>
      <c r="J1008" s="126">
        <v>0</v>
      </c>
      <c r="K1008" s="126">
        <v>0</v>
      </c>
      <c r="L1008" s="126">
        <f t="shared" si="345"/>
        <v>520</v>
      </c>
      <c r="M1008" s="126">
        <f t="shared" si="346"/>
        <v>12</v>
      </c>
      <c r="N1008" s="171">
        <f t="shared" si="347"/>
        <v>2.3099999999999999E-2</v>
      </c>
      <c r="O1008" s="132">
        <f t="shared" si="348"/>
        <v>0</v>
      </c>
      <c r="P1008" s="177">
        <f t="shared" si="349"/>
        <v>0</v>
      </c>
      <c r="Q1008" s="177">
        <f t="shared" si="350"/>
        <v>0</v>
      </c>
      <c r="S1008" s="233" t="b">
        <f t="shared" si="318"/>
        <v>0</v>
      </c>
    </row>
    <row r="1009" spans="1:19">
      <c r="A1009" s="126" t="s">
        <v>3692</v>
      </c>
      <c r="B1009" s="126" t="str">
        <f t="shared" si="344"/>
        <v>D0229</v>
      </c>
      <c r="C1009" s="126">
        <v>774</v>
      </c>
      <c r="D1009" s="126" t="s">
        <v>1153</v>
      </c>
      <c r="E1009" s="126">
        <v>222</v>
      </c>
      <c r="F1009" s="126">
        <v>0</v>
      </c>
      <c r="G1009" s="126">
        <v>9</v>
      </c>
      <c r="H1009" s="126">
        <v>0</v>
      </c>
      <c r="I1009" s="126">
        <v>4.05</v>
      </c>
      <c r="J1009" s="126">
        <v>0</v>
      </c>
      <c r="K1009" s="126">
        <v>0</v>
      </c>
      <c r="L1009" s="126">
        <f t="shared" si="345"/>
        <v>222</v>
      </c>
      <c r="M1009" s="126">
        <f t="shared" si="346"/>
        <v>9</v>
      </c>
      <c r="N1009" s="171">
        <f t="shared" si="347"/>
        <v>4.0500000000000001E-2</v>
      </c>
      <c r="O1009" s="132">
        <f t="shared" si="348"/>
        <v>0</v>
      </c>
      <c r="P1009" s="177">
        <f t="shared" si="349"/>
        <v>0</v>
      </c>
      <c r="Q1009" s="177">
        <f t="shared" si="350"/>
        <v>0</v>
      </c>
      <c r="S1009" s="233" t="b">
        <f t="shared" si="318"/>
        <v>0</v>
      </c>
    </row>
    <row r="1010" spans="1:19">
      <c r="A1010" s="126" t="s">
        <v>3692</v>
      </c>
      <c r="B1010" s="126" t="str">
        <f t="shared" si="344"/>
        <v>D0229</v>
      </c>
      <c r="C1010" s="126">
        <v>776</v>
      </c>
      <c r="D1010" s="126" t="s">
        <v>1155</v>
      </c>
      <c r="E1010" s="126">
        <v>569</v>
      </c>
      <c r="F1010" s="126">
        <v>0</v>
      </c>
      <c r="G1010" s="126">
        <v>45</v>
      </c>
      <c r="H1010" s="126">
        <v>0</v>
      </c>
      <c r="I1010" s="126">
        <v>7.91</v>
      </c>
      <c r="J1010" s="126">
        <v>0</v>
      </c>
      <c r="K1010" s="126">
        <v>0</v>
      </c>
      <c r="L1010" s="126">
        <f t="shared" si="345"/>
        <v>569</v>
      </c>
      <c r="M1010" s="126">
        <f t="shared" si="346"/>
        <v>45</v>
      </c>
      <c r="N1010" s="171">
        <f t="shared" si="347"/>
        <v>7.9100000000000004E-2</v>
      </c>
      <c r="O1010" s="132">
        <f t="shared" si="348"/>
        <v>0</v>
      </c>
      <c r="P1010" s="177">
        <f t="shared" si="349"/>
        <v>0</v>
      </c>
      <c r="Q1010" s="177">
        <f t="shared" si="350"/>
        <v>0</v>
      </c>
      <c r="S1010" s="233" t="b">
        <f t="shared" si="318"/>
        <v>0</v>
      </c>
    </row>
    <row r="1011" spans="1:19">
      <c r="A1011" s="126" t="s">
        <v>3692</v>
      </c>
      <c r="B1011" s="126" t="str">
        <f t="shared" si="344"/>
        <v>D0229</v>
      </c>
      <c r="C1011" s="126">
        <v>777</v>
      </c>
      <c r="D1011" s="126" t="s">
        <v>1157</v>
      </c>
      <c r="E1011" s="126">
        <v>416</v>
      </c>
      <c r="F1011" s="126">
        <v>0</v>
      </c>
      <c r="G1011" s="126">
        <v>22</v>
      </c>
      <c r="H1011" s="126">
        <v>0</v>
      </c>
      <c r="I1011" s="126">
        <v>5.29</v>
      </c>
      <c r="J1011" s="126">
        <v>0</v>
      </c>
      <c r="K1011" s="126">
        <v>0</v>
      </c>
      <c r="L1011" s="126">
        <f t="shared" si="345"/>
        <v>416</v>
      </c>
      <c r="M1011" s="126">
        <f t="shared" si="346"/>
        <v>22</v>
      </c>
      <c r="N1011" s="171">
        <f t="shared" si="347"/>
        <v>5.2900000000000003E-2</v>
      </c>
      <c r="O1011" s="132">
        <f t="shared" si="348"/>
        <v>0</v>
      </c>
      <c r="P1011" s="177">
        <f t="shared" si="349"/>
        <v>0</v>
      </c>
      <c r="Q1011" s="177">
        <f t="shared" si="350"/>
        <v>0</v>
      </c>
      <c r="S1011" s="233" t="b">
        <f t="shared" si="318"/>
        <v>0</v>
      </c>
    </row>
    <row r="1012" spans="1:19">
      <c r="A1012" s="126" t="s">
        <v>3692</v>
      </c>
      <c r="B1012" s="126" t="str">
        <f t="shared" si="344"/>
        <v>D0229</v>
      </c>
      <c r="C1012" s="126">
        <v>778</v>
      </c>
      <c r="D1012" s="126" t="s">
        <v>1159</v>
      </c>
      <c r="E1012" s="126">
        <v>505</v>
      </c>
      <c r="F1012" s="126">
        <v>0</v>
      </c>
      <c r="G1012" s="126">
        <v>12</v>
      </c>
      <c r="H1012" s="126">
        <v>0</v>
      </c>
      <c r="I1012" s="126">
        <v>2.38</v>
      </c>
      <c r="J1012" s="126">
        <v>0</v>
      </c>
      <c r="K1012" s="126">
        <v>0</v>
      </c>
      <c r="L1012" s="126">
        <f t="shared" si="345"/>
        <v>505</v>
      </c>
      <c r="M1012" s="126">
        <f t="shared" si="346"/>
        <v>12</v>
      </c>
      <c r="N1012" s="171">
        <f t="shared" si="347"/>
        <v>2.3800000000000002E-2</v>
      </c>
      <c r="O1012" s="132">
        <f t="shared" si="348"/>
        <v>0</v>
      </c>
      <c r="P1012" s="177">
        <f t="shared" si="349"/>
        <v>0</v>
      </c>
      <c r="Q1012" s="177">
        <f t="shared" si="350"/>
        <v>0</v>
      </c>
      <c r="S1012" s="233" t="b">
        <f t="shared" si="318"/>
        <v>0</v>
      </c>
    </row>
    <row r="1013" spans="1:19">
      <c r="A1013" s="126" t="s">
        <v>3692</v>
      </c>
      <c r="B1013" s="126" t="str">
        <f t="shared" si="344"/>
        <v>D0229</v>
      </c>
      <c r="C1013" s="126">
        <v>779</v>
      </c>
      <c r="D1013" s="126" t="s">
        <v>1161</v>
      </c>
      <c r="E1013" s="126">
        <v>534</v>
      </c>
      <c r="F1013" s="126">
        <v>0</v>
      </c>
      <c r="G1013" s="126">
        <v>42</v>
      </c>
      <c r="H1013" s="126">
        <v>0</v>
      </c>
      <c r="I1013" s="126">
        <v>7.87</v>
      </c>
      <c r="J1013" s="126">
        <v>0</v>
      </c>
      <c r="K1013" s="126">
        <v>0</v>
      </c>
      <c r="L1013" s="126">
        <f t="shared" si="345"/>
        <v>534</v>
      </c>
      <c r="M1013" s="126">
        <f t="shared" si="346"/>
        <v>42</v>
      </c>
      <c r="N1013" s="171">
        <f t="shared" si="347"/>
        <v>7.8700000000000006E-2</v>
      </c>
      <c r="O1013" s="132">
        <f t="shared" si="348"/>
        <v>0</v>
      </c>
      <c r="P1013" s="177">
        <f t="shared" si="349"/>
        <v>0</v>
      </c>
      <c r="Q1013" s="177">
        <f t="shared" si="350"/>
        <v>0</v>
      </c>
      <c r="S1013" s="233" t="b">
        <f t="shared" si="318"/>
        <v>0</v>
      </c>
    </row>
    <row r="1014" spans="1:19">
      <c r="A1014" s="126" t="s">
        <v>3692</v>
      </c>
      <c r="B1014" s="126" t="str">
        <f t="shared" si="344"/>
        <v>D0229</v>
      </c>
      <c r="C1014" s="126">
        <v>780</v>
      </c>
      <c r="D1014" s="126" t="s">
        <v>1163</v>
      </c>
      <c r="E1014" s="126">
        <v>359</v>
      </c>
      <c r="F1014" s="126">
        <v>0</v>
      </c>
      <c r="G1014" s="126">
        <v>49</v>
      </c>
      <c r="H1014" s="126">
        <v>0</v>
      </c>
      <c r="I1014" s="126">
        <v>13.65</v>
      </c>
      <c r="J1014" s="126">
        <v>0</v>
      </c>
      <c r="K1014" s="126">
        <v>0</v>
      </c>
      <c r="L1014" s="126">
        <f t="shared" si="345"/>
        <v>359</v>
      </c>
      <c r="M1014" s="126">
        <f t="shared" si="346"/>
        <v>49</v>
      </c>
      <c r="N1014" s="171">
        <f t="shared" si="347"/>
        <v>0.13650000000000001</v>
      </c>
      <c r="O1014" s="132">
        <f t="shared" si="348"/>
        <v>0</v>
      </c>
      <c r="P1014" s="177">
        <f t="shared" si="349"/>
        <v>0</v>
      </c>
      <c r="Q1014" s="177">
        <f t="shared" si="350"/>
        <v>0</v>
      </c>
      <c r="S1014" s="233" t="b">
        <f t="shared" si="318"/>
        <v>0</v>
      </c>
    </row>
    <row r="1015" spans="1:19">
      <c r="A1015" s="126" t="s">
        <v>3692</v>
      </c>
      <c r="B1015" s="126" t="str">
        <f t="shared" si="344"/>
        <v>D0229</v>
      </c>
      <c r="C1015" s="126">
        <v>781</v>
      </c>
      <c r="D1015" s="126" t="s">
        <v>1165</v>
      </c>
      <c r="E1015" s="126">
        <v>583</v>
      </c>
      <c r="F1015" s="126">
        <v>0</v>
      </c>
      <c r="G1015" s="126">
        <v>68</v>
      </c>
      <c r="H1015" s="126">
        <v>0</v>
      </c>
      <c r="I1015" s="126">
        <v>11.66</v>
      </c>
      <c r="J1015" s="126">
        <v>0</v>
      </c>
      <c r="K1015" s="126">
        <v>0</v>
      </c>
      <c r="L1015" s="126">
        <f t="shared" si="345"/>
        <v>583</v>
      </c>
      <c r="M1015" s="126">
        <f t="shared" si="346"/>
        <v>68</v>
      </c>
      <c r="N1015" s="171">
        <f t="shared" si="347"/>
        <v>0.1166</v>
      </c>
      <c r="O1015" s="132">
        <f t="shared" si="348"/>
        <v>0</v>
      </c>
      <c r="P1015" s="177">
        <f t="shared" si="349"/>
        <v>0</v>
      </c>
      <c r="Q1015" s="177">
        <f t="shared" si="350"/>
        <v>0</v>
      </c>
      <c r="S1015" s="233" t="b">
        <f t="shared" si="318"/>
        <v>0</v>
      </c>
    </row>
    <row r="1016" spans="1:19">
      <c r="A1016" s="126" t="s">
        <v>3692</v>
      </c>
      <c r="B1016" s="126" t="str">
        <f t="shared" si="344"/>
        <v>D0229</v>
      </c>
      <c r="C1016" s="126">
        <v>782</v>
      </c>
      <c r="D1016" s="126" t="s">
        <v>1167</v>
      </c>
      <c r="E1016" s="126">
        <v>444</v>
      </c>
      <c r="F1016" s="126">
        <v>0</v>
      </c>
      <c r="G1016" s="126">
        <v>40</v>
      </c>
      <c r="H1016" s="126">
        <v>0</v>
      </c>
      <c r="I1016" s="126">
        <v>9.01</v>
      </c>
      <c r="J1016" s="126">
        <v>0</v>
      </c>
      <c r="K1016" s="126">
        <v>0</v>
      </c>
      <c r="L1016" s="126">
        <f t="shared" si="345"/>
        <v>444</v>
      </c>
      <c r="M1016" s="126">
        <f t="shared" si="346"/>
        <v>40</v>
      </c>
      <c r="N1016" s="171">
        <f t="shared" si="347"/>
        <v>9.01E-2</v>
      </c>
      <c r="O1016" s="132">
        <f t="shared" si="348"/>
        <v>0</v>
      </c>
      <c r="P1016" s="177">
        <f t="shared" si="349"/>
        <v>0</v>
      </c>
      <c r="Q1016" s="177">
        <f t="shared" si="350"/>
        <v>0</v>
      </c>
      <c r="S1016" s="233" t="b">
        <f t="shared" si="318"/>
        <v>0</v>
      </c>
    </row>
    <row r="1017" spans="1:19">
      <c r="A1017" s="126" t="s">
        <v>3692</v>
      </c>
      <c r="B1017" s="126" t="str">
        <f t="shared" si="344"/>
        <v>D0229</v>
      </c>
      <c r="C1017" s="126">
        <v>783</v>
      </c>
      <c r="D1017" s="126" t="s">
        <v>1169</v>
      </c>
      <c r="E1017" s="126">
        <v>368</v>
      </c>
      <c r="F1017" s="126">
        <v>0</v>
      </c>
      <c r="G1017" s="126">
        <v>9</v>
      </c>
      <c r="H1017" s="126">
        <v>0</v>
      </c>
      <c r="I1017" s="126">
        <v>2.4500000000000002</v>
      </c>
      <c r="J1017" s="126">
        <v>0</v>
      </c>
      <c r="K1017" s="126">
        <v>0</v>
      </c>
      <c r="L1017" s="126">
        <f t="shared" si="345"/>
        <v>368</v>
      </c>
      <c r="M1017" s="126">
        <f t="shared" si="346"/>
        <v>9</v>
      </c>
      <c r="N1017" s="171">
        <f t="shared" si="347"/>
        <v>2.4500000000000001E-2</v>
      </c>
      <c r="O1017" s="132">
        <f t="shared" si="348"/>
        <v>0</v>
      </c>
      <c r="P1017" s="177">
        <f t="shared" si="349"/>
        <v>0</v>
      </c>
      <c r="Q1017" s="177">
        <f t="shared" si="350"/>
        <v>0</v>
      </c>
      <c r="S1017" s="233" t="b">
        <f t="shared" si="318"/>
        <v>0</v>
      </c>
    </row>
    <row r="1018" spans="1:19">
      <c r="A1018" s="126" t="s">
        <v>3692</v>
      </c>
      <c r="B1018" s="126" t="str">
        <f t="shared" si="344"/>
        <v>D0229</v>
      </c>
      <c r="C1018" s="126">
        <v>784</v>
      </c>
      <c r="D1018" s="126" t="s">
        <v>1171</v>
      </c>
      <c r="E1018" s="126">
        <v>553</v>
      </c>
      <c r="F1018" s="126">
        <v>0</v>
      </c>
      <c r="G1018" s="126">
        <v>21</v>
      </c>
      <c r="H1018" s="126">
        <v>0</v>
      </c>
      <c r="I1018" s="126">
        <v>3.8</v>
      </c>
      <c r="J1018" s="126">
        <v>0</v>
      </c>
      <c r="K1018" s="126">
        <v>0</v>
      </c>
      <c r="L1018" s="126">
        <f t="shared" si="345"/>
        <v>553</v>
      </c>
      <c r="M1018" s="126">
        <f t="shared" si="346"/>
        <v>21</v>
      </c>
      <c r="N1018" s="171">
        <f t="shared" si="347"/>
        <v>3.7999999999999999E-2</v>
      </c>
      <c r="O1018" s="132">
        <f t="shared" si="348"/>
        <v>0</v>
      </c>
      <c r="P1018" s="177">
        <f t="shared" si="349"/>
        <v>0</v>
      </c>
      <c r="Q1018" s="177">
        <f t="shared" si="350"/>
        <v>0</v>
      </c>
      <c r="S1018" s="233" t="b">
        <f t="shared" si="318"/>
        <v>0</v>
      </c>
    </row>
    <row r="1019" spans="1:19">
      <c r="A1019" s="126" t="s">
        <v>3692</v>
      </c>
      <c r="B1019" s="126" t="str">
        <f t="shared" si="344"/>
        <v>D0229</v>
      </c>
      <c r="C1019" s="126">
        <v>785</v>
      </c>
      <c r="D1019" s="126" t="s">
        <v>1173</v>
      </c>
      <c r="E1019" s="126">
        <v>537</v>
      </c>
      <c r="F1019" s="126">
        <v>0</v>
      </c>
      <c r="G1019" s="126">
        <v>19</v>
      </c>
      <c r="H1019" s="126">
        <v>0</v>
      </c>
      <c r="I1019" s="126">
        <v>3.54</v>
      </c>
      <c r="J1019" s="126">
        <v>0</v>
      </c>
      <c r="K1019" s="126">
        <v>0</v>
      </c>
      <c r="L1019" s="126">
        <f t="shared" si="345"/>
        <v>537</v>
      </c>
      <c r="M1019" s="126">
        <f t="shared" si="346"/>
        <v>19</v>
      </c>
      <c r="N1019" s="171">
        <f t="shared" si="347"/>
        <v>3.5400000000000001E-2</v>
      </c>
      <c r="O1019" s="132">
        <f t="shared" si="348"/>
        <v>0</v>
      </c>
      <c r="P1019" s="177">
        <f t="shared" si="349"/>
        <v>0</v>
      </c>
      <c r="Q1019" s="177">
        <f t="shared" si="350"/>
        <v>0</v>
      </c>
      <c r="S1019" s="233" t="b">
        <f t="shared" si="318"/>
        <v>0</v>
      </c>
    </row>
    <row r="1020" spans="1:19">
      <c r="A1020" s="126" t="s">
        <v>3692</v>
      </c>
      <c r="B1020" s="126" t="str">
        <f t="shared" si="344"/>
        <v>D0229</v>
      </c>
      <c r="C1020" s="126">
        <v>820</v>
      </c>
      <c r="D1020" s="126" t="s">
        <v>1175</v>
      </c>
      <c r="E1020" s="126">
        <v>1131</v>
      </c>
      <c r="F1020" s="126">
        <v>0</v>
      </c>
      <c r="G1020" s="126">
        <v>27</v>
      </c>
      <c r="H1020" s="126">
        <v>0</v>
      </c>
      <c r="I1020" s="126">
        <v>2.39</v>
      </c>
      <c r="J1020" s="126">
        <v>0</v>
      </c>
      <c r="K1020" s="126">
        <v>0</v>
      </c>
      <c r="L1020" s="126">
        <f t="shared" si="345"/>
        <v>1131</v>
      </c>
      <c r="M1020" s="126">
        <f t="shared" si="346"/>
        <v>27</v>
      </c>
      <c r="N1020" s="171">
        <f t="shared" si="347"/>
        <v>2.3900000000000001E-2</v>
      </c>
      <c r="O1020" s="132">
        <f t="shared" si="348"/>
        <v>0</v>
      </c>
      <c r="P1020" s="177">
        <f t="shared" si="349"/>
        <v>0</v>
      </c>
      <c r="Q1020" s="177">
        <f t="shared" si="350"/>
        <v>0</v>
      </c>
      <c r="S1020" s="233" t="b">
        <f t="shared" si="318"/>
        <v>0</v>
      </c>
    </row>
    <row r="1021" spans="1:19">
      <c r="A1021" s="126" t="s">
        <v>3692</v>
      </c>
      <c r="B1021" s="126" t="str">
        <f t="shared" si="344"/>
        <v>D0229</v>
      </c>
      <c r="C1021" s="126">
        <v>823</v>
      </c>
      <c r="D1021" s="126" t="s">
        <v>1177</v>
      </c>
      <c r="E1021" s="126">
        <v>752</v>
      </c>
      <c r="F1021" s="126">
        <v>0</v>
      </c>
      <c r="G1021" s="126">
        <v>13</v>
      </c>
      <c r="H1021" s="126">
        <v>0</v>
      </c>
      <c r="I1021" s="126">
        <v>1.73</v>
      </c>
      <c r="J1021" s="126">
        <v>0</v>
      </c>
      <c r="K1021" s="126">
        <v>0</v>
      </c>
      <c r="L1021" s="126">
        <f t="shared" si="345"/>
        <v>752</v>
      </c>
      <c r="M1021" s="126">
        <f t="shared" si="346"/>
        <v>13</v>
      </c>
      <c r="N1021" s="171">
        <f t="shared" si="347"/>
        <v>1.7299999999999999E-2</v>
      </c>
      <c r="O1021" s="132">
        <f t="shared" si="348"/>
        <v>0</v>
      </c>
      <c r="P1021" s="177">
        <f t="shared" si="349"/>
        <v>0</v>
      </c>
      <c r="Q1021" s="177">
        <f t="shared" si="350"/>
        <v>0</v>
      </c>
      <c r="S1021" s="233" t="b">
        <f t="shared" si="318"/>
        <v>0</v>
      </c>
    </row>
    <row r="1022" spans="1:19">
      <c r="A1022" s="126" t="s">
        <v>3692</v>
      </c>
      <c r="B1022" s="126" t="str">
        <f t="shared" si="344"/>
        <v>D0229</v>
      </c>
      <c r="C1022" s="126">
        <v>937</v>
      </c>
      <c r="D1022" s="126" t="s">
        <v>1179</v>
      </c>
      <c r="E1022" s="126">
        <v>385</v>
      </c>
      <c r="F1022" s="126">
        <v>0</v>
      </c>
      <c r="G1022" s="126">
        <v>11</v>
      </c>
      <c r="H1022" s="126">
        <v>0</v>
      </c>
      <c r="I1022" s="126">
        <v>2.86</v>
      </c>
      <c r="J1022" s="126">
        <v>0</v>
      </c>
      <c r="K1022" s="126">
        <v>0</v>
      </c>
      <c r="L1022" s="126">
        <f t="shared" si="345"/>
        <v>385</v>
      </c>
      <c r="M1022" s="126">
        <f t="shared" si="346"/>
        <v>11</v>
      </c>
      <c r="N1022" s="171">
        <f t="shared" si="347"/>
        <v>2.86E-2</v>
      </c>
      <c r="O1022" s="132">
        <f t="shared" si="348"/>
        <v>0</v>
      </c>
      <c r="P1022" s="177">
        <f t="shared" si="349"/>
        <v>0</v>
      </c>
      <c r="Q1022" s="177">
        <f t="shared" si="350"/>
        <v>0</v>
      </c>
      <c r="S1022" s="233" t="b">
        <f t="shared" si="318"/>
        <v>0</v>
      </c>
    </row>
    <row r="1023" spans="1:19">
      <c r="A1023" s="126" t="s">
        <v>3692</v>
      </c>
      <c r="B1023" s="126" t="str">
        <f t="shared" si="344"/>
        <v>D0229</v>
      </c>
      <c r="C1023" s="126">
        <v>7773</v>
      </c>
      <c r="D1023" s="126" t="s">
        <v>1181</v>
      </c>
      <c r="E1023" s="126">
        <v>379</v>
      </c>
      <c r="F1023" s="126">
        <v>0</v>
      </c>
      <c r="G1023" s="126">
        <v>8</v>
      </c>
      <c r="H1023" s="126">
        <v>0</v>
      </c>
      <c r="I1023" s="126">
        <v>2.11</v>
      </c>
      <c r="J1023" s="126">
        <v>0</v>
      </c>
      <c r="K1023" s="126">
        <v>0</v>
      </c>
      <c r="L1023" s="126">
        <f t="shared" si="345"/>
        <v>379</v>
      </c>
      <c r="M1023" s="126">
        <f t="shared" si="346"/>
        <v>8</v>
      </c>
      <c r="N1023" s="171">
        <f t="shared" si="347"/>
        <v>2.1100000000000001E-2</v>
      </c>
      <c r="O1023" s="132">
        <f t="shared" si="348"/>
        <v>0</v>
      </c>
      <c r="P1023" s="177">
        <f t="shared" si="349"/>
        <v>0</v>
      </c>
      <c r="Q1023" s="177">
        <f t="shared" si="350"/>
        <v>0</v>
      </c>
      <c r="S1023" s="233" t="b">
        <f t="shared" si="318"/>
        <v>0</v>
      </c>
    </row>
    <row r="1024" spans="1:19">
      <c r="A1024" s="126" t="s">
        <v>3692</v>
      </c>
      <c r="B1024" s="126" t="str">
        <f t="shared" si="344"/>
        <v>D0229</v>
      </c>
      <c r="C1024" s="126">
        <v>7774</v>
      </c>
      <c r="D1024" s="126" t="s">
        <v>1183</v>
      </c>
      <c r="E1024" s="126">
        <v>1644</v>
      </c>
      <c r="F1024" s="126">
        <v>0</v>
      </c>
      <c r="G1024" s="126">
        <v>80</v>
      </c>
      <c r="H1024" s="126">
        <v>0</v>
      </c>
      <c r="I1024" s="126">
        <v>4.87</v>
      </c>
      <c r="J1024" s="126">
        <v>0</v>
      </c>
      <c r="K1024" s="126">
        <v>0</v>
      </c>
      <c r="L1024" s="126">
        <f t="shared" si="345"/>
        <v>1644</v>
      </c>
      <c r="M1024" s="126">
        <f t="shared" si="346"/>
        <v>80</v>
      </c>
      <c r="N1024" s="171">
        <f t="shared" si="347"/>
        <v>4.87E-2</v>
      </c>
      <c r="O1024" s="132">
        <f t="shared" si="348"/>
        <v>0</v>
      </c>
      <c r="P1024" s="177">
        <f t="shared" si="349"/>
        <v>0</v>
      </c>
      <c r="Q1024" s="177">
        <f t="shared" si="350"/>
        <v>0</v>
      </c>
      <c r="S1024" s="233" t="b">
        <f t="shared" si="318"/>
        <v>0</v>
      </c>
    </row>
    <row r="1025" spans="1:19">
      <c r="A1025" s="126" t="s">
        <v>3692</v>
      </c>
      <c r="B1025" s="126" t="str">
        <f t="shared" si="344"/>
        <v>D0229</v>
      </c>
      <c r="C1025" s="126">
        <v>7775</v>
      </c>
      <c r="D1025" s="126" t="s">
        <v>1185</v>
      </c>
      <c r="E1025" s="126">
        <v>418</v>
      </c>
      <c r="F1025" s="126">
        <v>0</v>
      </c>
      <c r="G1025" s="126">
        <v>29</v>
      </c>
      <c r="H1025" s="126">
        <v>0</v>
      </c>
      <c r="I1025" s="126">
        <v>6.94</v>
      </c>
      <c r="J1025" s="126">
        <v>0</v>
      </c>
      <c r="K1025" s="126">
        <v>0</v>
      </c>
      <c r="L1025" s="126">
        <f t="shared" si="345"/>
        <v>418</v>
      </c>
      <c r="M1025" s="126">
        <f t="shared" si="346"/>
        <v>29</v>
      </c>
      <c r="N1025" s="171">
        <f t="shared" si="347"/>
        <v>6.9400000000000003E-2</v>
      </c>
      <c r="O1025" s="132">
        <f t="shared" si="348"/>
        <v>0</v>
      </c>
      <c r="P1025" s="177">
        <f t="shared" si="349"/>
        <v>0</v>
      </c>
      <c r="Q1025" s="177">
        <f t="shared" si="350"/>
        <v>0</v>
      </c>
      <c r="S1025" s="233" t="b">
        <f t="shared" si="318"/>
        <v>0</v>
      </c>
    </row>
    <row r="1026" spans="1:19">
      <c r="A1026" s="126" t="s">
        <v>3692</v>
      </c>
      <c r="B1026" s="126" t="str">
        <f t="shared" si="344"/>
        <v>D0229</v>
      </c>
      <c r="C1026" s="126">
        <v>7776</v>
      </c>
      <c r="D1026" s="126" t="s">
        <v>1187</v>
      </c>
      <c r="E1026" s="126">
        <v>492</v>
      </c>
      <c r="F1026" s="126">
        <v>0</v>
      </c>
      <c r="G1026" s="126">
        <v>12</v>
      </c>
      <c r="H1026" s="126">
        <v>0</v>
      </c>
      <c r="I1026" s="126">
        <v>2.44</v>
      </c>
      <c r="J1026" s="126">
        <v>0</v>
      </c>
      <c r="K1026" s="126">
        <v>0</v>
      </c>
      <c r="L1026" s="126">
        <f t="shared" si="345"/>
        <v>492</v>
      </c>
      <c r="M1026" s="126">
        <f t="shared" si="346"/>
        <v>12</v>
      </c>
      <c r="N1026" s="171">
        <f t="shared" si="347"/>
        <v>2.4400000000000002E-2</v>
      </c>
      <c r="O1026" s="132">
        <f t="shared" si="348"/>
        <v>0</v>
      </c>
      <c r="P1026" s="177">
        <f t="shared" si="349"/>
        <v>0</v>
      </c>
      <c r="Q1026" s="177">
        <f t="shared" si="350"/>
        <v>0</v>
      </c>
      <c r="S1026" s="233" t="b">
        <f t="shared" si="318"/>
        <v>0</v>
      </c>
    </row>
    <row r="1027" spans="1:19">
      <c r="A1027" s="126" t="s">
        <v>3692</v>
      </c>
      <c r="B1027" s="126" t="str">
        <f t="shared" si="344"/>
        <v>D0229</v>
      </c>
      <c r="C1027" s="126">
        <v>7777</v>
      </c>
      <c r="D1027" s="126" t="s">
        <v>1189</v>
      </c>
      <c r="E1027" s="126">
        <v>1630</v>
      </c>
      <c r="F1027" s="126">
        <v>0</v>
      </c>
      <c r="G1027" s="126">
        <v>54</v>
      </c>
      <c r="H1027" s="126">
        <v>0</v>
      </c>
      <c r="I1027" s="126">
        <v>3.31</v>
      </c>
      <c r="J1027" s="126">
        <v>0</v>
      </c>
      <c r="K1027" s="126">
        <v>0</v>
      </c>
      <c r="L1027" s="126">
        <f t="shared" si="345"/>
        <v>1630</v>
      </c>
      <c r="M1027" s="126">
        <f t="shared" si="346"/>
        <v>54</v>
      </c>
      <c r="N1027" s="171">
        <f t="shared" si="347"/>
        <v>3.3099999999999997E-2</v>
      </c>
      <c r="O1027" s="132">
        <f t="shared" si="348"/>
        <v>0</v>
      </c>
      <c r="P1027" s="177">
        <f t="shared" si="349"/>
        <v>0</v>
      </c>
      <c r="Q1027" s="177">
        <f t="shared" si="350"/>
        <v>0</v>
      </c>
      <c r="S1027" s="233" t="b">
        <f t="shared" si="318"/>
        <v>0</v>
      </c>
    </row>
    <row r="1028" spans="1:19">
      <c r="A1028" s="126" t="s">
        <v>3692</v>
      </c>
      <c r="B1028" s="126" t="str">
        <f t="shared" si="344"/>
        <v>D0229</v>
      </c>
      <c r="C1028" s="126">
        <v>7786</v>
      </c>
      <c r="D1028" s="126" t="s">
        <v>1191</v>
      </c>
      <c r="E1028" s="126">
        <v>473</v>
      </c>
      <c r="F1028" s="126">
        <v>0</v>
      </c>
      <c r="G1028" s="126">
        <v>21</v>
      </c>
      <c r="H1028" s="126">
        <v>0</v>
      </c>
      <c r="I1028" s="126">
        <v>4.4400000000000004</v>
      </c>
      <c r="J1028" s="126">
        <v>0</v>
      </c>
      <c r="K1028" s="126">
        <v>0</v>
      </c>
      <c r="L1028" s="126">
        <f t="shared" si="345"/>
        <v>473</v>
      </c>
      <c r="M1028" s="126">
        <f t="shared" si="346"/>
        <v>21</v>
      </c>
      <c r="N1028" s="171">
        <f t="shared" si="347"/>
        <v>4.4400000000000002E-2</v>
      </c>
      <c r="O1028" s="132">
        <f t="shared" si="348"/>
        <v>0</v>
      </c>
      <c r="P1028" s="177">
        <f t="shared" si="349"/>
        <v>0</v>
      </c>
      <c r="Q1028" s="177">
        <f t="shared" si="350"/>
        <v>0</v>
      </c>
      <c r="S1028" s="233" t="b">
        <f t="shared" si="318"/>
        <v>0</v>
      </c>
    </row>
    <row r="1029" spans="1:19">
      <c r="A1029" s="126" t="s">
        <v>3692</v>
      </c>
      <c r="B1029" s="126" t="str">
        <f t="shared" si="344"/>
        <v>D0229</v>
      </c>
      <c r="C1029" s="126">
        <v>7787</v>
      </c>
      <c r="D1029" s="126" t="s">
        <v>1193</v>
      </c>
      <c r="E1029" s="126">
        <v>630</v>
      </c>
      <c r="F1029" s="126">
        <v>0</v>
      </c>
      <c r="G1029" s="126">
        <v>9</v>
      </c>
      <c r="H1029" s="126">
        <v>0</v>
      </c>
      <c r="I1029" s="126">
        <v>1.43</v>
      </c>
      <c r="J1029" s="126">
        <v>0</v>
      </c>
      <c r="K1029" s="126">
        <v>0</v>
      </c>
      <c r="L1029" s="126">
        <f t="shared" si="345"/>
        <v>630</v>
      </c>
      <c r="M1029" s="126">
        <f t="shared" si="346"/>
        <v>9</v>
      </c>
      <c r="N1029" s="171">
        <f t="shared" si="347"/>
        <v>1.43E-2</v>
      </c>
      <c r="O1029" s="132">
        <f t="shared" si="348"/>
        <v>0</v>
      </c>
      <c r="P1029" s="177">
        <f t="shared" si="349"/>
        <v>0</v>
      </c>
      <c r="Q1029" s="177">
        <f t="shared" si="350"/>
        <v>0</v>
      </c>
      <c r="S1029" s="233" t="b">
        <f t="shared" ref="S1029:S1092" si="351">COUNTIF(C:C,C1029)&gt;1</f>
        <v>0</v>
      </c>
    </row>
    <row r="1030" spans="1:19">
      <c r="A1030" s="126" t="s">
        <v>3692</v>
      </c>
      <c r="B1030" s="126" t="str">
        <f t="shared" si="344"/>
        <v>D0229</v>
      </c>
      <c r="C1030" s="126">
        <v>7788</v>
      </c>
      <c r="D1030" s="126" t="s">
        <v>1195</v>
      </c>
      <c r="E1030" s="126">
        <v>450</v>
      </c>
      <c r="F1030" s="126">
        <v>0</v>
      </c>
      <c r="G1030" s="126">
        <v>26</v>
      </c>
      <c r="H1030" s="126">
        <v>0</v>
      </c>
      <c r="I1030" s="126">
        <v>5.78</v>
      </c>
      <c r="J1030" s="126">
        <v>0</v>
      </c>
      <c r="K1030" s="126">
        <v>0</v>
      </c>
      <c r="L1030" s="126">
        <f t="shared" si="345"/>
        <v>450</v>
      </c>
      <c r="M1030" s="126">
        <f t="shared" si="346"/>
        <v>26</v>
      </c>
      <c r="N1030" s="171">
        <f t="shared" si="347"/>
        <v>5.7799999999999997E-2</v>
      </c>
      <c r="O1030" s="132">
        <f t="shared" si="348"/>
        <v>0</v>
      </c>
      <c r="P1030" s="177">
        <f t="shared" si="349"/>
        <v>0</v>
      </c>
      <c r="Q1030" s="177">
        <f t="shared" si="350"/>
        <v>0</v>
      </c>
      <c r="S1030" s="233" t="b">
        <f t="shared" si="351"/>
        <v>0</v>
      </c>
    </row>
    <row r="1031" spans="1:19">
      <c r="A1031" s="126" t="s">
        <v>3692</v>
      </c>
      <c r="B1031" s="126" t="str">
        <f t="shared" si="344"/>
        <v>D0229</v>
      </c>
      <c r="C1031" s="126">
        <v>7790</v>
      </c>
      <c r="D1031" s="126" t="s">
        <v>1197</v>
      </c>
      <c r="E1031" s="126">
        <v>395</v>
      </c>
      <c r="F1031" s="126">
        <v>0</v>
      </c>
      <c r="G1031" s="126">
        <v>11</v>
      </c>
      <c r="H1031" s="126">
        <v>0</v>
      </c>
      <c r="I1031" s="126">
        <v>2.78</v>
      </c>
      <c r="J1031" s="126">
        <v>0</v>
      </c>
      <c r="K1031" s="126">
        <v>0</v>
      </c>
      <c r="L1031" s="126">
        <f t="shared" si="345"/>
        <v>395</v>
      </c>
      <c r="M1031" s="126">
        <f t="shared" si="346"/>
        <v>11</v>
      </c>
      <c r="N1031" s="171">
        <f t="shared" si="347"/>
        <v>2.7799999999999998E-2</v>
      </c>
      <c r="O1031" s="132">
        <f t="shared" si="348"/>
        <v>0</v>
      </c>
      <c r="P1031" s="177">
        <f t="shared" si="349"/>
        <v>0</v>
      </c>
      <c r="Q1031" s="177">
        <f t="shared" si="350"/>
        <v>0</v>
      </c>
      <c r="S1031" s="233" t="b">
        <f t="shared" si="351"/>
        <v>0</v>
      </c>
    </row>
    <row r="1032" spans="1:19">
      <c r="A1032" s="126" t="s">
        <v>3900</v>
      </c>
      <c r="B1032" s="126" t="str">
        <f t="shared" si="344"/>
        <v>D0230</v>
      </c>
      <c r="L1032" s="126">
        <f t="shared" si="345"/>
        <v>0</v>
      </c>
      <c r="M1032" s="126">
        <f t="shared" si="346"/>
        <v>0</v>
      </c>
      <c r="N1032" s="171">
        <f t="shared" si="347"/>
        <v>0</v>
      </c>
      <c r="O1032" s="132">
        <f t="shared" si="348"/>
        <v>0</v>
      </c>
      <c r="P1032" s="177">
        <f t="shared" si="349"/>
        <v>0</v>
      </c>
      <c r="Q1032" s="177">
        <f t="shared" si="350"/>
        <v>0</v>
      </c>
      <c r="S1032" s="233" t="b">
        <f t="shared" si="351"/>
        <v>0</v>
      </c>
    </row>
    <row r="1033" spans="1:19">
      <c r="A1033" s="126" t="s">
        <v>3780</v>
      </c>
      <c r="B1033" s="126" t="str">
        <f t="shared" si="344"/>
        <v>D0250</v>
      </c>
      <c r="L1033" s="126">
        <f t="shared" si="345"/>
        <v>0</v>
      </c>
      <c r="M1033" s="126">
        <f t="shared" si="346"/>
        <v>0</v>
      </c>
      <c r="N1033" s="171">
        <f t="shared" si="347"/>
        <v>0</v>
      </c>
      <c r="O1033" s="132">
        <f t="shared" si="348"/>
        <v>0</v>
      </c>
      <c r="P1033" s="177">
        <f t="shared" si="349"/>
        <v>0</v>
      </c>
      <c r="Q1033" s="177">
        <f t="shared" si="350"/>
        <v>0</v>
      </c>
      <c r="S1033" s="233" t="b">
        <f t="shared" si="351"/>
        <v>0</v>
      </c>
    </row>
    <row r="1034" spans="1:19">
      <c r="A1034" s="126" t="s">
        <v>3780</v>
      </c>
      <c r="B1034" s="126" t="str">
        <f t="shared" si="344"/>
        <v>D0250</v>
      </c>
      <c r="C1034" s="126">
        <v>1302</v>
      </c>
      <c r="D1034" s="126" t="s">
        <v>1437</v>
      </c>
      <c r="E1034" s="126">
        <v>344</v>
      </c>
      <c r="F1034" s="126">
        <v>0</v>
      </c>
      <c r="G1034" s="126">
        <v>151</v>
      </c>
      <c r="H1034" s="126">
        <v>0</v>
      </c>
      <c r="I1034" s="126">
        <v>43.9</v>
      </c>
      <c r="J1034" s="126">
        <v>0</v>
      </c>
      <c r="K1034" s="126">
        <v>9.4</v>
      </c>
      <c r="L1034" s="126">
        <f t="shared" si="345"/>
        <v>344</v>
      </c>
      <c r="M1034" s="126">
        <f t="shared" si="346"/>
        <v>151</v>
      </c>
      <c r="N1034" s="171">
        <f t="shared" si="347"/>
        <v>0.439</v>
      </c>
      <c r="O1034" s="132">
        <f t="shared" si="348"/>
        <v>9.4</v>
      </c>
      <c r="P1034" s="177">
        <f t="shared" si="349"/>
        <v>0</v>
      </c>
      <c r="Q1034" s="177">
        <f t="shared" si="350"/>
        <v>9.4</v>
      </c>
      <c r="S1034" s="233" t="b">
        <f t="shared" si="351"/>
        <v>0</v>
      </c>
    </row>
    <row r="1035" spans="1:19">
      <c r="A1035" s="126" t="s">
        <v>3780</v>
      </c>
      <c r="B1035" s="126" t="str">
        <f t="shared" si="344"/>
        <v>D0250</v>
      </c>
      <c r="C1035" s="126">
        <v>1304</v>
      </c>
      <c r="D1035" s="126" t="s">
        <v>1439</v>
      </c>
      <c r="E1035" s="126">
        <v>424</v>
      </c>
      <c r="F1035" s="126">
        <v>0</v>
      </c>
      <c r="G1035" s="126">
        <v>230</v>
      </c>
      <c r="H1035" s="126">
        <v>0</v>
      </c>
      <c r="I1035" s="126">
        <v>54.25</v>
      </c>
      <c r="J1035" s="126">
        <v>24.1</v>
      </c>
      <c r="K1035" s="126">
        <v>0</v>
      </c>
      <c r="L1035" s="126">
        <f t="shared" si="345"/>
        <v>424</v>
      </c>
      <c r="M1035" s="126">
        <f t="shared" si="346"/>
        <v>230</v>
      </c>
      <c r="N1035" s="171">
        <f t="shared" si="347"/>
        <v>0.54249999999999998</v>
      </c>
      <c r="O1035" s="132">
        <f t="shared" si="348"/>
        <v>0</v>
      </c>
      <c r="P1035" s="177">
        <f t="shared" si="349"/>
        <v>24.2</v>
      </c>
      <c r="Q1035" s="177">
        <f t="shared" si="350"/>
        <v>24.2</v>
      </c>
      <c r="S1035" s="233" t="b">
        <f t="shared" si="351"/>
        <v>0</v>
      </c>
    </row>
    <row r="1036" spans="1:19">
      <c r="A1036" s="126" t="s">
        <v>3780</v>
      </c>
      <c r="B1036" s="126" t="str">
        <f t="shared" si="344"/>
        <v>D0250</v>
      </c>
      <c r="C1036" s="126">
        <v>1307</v>
      </c>
      <c r="D1036" s="126" t="s">
        <v>1441</v>
      </c>
      <c r="E1036" s="126">
        <v>343</v>
      </c>
      <c r="F1036" s="126">
        <v>0</v>
      </c>
      <c r="G1036" s="126">
        <v>241</v>
      </c>
      <c r="H1036" s="126">
        <v>0</v>
      </c>
      <c r="I1036" s="126">
        <v>70.260000000000005</v>
      </c>
      <c r="J1036" s="126">
        <v>25.3</v>
      </c>
      <c r="K1036" s="126">
        <v>0</v>
      </c>
      <c r="L1036" s="126">
        <f t="shared" si="345"/>
        <v>343</v>
      </c>
      <c r="M1036" s="126">
        <f t="shared" si="346"/>
        <v>241</v>
      </c>
      <c r="N1036" s="171">
        <f t="shared" si="347"/>
        <v>0.7026</v>
      </c>
      <c r="O1036" s="132">
        <f t="shared" si="348"/>
        <v>0</v>
      </c>
      <c r="P1036" s="177">
        <f t="shared" si="349"/>
        <v>25.3</v>
      </c>
      <c r="Q1036" s="177">
        <f t="shared" si="350"/>
        <v>25.3</v>
      </c>
      <c r="S1036" s="233" t="b">
        <f t="shared" si="351"/>
        <v>0</v>
      </c>
    </row>
    <row r="1037" spans="1:19">
      <c r="A1037" s="126" t="s">
        <v>3780</v>
      </c>
      <c r="B1037" s="126" t="str">
        <f t="shared" si="344"/>
        <v>D0250</v>
      </c>
      <c r="C1037" s="126">
        <v>1310</v>
      </c>
      <c r="D1037" s="126" t="s">
        <v>1443</v>
      </c>
      <c r="E1037" s="126">
        <v>423</v>
      </c>
      <c r="F1037" s="126">
        <v>0</v>
      </c>
      <c r="G1037" s="126">
        <v>204</v>
      </c>
      <c r="H1037" s="126">
        <v>0</v>
      </c>
      <c r="I1037" s="126">
        <v>48.23</v>
      </c>
      <c r="J1037" s="126">
        <v>0</v>
      </c>
      <c r="K1037" s="126">
        <v>18.899999999999999</v>
      </c>
      <c r="L1037" s="126">
        <f t="shared" si="345"/>
        <v>423</v>
      </c>
      <c r="M1037" s="126">
        <f t="shared" si="346"/>
        <v>204</v>
      </c>
      <c r="N1037" s="171">
        <f t="shared" si="347"/>
        <v>0.48230000000000001</v>
      </c>
      <c r="O1037" s="132">
        <f t="shared" si="348"/>
        <v>18.899999999999999</v>
      </c>
      <c r="P1037" s="177">
        <f t="shared" si="349"/>
        <v>0</v>
      </c>
      <c r="Q1037" s="177">
        <f t="shared" si="350"/>
        <v>18.899999999999999</v>
      </c>
      <c r="S1037" s="233" t="b">
        <f t="shared" si="351"/>
        <v>0</v>
      </c>
    </row>
    <row r="1038" spans="1:19">
      <c r="A1038" s="126" t="s">
        <v>3780</v>
      </c>
      <c r="B1038" s="126" t="str">
        <f t="shared" si="344"/>
        <v>D0250</v>
      </c>
      <c r="C1038" s="126">
        <v>1314</v>
      </c>
      <c r="D1038" s="126" t="s">
        <v>1445</v>
      </c>
      <c r="E1038" s="126">
        <v>678</v>
      </c>
      <c r="F1038" s="126">
        <v>0</v>
      </c>
      <c r="G1038" s="126">
        <v>380</v>
      </c>
      <c r="H1038" s="126">
        <v>0</v>
      </c>
      <c r="I1038" s="126">
        <v>56.05</v>
      </c>
      <c r="J1038" s="126">
        <v>39.9</v>
      </c>
      <c r="K1038" s="126">
        <v>0</v>
      </c>
      <c r="L1038" s="126">
        <f t="shared" si="345"/>
        <v>678</v>
      </c>
      <c r="M1038" s="126">
        <f t="shared" si="346"/>
        <v>380</v>
      </c>
      <c r="N1038" s="171">
        <f t="shared" si="347"/>
        <v>0.5605</v>
      </c>
      <c r="O1038" s="132">
        <f t="shared" si="348"/>
        <v>0</v>
      </c>
      <c r="P1038" s="177">
        <f t="shared" si="349"/>
        <v>39.9</v>
      </c>
      <c r="Q1038" s="177">
        <f t="shared" si="350"/>
        <v>39.9</v>
      </c>
      <c r="S1038" s="233" t="b">
        <f t="shared" si="351"/>
        <v>0</v>
      </c>
    </row>
    <row r="1039" spans="1:19">
      <c r="A1039" s="126" t="s">
        <v>3780</v>
      </c>
      <c r="B1039" s="126" t="str">
        <f t="shared" si="344"/>
        <v>D0250</v>
      </c>
      <c r="C1039" s="126">
        <v>1316</v>
      </c>
      <c r="D1039" s="126" t="s">
        <v>1447</v>
      </c>
      <c r="E1039" s="126">
        <v>836</v>
      </c>
      <c r="F1039" s="126">
        <v>0</v>
      </c>
      <c r="G1039" s="126">
        <v>420</v>
      </c>
      <c r="H1039" s="126">
        <v>0</v>
      </c>
      <c r="I1039" s="126">
        <v>50.24</v>
      </c>
      <c r="J1039" s="126">
        <v>44.1</v>
      </c>
      <c r="K1039" s="126">
        <v>0</v>
      </c>
      <c r="L1039" s="126">
        <f t="shared" si="345"/>
        <v>836</v>
      </c>
      <c r="M1039" s="126">
        <f t="shared" si="346"/>
        <v>420</v>
      </c>
      <c r="N1039" s="171">
        <f t="shared" si="347"/>
        <v>0.50239999999999996</v>
      </c>
      <c r="O1039" s="132">
        <f t="shared" si="348"/>
        <v>0</v>
      </c>
      <c r="P1039" s="177">
        <f t="shared" si="349"/>
        <v>44.1</v>
      </c>
      <c r="Q1039" s="177">
        <f t="shared" si="350"/>
        <v>44.1</v>
      </c>
      <c r="S1039" s="233" t="b">
        <f t="shared" si="351"/>
        <v>0</v>
      </c>
    </row>
    <row r="1040" spans="1:19">
      <c r="A1040" s="126" t="s">
        <v>3710</v>
      </c>
      <c r="B1040" s="126" t="str">
        <f t="shared" si="344"/>
        <v>D0263</v>
      </c>
      <c r="L1040" s="126">
        <f t="shared" si="345"/>
        <v>0</v>
      </c>
      <c r="M1040" s="126">
        <f t="shared" si="346"/>
        <v>0</v>
      </c>
      <c r="N1040" s="171">
        <f t="shared" si="347"/>
        <v>0</v>
      </c>
      <c r="O1040" s="132">
        <f t="shared" si="348"/>
        <v>0</v>
      </c>
      <c r="P1040" s="177">
        <f t="shared" si="349"/>
        <v>0</v>
      </c>
      <c r="Q1040" s="177">
        <f t="shared" si="350"/>
        <v>0</v>
      </c>
      <c r="S1040" s="233" t="b">
        <f t="shared" si="351"/>
        <v>0</v>
      </c>
    </row>
    <row r="1041" spans="1:19">
      <c r="A1041" s="126" t="s">
        <v>3710</v>
      </c>
      <c r="B1041" s="126" t="str">
        <f t="shared" si="344"/>
        <v>D0263</v>
      </c>
      <c r="C1041" s="126">
        <v>1992</v>
      </c>
      <c r="D1041" s="126" t="s">
        <v>1734</v>
      </c>
      <c r="E1041" s="126">
        <v>461</v>
      </c>
      <c r="F1041" s="126">
        <v>0</v>
      </c>
      <c r="G1041" s="126">
        <v>131</v>
      </c>
      <c r="H1041" s="126">
        <v>0</v>
      </c>
      <c r="I1041" s="126">
        <v>28.42</v>
      </c>
      <c r="J1041" s="126">
        <v>0</v>
      </c>
      <c r="K1041" s="126">
        <v>0</v>
      </c>
      <c r="L1041" s="126">
        <f t="shared" si="345"/>
        <v>461</v>
      </c>
      <c r="M1041" s="126">
        <f t="shared" si="346"/>
        <v>131</v>
      </c>
      <c r="N1041" s="171">
        <f t="shared" si="347"/>
        <v>0.28420000000000001</v>
      </c>
      <c r="O1041" s="132">
        <f t="shared" si="348"/>
        <v>0</v>
      </c>
      <c r="P1041" s="177">
        <f t="shared" si="349"/>
        <v>0</v>
      </c>
      <c r="Q1041" s="177">
        <f t="shared" si="350"/>
        <v>0</v>
      </c>
      <c r="S1041" s="233" t="b">
        <f t="shared" si="351"/>
        <v>0</v>
      </c>
    </row>
    <row r="1042" spans="1:19">
      <c r="A1042" s="126" t="s">
        <v>3710</v>
      </c>
      <c r="B1042" s="126" t="str">
        <f t="shared" si="344"/>
        <v>D0263</v>
      </c>
      <c r="C1042" s="126">
        <v>1996</v>
      </c>
      <c r="D1042" s="126" t="s">
        <v>1736</v>
      </c>
      <c r="E1042" s="126">
        <v>533</v>
      </c>
      <c r="F1042" s="126">
        <v>0</v>
      </c>
      <c r="G1042" s="126">
        <v>136</v>
      </c>
      <c r="H1042" s="126">
        <v>0</v>
      </c>
      <c r="I1042" s="126">
        <v>25.52</v>
      </c>
      <c r="J1042" s="126">
        <v>0</v>
      </c>
      <c r="K1042" s="126">
        <v>0</v>
      </c>
      <c r="L1042" s="126">
        <f t="shared" si="345"/>
        <v>533</v>
      </c>
      <c r="M1042" s="126">
        <f t="shared" si="346"/>
        <v>136</v>
      </c>
      <c r="N1042" s="171">
        <f t="shared" si="347"/>
        <v>0.25519999999999998</v>
      </c>
      <c r="O1042" s="132">
        <f t="shared" si="348"/>
        <v>0</v>
      </c>
      <c r="P1042" s="177">
        <f t="shared" si="349"/>
        <v>0</v>
      </c>
      <c r="Q1042" s="177">
        <f t="shared" si="350"/>
        <v>0</v>
      </c>
      <c r="S1042" s="233" t="b">
        <f t="shared" si="351"/>
        <v>0</v>
      </c>
    </row>
    <row r="1043" spans="1:19">
      <c r="A1043" s="126" t="s">
        <v>3710</v>
      </c>
      <c r="B1043" s="126" t="str">
        <f t="shared" ref="B1043:B1097" si="352">LEFT(A1043,5)</f>
        <v>D0263</v>
      </c>
      <c r="C1043" s="126">
        <v>1997</v>
      </c>
      <c r="D1043" s="126" t="s">
        <v>1738</v>
      </c>
      <c r="E1043" s="126">
        <v>430</v>
      </c>
      <c r="F1043" s="126">
        <v>0</v>
      </c>
      <c r="G1043" s="126">
        <v>132</v>
      </c>
      <c r="H1043" s="126">
        <v>0</v>
      </c>
      <c r="I1043" s="126">
        <v>30.7</v>
      </c>
      <c r="J1043" s="126">
        <v>0</v>
      </c>
      <c r="K1043" s="126">
        <v>0</v>
      </c>
      <c r="L1043" s="126">
        <f t="shared" si="345"/>
        <v>430</v>
      </c>
      <c r="M1043" s="126">
        <f t="shared" si="346"/>
        <v>132</v>
      </c>
      <c r="N1043" s="171">
        <f t="shared" si="347"/>
        <v>0.307</v>
      </c>
      <c r="O1043" s="132">
        <f t="shared" si="348"/>
        <v>0</v>
      </c>
      <c r="P1043" s="177">
        <f t="shared" si="349"/>
        <v>0</v>
      </c>
      <c r="Q1043" s="177">
        <f t="shared" si="350"/>
        <v>0</v>
      </c>
      <c r="S1043" s="233" t="b">
        <f t="shared" si="351"/>
        <v>0</v>
      </c>
    </row>
    <row r="1044" spans="1:19">
      <c r="A1044" s="126" t="s">
        <v>3710</v>
      </c>
      <c r="B1044" s="126" t="str">
        <f t="shared" si="352"/>
        <v>D0263</v>
      </c>
      <c r="C1044" s="126">
        <v>1998</v>
      </c>
      <c r="D1044" s="126" t="s">
        <v>1740</v>
      </c>
      <c r="E1044" s="126">
        <v>412</v>
      </c>
      <c r="F1044" s="126">
        <v>0</v>
      </c>
      <c r="G1044" s="126">
        <v>124</v>
      </c>
      <c r="H1044" s="126">
        <v>0</v>
      </c>
      <c r="I1044" s="126">
        <v>30.1</v>
      </c>
      <c r="J1044" s="126">
        <v>0</v>
      </c>
      <c r="K1044" s="126">
        <v>0</v>
      </c>
      <c r="L1044" s="126">
        <f t="shared" si="345"/>
        <v>412</v>
      </c>
      <c r="M1044" s="126">
        <f t="shared" si="346"/>
        <v>124</v>
      </c>
      <c r="N1044" s="171">
        <f t="shared" si="347"/>
        <v>0.30099999999999999</v>
      </c>
      <c r="O1044" s="132">
        <f t="shared" si="348"/>
        <v>0</v>
      </c>
      <c r="P1044" s="177">
        <f t="shared" si="349"/>
        <v>0</v>
      </c>
      <c r="Q1044" s="177">
        <f t="shared" si="350"/>
        <v>0</v>
      </c>
      <c r="S1044" s="233" t="b">
        <f t="shared" si="351"/>
        <v>0</v>
      </c>
    </row>
    <row r="1045" spans="1:19">
      <c r="A1045" s="126" t="s">
        <v>3906</v>
      </c>
      <c r="B1045" s="126" t="str">
        <f t="shared" si="352"/>
        <v>D0269</v>
      </c>
      <c r="L1045" s="126">
        <f t="shared" si="345"/>
        <v>0</v>
      </c>
      <c r="M1045" s="126">
        <f t="shared" si="346"/>
        <v>0</v>
      </c>
      <c r="N1045" s="171">
        <f t="shared" si="347"/>
        <v>0</v>
      </c>
      <c r="O1045" s="132">
        <f t="shared" si="348"/>
        <v>0</v>
      </c>
      <c r="P1045" s="177">
        <f t="shared" si="349"/>
        <v>0</v>
      </c>
      <c r="Q1045" s="177">
        <f t="shared" si="350"/>
        <v>0</v>
      </c>
      <c r="S1045" s="233" t="b">
        <f t="shared" si="351"/>
        <v>0</v>
      </c>
    </row>
    <row r="1046" spans="1:19">
      <c r="A1046" s="126" t="s">
        <v>3906</v>
      </c>
      <c r="B1046" s="126" t="str">
        <f t="shared" si="352"/>
        <v>D0269</v>
      </c>
      <c r="C1046" s="126">
        <v>2110</v>
      </c>
      <c r="D1046" s="126" t="s">
        <v>1807</v>
      </c>
      <c r="E1046" s="126">
        <v>25</v>
      </c>
      <c r="F1046" s="126">
        <v>0</v>
      </c>
      <c r="G1046" s="126">
        <v>7</v>
      </c>
      <c r="H1046" s="126">
        <v>0</v>
      </c>
      <c r="I1046" s="126">
        <v>28</v>
      </c>
      <c r="J1046" s="126">
        <v>0</v>
      </c>
      <c r="K1046" s="126">
        <v>0</v>
      </c>
      <c r="L1046" s="126">
        <f t="shared" si="345"/>
        <v>25</v>
      </c>
      <c r="M1046" s="126">
        <f t="shared" si="346"/>
        <v>7</v>
      </c>
      <c r="N1046" s="171">
        <f t="shared" si="347"/>
        <v>0.28000000000000003</v>
      </c>
      <c r="O1046" s="132">
        <f t="shared" si="348"/>
        <v>0</v>
      </c>
      <c r="P1046" s="177">
        <f t="shared" si="349"/>
        <v>0</v>
      </c>
      <c r="Q1046" s="177">
        <f t="shared" si="350"/>
        <v>0</v>
      </c>
      <c r="S1046" s="233" t="b">
        <f t="shared" si="351"/>
        <v>0</v>
      </c>
    </row>
    <row r="1047" spans="1:19">
      <c r="A1047" s="126" t="s">
        <v>3906</v>
      </c>
      <c r="B1047" s="126" t="str">
        <f t="shared" si="352"/>
        <v>D0269</v>
      </c>
      <c r="C1047" s="126">
        <v>2115</v>
      </c>
      <c r="D1047" s="126" t="s">
        <v>1809</v>
      </c>
      <c r="E1047" s="126">
        <v>46</v>
      </c>
      <c r="F1047" s="126">
        <v>0</v>
      </c>
      <c r="G1047" s="126">
        <v>13</v>
      </c>
      <c r="H1047" s="126">
        <v>0</v>
      </c>
      <c r="I1047" s="126">
        <v>28.26</v>
      </c>
      <c r="J1047" s="126">
        <v>0</v>
      </c>
      <c r="K1047" s="126">
        <v>0</v>
      </c>
      <c r="L1047" s="126">
        <f t="shared" si="345"/>
        <v>46</v>
      </c>
      <c r="M1047" s="126">
        <f t="shared" si="346"/>
        <v>13</v>
      </c>
      <c r="N1047" s="171">
        <f t="shared" si="347"/>
        <v>0.28260000000000002</v>
      </c>
      <c r="O1047" s="132">
        <f t="shared" si="348"/>
        <v>0</v>
      </c>
      <c r="P1047" s="177">
        <f t="shared" si="349"/>
        <v>0</v>
      </c>
      <c r="Q1047" s="177">
        <f t="shared" si="350"/>
        <v>0</v>
      </c>
      <c r="S1047" s="233" t="b">
        <f t="shared" si="351"/>
        <v>0</v>
      </c>
    </row>
    <row r="1048" spans="1:19">
      <c r="A1048" s="126" t="s">
        <v>3906</v>
      </c>
      <c r="B1048" s="126" t="str">
        <f t="shared" si="352"/>
        <v>D0269</v>
      </c>
      <c r="C1048" s="126">
        <v>2116</v>
      </c>
      <c r="D1048" s="126" t="s">
        <v>1811</v>
      </c>
      <c r="E1048" s="126">
        <v>26</v>
      </c>
      <c r="F1048" s="126">
        <v>0</v>
      </c>
      <c r="G1048" s="126">
        <v>8</v>
      </c>
      <c r="H1048" s="126">
        <v>0</v>
      </c>
      <c r="I1048" s="126">
        <v>30.77</v>
      </c>
      <c r="J1048" s="126">
        <v>0</v>
      </c>
      <c r="K1048" s="126">
        <v>0</v>
      </c>
      <c r="L1048" s="126">
        <f t="shared" si="345"/>
        <v>26</v>
      </c>
      <c r="M1048" s="126">
        <f t="shared" si="346"/>
        <v>8</v>
      </c>
      <c r="N1048" s="171">
        <f t="shared" si="347"/>
        <v>0.30769999999999997</v>
      </c>
      <c r="O1048" s="132">
        <f t="shared" si="348"/>
        <v>0</v>
      </c>
      <c r="P1048" s="177">
        <f t="shared" si="349"/>
        <v>0</v>
      </c>
      <c r="Q1048" s="177">
        <f t="shared" si="350"/>
        <v>0</v>
      </c>
      <c r="S1048" s="233" t="b">
        <f t="shared" si="351"/>
        <v>0</v>
      </c>
    </row>
    <row r="1049" spans="1:19">
      <c r="A1049" s="126" t="s">
        <v>3938</v>
      </c>
      <c r="B1049" s="126" t="str">
        <f t="shared" si="352"/>
        <v>D0290</v>
      </c>
      <c r="L1049" s="126">
        <f t="shared" si="345"/>
        <v>0</v>
      </c>
      <c r="M1049" s="126">
        <f t="shared" si="346"/>
        <v>0</v>
      </c>
      <c r="N1049" s="171">
        <f t="shared" si="347"/>
        <v>0</v>
      </c>
      <c r="O1049" s="132">
        <f t="shared" si="348"/>
        <v>0</v>
      </c>
      <c r="P1049" s="177">
        <f t="shared" si="349"/>
        <v>0</v>
      </c>
      <c r="Q1049" s="177">
        <f t="shared" si="350"/>
        <v>0</v>
      </c>
      <c r="S1049" s="233" t="b">
        <f t="shared" si="351"/>
        <v>0</v>
      </c>
    </row>
    <row r="1050" spans="1:19">
      <c r="A1050" s="126" t="s">
        <v>3938</v>
      </c>
      <c r="B1050" s="126" t="str">
        <f t="shared" si="352"/>
        <v>D0290</v>
      </c>
      <c r="C1050" s="126">
        <v>2644</v>
      </c>
      <c r="D1050" s="126" t="s">
        <v>1881</v>
      </c>
      <c r="E1050" s="126">
        <v>293</v>
      </c>
      <c r="F1050" s="126">
        <v>0</v>
      </c>
      <c r="G1050" s="126">
        <v>125</v>
      </c>
      <c r="H1050" s="126">
        <v>0</v>
      </c>
      <c r="I1050" s="126">
        <v>42.66</v>
      </c>
      <c r="J1050" s="126">
        <v>0</v>
      </c>
      <c r="K1050" s="126">
        <v>6.7</v>
      </c>
      <c r="L1050" s="126">
        <f t="shared" ref="L1050:L1103" si="353">SUM(E1050:F1050)</f>
        <v>293</v>
      </c>
      <c r="M1050" s="126">
        <f t="shared" ref="M1050:M1091" si="354">SUM(G1050:H1050)</f>
        <v>125</v>
      </c>
      <c r="N1050" s="171">
        <f t="shared" ref="N1050:N1103" si="355">IF(ISERROR(M1050/L1050),0,M1050/L1050)</f>
        <v>0.42659999999999998</v>
      </c>
      <c r="O1050" s="132">
        <f t="shared" ref="O1050:O1103" si="356">IF(AND((N1050-35%)&gt;0,N1050&lt;50%),M1050*(N1050-35%)*0.7,0)</f>
        <v>6.7</v>
      </c>
      <c r="P1050" s="177">
        <f t="shared" ref="P1050:P1103" si="357">IF(N1050&gt;=50%,M1050*10.5%,0)</f>
        <v>0</v>
      </c>
      <c r="Q1050" s="177">
        <f t="shared" ref="Q1050:Q1103" si="358">MAX(O1050,P1050)</f>
        <v>6.7</v>
      </c>
      <c r="S1050" s="233" t="b">
        <f t="shared" si="351"/>
        <v>0</v>
      </c>
    </row>
    <row r="1051" spans="1:19">
      <c r="A1051" s="126" t="s">
        <v>3938</v>
      </c>
      <c r="B1051" s="126" t="str">
        <f t="shared" si="352"/>
        <v>D0290</v>
      </c>
      <c r="C1051" s="126">
        <v>2648</v>
      </c>
      <c r="D1051" s="126" t="s">
        <v>1490</v>
      </c>
      <c r="E1051" s="126">
        <v>414</v>
      </c>
      <c r="F1051" s="126">
        <v>0</v>
      </c>
      <c r="G1051" s="126">
        <v>216</v>
      </c>
      <c r="H1051" s="126">
        <v>0</v>
      </c>
      <c r="I1051" s="126">
        <v>52.17</v>
      </c>
      <c r="J1051" s="126">
        <v>22.7</v>
      </c>
      <c r="K1051" s="126">
        <v>0</v>
      </c>
      <c r="L1051" s="126">
        <f t="shared" si="353"/>
        <v>414</v>
      </c>
      <c r="M1051" s="126">
        <f t="shared" si="354"/>
        <v>216</v>
      </c>
      <c r="N1051" s="171">
        <f t="shared" si="355"/>
        <v>0.52170000000000005</v>
      </c>
      <c r="O1051" s="132">
        <f t="shared" si="356"/>
        <v>0</v>
      </c>
      <c r="P1051" s="177">
        <f t="shared" si="357"/>
        <v>22.7</v>
      </c>
      <c r="Q1051" s="177">
        <f t="shared" si="358"/>
        <v>22.7</v>
      </c>
      <c r="S1051" s="233" t="b">
        <f t="shared" si="351"/>
        <v>0</v>
      </c>
    </row>
    <row r="1052" spans="1:19">
      <c r="A1052" s="126" t="s">
        <v>3938</v>
      </c>
      <c r="B1052" s="126" t="str">
        <f t="shared" si="352"/>
        <v>D0290</v>
      </c>
      <c r="C1052" s="126">
        <v>2650</v>
      </c>
      <c r="D1052" s="126" t="s">
        <v>1884</v>
      </c>
      <c r="E1052" s="126">
        <v>568</v>
      </c>
      <c r="F1052" s="126">
        <v>0</v>
      </c>
      <c r="G1052" s="126">
        <v>229</v>
      </c>
      <c r="H1052" s="126">
        <v>0</v>
      </c>
      <c r="I1052" s="126">
        <v>40.32</v>
      </c>
      <c r="J1052" s="126">
        <v>0</v>
      </c>
      <c r="K1052" s="126">
        <v>8.5</v>
      </c>
      <c r="L1052" s="126">
        <f t="shared" si="353"/>
        <v>568</v>
      </c>
      <c r="M1052" s="126">
        <f t="shared" si="354"/>
        <v>229</v>
      </c>
      <c r="N1052" s="171">
        <f t="shared" si="355"/>
        <v>0.4032</v>
      </c>
      <c r="O1052" s="132">
        <f t="shared" si="356"/>
        <v>8.5</v>
      </c>
      <c r="P1052" s="177">
        <f t="shared" si="357"/>
        <v>0</v>
      </c>
      <c r="Q1052" s="177">
        <f t="shared" si="358"/>
        <v>8.5</v>
      </c>
      <c r="S1052" s="233" t="b">
        <f t="shared" si="351"/>
        <v>0</v>
      </c>
    </row>
    <row r="1053" spans="1:19">
      <c r="A1053" s="126" t="s">
        <v>3938</v>
      </c>
      <c r="B1053" s="126" t="str">
        <f t="shared" si="352"/>
        <v>D0290</v>
      </c>
      <c r="C1053" s="126">
        <v>2652</v>
      </c>
      <c r="D1053" s="126" t="s">
        <v>1886</v>
      </c>
      <c r="E1053" s="126">
        <v>691</v>
      </c>
      <c r="F1053" s="126">
        <v>0</v>
      </c>
      <c r="G1053" s="126">
        <v>202</v>
      </c>
      <c r="H1053" s="126">
        <v>0</v>
      </c>
      <c r="I1053" s="126">
        <v>29.23</v>
      </c>
      <c r="J1053" s="126">
        <v>0</v>
      </c>
      <c r="K1053" s="126">
        <v>0</v>
      </c>
      <c r="L1053" s="126">
        <f t="shared" si="353"/>
        <v>691</v>
      </c>
      <c r="M1053" s="126">
        <f t="shared" si="354"/>
        <v>202</v>
      </c>
      <c r="N1053" s="171">
        <f t="shared" si="355"/>
        <v>0.2923</v>
      </c>
      <c r="O1053" s="132">
        <f t="shared" si="356"/>
        <v>0</v>
      </c>
      <c r="P1053" s="177">
        <f t="shared" si="357"/>
        <v>0</v>
      </c>
      <c r="Q1053" s="177">
        <f t="shared" si="358"/>
        <v>0</v>
      </c>
      <c r="S1053" s="233" t="b">
        <f t="shared" si="351"/>
        <v>0</v>
      </c>
    </row>
    <row r="1054" spans="1:19">
      <c r="A1054" s="126" t="s">
        <v>3938</v>
      </c>
      <c r="B1054" s="126" t="str">
        <f t="shared" si="352"/>
        <v>D0290</v>
      </c>
      <c r="C1054" s="126">
        <v>2658</v>
      </c>
      <c r="D1054" s="126" t="s">
        <v>1888</v>
      </c>
      <c r="E1054" s="126">
        <v>424</v>
      </c>
      <c r="F1054" s="126">
        <v>0</v>
      </c>
      <c r="G1054" s="126">
        <v>174</v>
      </c>
      <c r="H1054" s="126">
        <v>0</v>
      </c>
      <c r="I1054" s="126">
        <v>41.04</v>
      </c>
      <c r="J1054" s="126">
        <v>0</v>
      </c>
      <c r="K1054" s="126">
        <v>7.4</v>
      </c>
      <c r="L1054" s="126">
        <f t="shared" si="353"/>
        <v>424</v>
      </c>
      <c r="M1054" s="126">
        <f t="shared" si="354"/>
        <v>174</v>
      </c>
      <c r="N1054" s="171">
        <f t="shared" si="355"/>
        <v>0.41039999999999999</v>
      </c>
      <c r="O1054" s="132">
        <f t="shared" si="356"/>
        <v>7.4</v>
      </c>
      <c r="P1054" s="177">
        <f t="shared" si="357"/>
        <v>0</v>
      </c>
      <c r="Q1054" s="177">
        <f t="shared" si="358"/>
        <v>7.4</v>
      </c>
      <c r="S1054" s="233" t="b">
        <f t="shared" si="351"/>
        <v>0</v>
      </c>
    </row>
    <row r="1055" spans="1:19">
      <c r="A1055" s="126" t="s">
        <v>3811</v>
      </c>
      <c r="B1055" s="126" t="str">
        <f t="shared" si="352"/>
        <v>D0292</v>
      </c>
      <c r="L1055" s="126">
        <f t="shared" si="353"/>
        <v>0</v>
      </c>
      <c r="M1055" s="126">
        <f t="shared" si="354"/>
        <v>0</v>
      </c>
      <c r="N1055" s="171">
        <f t="shared" si="355"/>
        <v>0</v>
      </c>
      <c r="O1055" s="132">
        <f t="shared" si="356"/>
        <v>0</v>
      </c>
      <c r="P1055" s="177">
        <f t="shared" si="357"/>
        <v>0</v>
      </c>
      <c r="Q1055" s="177">
        <f t="shared" si="358"/>
        <v>0</v>
      </c>
      <c r="S1055" s="233" t="b">
        <f t="shared" si="351"/>
        <v>0</v>
      </c>
    </row>
    <row r="1056" spans="1:19">
      <c r="A1056" s="126" t="s">
        <v>3811</v>
      </c>
      <c r="B1056" s="126" t="str">
        <f t="shared" si="352"/>
        <v>D0292</v>
      </c>
      <c r="C1056" s="126">
        <v>2689</v>
      </c>
      <c r="D1056" s="126" t="s">
        <v>1894</v>
      </c>
      <c r="E1056" s="126">
        <v>44</v>
      </c>
      <c r="F1056" s="126">
        <v>0</v>
      </c>
      <c r="G1056" s="126">
        <v>19</v>
      </c>
      <c r="H1056" s="126">
        <v>0</v>
      </c>
      <c r="I1056" s="126">
        <v>43.18</v>
      </c>
      <c r="J1056" s="126">
        <v>0</v>
      </c>
      <c r="K1056" s="126">
        <v>1.1000000000000001</v>
      </c>
      <c r="L1056" s="126">
        <f t="shared" si="353"/>
        <v>44</v>
      </c>
      <c r="M1056" s="126">
        <f t="shared" si="354"/>
        <v>19</v>
      </c>
      <c r="N1056" s="171">
        <f t="shared" si="355"/>
        <v>0.43180000000000002</v>
      </c>
      <c r="O1056" s="132">
        <f t="shared" si="356"/>
        <v>1.1000000000000001</v>
      </c>
      <c r="P1056" s="177">
        <f t="shared" si="357"/>
        <v>0</v>
      </c>
      <c r="Q1056" s="177">
        <f t="shared" si="358"/>
        <v>1.1000000000000001</v>
      </c>
      <c r="S1056" s="233" t="b">
        <f t="shared" si="351"/>
        <v>0</v>
      </c>
    </row>
    <row r="1057" spans="1:19">
      <c r="A1057" s="126" t="s">
        <v>3811</v>
      </c>
      <c r="B1057" s="126" t="str">
        <f t="shared" si="352"/>
        <v>D0292</v>
      </c>
      <c r="C1057" s="126">
        <v>2691</v>
      </c>
      <c r="D1057" s="126" t="s">
        <v>1896</v>
      </c>
      <c r="E1057" s="126">
        <v>30</v>
      </c>
      <c r="F1057" s="126">
        <v>0</v>
      </c>
      <c r="G1057" s="126">
        <v>4</v>
      </c>
      <c r="H1057" s="126">
        <v>0</v>
      </c>
      <c r="I1057" s="126">
        <v>13.33</v>
      </c>
      <c r="J1057" s="126">
        <v>0</v>
      </c>
      <c r="K1057" s="126">
        <v>0</v>
      </c>
      <c r="L1057" s="126">
        <f t="shared" si="353"/>
        <v>30</v>
      </c>
      <c r="M1057" s="126">
        <f t="shared" si="354"/>
        <v>4</v>
      </c>
      <c r="N1057" s="171">
        <f t="shared" si="355"/>
        <v>0.1333</v>
      </c>
      <c r="O1057" s="132">
        <f t="shared" si="356"/>
        <v>0</v>
      </c>
      <c r="P1057" s="177">
        <f t="shared" si="357"/>
        <v>0</v>
      </c>
      <c r="Q1057" s="177">
        <f t="shared" si="358"/>
        <v>0</v>
      </c>
      <c r="S1057" s="233" t="b">
        <f t="shared" si="351"/>
        <v>0</v>
      </c>
    </row>
    <row r="1058" spans="1:19">
      <c r="A1058" s="126" t="s">
        <v>3838</v>
      </c>
      <c r="B1058" s="126" t="str">
        <f t="shared" si="352"/>
        <v>D0306</v>
      </c>
      <c r="L1058" s="126">
        <f t="shared" si="353"/>
        <v>0</v>
      </c>
      <c r="M1058" s="126">
        <f t="shared" si="354"/>
        <v>0</v>
      </c>
      <c r="N1058" s="171">
        <f t="shared" si="355"/>
        <v>0</v>
      </c>
      <c r="O1058" s="132">
        <f t="shared" si="356"/>
        <v>0</v>
      </c>
      <c r="P1058" s="177">
        <f t="shared" si="357"/>
        <v>0</v>
      </c>
      <c r="Q1058" s="177">
        <f t="shared" si="358"/>
        <v>0</v>
      </c>
      <c r="S1058" s="233" t="b">
        <f t="shared" si="351"/>
        <v>0</v>
      </c>
    </row>
    <row r="1059" spans="1:19">
      <c r="A1059" s="126" t="s">
        <v>3838</v>
      </c>
      <c r="B1059" s="126" t="str">
        <f t="shared" si="352"/>
        <v>D0306</v>
      </c>
      <c r="C1059" s="126">
        <v>3052</v>
      </c>
      <c r="D1059" s="126" t="s">
        <v>1950</v>
      </c>
      <c r="E1059" s="126">
        <v>331</v>
      </c>
      <c r="F1059" s="126">
        <v>0</v>
      </c>
      <c r="G1059" s="126">
        <v>44</v>
      </c>
      <c r="H1059" s="126">
        <v>0</v>
      </c>
      <c r="I1059" s="126">
        <v>13.29</v>
      </c>
      <c r="J1059" s="126">
        <v>0</v>
      </c>
      <c r="K1059" s="126">
        <v>0</v>
      </c>
      <c r="L1059" s="126">
        <f t="shared" si="353"/>
        <v>331</v>
      </c>
      <c r="M1059" s="126">
        <f t="shared" si="354"/>
        <v>44</v>
      </c>
      <c r="N1059" s="171">
        <f t="shared" si="355"/>
        <v>0.13289999999999999</v>
      </c>
      <c r="O1059" s="132">
        <f t="shared" si="356"/>
        <v>0</v>
      </c>
      <c r="P1059" s="177">
        <f t="shared" si="357"/>
        <v>0</v>
      </c>
      <c r="Q1059" s="177">
        <f t="shared" si="358"/>
        <v>0</v>
      </c>
      <c r="S1059" s="233" t="b">
        <f t="shared" si="351"/>
        <v>0</v>
      </c>
    </row>
    <row r="1060" spans="1:19">
      <c r="A1060" s="126" t="s">
        <v>3838</v>
      </c>
      <c r="B1060" s="126" t="str">
        <f t="shared" si="352"/>
        <v>D0306</v>
      </c>
      <c r="C1060" s="126">
        <v>3056</v>
      </c>
      <c r="D1060" s="126" t="s">
        <v>1952</v>
      </c>
      <c r="E1060" s="126">
        <v>356</v>
      </c>
      <c r="F1060" s="126">
        <v>0</v>
      </c>
      <c r="G1060" s="126">
        <v>90</v>
      </c>
      <c r="H1060" s="126">
        <v>0</v>
      </c>
      <c r="I1060" s="126">
        <v>25.28</v>
      </c>
      <c r="J1060" s="126">
        <v>0</v>
      </c>
      <c r="K1060" s="126">
        <v>0</v>
      </c>
      <c r="L1060" s="126">
        <f t="shared" si="353"/>
        <v>356</v>
      </c>
      <c r="M1060" s="126">
        <f t="shared" si="354"/>
        <v>90</v>
      </c>
      <c r="N1060" s="171">
        <f t="shared" si="355"/>
        <v>0.25280000000000002</v>
      </c>
      <c r="O1060" s="132">
        <f t="shared" si="356"/>
        <v>0</v>
      </c>
      <c r="P1060" s="177">
        <f t="shared" si="357"/>
        <v>0</v>
      </c>
      <c r="Q1060" s="177">
        <f t="shared" si="358"/>
        <v>0</v>
      </c>
      <c r="S1060" s="233" t="b">
        <f t="shared" si="351"/>
        <v>0</v>
      </c>
    </row>
    <row r="1061" spans="1:19">
      <c r="A1061" s="126" t="s">
        <v>3839</v>
      </c>
      <c r="B1061" s="126" t="str">
        <f t="shared" si="352"/>
        <v>D0312</v>
      </c>
      <c r="L1061" s="126">
        <f t="shared" si="353"/>
        <v>0</v>
      </c>
      <c r="M1061" s="126">
        <f t="shared" si="354"/>
        <v>0</v>
      </c>
      <c r="N1061" s="171">
        <f t="shared" si="355"/>
        <v>0</v>
      </c>
      <c r="O1061" s="132">
        <f t="shared" si="356"/>
        <v>0</v>
      </c>
      <c r="P1061" s="177">
        <f t="shared" si="357"/>
        <v>0</v>
      </c>
      <c r="Q1061" s="177">
        <f t="shared" si="358"/>
        <v>0</v>
      </c>
      <c r="S1061" s="233" t="b">
        <f t="shared" si="351"/>
        <v>0</v>
      </c>
    </row>
    <row r="1062" spans="1:19">
      <c r="A1062" s="126" t="s">
        <v>3839</v>
      </c>
      <c r="B1062" s="126" t="str">
        <f t="shared" si="352"/>
        <v>D0312</v>
      </c>
      <c r="C1062" s="126">
        <v>3232</v>
      </c>
      <c r="D1062" s="126" t="s">
        <v>1995</v>
      </c>
      <c r="E1062" s="126">
        <v>353</v>
      </c>
      <c r="F1062" s="126">
        <v>0</v>
      </c>
      <c r="G1062" s="126">
        <v>113</v>
      </c>
      <c r="H1062" s="126">
        <v>0</v>
      </c>
      <c r="I1062" s="126">
        <v>32.01</v>
      </c>
      <c r="J1062" s="126">
        <v>0</v>
      </c>
      <c r="K1062" s="126">
        <v>0</v>
      </c>
      <c r="L1062" s="126">
        <f t="shared" si="353"/>
        <v>353</v>
      </c>
      <c r="M1062" s="126">
        <f t="shared" si="354"/>
        <v>113</v>
      </c>
      <c r="N1062" s="171">
        <f t="shared" si="355"/>
        <v>0.3201</v>
      </c>
      <c r="O1062" s="132">
        <f t="shared" si="356"/>
        <v>0</v>
      </c>
      <c r="P1062" s="177">
        <f t="shared" si="357"/>
        <v>0</v>
      </c>
      <c r="Q1062" s="177">
        <f t="shared" si="358"/>
        <v>0</v>
      </c>
      <c r="S1062" s="233" t="b">
        <f t="shared" si="351"/>
        <v>0</v>
      </c>
    </row>
    <row r="1063" spans="1:19">
      <c r="A1063" s="126" t="s">
        <v>3839</v>
      </c>
      <c r="B1063" s="126" t="str">
        <f t="shared" si="352"/>
        <v>D0312</v>
      </c>
      <c r="C1063" s="126">
        <v>3233</v>
      </c>
      <c r="D1063" s="126" t="s">
        <v>1997</v>
      </c>
      <c r="E1063" s="126">
        <v>109</v>
      </c>
      <c r="F1063" s="126">
        <v>0</v>
      </c>
      <c r="G1063" s="126">
        <v>37</v>
      </c>
      <c r="H1063" s="126">
        <v>0</v>
      </c>
      <c r="I1063" s="126">
        <v>33.94</v>
      </c>
      <c r="J1063" s="126">
        <v>0</v>
      </c>
      <c r="K1063" s="126">
        <v>0</v>
      </c>
      <c r="L1063" s="126">
        <f t="shared" si="353"/>
        <v>109</v>
      </c>
      <c r="M1063" s="126">
        <f t="shared" si="354"/>
        <v>37</v>
      </c>
      <c r="N1063" s="171">
        <f t="shared" si="355"/>
        <v>0.33939999999999998</v>
      </c>
      <c r="O1063" s="132">
        <f t="shared" si="356"/>
        <v>0</v>
      </c>
      <c r="P1063" s="177">
        <f t="shared" si="357"/>
        <v>0</v>
      </c>
      <c r="Q1063" s="177">
        <f t="shared" si="358"/>
        <v>0</v>
      </c>
      <c r="S1063" s="233" t="b">
        <f t="shared" si="351"/>
        <v>0</v>
      </c>
    </row>
    <row r="1064" spans="1:19">
      <c r="A1064" s="126" t="s">
        <v>3839</v>
      </c>
      <c r="B1064" s="126" t="str">
        <f t="shared" si="352"/>
        <v>D0312</v>
      </c>
      <c r="C1064" s="126">
        <v>3234</v>
      </c>
      <c r="D1064" s="126" t="s">
        <v>1999</v>
      </c>
      <c r="E1064" s="126">
        <v>230</v>
      </c>
      <c r="F1064" s="126">
        <v>0</v>
      </c>
      <c r="G1064" s="126">
        <v>56</v>
      </c>
      <c r="H1064" s="126">
        <v>0</v>
      </c>
      <c r="I1064" s="126">
        <v>24.35</v>
      </c>
      <c r="J1064" s="126">
        <v>0</v>
      </c>
      <c r="K1064" s="126">
        <v>0</v>
      </c>
      <c r="L1064" s="126">
        <f t="shared" si="353"/>
        <v>230</v>
      </c>
      <c r="M1064" s="126">
        <f t="shared" si="354"/>
        <v>56</v>
      </c>
      <c r="N1064" s="171">
        <f t="shared" si="355"/>
        <v>0.24349999999999999</v>
      </c>
      <c r="O1064" s="132">
        <f t="shared" si="356"/>
        <v>0</v>
      </c>
      <c r="P1064" s="177">
        <f t="shared" si="357"/>
        <v>0</v>
      </c>
      <c r="Q1064" s="177">
        <f t="shared" si="358"/>
        <v>0</v>
      </c>
      <c r="S1064" s="233" t="b">
        <f t="shared" si="351"/>
        <v>0</v>
      </c>
    </row>
    <row r="1065" spans="1:19">
      <c r="A1065" s="126" t="s">
        <v>3839</v>
      </c>
      <c r="B1065" s="126" t="str">
        <f t="shared" si="352"/>
        <v>D0312</v>
      </c>
      <c r="C1065" s="126">
        <v>3238</v>
      </c>
      <c r="D1065" s="126" t="s">
        <v>2001</v>
      </c>
      <c r="E1065" s="126">
        <v>76</v>
      </c>
      <c r="F1065" s="126">
        <v>0</v>
      </c>
      <c r="G1065" s="126">
        <v>30</v>
      </c>
      <c r="H1065" s="126">
        <v>0</v>
      </c>
      <c r="I1065" s="126">
        <v>39.47</v>
      </c>
      <c r="J1065" s="126">
        <v>0</v>
      </c>
      <c r="K1065" s="126">
        <v>0.9</v>
      </c>
      <c r="L1065" s="126">
        <f t="shared" si="353"/>
        <v>76</v>
      </c>
      <c r="M1065" s="126">
        <f t="shared" si="354"/>
        <v>30</v>
      </c>
      <c r="N1065" s="171">
        <f t="shared" si="355"/>
        <v>0.3947</v>
      </c>
      <c r="O1065" s="132">
        <f t="shared" si="356"/>
        <v>0.9</v>
      </c>
      <c r="P1065" s="177">
        <f t="shared" si="357"/>
        <v>0</v>
      </c>
      <c r="Q1065" s="177">
        <f t="shared" si="358"/>
        <v>0.9</v>
      </c>
      <c r="S1065" s="233" t="b">
        <f t="shared" si="351"/>
        <v>0</v>
      </c>
    </row>
    <row r="1066" spans="1:19">
      <c r="A1066" s="126" t="s">
        <v>3880</v>
      </c>
      <c r="B1066" s="126" t="str">
        <f t="shared" si="352"/>
        <v>D0313</v>
      </c>
      <c r="L1066" s="126">
        <f t="shared" si="353"/>
        <v>0</v>
      </c>
      <c r="M1066" s="126">
        <f t="shared" si="354"/>
        <v>0</v>
      </c>
      <c r="N1066" s="171">
        <f t="shared" si="355"/>
        <v>0</v>
      </c>
      <c r="O1066" s="132">
        <f t="shared" si="356"/>
        <v>0</v>
      </c>
      <c r="P1066" s="177">
        <f t="shared" si="357"/>
        <v>0</v>
      </c>
      <c r="Q1066" s="177">
        <f t="shared" si="358"/>
        <v>0</v>
      </c>
      <c r="S1066" s="233" t="b">
        <f t="shared" si="351"/>
        <v>0</v>
      </c>
    </row>
    <row r="1067" spans="1:19">
      <c r="A1067" s="126" t="s">
        <v>3880</v>
      </c>
      <c r="B1067" s="126" t="str">
        <f t="shared" si="352"/>
        <v>D0313</v>
      </c>
      <c r="C1067" s="126">
        <v>3252</v>
      </c>
      <c r="D1067" s="126" t="s">
        <v>2005</v>
      </c>
      <c r="E1067" s="126">
        <v>233</v>
      </c>
      <c r="F1067" s="126">
        <v>0</v>
      </c>
      <c r="G1067" s="126">
        <v>72</v>
      </c>
      <c r="H1067" s="126">
        <v>0</v>
      </c>
      <c r="I1067" s="126">
        <v>30.9</v>
      </c>
      <c r="J1067" s="126">
        <v>0</v>
      </c>
      <c r="K1067" s="126">
        <v>0</v>
      </c>
      <c r="L1067" s="126">
        <f t="shared" si="353"/>
        <v>233</v>
      </c>
      <c r="M1067" s="126">
        <f t="shared" si="354"/>
        <v>72</v>
      </c>
      <c r="N1067" s="171">
        <f t="shared" si="355"/>
        <v>0.309</v>
      </c>
      <c r="O1067" s="132">
        <f t="shared" si="356"/>
        <v>0</v>
      </c>
      <c r="P1067" s="177">
        <f t="shared" si="357"/>
        <v>0</v>
      </c>
      <c r="Q1067" s="177">
        <f t="shared" si="358"/>
        <v>0</v>
      </c>
      <c r="S1067" s="233" t="b">
        <f t="shared" si="351"/>
        <v>0</v>
      </c>
    </row>
    <row r="1068" spans="1:19">
      <c r="A1068" s="126" t="s">
        <v>3880</v>
      </c>
      <c r="B1068" s="126" t="str">
        <f t="shared" si="352"/>
        <v>D0313</v>
      </c>
      <c r="C1068" s="126">
        <v>3254</v>
      </c>
      <c r="D1068" s="126" t="s">
        <v>2007</v>
      </c>
      <c r="E1068" s="126">
        <v>641</v>
      </c>
      <c r="F1068" s="126">
        <v>0</v>
      </c>
      <c r="G1068" s="126">
        <v>141</v>
      </c>
      <c r="H1068" s="126">
        <v>0</v>
      </c>
      <c r="I1068" s="126">
        <v>22</v>
      </c>
      <c r="J1068" s="126">
        <v>0</v>
      </c>
      <c r="K1068" s="126">
        <v>0</v>
      </c>
      <c r="L1068" s="126">
        <f t="shared" si="353"/>
        <v>641</v>
      </c>
      <c r="M1068" s="126">
        <f t="shared" si="354"/>
        <v>141</v>
      </c>
      <c r="N1068" s="171">
        <f t="shared" si="355"/>
        <v>0.22</v>
      </c>
      <c r="O1068" s="132">
        <f t="shared" si="356"/>
        <v>0</v>
      </c>
      <c r="P1068" s="177">
        <f t="shared" si="357"/>
        <v>0</v>
      </c>
      <c r="Q1068" s="177">
        <f t="shared" si="358"/>
        <v>0</v>
      </c>
      <c r="S1068" s="233" t="b">
        <f t="shared" si="351"/>
        <v>0</v>
      </c>
    </row>
    <row r="1069" spans="1:19">
      <c r="A1069" s="126" t="s">
        <v>3880</v>
      </c>
      <c r="B1069" s="126" t="str">
        <f t="shared" si="352"/>
        <v>D0313</v>
      </c>
      <c r="C1069" s="126">
        <v>3261</v>
      </c>
      <c r="D1069" s="126" t="s">
        <v>2009</v>
      </c>
      <c r="E1069" s="126">
        <v>407</v>
      </c>
      <c r="F1069" s="126">
        <v>0</v>
      </c>
      <c r="G1069" s="126">
        <v>95</v>
      </c>
      <c r="H1069" s="126">
        <v>0</v>
      </c>
      <c r="I1069" s="126">
        <v>23.34</v>
      </c>
      <c r="J1069" s="126">
        <v>0</v>
      </c>
      <c r="K1069" s="126">
        <v>0</v>
      </c>
      <c r="L1069" s="126">
        <f t="shared" si="353"/>
        <v>407</v>
      </c>
      <c r="M1069" s="126">
        <f t="shared" si="354"/>
        <v>95</v>
      </c>
      <c r="N1069" s="171">
        <f t="shared" si="355"/>
        <v>0.2334</v>
      </c>
      <c r="O1069" s="132">
        <f t="shared" si="356"/>
        <v>0</v>
      </c>
      <c r="P1069" s="177">
        <f t="shared" si="357"/>
        <v>0</v>
      </c>
      <c r="Q1069" s="177">
        <f t="shared" si="358"/>
        <v>0</v>
      </c>
      <c r="S1069" s="233" t="b">
        <f t="shared" si="351"/>
        <v>0</v>
      </c>
    </row>
    <row r="1070" spans="1:19">
      <c r="A1070" s="126" t="s">
        <v>3880</v>
      </c>
      <c r="B1070" s="126" t="str">
        <f t="shared" si="352"/>
        <v>D0313</v>
      </c>
      <c r="C1070" s="126">
        <v>3262</v>
      </c>
      <c r="D1070" s="126" t="s">
        <v>2011</v>
      </c>
      <c r="E1070" s="126">
        <v>557</v>
      </c>
      <c r="F1070" s="126">
        <v>0</v>
      </c>
      <c r="G1070" s="126">
        <v>151</v>
      </c>
      <c r="H1070" s="126">
        <v>0</v>
      </c>
      <c r="I1070" s="126">
        <v>27.11</v>
      </c>
      <c r="J1070" s="126">
        <v>0</v>
      </c>
      <c r="K1070" s="126">
        <v>0</v>
      </c>
      <c r="L1070" s="126">
        <f t="shared" si="353"/>
        <v>557</v>
      </c>
      <c r="M1070" s="126">
        <f t="shared" si="354"/>
        <v>151</v>
      </c>
      <c r="N1070" s="171">
        <f t="shared" si="355"/>
        <v>0.27110000000000001</v>
      </c>
      <c r="O1070" s="132">
        <f t="shared" si="356"/>
        <v>0</v>
      </c>
      <c r="P1070" s="177">
        <f t="shared" si="357"/>
        <v>0</v>
      </c>
      <c r="Q1070" s="177">
        <f t="shared" si="358"/>
        <v>0</v>
      </c>
      <c r="S1070" s="233" t="b">
        <f t="shared" si="351"/>
        <v>0</v>
      </c>
    </row>
    <row r="1071" spans="1:19">
      <c r="A1071" s="126" t="s">
        <v>3880</v>
      </c>
      <c r="B1071" s="126" t="str">
        <f t="shared" si="352"/>
        <v>D0313</v>
      </c>
      <c r="C1071" s="126">
        <v>3264</v>
      </c>
      <c r="D1071" s="126" t="s">
        <v>2013</v>
      </c>
      <c r="E1071" s="126">
        <v>393</v>
      </c>
      <c r="F1071" s="126">
        <v>0</v>
      </c>
      <c r="G1071" s="126">
        <v>139</v>
      </c>
      <c r="H1071" s="126">
        <v>0</v>
      </c>
      <c r="I1071" s="126">
        <v>35.369999999999997</v>
      </c>
      <c r="J1071" s="126">
        <v>0</v>
      </c>
      <c r="K1071" s="126">
        <v>0.4</v>
      </c>
      <c r="L1071" s="126">
        <f t="shared" si="353"/>
        <v>393</v>
      </c>
      <c r="M1071" s="126">
        <f t="shared" si="354"/>
        <v>139</v>
      </c>
      <c r="N1071" s="171">
        <f t="shared" si="355"/>
        <v>0.35370000000000001</v>
      </c>
      <c r="O1071" s="132">
        <f t="shared" si="356"/>
        <v>0.4</v>
      </c>
      <c r="P1071" s="177">
        <f t="shared" si="357"/>
        <v>0</v>
      </c>
      <c r="Q1071" s="177">
        <f t="shared" si="358"/>
        <v>0.4</v>
      </c>
      <c r="S1071" s="233" t="b">
        <f t="shared" si="351"/>
        <v>0</v>
      </c>
    </row>
    <row r="1072" spans="1:19">
      <c r="A1072" s="126" t="s">
        <v>3881</v>
      </c>
      <c r="B1072" s="126" t="str">
        <f t="shared" si="352"/>
        <v>D0316</v>
      </c>
      <c r="L1072" s="126">
        <f t="shared" si="353"/>
        <v>0</v>
      </c>
      <c r="M1072" s="126">
        <f t="shared" si="354"/>
        <v>0</v>
      </c>
      <c r="N1072" s="171">
        <f t="shared" si="355"/>
        <v>0</v>
      </c>
      <c r="O1072" s="132">
        <f t="shared" si="356"/>
        <v>0</v>
      </c>
      <c r="P1072" s="177">
        <f t="shared" si="357"/>
        <v>0</v>
      </c>
      <c r="Q1072" s="177">
        <f t="shared" si="358"/>
        <v>0</v>
      </c>
      <c r="S1072" s="233" t="b">
        <f t="shared" si="351"/>
        <v>0</v>
      </c>
    </row>
    <row r="1073" spans="1:19">
      <c r="A1073" s="126" t="s">
        <v>3881</v>
      </c>
      <c r="B1073" s="126" t="str">
        <f t="shared" si="352"/>
        <v>D0316</v>
      </c>
      <c r="C1073" s="126">
        <v>3314</v>
      </c>
      <c r="D1073" s="126" t="s">
        <v>2025</v>
      </c>
      <c r="E1073" s="126">
        <v>43</v>
      </c>
      <c r="F1073" s="126">
        <v>0</v>
      </c>
      <c r="G1073" s="126">
        <v>27</v>
      </c>
      <c r="H1073" s="126">
        <v>0</v>
      </c>
      <c r="I1073" s="126">
        <v>62.79</v>
      </c>
      <c r="J1073" s="126">
        <v>2.8</v>
      </c>
      <c r="K1073" s="126">
        <v>0</v>
      </c>
      <c r="L1073" s="126">
        <f t="shared" si="353"/>
        <v>43</v>
      </c>
      <c r="M1073" s="126">
        <f t="shared" si="354"/>
        <v>27</v>
      </c>
      <c r="N1073" s="171">
        <f t="shared" si="355"/>
        <v>0.62790000000000001</v>
      </c>
      <c r="O1073" s="132">
        <f t="shared" si="356"/>
        <v>0</v>
      </c>
      <c r="P1073" s="177">
        <f t="shared" si="357"/>
        <v>2.8</v>
      </c>
      <c r="Q1073" s="177">
        <f t="shared" si="358"/>
        <v>2.8</v>
      </c>
      <c r="S1073" s="233" t="b">
        <f t="shared" si="351"/>
        <v>0</v>
      </c>
    </row>
    <row r="1074" spans="1:19">
      <c r="A1074" s="126" t="s">
        <v>3881</v>
      </c>
      <c r="B1074" s="126" t="str">
        <f t="shared" si="352"/>
        <v>D0316</v>
      </c>
      <c r="C1074" s="126">
        <v>3316</v>
      </c>
      <c r="D1074" s="126" t="s">
        <v>2027</v>
      </c>
      <c r="E1074" s="126">
        <v>68</v>
      </c>
      <c r="F1074" s="126">
        <v>0</v>
      </c>
      <c r="G1074" s="126">
        <v>28</v>
      </c>
      <c r="H1074" s="126">
        <v>0</v>
      </c>
      <c r="I1074" s="126">
        <v>41.18</v>
      </c>
      <c r="J1074" s="126">
        <v>0</v>
      </c>
      <c r="K1074" s="126">
        <v>1.2</v>
      </c>
      <c r="L1074" s="126">
        <f t="shared" si="353"/>
        <v>68</v>
      </c>
      <c r="M1074" s="126">
        <f t="shared" si="354"/>
        <v>28</v>
      </c>
      <c r="N1074" s="171">
        <f t="shared" si="355"/>
        <v>0.4118</v>
      </c>
      <c r="O1074" s="132">
        <f t="shared" si="356"/>
        <v>1.2</v>
      </c>
      <c r="P1074" s="177">
        <f t="shared" si="357"/>
        <v>0</v>
      </c>
      <c r="Q1074" s="177">
        <f t="shared" si="358"/>
        <v>1.2</v>
      </c>
      <c r="S1074" s="233" t="b">
        <f t="shared" si="351"/>
        <v>0</v>
      </c>
    </row>
    <row r="1075" spans="1:19">
      <c r="A1075" s="126" t="s">
        <v>3881</v>
      </c>
      <c r="B1075" s="126" t="str">
        <f t="shared" si="352"/>
        <v>D0316</v>
      </c>
      <c r="C1075" s="126">
        <v>3318</v>
      </c>
      <c r="D1075" s="126" t="s">
        <v>2029</v>
      </c>
      <c r="E1075" s="126">
        <v>72</v>
      </c>
      <c r="F1075" s="126">
        <v>0</v>
      </c>
      <c r="G1075" s="126">
        <v>47</v>
      </c>
      <c r="H1075" s="126">
        <v>0</v>
      </c>
      <c r="I1075" s="126">
        <v>65.28</v>
      </c>
      <c r="J1075" s="126">
        <v>4.9000000000000004</v>
      </c>
      <c r="K1075" s="126">
        <v>0</v>
      </c>
      <c r="L1075" s="126">
        <f t="shared" si="353"/>
        <v>72</v>
      </c>
      <c r="M1075" s="126">
        <f t="shared" si="354"/>
        <v>47</v>
      </c>
      <c r="N1075" s="171">
        <f t="shared" si="355"/>
        <v>0.65280000000000005</v>
      </c>
      <c r="O1075" s="132">
        <f t="shared" si="356"/>
        <v>0</v>
      </c>
      <c r="P1075" s="177">
        <f t="shared" si="357"/>
        <v>4.9000000000000004</v>
      </c>
      <c r="Q1075" s="177">
        <f t="shared" si="358"/>
        <v>4.9000000000000004</v>
      </c>
      <c r="S1075" s="233" t="b">
        <f t="shared" si="351"/>
        <v>0</v>
      </c>
    </row>
    <row r="1076" spans="1:19">
      <c r="A1076" s="126" t="s">
        <v>313</v>
      </c>
      <c r="B1076" s="126" t="str">
        <f t="shared" si="352"/>
        <v>D0322</v>
      </c>
      <c r="L1076" s="126">
        <f t="shared" si="353"/>
        <v>0</v>
      </c>
      <c r="M1076" s="126">
        <f t="shared" si="354"/>
        <v>0</v>
      </c>
      <c r="N1076" s="171">
        <f t="shared" si="355"/>
        <v>0</v>
      </c>
      <c r="O1076" s="132">
        <f t="shared" si="356"/>
        <v>0</v>
      </c>
      <c r="P1076" s="177">
        <f t="shared" si="357"/>
        <v>0</v>
      </c>
      <c r="Q1076" s="177">
        <f t="shared" si="358"/>
        <v>0</v>
      </c>
      <c r="S1076" s="233" t="b">
        <f t="shared" si="351"/>
        <v>0</v>
      </c>
    </row>
    <row r="1077" spans="1:19">
      <c r="A1077" s="126" t="s">
        <v>313</v>
      </c>
      <c r="B1077" s="126" t="str">
        <f t="shared" si="352"/>
        <v>D0322</v>
      </c>
      <c r="C1077" s="126">
        <v>3456</v>
      </c>
      <c r="D1077" s="126" t="s">
        <v>2045</v>
      </c>
      <c r="E1077" s="126">
        <v>239</v>
      </c>
      <c r="F1077" s="126">
        <v>0</v>
      </c>
      <c r="G1077" s="126">
        <v>73</v>
      </c>
      <c r="H1077" s="126">
        <v>0</v>
      </c>
      <c r="I1077" s="126">
        <v>30.54</v>
      </c>
      <c r="J1077" s="126">
        <v>0</v>
      </c>
      <c r="K1077" s="126">
        <v>0</v>
      </c>
      <c r="L1077" s="126">
        <f t="shared" si="353"/>
        <v>239</v>
      </c>
      <c r="M1077" s="126">
        <f t="shared" si="354"/>
        <v>73</v>
      </c>
      <c r="N1077" s="171">
        <f t="shared" si="355"/>
        <v>0.3054</v>
      </c>
      <c r="O1077" s="132">
        <f t="shared" si="356"/>
        <v>0</v>
      </c>
      <c r="P1077" s="177">
        <f t="shared" si="357"/>
        <v>0</v>
      </c>
      <c r="Q1077" s="177">
        <f t="shared" si="358"/>
        <v>0</v>
      </c>
      <c r="S1077" s="233" t="b">
        <f t="shared" si="351"/>
        <v>0</v>
      </c>
    </row>
    <row r="1078" spans="1:19">
      <c r="A1078" s="126" t="s">
        <v>313</v>
      </c>
      <c r="B1078" s="126" t="str">
        <f t="shared" si="352"/>
        <v>D0322</v>
      </c>
      <c r="C1078" s="126">
        <v>3458</v>
      </c>
      <c r="D1078" s="126" t="s">
        <v>2047</v>
      </c>
      <c r="E1078" s="126">
        <v>77</v>
      </c>
      <c r="F1078" s="126">
        <v>0</v>
      </c>
      <c r="G1078" s="126">
        <v>22</v>
      </c>
      <c r="H1078" s="126">
        <v>0</v>
      </c>
      <c r="I1078" s="126">
        <v>28.57</v>
      </c>
      <c r="J1078" s="126">
        <v>0</v>
      </c>
      <c r="K1078" s="126">
        <v>0</v>
      </c>
      <c r="L1078" s="126">
        <f t="shared" si="353"/>
        <v>77</v>
      </c>
      <c r="M1078" s="126">
        <f t="shared" si="354"/>
        <v>22</v>
      </c>
      <c r="N1078" s="171">
        <f t="shared" si="355"/>
        <v>0.28570000000000001</v>
      </c>
      <c r="O1078" s="132">
        <f t="shared" si="356"/>
        <v>0</v>
      </c>
      <c r="P1078" s="177">
        <f t="shared" si="357"/>
        <v>0</v>
      </c>
      <c r="Q1078" s="177">
        <f t="shared" si="358"/>
        <v>0</v>
      </c>
      <c r="S1078" s="233" t="b">
        <f t="shared" si="351"/>
        <v>0</v>
      </c>
    </row>
    <row r="1079" spans="1:19">
      <c r="A1079" s="126" t="s">
        <v>3718</v>
      </c>
      <c r="B1079" s="126" t="str">
        <f t="shared" si="352"/>
        <v>D0337</v>
      </c>
      <c r="L1079" s="126">
        <f t="shared" si="353"/>
        <v>0</v>
      </c>
      <c r="M1079" s="126">
        <f t="shared" si="354"/>
        <v>0</v>
      </c>
      <c r="N1079" s="171">
        <f t="shared" si="355"/>
        <v>0</v>
      </c>
      <c r="O1079" s="132">
        <f t="shared" si="356"/>
        <v>0</v>
      </c>
      <c r="P1079" s="177">
        <f t="shared" si="357"/>
        <v>0</v>
      </c>
      <c r="Q1079" s="177">
        <f t="shared" si="358"/>
        <v>0</v>
      </c>
      <c r="S1079" s="233" t="b">
        <f t="shared" si="351"/>
        <v>0</v>
      </c>
    </row>
    <row r="1080" spans="1:19">
      <c r="A1080" s="126" t="s">
        <v>3718</v>
      </c>
      <c r="B1080" s="126" t="str">
        <f t="shared" si="352"/>
        <v>D0337</v>
      </c>
      <c r="C1080" s="126">
        <v>3916</v>
      </c>
      <c r="D1080" s="126" t="s">
        <v>2127</v>
      </c>
      <c r="E1080" s="126">
        <v>327</v>
      </c>
      <c r="F1080" s="126">
        <v>0</v>
      </c>
      <c r="G1080" s="126">
        <v>147</v>
      </c>
      <c r="H1080" s="126">
        <v>0</v>
      </c>
      <c r="I1080" s="126">
        <v>44.95</v>
      </c>
      <c r="J1080" s="126">
        <v>0</v>
      </c>
      <c r="K1080" s="126">
        <v>10.199999999999999</v>
      </c>
      <c r="L1080" s="126">
        <f t="shared" si="353"/>
        <v>327</v>
      </c>
      <c r="M1080" s="126">
        <f t="shared" si="354"/>
        <v>147</v>
      </c>
      <c r="N1080" s="171">
        <f t="shared" si="355"/>
        <v>0.44950000000000001</v>
      </c>
      <c r="O1080" s="132">
        <f t="shared" si="356"/>
        <v>10.199999999999999</v>
      </c>
      <c r="P1080" s="177">
        <f t="shared" si="357"/>
        <v>0</v>
      </c>
      <c r="Q1080" s="177">
        <f t="shared" si="358"/>
        <v>10.199999999999999</v>
      </c>
      <c r="S1080" s="233" t="b">
        <f t="shared" si="351"/>
        <v>0</v>
      </c>
    </row>
    <row r="1081" spans="1:19">
      <c r="A1081" s="126" t="s">
        <v>3718</v>
      </c>
      <c r="B1081" s="126" t="str">
        <f t="shared" si="352"/>
        <v>D0337</v>
      </c>
      <c r="C1081" s="126">
        <v>3918</v>
      </c>
      <c r="D1081" s="126" t="s">
        <v>2129</v>
      </c>
      <c r="E1081" s="126">
        <v>253</v>
      </c>
      <c r="F1081" s="126">
        <v>0</v>
      </c>
      <c r="G1081" s="126">
        <v>96</v>
      </c>
      <c r="H1081" s="126">
        <v>0</v>
      </c>
      <c r="I1081" s="126">
        <v>37.94</v>
      </c>
      <c r="J1081" s="126">
        <v>0</v>
      </c>
      <c r="K1081" s="126">
        <v>2</v>
      </c>
      <c r="L1081" s="126">
        <f t="shared" si="353"/>
        <v>253</v>
      </c>
      <c r="M1081" s="126">
        <f t="shared" si="354"/>
        <v>96</v>
      </c>
      <c r="N1081" s="171">
        <f t="shared" si="355"/>
        <v>0.37940000000000002</v>
      </c>
      <c r="O1081" s="132">
        <f t="shared" si="356"/>
        <v>2</v>
      </c>
      <c r="P1081" s="177">
        <f t="shared" si="357"/>
        <v>0</v>
      </c>
      <c r="Q1081" s="177">
        <f t="shared" si="358"/>
        <v>2</v>
      </c>
      <c r="S1081" s="233" t="b">
        <f t="shared" si="351"/>
        <v>0</v>
      </c>
    </row>
    <row r="1082" spans="1:19">
      <c r="A1082" s="126" t="s">
        <v>3718</v>
      </c>
      <c r="B1082" s="126" t="str">
        <f t="shared" si="352"/>
        <v>D0337</v>
      </c>
      <c r="C1082" s="126">
        <v>3921</v>
      </c>
      <c r="D1082" s="126" t="s">
        <v>2131</v>
      </c>
      <c r="E1082" s="126">
        <v>252</v>
      </c>
      <c r="F1082" s="126">
        <v>0</v>
      </c>
      <c r="G1082" s="126">
        <v>84</v>
      </c>
      <c r="H1082" s="126">
        <v>0</v>
      </c>
      <c r="I1082" s="126">
        <v>33.33</v>
      </c>
      <c r="J1082" s="126">
        <v>0</v>
      </c>
      <c r="K1082" s="126">
        <v>0</v>
      </c>
      <c r="L1082" s="126">
        <f t="shared" si="353"/>
        <v>252</v>
      </c>
      <c r="M1082" s="126">
        <f t="shared" si="354"/>
        <v>84</v>
      </c>
      <c r="N1082" s="171">
        <f t="shared" si="355"/>
        <v>0.33329999999999999</v>
      </c>
      <c r="O1082" s="132">
        <f t="shared" si="356"/>
        <v>0</v>
      </c>
      <c r="P1082" s="177">
        <f t="shared" si="357"/>
        <v>0</v>
      </c>
      <c r="Q1082" s="177">
        <f t="shared" si="358"/>
        <v>0</v>
      </c>
      <c r="S1082" s="233" t="b">
        <f t="shared" si="351"/>
        <v>0</v>
      </c>
    </row>
    <row r="1083" spans="1:19">
      <c r="A1083" s="126" t="s">
        <v>3747</v>
      </c>
      <c r="B1083" s="126" t="str">
        <f t="shared" si="352"/>
        <v>D0358</v>
      </c>
      <c r="L1083" s="126">
        <f t="shared" si="353"/>
        <v>0</v>
      </c>
      <c r="M1083" s="126">
        <f t="shared" si="354"/>
        <v>0</v>
      </c>
      <c r="N1083" s="171">
        <f t="shared" si="355"/>
        <v>0</v>
      </c>
      <c r="O1083" s="132">
        <f t="shared" si="356"/>
        <v>0</v>
      </c>
      <c r="P1083" s="177">
        <f t="shared" si="357"/>
        <v>0</v>
      </c>
      <c r="Q1083" s="177">
        <f t="shared" si="358"/>
        <v>0</v>
      </c>
      <c r="S1083" s="233" t="b">
        <f t="shared" si="351"/>
        <v>0</v>
      </c>
    </row>
    <row r="1084" spans="1:19">
      <c r="A1084" s="126" t="s">
        <v>3747</v>
      </c>
      <c r="B1084" s="126" t="str">
        <f t="shared" si="352"/>
        <v>D0358</v>
      </c>
      <c r="C1084" s="126">
        <v>4388</v>
      </c>
      <c r="D1084" s="126" t="s">
        <v>2241</v>
      </c>
      <c r="E1084" s="126">
        <v>184</v>
      </c>
      <c r="F1084" s="126">
        <v>0</v>
      </c>
      <c r="G1084" s="126">
        <v>80</v>
      </c>
      <c r="H1084" s="126">
        <v>0</v>
      </c>
      <c r="I1084" s="126">
        <v>43.48</v>
      </c>
      <c r="J1084" s="126">
        <v>0</v>
      </c>
      <c r="K1084" s="126">
        <v>4.7</v>
      </c>
      <c r="L1084" s="126">
        <f t="shared" si="353"/>
        <v>184</v>
      </c>
      <c r="M1084" s="126">
        <f t="shared" si="354"/>
        <v>80</v>
      </c>
      <c r="N1084" s="171">
        <f t="shared" si="355"/>
        <v>0.43480000000000002</v>
      </c>
      <c r="O1084" s="132">
        <f t="shared" si="356"/>
        <v>4.7</v>
      </c>
      <c r="P1084" s="177">
        <f t="shared" si="357"/>
        <v>0</v>
      </c>
      <c r="Q1084" s="177">
        <f t="shared" si="358"/>
        <v>4.7</v>
      </c>
      <c r="S1084" s="233" t="b">
        <f t="shared" si="351"/>
        <v>0</v>
      </c>
    </row>
    <row r="1085" spans="1:19">
      <c r="A1085" s="126" t="s">
        <v>3747</v>
      </c>
      <c r="B1085" s="126" t="str">
        <f t="shared" si="352"/>
        <v>D0358</v>
      </c>
      <c r="C1085" s="126">
        <v>4390</v>
      </c>
      <c r="D1085" s="126" t="s">
        <v>2243</v>
      </c>
      <c r="E1085" s="126">
        <v>206</v>
      </c>
      <c r="F1085" s="126">
        <v>0</v>
      </c>
      <c r="G1085" s="126">
        <v>41</v>
      </c>
      <c r="H1085" s="126">
        <v>0</v>
      </c>
      <c r="I1085" s="126">
        <v>19.899999999999999</v>
      </c>
      <c r="J1085" s="126">
        <v>0</v>
      </c>
      <c r="K1085" s="126">
        <v>0</v>
      </c>
      <c r="L1085" s="126">
        <f t="shared" si="353"/>
        <v>206</v>
      </c>
      <c r="M1085" s="126">
        <f t="shared" si="354"/>
        <v>41</v>
      </c>
      <c r="N1085" s="171">
        <f t="shared" si="355"/>
        <v>0.19900000000000001</v>
      </c>
      <c r="O1085" s="132">
        <f t="shared" si="356"/>
        <v>0</v>
      </c>
      <c r="P1085" s="177">
        <f t="shared" si="357"/>
        <v>0</v>
      </c>
      <c r="Q1085" s="177">
        <f t="shared" si="358"/>
        <v>0</v>
      </c>
      <c r="S1085" s="233" t="b">
        <f t="shared" si="351"/>
        <v>0</v>
      </c>
    </row>
    <row r="1086" spans="1:19">
      <c r="A1086" s="126" t="s">
        <v>3916</v>
      </c>
      <c r="B1086" s="126" t="str">
        <f t="shared" si="352"/>
        <v>D0368</v>
      </c>
      <c r="C1086" s="126">
        <v>4690</v>
      </c>
      <c r="D1086" s="126" t="s">
        <v>2298</v>
      </c>
      <c r="E1086" s="126">
        <v>398</v>
      </c>
      <c r="F1086" s="126">
        <v>0</v>
      </c>
      <c r="G1086" s="126">
        <v>95</v>
      </c>
      <c r="H1086" s="126">
        <v>0</v>
      </c>
      <c r="I1086" s="126">
        <v>23.87</v>
      </c>
      <c r="J1086" s="126">
        <v>0</v>
      </c>
      <c r="K1086" s="126">
        <v>0</v>
      </c>
      <c r="L1086" s="126">
        <f t="shared" si="353"/>
        <v>398</v>
      </c>
      <c r="M1086" s="126">
        <f t="shared" si="354"/>
        <v>95</v>
      </c>
      <c r="N1086" s="171">
        <f t="shared" si="355"/>
        <v>0.2387</v>
      </c>
      <c r="O1086" s="132">
        <f t="shared" si="356"/>
        <v>0</v>
      </c>
      <c r="P1086" s="177">
        <f t="shared" si="357"/>
        <v>0</v>
      </c>
      <c r="Q1086" s="177">
        <f t="shared" si="358"/>
        <v>0</v>
      </c>
      <c r="S1086" s="233" t="b">
        <f t="shared" si="351"/>
        <v>0</v>
      </c>
    </row>
    <row r="1087" spans="1:19">
      <c r="A1087" s="126" t="s">
        <v>3916</v>
      </c>
      <c r="B1087" s="126" t="str">
        <f t="shared" si="352"/>
        <v>D0368</v>
      </c>
      <c r="C1087" s="126">
        <v>4694</v>
      </c>
      <c r="D1087" s="126" t="s">
        <v>2300</v>
      </c>
      <c r="E1087" s="126">
        <v>416</v>
      </c>
      <c r="F1087" s="126">
        <v>0</v>
      </c>
      <c r="G1087" s="126">
        <v>126</v>
      </c>
      <c r="H1087" s="126">
        <v>0</v>
      </c>
      <c r="I1087" s="126">
        <v>30.29</v>
      </c>
      <c r="J1087" s="126">
        <v>0</v>
      </c>
      <c r="K1087" s="126">
        <v>0</v>
      </c>
      <c r="L1087" s="126">
        <f t="shared" si="353"/>
        <v>416</v>
      </c>
      <c r="M1087" s="126">
        <f t="shared" si="354"/>
        <v>126</v>
      </c>
      <c r="N1087" s="171">
        <f t="shared" si="355"/>
        <v>0.3029</v>
      </c>
      <c r="O1087" s="132">
        <f t="shared" si="356"/>
        <v>0</v>
      </c>
      <c r="P1087" s="177">
        <f t="shared" si="357"/>
        <v>0</v>
      </c>
      <c r="Q1087" s="177">
        <f t="shared" si="358"/>
        <v>0</v>
      </c>
      <c r="S1087" s="233" t="b">
        <f t="shared" si="351"/>
        <v>0</v>
      </c>
    </row>
    <row r="1088" spans="1:19">
      <c r="A1088" s="126" t="s">
        <v>3916</v>
      </c>
      <c r="B1088" s="126" t="str">
        <f t="shared" si="352"/>
        <v>D0368</v>
      </c>
      <c r="C1088" s="126">
        <v>4700</v>
      </c>
      <c r="D1088" s="126" t="s">
        <v>2302</v>
      </c>
      <c r="E1088" s="126">
        <v>626</v>
      </c>
      <c r="F1088" s="126">
        <v>0</v>
      </c>
      <c r="G1088" s="126">
        <v>158</v>
      </c>
      <c r="H1088" s="126">
        <v>0</v>
      </c>
      <c r="I1088" s="126">
        <v>25.24</v>
      </c>
      <c r="J1088" s="126">
        <v>0</v>
      </c>
      <c r="K1088" s="126">
        <v>0</v>
      </c>
      <c r="L1088" s="126">
        <f t="shared" si="353"/>
        <v>626</v>
      </c>
      <c r="M1088" s="126">
        <f t="shared" si="354"/>
        <v>158</v>
      </c>
      <c r="N1088" s="171">
        <f t="shared" si="355"/>
        <v>0.25240000000000001</v>
      </c>
      <c r="O1088" s="132">
        <f t="shared" si="356"/>
        <v>0</v>
      </c>
      <c r="P1088" s="177">
        <f t="shared" si="357"/>
        <v>0</v>
      </c>
      <c r="Q1088" s="177">
        <f t="shared" si="358"/>
        <v>0</v>
      </c>
      <c r="S1088" s="233" t="b">
        <f t="shared" si="351"/>
        <v>0</v>
      </c>
    </row>
    <row r="1089" spans="1:19">
      <c r="A1089" s="126" t="s">
        <v>3916</v>
      </c>
      <c r="B1089" s="126" t="str">
        <f t="shared" si="352"/>
        <v>D0368</v>
      </c>
      <c r="C1089" s="126">
        <v>4701</v>
      </c>
      <c r="D1089" s="126" t="s">
        <v>2304</v>
      </c>
      <c r="E1089" s="126">
        <v>450</v>
      </c>
      <c r="F1089" s="126">
        <v>0</v>
      </c>
      <c r="G1089" s="126">
        <v>129</v>
      </c>
      <c r="H1089" s="126">
        <v>0</v>
      </c>
      <c r="I1089" s="126">
        <v>28.67</v>
      </c>
      <c r="J1089" s="126">
        <v>0</v>
      </c>
      <c r="K1089" s="126">
        <v>0</v>
      </c>
      <c r="L1089" s="126">
        <f t="shared" si="353"/>
        <v>450</v>
      </c>
      <c r="M1089" s="126">
        <f t="shared" si="354"/>
        <v>129</v>
      </c>
      <c r="N1089" s="171">
        <f t="shared" si="355"/>
        <v>0.28670000000000001</v>
      </c>
      <c r="O1089" s="132">
        <f t="shared" si="356"/>
        <v>0</v>
      </c>
      <c r="P1089" s="177">
        <f t="shared" si="357"/>
        <v>0</v>
      </c>
      <c r="Q1089" s="177">
        <f t="shared" si="358"/>
        <v>0</v>
      </c>
      <c r="S1089" s="233" t="b">
        <f t="shared" si="351"/>
        <v>0</v>
      </c>
    </row>
    <row r="1090" spans="1:19">
      <c r="A1090" s="126" t="s">
        <v>3698</v>
      </c>
      <c r="B1090" s="126" t="str">
        <f t="shared" si="352"/>
        <v>D0372</v>
      </c>
      <c r="C1090" s="126">
        <v>4776</v>
      </c>
      <c r="D1090" s="126" t="s">
        <v>2314</v>
      </c>
      <c r="E1090" s="126">
        <v>406</v>
      </c>
      <c r="F1090" s="126">
        <v>0</v>
      </c>
      <c r="G1090" s="126">
        <v>44</v>
      </c>
      <c r="H1090" s="126">
        <v>0</v>
      </c>
      <c r="I1090" s="126">
        <v>10.84</v>
      </c>
      <c r="J1090" s="126">
        <v>0</v>
      </c>
      <c r="K1090" s="126">
        <v>0</v>
      </c>
      <c r="L1090" s="126">
        <f t="shared" si="353"/>
        <v>406</v>
      </c>
      <c r="M1090" s="126">
        <f t="shared" si="354"/>
        <v>44</v>
      </c>
      <c r="N1090" s="171">
        <f t="shared" si="355"/>
        <v>0.1084</v>
      </c>
      <c r="O1090" s="132">
        <f t="shared" si="356"/>
        <v>0</v>
      </c>
      <c r="P1090" s="177">
        <f t="shared" si="357"/>
        <v>0</v>
      </c>
      <c r="Q1090" s="177">
        <f t="shared" si="358"/>
        <v>0</v>
      </c>
      <c r="S1090" s="233" t="b">
        <f t="shared" si="351"/>
        <v>0</v>
      </c>
    </row>
    <row r="1091" spans="1:19">
      <c r="A1091" s="126" t="s">
        <v>3698</v>
      </c>
      <c r="B1091" s="126" t="str">
        <f t="shared" si="352"/>
        <v>D0372</v>
      </c>
      <c r="C1091" s="126">
        <v>4778</v>
      </c>
      <c r="D1091" s="126" t="s">
        <v>2316</v>
      </c>
      <c r="E1091" s="126">
        <v>311</v>
      </c>
      <c r="F1091" s="126">
        <v>0</v>
      </c>
      <c r="G1091" s="126">
        <v>34</v>
      </c>
      <c r="H1091" s="126">
        <v>0</v>
      </c>
      <c r="I1091" s="126">
        <v>10.93</v>
      </c>
      <c r="J1091" s="126">
        <v>0</v>
      </c>
      <c r="K1091" s="126">
        <v>0</v>
      </c>
      <c r="L1091" s="126">
        <f t="shared" si="353"/>
        <v>311</v>
      </c>
      <c r="M1091" s="126">
        <f t="shared" si="354"/>
        <v>34</v>
      </c>
      <c r="N1091" s="171">
        <f t="shared" si="355"/>
        <v>0.10929999999999999</v>
      </c>
      <c r="O1091" s="132">
        <f t="shared" si="356"/>
        <v>0</v>
      </c>
      <c r="P1091" s="177">
        <f t="shared" si="357"/>
        <v>0</v>
      </c>
      <c r="Q1091" s="177">
        <f t="shared" si="358"/>
        <v>0</v>
      </c>
      <c r="S1091" s="233" t="b">
        <f t="shared" si="351"/>
        <v>0</v>
      </c>
    </row>
    <row r="1092" spans="1:19">
      <c r="A1092" s="126" t="s">
        <v>3936</v>
      </c>
      <c r="B1092" s="126" t="str">
        <f t="shared" si="352"/>
        <v>D0383</v>
      </c>
      <c r="C1092" s="126">
        <v>5112</v>
      </c>
      <c r="D1092" s="126" t="s">
        <v>2392</v>
      </c>
      <c r="E1092" s="126">
        <v>577</v>
      </c>
      <c r="F1092" s="126">
        <v>4</v>
      </c>
      <c r="G1092" s="126">
        <v>77</v>
      </c>
      <c r="H1092" s="126">
        <v>0</v>
      </c>
      <c r="I1092" s="126">
        <v>13.25</v>
      </c>
      <c r="J1092" s="126">
        <v>0</v>
      </c>
      <c r="K1092" s="126">
        <v>0</v>
      </c>
      <c r="L1092" s="126">
        <f t="shared" si="353"/>
        <v>581</v>
      </c>
      <c r="M1092" s="312">
        <f>G1092</f>
        <v>77</v>
      </c>
      <c r="N1092" s="171">
        <f t="shared" si="355"/>
        <v>0.13250000000000001</v>
      </c>
      <c r="O1092" s="132">
        <f t="shared" si="356"/>
        <v>0</v>
      </c>
      <c r="P1092" s="177">
        <f t="shared" si="357"/>
        <v>0</v>
      </c>
      <c r="Q1092" s="177">
        <f t="shared" si="358"/>
        <v>0</v>
      </c>
      <c r="S1092" s="233" t="b">
        <f t="shared" si="351"/>
        <v>0</v>
      </c>
    </row>
    <row r="1093" spans="1:19">
      <c r="A1093" s="126" t="s">
        <v>3936</v>
      </c>
      <c r="B1093" s="126" t="str">
        <f t="shared" si="352"/>
        <v>D0383</v>
      </c>
      <c r="C1093" s="126">
        <v>5113</v>
      </c>
      <c r="D1093" s="126" t="s">
        <v>2394</v>
      </c>
      <c r="E1093" s="126">
        <v>530</v>
      </c>
      <c r="F1093" s="126">
        <v>5</v>
      </c>
      <c r="G1093" s="126">
        <v>200</v>
      </c>
      <c r="H1093" s="126">
        <v>3</v>
      </c>
      <c r="I1093" s="126">
        <v>37.94</v>
      </c>
      <c r="J1093" s="126">
        <v>0</v>
      </c>
      <c r="K1093" s="126">
        <v>4.2</v>
      </c>
      <c r="L1093" s="126">
        <f t="shared" si="353"/>
        <v>535</v>
      </c>
      <c r="M1093" s="312">
        <f t="shared" ref="M1093:M1103" si="359">G1093</f>
        <v>200</v>
      </c>
      <c r="N1093" s="171">
        <f t="shared" si="355"/>
        <v>0.37380000000000002</v>
      </c>
      <c r="O1093" s="132">
        <f t="shared" si="356"/>
        <v>3.3</v>
      </c>
      <c r="P1093" s="177">
        <f t="shared" si="357"/>
        <v>0</v>
      </c>
      <c r="Q1093" s="177">
        <f t="shared" si="358"/>
        <v>3.3</v>
      </c>
      <c r="S1093" s="233" t="b">
        <f t="shared" ref="S1093:S1156" si="360">COUNTIF(C:C,C1093)&gt;1</f>
        <v>0</v>
      </c>
    </row>
    <row r="1094" spans="1:19">
      <c r="A1094" s="126" t="s">
        <v>3936</v>
      </c>
      <c r="B1094" s="126" t="str">
        <f t="shared" si="352"/>
        <v>D0383</v>
      </c>
      <c r="C1094" s="126">
        <v>5114</v>
      </c>
      <c r="D1094" s="126" t="s">
        <v>2396</v>
      </c>
      <c r="E1094" s="126">
        <v>309</v>
      </c>
      <c r="F1094" s="126">
        <v>2</v>
      </c>
      <c r="G1094" s="126">
        <v>141</v>
      </c>
      <c r="H1094" s="126">
        <v>2</v>
      </c>
      <c r="I1094" s="126">
        <v>45.98</v>
      </c>
      <c r="J1094" s="126">
        <v>0</v>
      </c>
      <c r="K1094" s="126">
        <v>11</v>
      </c>
      <c r="L1094" s="126">
        <f t="shared" si="353"/>
        <v>311</v>
      </c>
      <c r="M1094" s="312">
        <f t="shared" si="359"/>
        <v>141</v>
      </c>
      <c r="N1094" s="171">
        <f t="shared" si="355"/>
        <v>0.45340000000000003</v>
      </c>
      <c r="O1094" s="132">
        <f t="shared" si="356"/>
        <v>10.199999999999999</v>
      </c>
      <c r="P1094" s="177">
        <f t="shared" si="357"/>
        <v>0</v>
      </c>
      <c r="Q1094" s="177">
        <f t="shared" si="358"/>
        <v>10.199999999999999</v>
      </c>
      <c r="S1094" s="233" t="b">
        <f t="shared" si="360"/>
        <v>0</v>
      </c>
    </row>
    <row r="1095" spans="1:19">
      <c r="A1095" s="126" t="s">
        <v>3936</v>
      </c>
      <c r="B1095" s="126" t="str">
        <f t="shared" si="352"/>
        <v>D0383</v>
      </c>
      <c r="C1095" s="126">
        <v>5124</v>
      </c>
      <c r="D1095" s="126" t="s">
        <v>2398</v>
      </c>
      <c r="E1095" s="126">
        <v>515</v>
      </c>
      <c r="F1095" s="126">
        <v>4</v>
      </c>
      <c r="G1095" s="126">
        <v>224</v>
      </c>
      <c r="H1095" s="126">
        <v>0</v>
      </c>
      <c r="I1095" s="126">
        <v>43.16</v>
      </c>
      <c r="J1095" s="126">
        <v>0</v>
      </c>
      <c r="K1095" s="126">
        <v>12.8</v>
      </c>
      <c r="L1095" s="126">
        <f t="shared" si="353"/>
        <v>519</v>
      </c>
      <c r="M1095" s="312">
        <f t="shared" si="359"/>
        <v>224</v>
      </c>
      <c r="N1095" s="171">
        <f t="shared" si="355"/>
        <v>0.43159999999999998</v>
      </c>
      <c r="O1095" s="132">
        <f t="shared" si="356"/>
        <v>12.8</v>
      </c>
      <c r="P1095" s="177">
        <f t="shared" si="357"/>
        <v>0</v>
      </c>
      <c r="Q1095" s="177">
        <f t="shared" si="358"/>
        <v>12.8</v>
      </c>
      <c r="S1095" s="233" t="b">
        <f t="shared" si="360"/>
        <v>0</v>
      </c>
    </row>
    <row r="1096" spans="1:19">
      <c r="A1096" s="126" t="s">
        <v>3936</v>
      </c>
      <c r="B1096" s="126" t="str">
        <f t="shared" si="352"/>
        <v>D0383</v>
      </c>
      <c r="C1096" s="126">
        <v>5126</v>
      </c>
      <c r="D1096" s="126" t="s">
        <v>2400</v>
      </c>
      <c r="E1096" s="126">
        <v>458</v>
      </c>
      <c r="F1096" s="126">
        <v>3</v>
      </c>
      <c r="G1096" s="126">
        <v>97</v>
      </c>
      <c r="H1096" s="126">
        <v>1</v>
      </c>
      <c r="I1096" s="126">
        <v>21.26</v>
      </c>
      <c r="J1096" s="126">
        <v>0</v>
      </c>
      <c r="K1096" s="126">
        <v>0</v>
      </c>
      <c r="L1096" s="126">
        <f t="shared" si="353"/>
        <v>461</v>
      </c>
      <c r="M1096" s="312">
        <f t="shared" si="359"/>
        <v>97</v>
      </c>
      <c r="N1096" s="171">
        <f t="shared" si="355"/>
        <v>0.2104</v>
      </c>
      <c r="O1096" s="132">
        <f t="shared" si="356"/>
        <v>0</v>
      </c>
      <c r="P1096" s="177">
        <f t="shared" si="357"/>
        <v>0</v>
      </c>
      <c r="Q1096" s="177">
        <f t="shared" si="358"/>
        <v>0</v>
      </c>
      <c r="S1096" s="233" t="b">
        <f t="shared" si="360"/>
        <v>0</v>
      </c>
    </row>
    <row r="1097" spans="1:19">
      <c r="A1097" s="126" t="s">
        <v>3936</v>
      </c>
      <c r="B1097" s="126" t="str">
        <f t="shared" si="352"/>
        <v>D0383</v>
      </c>
      <c r="C1097" s="126">
        <v>5128</v>
      </c>
      <c r="D1097" s="126" t="s">
        <v>1303</v>
      </c>
      <c r="E1097" s="126">
        <v>543</v>
      </c>
      <c r="F1097" s="126">
        <v>3</v>
      </c>
      <c r="G1097" s="126">
        <v>264</v>
      </c>
      <c r="H1097" s="126">
        <v>2</v>
      </c>
      <c r="I1097" s="126">
        <v>48.72</v>
      </c>
      <c r="J1097" s="126">
        <v>0</v>
      </c>
      <c r="K1097" s="126">
        <v>25.5</v>
      </c>
      <c r="L1097" s="126">
        <f t="shared" si="353"/>
        <v>546</v>
      </c>
      <c r="M1097" s="312">
        <f t="shared" si="359"/>
        <v>264</v>
      </c>
      <c r="N1097" s="171">
        <f t="shared" si="355"/>
        <v>0.48349999999999999</v>
      </c>
      <c r="O1097" s="132">
        <f t="shared" si="356"/>
        <v>24.7</v>
      </c>
      <c r="P1097" s="177">
        <f t="shared" si="357"/>
        <v>0</v>
      </c>
      <c r="Q1097" s="177">
        <f t="shared" si="358"/>
        <v>24.7</v>
      </c>
      <c r="S1097" s="233" t="b">
        <f t="shared" si="360"/>
        <v>0</v>
      </c>
    </row>
    <row r="1098" spans="1:19">
      <c r="A1098" s="126" t="s">
        <v>3936</v>
      </c>
      <c r="B1098" s="126" t="str">
        <f t="shared" ref="B1098:B1149" si="361">LEFT(A1098,5)</f>
        <v>D0383</v>
      </c>
      <c r="C1098" s="126">
        <v>5130</v>
      </c>
      <c r="D1098" s="126" t="s">
        <v>2403</v>
      </c>
      <c r="E1098" s="126">
        <v>349</v>
      </c>
      <c r="F1098" s="126">
        <v>2</v>
      </c>
      <c r="G1098" s="126">
        <v>116</v>
      </c>
      <c r="H1098" s="126">
        <v>1</v>
      </c>
      <c r="I1098" s="126">
        <v>33.33</v>
      </c>
      <c r="J1098" s="126">
        <v>0</v>
      </c>
      <c r="K1098" s="126">
        <v>0</v>
      </c>
      <c r="L1098" s="126">
        <f t="shared" si="353"/>
        <v>351</v>
      </c>
      <c r="M1098" s="312">
        <f t="shared" si="359"/>
        <v>116</v>
      </c>
      <c r="N1098" s="171">
        <f t="shared" si="355"/>
        <v>0.33050000000000002</v>
      </c>
      <c r="O1098" s="132">
        <f t="shared" si="356"/>
        <v>0</v>
      </c>
      <c r="P1098" s="177">
        <f t="shared" si="357"/>
        <v>0</v>
      </c>
      <c r="Q1098" s="177">
        <f t="shared" si="358"/>
        <v>0</v>
      </c>
      <c r="S1098" s="233" t="b">
        <f t="shared" si="360"/>
        <v>0</v>
      </c>
    </row>
    <row r="1099" spans="1:19">
      <c r="A1099" s="126" t="s">
        <v>3936</v>
      </c>
      <c r="B1099" s="126" t="str">
        <f t="shared" si="361"/>
        <v>D0383</v>
      </c>
      <c r="C1099" s="126">
        <v>5132</v>
      </c>
      <c r="D1099" s="126" t="s">
        <v>2405</v>
      </c>
      <c r="E1099" s="126">
        <v>399</v>
      </c>
      <c r="F1099" s="126">
        <v>7</v>
      </c>
      <c r="G1099" s="126">
        <v>69</v>
      </c>
      <c r="H1099" s="126">
        <v>0</v>
      </c>
      <c r="I1099" s="126">
        <v>17</v>
      </c>
      <c r="J1099" s="126">
        <v>0</v>
      </c>
      <c r="K1099" s="126">
        <v>0</v>
      </c>
      <c r="L1099" s="126">
        <f t="shared" si="353"/>
        <v>406</v>
      </c>
      <c r="M1099" s="312">
        <f t="shared" si="359"/>
        <v>69</v>
      </c>
      <c r="N1099" s="171">
        <f t="shared" si="355"/>
        <v>0.17</v>
      </c>
      <c r="O1099" s="132">
        <f t="shared" si="356"/>
        <v>0</v>
      </c>
      <c r="P1099" s="177">
        <f t="shared" si="357"/>
        <v>0</v>
      </c>
      <c r="Q1099" s="177">
        <f t="shared" si="358"/>
        <v>0</v>
      </c>
      <c r="S1099" s="233" t="b">
        <f t="shared" si="360"/>
        <v>0</v>
      </c>
    </row>
    <row r="1100" spans="1:19">
      <c r="A1100" s="126" t="s">
        <v>3936</v>
      </c>
      <c r="B1100" s="126" t="str">
        <f t="shared" si="361"/>
        <v>D0383</v>
      </c>
      <c r="C1100" s="126">
        <v>5135</v>
      </c>
      <c r="D1100" s="126" t="s">
        <v>2407</v>
      </c>
      <c r="E1100" s="126">
        <v>440</v>
      </c>
      <c r="F1100" s="126">
        <v>2</v>
      </c>
      <c r="G1100" s="126">
        <v>102</v>
      </c>
      <c r="H1100" s="126">
        <v>0</v>
      </c>
      <c r="I1100" s="126">
        <v>23.08</v>
      </c>
      <c r="J1100" s="126">
        <v>0</v>
      </c>
      <c r="K1100" s="126">
        <v>0</v>
      </c>
      <c r="L1100" s="126">
        <f t="shared" si="353"/>
        <v>442</v>
      </c>
      <c r="M1100" s="312">
        <f t="shared" si="359"/>
        <v>102</v>
      </c>
      <c r="N1100" s="171">
        <f t="shared" si="355"/>
        <v>0.23080000000000001</v>
      </c>
      <c r="O1100" s="132">
        <f t="shared" si="356"/>
        <v>0</v>
      </c>
      <c r="P1100" s="177">
        <f t="shared" si="357"/>
        <v>0</v>
      </c>
      <c r="Q1100" s="177">
        <f t="shared" si="358"/>
        <v>0</v>
      </c>
      <c r="S1100" s="233" t="b">
        <f t="shared" si="360"/>
        <v>0</v>
      </c>
    </row>
    <row r="1101" spans="1:19">
      <c r="A1101" s="126" t="s">
        <v>3936</v>
      </c>
      <c r="B1101" s="126" t="str">
        <f t="shared" si="361"/>
        <v>D0383</v>
      </c>
      <c r="C1101" s="126">
        <v>5136</v>
      </c>
      <c r="D1101" s="126" t="s">
        <v>2409</v>
      </c>
      <c r="E1101" s="126">
        <v>1777</v>
      </c>
      <c r="F1101" s="126">
        <v>6</v>
      </c>
      <c r="G1101" s="126">
        <v>482</v>
      </c>
      <c r="H1101" s="126">
        <v>1</v>
      </c>
      <c r="I1101" s="126">
        <v>27.09</v>
      </c>
      <c r="J1101" s="126">
        <v>0</v>
      </c>
      <c r="K1101" s="126">
        <v>0</v>
      </c>
      <c r="L1101" s="126">
        <f t="shared" si="353"/>
        <v>1783</v>
      </c>
      <c r="M1101" s="312">
        <f t="shared" si="359"/>
        <v>482</v>
      </c>
      <c r="N1101" s="171">
        <f t="shared" si="355"/>
        <v>0.27029999999999998</v>
      </c>
      <c r="O1101" s="132">
        <f t="shared" si="356"/>
        <v>0</v>
      </c>
      <c r="P1101" s="177">
        <f t="shared" si="357"/>
        <v>0</v>
      </c>
      <c r="Q1101" s="177">
        <f t="shared" si="358"/>
        <v>0</v>
      </c>
      <c r="S1101" s="233" t="b">
        <f t="shared" si="360"/>
        <v>0</v>
      </c>
    </row>
    <row r="1102" spans="1:19">
      <c r="A1102" s="126" t="s">
        <v>3936</v>
      </c>
      <c r="B1102" s="126" t="str">
        <f t="shared" si="361"/>
        <v>D0383</v>
      </c>
      <c r="C1102" s="126">
        <v>5137</v>
      </c>
      <c r="D1102" s="126" t="s">
        <v>2411</v>
      </c>
      <c r="E1102" s="126">
        <v>476</v>
      </c>
      <c r="F1102" s="126">
        <v>5</v>
      </c>
      <c r="G1102" s="126">
        <v>176</v>
      </c>
      <c r="H1102" s="126">
        <v>0</v>
      </c>
      <c r="I1102" s="126">
        <v>36.590000000000003</v>
      </c>
      <c r="J1102" s="126">
        <v>0</v>
      </c>
      <c r="K1102" s="126">
        <v>2</v>
      </c>
      <c r="L1102" s="126">
        <f t="shared" si="353"/>
        <v>481</v>
      </c>
      <c r="M1102" s="312">
        <f t="shared" si="359"/>
        <v>176</v>
      </c>
      <c r="N1102" s="171">
        <f t="shared" si="355"/>
        <v>0.3659</v>
      </c>
      <c r="O1102" s="132">
        <f t="shared" si="356"/>
        <v>2</v>
      </c>
      <c r="P1102" s="177">
        <f t="shared" si="357"/>
        <v>0</v>
      </c>
      <c r="Q1102" s="177">
        <f t="shared" si="358"/>
        <v>2</v>
      </c>
      <c r="S1102" s="233" t="b">
        <f t="shared" si="360"/>
        <v>0</v>
      </c>
    </row>
    <row r="1103" spans="1:19">
      <c r="A1103" s="126" t="s">
        <v>3936</v>
      </c>
      <c r="B1103" s="126" t="str">
        <f t="shared" si="361"/>
        <v>D0383</v>
      </c>
      <c r="C1103" s="126">
        <v>5138</v>
      </c>
      <c r="D1103" s="126" t="s">
        <v>2413</v>
      </c>
      <c r="E1103" s="126">
        <v>174</v>
      </c>
      <c r="F1103" s="126">
        <v>4</v>
      </c>
      <c r="G1103" s="126">
        <v>104</v>
      </c>
      <c r="H1103" s="126">
        <v>3</v>
      </c>
      <c r="I1103" s="126">
        <v>60.11</v>
      </c>
      <c r="J1103" s="126">
        <v>11.2</v>
      </c>
      <c r="K1103" s="126">
        <v>0</v>
      </c>
      <c r="L1103" s="126">
        <f t="shared" si="353"/>
        <v>178</v>
      </c>
      <c r="M1103" s="312">
        <f t="shared" si="359"/>
        <v>104</v>
      </c>
      <c r="N1103" s="171">
        <f t="shared" si="355"/>
        <v>0.58430000000000004</v>
      </c>
      <c r="O1103" s="132">
        <f t="shared" si="356"/>
        <v>0</v>
      </c>
      <c r="P1103" s="177">
        <f t="shared" si="357"/>
        <v>10.9</v>
      </c>
      <c r="Q1103" s="177">
        <f t="shared" si="358"/>
        <v>10.9</v>
      </c>
      <c r="S1103" s="233" t="b">
        <f t="shared" si="360"/>
        <v>0</v>
      </c>
    </row>
    <row r="1104" spans="1:19">
      <c r="A1104" s="126" t="s">
        <v>3919</v>
      </c>
      <c r="B1104" s="126" t="str">
        <f t="shared" si="361"/>
        <v>D0385</v>
      </c>
      <c r="C1104" s="126">
        <v>5177</v>
      </c>
      <c r="D1104" s="126" t="s">
        <v>2420</v>
      </c>
      <c r="E1104" s="126">
        <v>436</v>
      </c>
      <c r="F1104" s="126">
        <v>0</v>
      </c>
      <c r="G1104" s="126">
        <v>99</v>
      </c>
      <c r="H1104" s="126">
        <v>0</v>
      </c>
      <c r="I1104" s="126">
        <v>22.71</v>
      </c>
      <c r="J1104" s="126">
        <v>0</v>
      </c>
      <c r="K1104" s="126">
        <v>0</v>
      </c>
      <c r="L1104" s="126">
        <f t="shared" ref="L1104:L1155" si="362">SUM(E1104:F1104)</f>
        <v>436</v>
      </c>
      <c r="M1104" s="126">
        <f t="shared" ref="M1104:M1155" si="363">SUM(G1104:H1104)</f>
        <v>99</v>
      </c>
      <c r="N1104" s="171">
        <f t="shared" ref="N1104:N1155" si="364">IF(ISERROR(M1104/L1104),0,M1104/L1104)</f>
        <v>0.2271</v>
      </c>
      <c r="O1104" s="132">
        <f t="shared" ref="O1104:O1155" si="365">IF(AND((N1104-35%)&gt;0,N1104&lt;50%),M1104*(N1104-35%)*0.7,0)</f>
        <v>0</v>
      </c>
      <c r="P1104" s="177">
        <f t="shared" ref="P1104:P1155" si="366">IF(N1104&gt;=50%,M1104*10.5%,0)</f>
        <v>0</v>
      </c>
      <c r="Q1104" s="177">
        <f t="shared" ref="Q1104:Q1155" si="367">MAX(O1104,P1104)</f>
        <v>0</v>
      </c>
      <c r="S1104" s="233" t="b">
        <f t="shared" si="360"/>
        <v>0</v>
      </c>
    </row>
    <row r="1105" spans="1:19">
      <c r="A1105" s="126" t="s">
        <v>3919</v>
      </c>
      <c r="B1105" s="126" t="str">
        <f t="shared" si="361"/>
        <v>D0385</v>
      </c>
      <c r="C1105" s="126">
        <v>5179</v>
      </c>
      <c r="D1105" s="126" t="s">
        <v>2422</v>
      </c>
      <c r="E1105" s="126">
        <v>730</v>
      </c>
      <c r="F1105" s="126">
        <v>0</v>
      </c>
      <c r="G1105" s="126">
        <v>76</v>
      </c>
      <c r="H1105" s="126">
        <v>0</v>
      </c>
      <c r="I1105" s="126">
        <v>10.41</v>
      </c>
      <c r="J1105" s="126">
        <v>0</v>
      </c>
      <c r="K1105" s="126">
        <v>0</v>
      </c>
      <c r="L1105" s="126">
        <f t="shared" si="362"/>
        <v>730</v>
      </c>
      <c r="M1105" s="126">
        <f t="shared" si="363"/>
        <v>76</v>
      </c>
      <c r="N1105" s="171">
        <f t="shared" si="364"/>
        <v>0.1041</v>
      </c>
      <c r="O1105" s="132">
        <f t="shared" si="365"/>
        <v>0</v>
      </c>
      <c r="P1105" s="177">
        <f t="shared" si="366"/>
        <v>0</v>
      </c>
      <c r="Q1105" s="177">
        <f t="shared" si="367"/>
        <v>0</v>
      </c>
      <c r="S1105" s="233" t="b">
        <f t="shared" si="360"/>
        <v>0</v>
      </c>
    </row>
    <row r="1106" spans="1:19">
      <c r="A1106" s="126" t="s">
        <v>3919</v>
      </c>
      <c r="B1106" s="126" t="str">
        <f t="shared" si="361"/>
        <v>D0385</v>
      </c>
      <c r="C1106" s="126">
        <v>5180</v>
      </c>
      <c r="D1106" s="126" t="s">
        <v>2424</v>
      </c>
      <c r="E1106" s="126">
        <v>829</v>
      </c>
      <c r="F1106" s="126">
        <v>0</v>
      </c>
      <c r="G1106" s="126">
        <v>75</v>
      </c>
      <c r="H1106" s="126">
        <v>0</v>
      </c>
      <c r="I1106" s="126">
        <v>9.0500000000000007</v>
      </c>
      <c r="J1106" s="126">
        <v>0</v>
      </c>
      <c r="K1106" s="126">
        <v>0</v>
      </c>
      <c r="L1106" s="126">
        <f t="shared" si="362"/>
        <v>829</v>
      </c>
      <c r="M1106" s="126">
        <f t="shared" si="363"/>
        <v>75</v>
      </c>
      <c r="N1106" s="171">
        <f t="shared" si="364"/>
        <v>9.0499999999999997E-2</v>
      </c>
      <c r="O1106" s="132">
        <f t="shared" si="365"/>
        <v>0</v>
      </c>
      <c r="P1106" s="177">
        <f t="shared" si="366"/>
        <v>0</v>
      </c>
      <c r="Q1106" s="177">
        <f t="shared" si="367"/>
        <v>0</v>
      </c>
      <c r="S1106" s="233" t="b">
        <f t="shared" si="360"/>
        <v>0</v>
      </c>
    </row>
    <row r="1107" spans="1:19">
      <c r="A1107" s="126" t="s">
        <v>3919</v>
      </c>
      <c r="B1107" s="126" t="str">
        <f t="shared" si="361"/>
        <v>D0385</v>
      </c>
      <c r="C1107" s="126">
        <v>5181</v>
      </c>
      <c r="D1107" s="126" t="s">
        <v>2426</v>
      </c>
      <c r="E1107" s="126">
        <v>502</v>
      </c>
      <c r="F1107" s="126">
        <v>0</v>
      </c>
      <c r="G1107" s="126">
        <v>37</v>
      </c>
      <c r="H1107" s="126">
        <v>0</v>
      </c>
      <c r="I1107" s="126">
        <v>7.37</v>
      </c>
      <c r="J1107" s="126">
        <v>0</v>
      </c>
      <c r="K1107" s="126">
        <v>0</v>
      </c>
      <c r="L1107" s="126">
        <f t="shared" si="362"/>
        <v>502</v>
      </c>
      <c r="M1107" s="126">
        <f t="shared" si="363"/>
        <v>37</v>
      </c>
      <c r="N1107" s="171">
        <f t="shared" si="364"/>
        <v>7.3700000000000002E-2</v>
      </c>
      <c r="O1107" s="132">
        <f t="shared" si="365"/>
        <v>0</v>
      </c>
      <c r="P1107" s="177">
        <f t="shared" si="366"/>
        <v>0</v>
      </c>
      <c r="Q1107" s="177">
        <f t="shared" si="367"/>
        <v>0</v>
      </c>
      <c r="S1107" s="233" t="b">
        <f t="shared" si="360"/>
        <v>0</v>
      </c>
    </row>
    <row r="1108" spans="1:19">
      <c r="A1108" s="126" t="s">
        <v>3919</v>
      </c>
      <c r="B1108" s="126" t="str">
        <f t="shared" si="361"/>
        <v>D0385</v>
      </c>
      <c r="C1108" s="126">
        <v>5182</v>
      </c>
      <c r="D1108" s="126" t="s">
        <v>1441</v>
      </c>
      <c r="E1108" s="126">
        <v>305</v>
      </c>
      <c r="F1108" s="126">
        <v>0</v>
      </c>
      <c r="G1108" s="126">
        <v>24</v>
      </c>
      <c r="H1108" s="126">
        <v>0</v>
      </c>
      <c r="I1108" s="126">
        <v>7.87</v>
      </c>
      <c r="J1108" s="126">
        <v>0</v>
      </c>
      <c r="K1108" s="126">
        <v>0</v>
      </c>
      <c r="L1108" s="126">
        <f t="shared" si="362"/>
        <v>305</v>
      </c>
      <c r="M1108" s="126">
        <f t="shared" si="363"/>
        <v>24</v>
      </c>
      <c r="N1108" s="171">
        <f t="shared" si="364"/>
        <v>7.8700000000000006E-2</v>
      </c>
      <c r="O1108" s="132">
        <f t="shared" si="365"/>
        <v>0</v>
      </c>
      <c r="P1108" s="177">
        <f t="shared" si="366"/>
        <v>0</v>
      </c>
      <c r="Q1108" s="177">
        <f t="shared" si="367"/>
        <v>0</v>
      </c>
      <c r="S1108" s="233" t="b">
        <f t="shared" si="360"/>
        <v>0</v>
      </c>
    </row>
    <row r="1109" spans="1:19">
      <c r="A1109" s="126" t="s">
        <v>3919</v>
      </c>
      <c r="B1109" s="126" t="str">
        <f t="shared" si="361"/>
        <v>D0385</v>
      </c>
      <c r="C1109" s="126">
        <v>5183</v>
      </c>
      <c r="D1109" s="126" t="s">
        <v>1205</v>
      </c>
      <c r="E1109" s="126">
        <v>363</v>
      </c>
      <c r="F1109" s="126">
        <v>0</v>
      </c>
      <c r="G1109" s="126">
        <v>75</v>
      </c>
      <c r="H1109" s="126">
        <v>0</v>
      </c>
      <c r="I1109" s="126">
        <v>20.66</v>
      </c>
      <c r="J1109" s="126">
        <v>0</v>
      </c>
      <c r="K1109" s="126">
        <v>0</v>
      </c>
      <c r="L1109" s="126">
        <f t="shared" si="362"/>
        <v>363</v>
      </c>
      <c r="M1109" s="126">
        <f t="shared" si="363"/>
        <v>75</v>
      </c>
      <c r="N1109" s="171">
        <f t="shared" si="364"/>
        <v>0.20660000000000001</v>
      </c>
      <c r="O1109" s="132">
        <f t="shared" si="365"/>
        <v>0</v>
      </c>
      <c r="P1109" s="177">
        <f t="shared" si="366"/>
        <v>0</v>
      </c>
      <c r="Q1109" s="177">
        <f t="shared" si="367"/>
        <v>0</v>
      </c>
      <c r="S1109" s="233" t="b">
        <f t="shared" si="360"/>
        <v>0</v>
      </c>
    </row>
    <row r="1110" spans="1:19">
      <c r="A1110" s="126" t="s">
        <v>3919</v>
      </c>
      <c r="B1110" s="126" t="str">
        <f t="shared" si="361"/>
        <v>D0385</v>
      </c>
      <c r="C1110" s="126">
        <v>5184</v>
      </c>
      <c r="D1110" s="126" t="s">
        <v>1888</v>
      </c>
      <c r="E1110" s="126">
        <v>418</v>
      </c>
      <c r="F1110" s="126">
        <v>0</v>
      </c>
      <c r="G1110" s="126">
        <v>56</v>
      </c>
      <c r="H1110" s="126">
        <v>0</v>
      </c>
      <c r="I1110" s="126">
        <v>13.4</v>
      </c>
      <c r="J1110" s="126">
        <v>0</v>
      </c>
      <c r="K1110" s="126">
        <v>0</v>
      </c>
      <c r="L1110" s="126">
        <f t="shared" si="362"/>
        <v>418</v>
      </c>
      <c r="M1110" s="126">
        <f t="shared" si="363"/>
        <v>56</v>
      </c>
      <c r="N1110" s="171">
        <f t="shared" si="364"/>
        <v>0.13400000000000001</v>
      </c>
      <c r="O1110" s="132">
        <f t="shared" si="365"/>
        <v>0</v>
      </c>
      <c r="P1110" s="177">
        <f t="shared" si="366"/>
        <v>0</v>
      </c>
      <c r="Q1110" s="177">
        <f t="shared" si="367"/>
        <v>0</v>
      </c>
      <c r="S1110" s="233" t="b">
        <f t="shared" si="360"/>
        <v>0</v>
      </c>
    </row>
    <row r="1111" spans="1:19">
      <c r="A1111" s="126" t="s">
        <v>3919</v>
      </c>
      <c r="B1111" s="126" t="str">
        <f t="shared" si="361"/>
        <v>D0385</v>
      </c>
      <c r="C1111" s="126">
        <v>5185</v>
      </c>
      <c r="D1111" s="126" t="s">
        <v>2431</v>
      </c>
      <c r="E1111" s="126">
        <v>631</v>
      </c>
      <c r="F1111" s="126">
        <v>0</v>
      </c>
      <c r="G1111" s="126">
        <v>109</v>
      </c>
      <c r="H1111" s="126">
        <v>0</v>
      </c>
      <c r="I1111" s="126">
        <v>17.27</v>
      </c>
      <c r="J1111" s="126">
        <v>0</v>
      </c>
      <c r="K1111" s="126">
        <v>0</v>
      </c>
      <c r="L1111" s="126">
        <f t="shared" si="362"/>
        <v>631</v>
      </c>
      <c r="M1111" s="126">
        <f t="shared" si="363"/>
        <v>109</v>
      </c>
      <c r="N1111" s="171">
        <f t="shared" si="364"/>
        <v>0.17269999999999999</v>
      </c>
      <c r="O1111" s="132">
        <f t="shared" si="365"/>
        <v>0</v>
      </c>
      <c r="P1111" s="177">
        <f t="shared" si="366"/>
        <v>0</v>
      </c>
      <c r="Q1111" s="177">
        <f t="shared" si="367"/>
        <v>0</v>
      </c>
      <c r="S1111" s="233" t="b">
        <f t="shared" si="360"/>
        <v>0</v>
      </c>
    </row>
    <row r="1112" spans="1:19">
      <c r="A1112" s="126" t="s">
        <v>3919</v>
      </c>
      <c r="B1112" s="126" t="str">
        <f t="shared" si="361"/>
        <v>D0385</v>
      </c>
      <c r="C1112" s="126">
        <v>5186</v>
      </c>
      <c r="D1112" s="126" t="s">
        <v>2433</v>
      </c>
      <c r="E1112" s="126">
        <v>799</v>
      </c>
      <c r="F1112" s="126">
        <v>0</v>
      </c>
      <c r="G1112" s="126">
        <v>73</v>
      </c>
      <c r="H1112" s="126">
        <v>0</v>
      </c>
      <c r="I1112" s="126">
        <v>9.14</v>
      </c>
      <c r="J1112" s="126">
        <v>0</v>
      </c>
      <c r="K1112" s="126">
        <v>0</v>
      </c>
      <c r="L1112" s="126">
        <f t="shared" si="362"/>
        <v>799</v>
      </c>
      <c r="M1112" s="126">
        <f t="shared" si="363"/>
        <v>73</v>
      </c>
      <c r="N1112" s="171">
        <f t="shared" si="364"/>
        <v>9.1399999999999995E-2</v>
      </c>
      <c r="O1112" s="132">
        <f t="shared" si="365"/>
        <v>0</v>
      </c>
      <c r="P1112" s="177">
        <f t="shared" si="366"/>
        <v>0</v>
      </c>
      <c r="Q1112" s="177">
        <f t="shared" si="367"/>
        <v>0</v>
      </c>
      <c r="S1112" s="233" t="b">
        <f t="shared" si="360"/>
        <v>0</v>
      </c>
    </row>
    <row r="1113" spans="1:19">
      <c r="A1113" s="126" t="s">
        <v>3919</v>
      </c>
      <c r="B1113" s="126" t="str">
        <f t="shared" si="361"/>
        <v>D0385</v>
      </c>
      <c r="C1113" s="126">
        <v>5187</v>
      </c>
      <c r="D1113" s="126" t="s">
        <v>2435</v>
      </c>
      <c r="E1113" s="126">
        <v>453</v>
      </c>
      <c r="F1113" s="126">
        <v>0</v>
      </c>
      <c r="G1113" s="126">
        <v>20</v>
      </c>
      <c r="H1113" s="126">
        <v>0</v>
      </c>
      <c r="I1113" s="126">
        <v>4.42</v>
      </c>
      <c r="J1113" s="126">
        <v>0</v>
      </c>
      <c r="K1113" s="126">
        <v>0</v>
      </c>
      <c r="L1113" s="126">
        <f t="shared" si="362"/>
        <v>453</v>
      </c>
      <c r="M1113" s="126">
        <f t="shared" si="363"/>
        <v>20</v>
      </c>
      <c r="N1113" s="171">
        <f t="shared" si="364"/>
        <v>4.4200000000000003E-2</v>
      </c>
      <c r="O1113" s="132">
        <f t="shared" si="365"/>
        <v>0</v>
      </c>
      <c r="P1113" s="177">
        <f t="shared" si="366"/>
        <v>0</v>
      </c>
      <c r="Q1113" s="177">
        <f t="shared" si="367"/>
        <v>0</v>
      </c>
      <c r="S1113" s="233" t="b">
        <f t="shared" si="360"/>
        <v>0</v>
      </c>
    </row>
    <row r="1114" spans="1:19">
      <c r="A1114" s="126" t="s">
        <v>3791</v>
      </c>
      <c r="B1114" s="126" t="str">
        <f t="shared" si="361"/>
        <v>D0393</v>
      </c>
      <c r="C1114" s="126">
        <v>5354</v>
      </c>
      <c r="D1114" s="126" t="s">
        <v>2458</v>
      </c>
      <c r="E1114" s="126">
        <v>234</v>
      </c>
      <c r="F1114" s="126">
        <v>0</v>
      </c>
      <c r="G1114" s="126">
        <v>104</v>
      </c>
      <c r="H1114" s="126">
        <v>0</v>
      </c>
      <c r="I1114" s="126">
        <v>44.44</v>
      </c>
      <c r="J1114" s="126">
        <v>0</v>
      </c>
      <c r="K1114" s="126">
        <v>6.9</v>
      </c>
      <c r="L1114" s="126">
        <f t="shared" si="362"/>
        <v>234</v>
      </c>
      <c r="M1114" s="126">
        <f t="shared" si="363"/>
        <v>104</v>
      </c>
      <c r="N1114" s="171">
        <f t="shared" si="364"/>
        <v>0.44440000000000002</v>
      </c>
      <c r="O1114" s="132">
        <f t="shared" si="365"/>
        <v>6.9</v>
      </c>
      <c r="P1114" s="177">
        <f t="shared" si="366"/>
        <v>0</v>
      </c>
      <c r="Q1114" s="177">
        <f t="shared" si="367"/>
        <v>6.9</v>
      </c>
      <c r="S1114" s="233" t="b">
        <f t="shared" si="360"/>
        <v>0</v>
      </c>
    </row>
    <row r="1115" spans="1:19">
      <c r="A1115" s="126" t="s">
        <v>3791</v>
      </c>
      <c r="B1115" s="126" t="str">
        <f t="shared" si="361"/>
        <v>D0393</v>
      </c>
      <c r="C1115" s="126">
        <v>5356</v>
      </c>
      <c r="D1115" s="126" t="s">
        <v>2460</v>
      </c>
      <c r="E1115" s="126">
        <v>99</v>
      </c>
      <c r="F1115" s="126">
        <v>0</v>
      </c>
      <c r="G1115" s="126">
        <v>34</v>
      </c>
      <c r="H1115" s="126">
        <v>0</v>
      </c>
      <c r="I1115" s="126">
        <v>34.340000000000003</v>
      </c>
      <c r="J1115" s="126">
        <v>0</v>
      </c>
      <c r="K1115" s="126">
        <v>0</v>
      </c>
      <c r="L1115" s="126">
        <f t="shared" si="362"/>
        <v>99</v>
      </c>
      <c r="M1115" s="126">
        <f t="shared" si="363"/>
        <v>34</v>
      </c>
      <c r="N1115" s="171">
        <f t="shared" si="364"/>
        <v>0.34339999999999998</v>
      </c>
      <c r="O1115" s="132">
        <f t="shared" si="365"/>
        <v>0</v>
      </c>
      <c r="P1115" s="177">
        <f t="shared" si="366"/>
        <v>0</v>
      </c>
      <c r="Q1115" s="177">
        <f t="shared" si="367"/>
        <v>0</v>
      </c>
      <c r="S1115" s="233" t="b">
        <f t="shared" si="360"/>
        <v>0</v>
      </c>
    </row>
    <row r="1116" spans="1:19">
      <c r="A1116" s="126" t="s">
        <v>3920</v>
      </c>
      <c r="B1116" s="126" t="str">
        <f t="shared" si="361"/>
        <v>D0400</v>
      </c>
      <c r="C1116" s="126">
        <v>5504</v>
      </c>
      <c r="D1116" s="126" t="s">
        <v>2494</v>
      </c>
      <c r="E1116" s="126">
        <v>285</v>
      </c>
      <c r="F1116" s="126">
        <v>0</v>
      </c>
      <c r="G1116" s="126">
        <v>70</v>
      </c>
      <c r="H1116" s="126">
        <v>0</v>
      </c>
      <c r="I1116" s="126">
        <v>24.56</v>
      </c>
      <c r="J1116" s="126">
        <v>0</v>
      </c>
      <c r="K1116" s="126">
        <v>0</v>
      </c>
      <c r="L1116" s="126">
        <f t="shared" si="362"/>
        <v>285</v>
      </c>
      <c r="M1116" s="126">
        <f t="shared" si="363"/>
        <v>70</v>
      </c>
      <c r="N1116" s="171">
        <f t="shared" si="364"/>
        <v>0.24560000000000001</v>
      </c>
      <c r="O1116" s="132">
        <f t="shared" si="365"/>
        <v>0</v>
      </c>
      <c r="P1116" s="177">
        <f t="shared" si="366"/>
        <v>0</v>
      </c>
      <c r="Q1116" s="177">
        <f t="shared" si="367"/>
        <v>0</v>
      </c>
      <c r="S1116" s="233" t="b">
        <f t="shared" si="360"/>
        <v>0</v>
      </c>
    </row>
    <row r="1117" spans="1:19">
      <c r="A1117" s="126" t="s">
        <v>3920</v>
      </c>
      <c r="B1117" s="126" t="str">
        <f t="shared" si="361"/>
        <v>D0400</v>
      </c>
      <c r="C1117" s="126">
        <v>5505</v>
      </c>
      <c r="D1117" s="126" t="s">
        <v>2496</v>
      </c>
      <c r="E1117" s="126">
        <v>260</v>
      </c>
      <c r="F1117" s="126">
        <v>0</v>
      </c>
      <c r="G1117" s="126">
        <v>59</v>
      </c>
      <c r="H1117" s="126">
        <v>0</v>
      </c>
      <c r="I1117" s="126">
        <v>22.69</v>
      </c>
      <c r="J1117" s="126">
        <v>0</v>
      </c>
      <c r="K1117" s="126">
        <v>0</v>
      </c>
      <c r="L1117" s="126">
        <f t="shared" si="362"/>
        <v>260</v>
      </c>
      <c r="M1117" s="126">
        <f t="shared" si="363"/>
        <v>59</v>
      </c>
      <c r="N1117" s="171">
        <f t="shared" si="364"/>
        <v>0.22689999999999999</v>
      </c>
      <c r="O1117" s="132">
        <f t="shared" si="365"/>
        <v>0</v>
      </c>
      <c r="P1117" s="177">
        <f t="shared" si="366"/>
        <v>0</v>
      </c>
      <c r="Q1117" s="177">
        <f t="shared" si="367"/>
        <v>0</v>
      </c>
      <c r="S1117" s="233" t="b">
        <f t="shared" si="360"/>
        <v>0</v>
      </c>
    </row>
    <row r="1118" spans="1:19">
      <c r="A1118" s="126" t="s">
        <v>3920</v>
      </c>
      <c r="B1118" s="126" t="str">
        <f t="shared" si="361"/>
        <v>D0400</v>
      </c>
      <c r="C1118" s="126">
        <v>5506</v>
      </c>
      <c r="D1118" s="126" t="s">
        <v>2498</v>
      </c>
      <c r="E1118" s="126">
        <v>264</v>
      </c>
      <c r="F1118" s="126">
        <v>0</v>
      </c>
      <c r="G1118" s="126">
        <v>49</v>
      </c>
      <c r="H1118" s="126">
        <v>0</v>
      </c>
      <c r="I1118" s="126">
        <v>18.559999999999999</v>
      </c>
      <c r="J1118" s="126">
        <v>0</v>
      </c>
      <c r="K1118" s="126">
        <v>0</v>
      </c>
      <c r="L1118" s="126">
        <f t="shared" si="362"/>
        <v>264</v>
      </c>
      <c r="M1118" s="126">
        <f t="shared" si="363"/>
        <v>49</v>
      </c>
      <c r="N1118" s="171">
        <f t="shared" si="364"/>
        <v>0.18559999999999999</v>
      </c>
      <c r="O1118" s="132">
        <f t="shared" si="365"/>
        <v>0</v>
      </c>
      <c r="P1118" s="177">
        <f t="shared" si="366"/>
        <v>0</v>
      </c>
      <c r="Q1118" s="177">
        <f t="shared" si="367"/>
        <v>0</v>
      </c>
      <c r="S1118" s="233" t="b">
        <f t="shared" si="360"/>
        <v>0</v>
      </c>
    </row>
    <row r="1119" spans="1:19">
      <c r="A1119" s="126" t="s">
        <v>391</v>
      </c>
      <c r="B1119" s="126" t="str">
        <f t="shared" si="361"/>
        <v>D0405</v>
      </c>
      <c r="C1119" s="126">
        <v>5636</v>
      </c>
      <c r="D1119" s="126" t="s">
        <v>2528</v>
      </c>
      <c r="E1119" s="126">
        <v>164</v>
      </c>
      <c r="F1119" s="126">
        <v>0</v>
      </c>
      <c r="G1119" s="126">
        <v>108</v>
      </c>
      <c r="H1119" s="126">
        <v>0</v>
      </c>
      <c r="I1119" s="126">
        <v>65.849999999999994</v>
      </c>
      <c r="J1119" s="126">
        <v>11.3</v>
      </c>
      <c r="K1119" s="126">
        <v>0</v>
      </c>
      <c r="L1119" s="126">
        <f t="shared" si="362"/>
        <v>164</v>
      </c>
      <c r="M1119" s="126">
        <f t="shared" si="363"/>
        <v>108</v>
      </c>
      <c r="N1119" s="171">
        <f t="shared" si="364"/>
        <v>0.65849999999999997</v>
      </c>
      <c r="O1119" s="132">
        <f t="shared" si="365"/>
        <v>0</v>
      </c>
      <c r="P1119" s="177">
        <f t="shared" si="366"/>
        <v>11.3</v>
      </c>
      <c r="Q1119" s="177">
        <f t="shared" si="367"/>
        <v>11.3</v>
      </c>
      <c r="S1119" s="233" t="b">
        <f t="shared" si="360"/>
        <v>0</v>
      </c>
    </row>
    <row r="1120" spans="1:19">
      <c r="A1120" s="126" t="s">
        <v>391</v>
      </c>
      <c r="B1120" s="126" t="str">
        <f t="shared" si="361"/>
        <v>D0405</v>
      </c>
      <c r="C1120" s="126">
        <v>5638</v>
      </c>
      <c r="D1120" s="126" t="s">
        <v>2530</v>
      </c>
      <c r="E1120" s="126">
        <v>218</v>
      </c>
      <c r="F1120" s="126">
        <v>0</v>
      </c>
      <c r="G1120" s="126">
        <v>136</v>
      </c>
      <c r="H1120" s="126">
        <v>0</v>
      </c>
      <c r="I1120" s="126">
        <v>62.39</v>
      </c>
      <c r="J1120" s="126">
        <v>14.3</v>
      </c>
      <c r="K1120" s="126">
        <v>0</v>
      </c>
      <c r="L1120" s="126">
        <f t="shared" si="362"/>
        <v>218</v>
      </c>
      <c r="M1120" s="126">
        <f t="shared" si="363"/>
        <v>136</v>
      </c>
      <c r="N1120" s="171">
        <f t="shared" si="364"/>
        <v>0.62390000000000001</v>
      </c>
      <c r="O1120" s="132">
        <f t="shared" si="365"/>
        <v>0</v>
      </c>
      <c r="P1120" s="177">
        <f t="shared" si="366"/>
        <v>14.3</v>
      </c>
      <c r="Q1120" s="177">
        <f t="shared" si="367"/>
        <v>14.3</v>
      </c>
      <c r="S1120" s="233" t="b">
        <f t="shared" si="360"/>
        <v>0</v>
      </c>
    </row>
    <row r="1121" spans="1:19">
      <c r="A1121" s="126" t="s">
        <v>391</v>
      </c>
      <c r="B1121" s="126" t="str">
        <f t="shared" si="361"/>
        <v>D0405</v>
      </c>
      <c r="C1121" s="126">
        <v>5640</v>
      </c>
      <c r="D1121" s="126" t="s">
        <v>2532</v>
      </c>
      <c r="E1121" s="126">
        <v>163</v>
      </c>
      <c r="F1121" s="126">
        <v>0</v>
      </c>
      <c r="G1121" s="126">
        <v>102</v>
      </c>
      <c r="H1121" s="126">
        <v>0</v>
      </c>
      <c r="I1121" s="126">
        <v>62.58</v>
      </c>
      <c r="J1121" s="126">
        <v>10.7</v>
      </c>
      <c r="K1121" s="126">
        <v>0</v>
      </c>
      <c r="L1121" s="126">
        <f t="shared" si="362"/>
        <v>163</v>
      </c>
      <c r="M1121" s="126">
        <f t="shared" si="363"/>
        <v>102</v>
      </c>
      <c r="N1121" s="171">
        <f t="shared" si="364"/>
        <v>0.62580000000000002</v>
      </c>
      <c r="O1121" s="132">
        <f t="shared" si="365"/>
        <v>0</v>
      </c>
      <c r="P1121" s="177">
        <f t="shared" si="366"/>
        <v>10.7</v>
      </c>
      <c r="Q1121" s="177">
        <f t="shared" si="367"/>
        <v>10.7</v>
      </c>
      <c r="S1121" s="233" t="b">
        <f t="shared" si="360"/>
        <v>0</v>
      </c>
    </row>
    <row r="1122" spans="1:19">
      <c r="A1122" s="126" t="s">
        <v>391</v>
      </c>
      <c r="B1122" s="126" t="str">
        <f t="shared" si="361"/>
        <v>D0405</v>
      </c>
      <c r="C1122" s="126">
        <v>5642</v>
      </c>
      <c r="D1122" s="126" t="s">
        <v>2534</v>
      </c>
      <c r="E1122" s="126">
        <v>215</v>
      </c>
      <c r="F1122" s="126">
        <v>0</v>
      </c>
      <c r="G1122" s="126">
        <v>138</v>
      </c>
      <c r="H1122" s="126">
        <v>0</v>
      </c>
      <c r="I1122" s="126">
        <v>64.19</v>
      </c>
      <c r="J1122" s="126">
        <v>14.5</v>
      </c>
      <c r="K1122" s="126">
        <v>0</v>
      </c>
      <c r="L1122" s="126">
        <f t="shared" si="362"/>
        <v>215</v>
      </c>
      <c r="M1122" s="126">
        <f t="shared" si="363"/>
        <v>138</v>
      </c>
      <c r="N1122" s="171">
        <f t="shared" si="364"/>
        <v>0.64190000000000003</v>
      </c>
      <c r="O1122" s="132">
        <f t="shared" si="365"/>
        <v>0</v>
      </c>
      <c r="P1122" s="177">
        <f t="shared" si="366"/>
        <v>14.5</v>
      </c>
      <c r="Q1122" s="177">
        <f t="shared" si="367"/>
        <v>14.5</v>
      </c>
      <c r="S1122" s="233" t="b">
        <f t="shared" si="360"/>
        <v>0</v>
      </c>
    </row>
    <row r="1123" spans="1:19">
      <c r="A1123" s="126" t="s">
        <v>3794</v>
      </c>
      <c r="B1123" s="126" t="str">
        <f t="shared" si="361"/>
        <v>D0413</v>
      </c>
      <c r="C1123" s="126">
        <v>5871</v>
      </c>
      <c r="D1123" s="126" t="s">
        <v>2570</v>
      </c>
      <c r="E1123" s="126">
        <v>750</v>
      </c>
      <c r="F1123" s="126">
        <v>0</v>
      </c>
      <c r="G1123" s="126">
        <v>393</v>
      </c>
      <c r="H1123" s="126">
        <v>0</v>
      </c>
      <c r="I1123" s="126">
        <v>52.4</v>
      </c>
      <c r="J1123" s="126">
        <v>41.3</v>
      </c>
      <c r="K1123" s="126">
        <v>0</v>
      </c>
      <c r="L1123" s="126">
        <f t="shared" si="362"/>
        <v>750</v>
      </c>
      <c r="M1123" s="126">
        <f t="shared" si="363"/>
        <v>393</v>
      </c>
      <c r="N1123" s="171">
        <f t="shared" si="364"/>
        <v>0.52400000000000002</v>
      </c>
      <c r="O1123" s="132">
        <f t="shared" si="365"/>
        <v>0</v>
      </c>
      <c r="P1123" s="177">
        <f t="shared" si="366"/>
        <v>41.3</v>
      </c>
      <c r="Q1123" s="177">
        <f t="shared" si="367"/>
        <v>41.3</v>
      </c>
      <c r="S1123" s="233" t="b">
        <f t="shared" si="360"/>
        <v>0</v>
      </c>
    </row>
    <row r="1124" spans="1:19">
      <c r="A1124" s="126" t="s">
        <v>3794</v>
      </c>
      <c r="B1124" s="126" t="str">
        <f t="shared" si="361"/>
        <v>D0413</v>
      </c>
      <c r="C1124" s="126">
        <v>5880</v>
      </c>
      <c r="D1124" s="126" t="s">
        <v>2572</v>
      </c>
      <c r="E1124" s="126">
        <v>499</v>
      </c>
      <c r="F1124" s="126">
        <v>0</v>
      </c>
      <c r="G1124" s="126">
        <v>254</v>
      </c>
      <c r="H1124" s="126">
        <v>0</v>
      </c>
      <c r="I1124" s="126">
        <v>50.9</v>
      </c>
      <c r="J1124" s="126">
        <v>26.7</v>
      </c>
      <c r="K1124" s="126">
        <v>0</v>
      </c>
      <c r="L1124" s="126">
        <f t="shared" si="362"/>
        <v>499</v>
      </c>
      <c r="M1124" s="126">
        <f t="shared" si="363"/>
        <v>254</v>
      </c>
      <c r="N1124" s="171">
        <f t="shared" si="364"/>
        <v>0.50900000000000001</v>
      </c>
      <c r="O1124" s="132">
        <f t="shared" si="365"/>
        <v>0</v>
      </c>
      <c r="P1124" s="177">
        <f t="shared" si="366"/>
        <v>26.7</v>
      </c>
      <c r="Q1124" s="177">
        <f t="shared" si="367"/>
        <v>26.7</v>
      </c>
      <c r="S1124" s="233" t="b">
        <f t="shared" si="360"/>
        <v>0</v>
      </c>
    </row>
    <row r="1125" spans="1:19">
      <c r="A1125" s="126" t="s">
        <v>3794</v>
      </c>
      <c r="B1125" s="126" t="str">
        <f t="shared" si="361"/>
        <v>D0413</v>
      </c>
      <c r="C1125" s="126">
        <v>5882</v>
      </c>
      <c r="D1125" s="126" t="s">
        <v>2574</v>
      </c>
      <c r="E1125" s="126">
        <v>553</v>
      </c>
      <c r="F1125" s="126">
        <v>0</v>
      </c>
      <c r="G1125" s="126">
        <v>254</v>
      </c>
      <c r="H1125" s="126">
        <v>0</v>
      </c>
      <c r="I1125" s="126">
        <v>45.93</v>
      </c>
      <c r="J1125" s="126">
        <v>0</v>
      </c>
      <c r="K1125" s="126">
        <v>19.399999999999999</v>
      </c>
      <c r="L1125" s="126">
        <f t="shared" si="362"/>
        <v>553</v>
      </c>
      <c r="M1125" s="126">
        <f t="shared" si="363"/>
        <v>254</v>
      </c>
      <c r="N1125" s="171">
        <f t="shared" si="364"/>
        <v>0.45929999999999999</v>
      </c>
      <c r="O1125" s="132">
        <f t="shared" si="365"/>
        <v>19.399999999999999</v>
      </c>
      <c r="P1125" s="177">
        <f t="shared" si="366"/>
        <v>0</v>
      </c>
      <c r="Q1125" s="177">
        <f t="shared" si="367"/>
        <v>19.399999999999999</v>
      </c>
      <c r="S1125" s="233" t="b">
        <f t="shared" si="360"/>
        <v>0</v>
      </c>
    </row>
    <row r="1126" spans="1:19">
      <c r="A1126" s="126" t="s">
        <v>3752</v>
      </c>
      <c r="B1126" s="126" t="str">
        <f t="shared" si="361"/>
        <v>D0422</v>
      </c>
      <c r="C1126" s="126">
        <v>6118</v>
      </c>
      <c r="D1126" s="126" t="s">
        <v>2620</v>
      </c>
      <c r="E1126" s="126">
        <v>187</v>
      </c>
      <c r="F1126" s="126">
        <v>0</v>
      </c>
      <c r="G1126" s="126">
        <v>49</v>
      </c>
      <c r="H1126" s="126">
        <v>0</v>
      </c>
      <c r="I1126" s="126">
        <v>26.2</v>
      </c>
      <c r="J1126" s="126">
        <v>0</v>
      </c>
      <c r="K1126" s="126">
        <v>0</v>
      </c>
      <c r="L1126" s="126">
        <f t="shared" si="362"/>
        <v>187</v>
      </c>
      <c r="M1126" s="126">
        <f t="shared" si="363"/>
        <v>49</v>
      </c>
      <c r="N1126" s="171">
        <f t="shared" si="364"/>
        <v>0.26200000000000001</v>
      </c>
      <c r="O1126" s="132">
        <f t="shared" si="365"/>
        <v>0</v>
      </c>
      <c r="P1126" s="177">
        <f t="shared" si="366"/>
        <v>0</v>
      </c>
      <c r="Q1126" s="177">
        <f t="shared" si="367"/>
        <v>0</v>
      </c>
      <c r="S1126" s="233" t="b">
        <f t="shared" si="360"/>
        <v>0</v>
      </c>
    </row>
    <row r="1127" spans="1:19">
      <c r="A1127" s="126" t="s">
        <v>3752</v>
      </c>
      <c r="B1127" s="126" t="str">
        <f t="shared" si="361"/>
        <v>D0422</v>
      </c>
      <c r="C1127" s="126">
        <v>6121</v>
      </c>
      <c r="D1127" s="126" t="s">
        <v>2622</v>
      </c>
      <c r="E1127" s="126">
        <v>1</v>
      </c>
      <c r="F1127" s="126">
        <v>0</v>
      </c>
      <c r="G1127" s="126">
        <v>0</v>
      </c>
      <c r="H1127" s="126">
        <v>0</v>
      </c>
      <c r="I1127" s="126">
        <v>0</v>
      </c>
      <c r="J1127" s="126">
        <v>0</v>
      </c>
      <c r="K1127" s="126">
        <v>0</v>
      </c>
      <c r="L1127" s="126">
        <f t="shared" si="362"/>
        <v>1</v>
      </c>
      <c r="M1127" s="126">
        <f t="shared" si="363"/>
        <v>0</v>
      </c>
      <c r="N1127" s="171">
        <f t="shared" si="364"/>
        <v>0</v>
      </c>
      <c r="O1127" s="132">
        <f t="shared" si="365"/>
        <v>0</v>
      </c>
      <c r="P1127" s="177">
        <f t="shared" si="366"/>
        <v>0</v>
      </c>
      <c r="Q1127" s="177">
        <f t="shared" si="367"/>
        <v>0</v>
      </c>
      <c r="S1127" s="233" t="b">
        <f t="shared" si="360"/>
        <v>0</v>
      </c>
    </row>
    <row r="1128" spans="1:19">
      <c r="A1128" s="126" t="s">
        <v>3752</v>
      </c>
      <c r="B1128" s="126" t="str">
        <f t="shared" si="361"/>
        <v>D0422</v>
      </c>
      <c r="C1128" s="126">
        <v>6122</v>
      </c>
      <c r="D1128" s="126" t="s">
        <v>2624</v>
      </c>
      <c r="E1128" s="126">
        <v>67</v>
      </c>
      <c r="F1128" s="126">
        <v>0</v>
      </c>
      <c r="G1128" s="126">
        <v>19</v>
      </c>
      <c r="H1128" s="126">
        <v>0</v>
      </c>
      <c r="I1128" s="126">
        <v>28.36</v>
      </c>
      <c r="J1128" s="126">
        <v>0</v>
      </c>
      <c r="K1128" s="126">
        <v>0</v>
      </c>
      <c r="L1128" s="126">
        <f t="shared" si="362"/>
        <v>67</v>
      </c>
      <c r="M1128" s="126">
        <f t="shared" si="363"/>
        <v>19</v>
      </c>
      <c r="N1128" s="171">
        <f t="shared" si="364"/>
        <v>0.28360000000000002</v>
      </c>
      <c r="O1128" s="132">
        <f t="shared" si="365"/>
        <v>0</v>
      </c>
      <c r="P1128" s="177">
        <f t="shared" si="366"/>
        <v>0</v>
      </c>
      <c r="Q1128" s="177">
        <f t="shared" si="367"/>
        <v>0</v>
      </c>
      <c r="S1128" s="233" t="b">
        <f t="shared" si="360"/>
        <v>0</v>
      </c>
    </row>
    <row r="1129" spans="1:19">
      <c r="A1129" s="126" t="s">
        <v>3863</v>
      </c>
      <c r="B1129" s="126" t="str">
        <f t="shared" si="361"/>
        <v>D0435</v>
      </c>
      <c r="C1129" s="126">
        <v>6464</v>
      </c>
      <c r="D1129" s="126" t="s">
        <v>2677</v>
      </c>
      <c r="E1129" s="126">
        <v>233</v>
      </c>
      <c r="F1129" s="126">
        <v>0</v>
      </c>
      <c r="G1129" s="126">
        <v>93</v>
      </c>
      <c r="H1129" s="126">
        <v>0</v>
      </c>
      <c r="I1129" s="126">
        <v>39.909999999999997</v>
      </c>
      <c r="J1129" s="126">
        <v>0</v>
      </c>
      <c r="K1129" s="126">
        <v>3.2</v>
      </c>
      <c r="L1129" s="126">
        <f t="shared" si="362"/>
        <v>233</v>
      </c>
      <c r="M1129" s="126">
        <f t="shared" si="363"/>
        <v>93</v>
      </c>
      <c r="N1129" s="171">
        <f t="shared" si="364"/>
        <v>0.39910000000000001</v>
      </c>
      <c r="O1129" s="132">
        <f t="shared" si="365"/>
        <v>3.2</v>
      </c>
      <c r="P1129" s="177">
        <f t="shared" si="366"/>
        <v>0</v>
      </c>
      <c r="Q1129" s="177">
        <f t="shared" si="367"/>
        <v>3.2</v>
      </c>
      <c r="S1129" s="233" t="b">
        <f t="shared" si="360"/>
        <v>0</v>
      </c>
    </row>
    <row r="1130" spans="1:19">
      <c r="A1130" s="126" t="s">
        <v>3863</v>
      </c>
      <c r="B1130" s="126" t="str">
        <f t="shared" si="361"/>
        <v>D0435</v>
      </c>
      <c r="C1130" s="126">
        <v>6466</v>
      </c>
      <c r="D1130" s="126" t="s">
        <v>2215</v>
      </c>
      <c r="E1130" s="126">
        <v>236</v>
      </c>
      <c r="F1130" s="126">
        <v>0</v>
      </c>
      <c r="G1130" s="126">
        <v>83</v>
      </c>
      <c r="H1130" s="126">
        <v>0</v>
      </c>
      <c r="I1130" s="126">
        <v>35.17</v>
      </c>
      <c r="J1130" s="126">
        <v>0</v>
      </c>
      <c r="K1130" s="126">
        <v>0.1</v>
      </c>
      <c r="L1130" s="126">
        <f t="shared" si="362"/>
        <v>236</v>
      </c>
      <c r="M1130" s="126">
        <f t="shared" si="363"/>
        <v>83</v>
      </c>
      <c r="N1130" s="171">
        <f t="shared" si="364"/>
        <v>0.35170000000000001</v>
      </c>
      <c r="O1130" s="132">
        <f t="shared" si="365"/>
        <v>0.1</v>
      </c>
      <c r="P1130" s="177">
        <f t="shared" si="366"/>
        <v>0</v>
      </c>
      <c r="Q1130" s="177">
        <f t="shared" si="367"/>
        <v>0.1</v>
      </c>
      <c r="S1130" s="233" t="b">
        <f t="shared" si="360"/>
        <v>0</v>
      </c>
    </row>
    <row r="1131" spans="1:19">
      <c r="A1131" s="126" t="s">
        <v>3863</v>
      </c>
      <c r="B1131" s="126" t="str">
        <f t="shared" si="361"/>
        <v>D0435</v>
      </c>
      <c r="C1131" s="126">
        <v>6470</v>
      </c>
      <c r="D1131" s="126" t="s">
        <v>1492</v>
      </c>
      <c r="E1131" s="126">
        <v>223</v>
      </c>
      <c r="F1131" s="126">
        <v>0</v>
      </c>
      <c r="G1131" s="126">
        <v>98</v>
      </c>
      <c r="H1131" s="126">
        <v>0</v>
      </c>
      <c r="I1131" s="126">
        <v>43.95</v>
      </c>
      <c r="J1131" s="126">
        <v>0</v>
      </c>
      <c r="K1131" s="126">
        <v>6.1</v>
      </c>
      <c r="L1131" s="126">
        <f t="shared" si="362"/>
        <v>223</v>
      </c>
      <c r="M1131" s="126">
        <f t="shared" si="363"/>
        <v>98</v>
      </c>
      <c r="N1131" s="171">
        <f t="shared" si="364"/>
        <v>0.4395</v>
      </c>
      <c r="O1131" s="132">
        <f t="shared" si="365"/>
        <v>6.1</v>
      </c>
      <c r="P1131" s="177">
        <f t="shared" si="366"/>
        <v>0</v>
      </c>
      <c r="Q1131" s="177">
        <f t="shared" si="367"/>
        <v>6.1</v>
      </c>
      <c r="S1131" s="233" t="b">
        <f t="shared" si="360"/>
        <v>0</v>
      </c>
    </row>
    <row r="1132" spans="1:19">
      <c r="A1132" s="126" t="s">
        <v>3863</v>
      </c>
      <c r="B1132" s="126" t="str">
        <f t="shared" si="361"/>
        <v>D0435</v>
      </c>
      <c r="C1132" s="126">
        <v>6475</v>
      </c>
      <c r="D1132" s="126" t="s">
        <v>2681</v>
      </c>
      <c r="E1132" s="126">
        <v>371</v>
      </c>
      <c r="F1132" s="126">
        <v>0</v>
      </c>
      <c r="G1132" s="126">
        <v>124</v>
      </c>
      <c r="H1132" s="126">
        <v>0</v>
      </c>
      <c r="I1132" s="126">
        <v>33.42</v>
      </c>
      <c r="J1132" s="126">
        <v>0</v>
      </c>
      <c r="K1132" s="126">
        <v>0</v>
      </c>
      <c r="L1132" s="126">
        <f t="shared" si="362"/>
        <v>371</v>
      </c>
      <c r="M1132" s="126">
        <f t="shared" si="363"/>
        <v>124</v>
      </c>
      <c r="N1132" s="171">
        <f t="shared" si="364"/>
        <v>0.3342</v>
      </c>
      <c r="O1132" s="132">
        <f t="shared" si="365"/>
        <v>0</v>
      </c>
      <c r="P1132" s="177">
        <f t="shared" si="366"/>
        <v>0</v>
      </c>
      <c r="Q1132" s="177">
        <f t="shared" si="367"/>
        <v>0</v>
      </c>
      <c r="S1132" s="233" t="b">
        <f t="shared" si="360"/>
        <v>0</v>
      </c>
    </row>
    <row r="1133" spans="1:19">
      <c r="A1133" s="126" t="s">
        <v>3863</v>
      </c>
      <c r="B1133" s="126" t="str">
        <f t="shared" si="361"/>
        <v>D0435</v>
      </c>
      <c r="C1133" s="126">
        <v>6476</v>
      </c>
      <c r="D1133" s="126" t="s">
        <v>2683</v>
      </c>
      <c r="E1133" s="126">
        <v>498</v>
      </c>
      <c r="F1133" s="126">
        <v>0</v>
      </c>
      <c r="G1133" s="126">
        <v>129</v>
      </c>
      <c r="H1133" s="126">
        <v>0</v>
      </c>
      <c r="I1133" s="126">
        <v>25.9</v>
      </c>
      <c r="J1133" s="126">
        <v>0</v>
      </c>
      <c r="K1133" s="126">
        <v>0</v>
      </c>
      <c r="L1133" s="126">
        <f t="shared" si="362"/>
        <v>498</v>
      </c>
      <c r="M1133" s="126">
        <f t="shared" si="363"/>
        <v>129</v>
      </c>
      <c r="N1133" s="171">
        <f t="shared" si="364"/>
        <v>0.25900000000000001</v>
      </c>
      <c r="O1133" s="132">
        <f t="shared" si="365"/>
        <v>0</v>
      </c>
      <c r="P1133" s="177">
        <f t="shared" si="366"/>
        <v>0</v>
      </c>
      <c r="Q1133" s="177">
        <f t="shared" si="367"/>
        <v>0</v>
      </c>
      <c r="S1133" s="233" t="b">
        <f t="shared" si="360"/>
        <v>0</v>
      </c>
    </row>
    <row r="1134" spans="1:19">
      <c r="A1134" s="126" t="s">
        <v>3726</v>
      </c>
      <c r="B1134" s="126" t="str">
        <f t="shared" si="361"/>
        <v>D0437</v>
      </c>
      <c r="C1134" s="126">
        <v>6512</v>
      </c>
      <c r="D1134" s="126" t="s">
        <v>2691</v>
      </c>
      <c r="E1134" s="126">
        <v>412</v>
      </c>
      <c r="F1134" s="126">
        <v>0</v>
      </c>
      <c r="G1134" s="126">
        <v>91</v>
      </c>
      <c r="H1134" s="126">
        <v>0</v>
      </c>
      <c r="I1134" s="126">
        <v>22.09</v>
      </c>
      <c r="J1134" s="126">
        <v>0</v>
      </c>
      <c r="K1134" s="126">
        <v>0</v>
      </c>
      <c r="L1134" s="126">
        <f t="shared" si="362"/>
        <v>412</v>
      </c>
      <c r="M1134" s="126">
        <f t="shared" si="363"/>
        <v>91</v>
      </c>
      <c r="N1134" s="171">
        <f t="shared" si="364"/>
        <v>0.22090000000000001</v>
      </c>
      <c r="O1134" s="132">
        <f t="shared" si="365"/>
        <v>0</v>
      </c>
      <c r="P1134" s="177">
        <f t="shared" si="366"/>
        <v>0</v>
      </c>
      <c r="Q1134" s="177">
        <f t="shared" si="367"/>
        <v>0</v>
      </c>
      <c r="S1134" s="233" t="b">
        <f t="shared" si="360"/>
        <v>0</v>
      </c>
    </row>
    <row r="1135" spans="1:19">
      <c r="A1135" s="126" t="s">
        <v>3726</v>
      </c>
      <c r="B1135" s="126" t="str">
        <f t="shared" si="361"/>
        <v>D0437</v>
      </c>
      <c r="C1135" s="126">
        <v>6513</v>
      </c>
      <c r="D1135" s="126" t="s">
        <v>2693</v>
      </c>
      <c r="E1135" s="126">
        <v>573</v>
      </c>
      <c r="F1135" s="126">
        <v>0</v>
      </c>
      <c r="G1135" s="126">
        <v>100</v>
      </c>
      <c r="H1135" s="126">
        <v>0</v>
      </c>
      <c r="I1135" s="126">
        <v>17.45</v>
      </c>
      <c r="J1135" s="126">
        <v>0</v>
      </c>
      <c r="K1135" s="126">
        <v>0</v>
      </c>
      <c r="L1135" s="126">
        <f t="shared" si="362"/>
        <v>573</v>
      </c>
      <c r="M1135" s="126">
        <f t="shared" si="363"/>
        <v>100</v>
      </c>
      <c r="N1135" s="171">
        <f t="shared" si="364"/>
        <v>0.17449999999999999</v>
      </c>
      <c r="O1135" s="132">
        <f t="shared" si="365"/>
        <v>0</v>
      </c>
      <c r="P1135" s="177">
        <f t="shared" si="366"/>
        <v>0</v>
      </c>
      <c r="Q1135" s="177">
        <f t="shared" si="367"/>
        <v>0</v>
      </c>
      <c r="S1135" s="233" t="b">
        <f t="shared" si="360"/>
        <v>0</v>
      </c>
    </row>
    <row r="1136" spans="1:19">
      <c r="A1136" s="126" t="s">
        <v>3726</v>
      </c>
      <c r="B1136" s="126" t="str">
        <f t="shared" si="361"/>
        <v>D0437</v>
      </c>
      <c r="C1136" s="126">
        <v>6517</v>
      </c>
      <c r="D1136" s="126" t="s">
        <v>2695</v>
      </c>
      <c r="E1136" s="126">
        <v>526</v>
      </c>
      <c r="F1136" s="126">
        <v>0</v>
      </c>
      <c r="G1136" s="126">
        <v>62</v>
      </c>
      <c r="H1136" s="126">
        <v>0</v>
      </c>
      <c r="I1136" s="126">
        <v>11.79</v>
      </c>
      <c r="J1136" s="126">
        <v>0</v>
      </c>
      <c r="K1136" s="126">
        <v>0</v>
      </c>
      <c r="L1136" s="126">
        <f t="shared" si="362"/>
        <v>526</v>
      </c>
      <c r="M1136" s="126">
        <f t="shared" si="363"/>
        <v>62</v>
      </c>
      <c r="N1136" s="171">
        <f t="shared" si="364"/>
        <v>0.1179</v>
      </c>
      <c r="O1136" s="132">
        <f t="shared" si="365"/>
        <v>0</v>
      </c>
      <c r="P1136" s="177">
        <f t="shared" si="366"/>
        <v>0</v>
      </c>
      <c r="Q1136" s="177">
        <f t="shared" si="367"/>
        <v>0</v>
      </c>
      <c r="S1136" s="233" t="b">
        <f t="shared" si="360"/>
        <v>0</v>
      </c>
    </row>
    <row r="1137" spans="1:19">
      <c r="A1137" s="126" t="s">
        <v>3726</v>
      </c>
      <c r="B1137" s="126" t="str">
        <f t="shared" si="361"/>
        <v>D0437</v>
      </c>
      <c r="C1137" s="126">
        <v>6518</v>
      </c>
      <c r="D1137" s="126" t="s">
        <v>2697</v>
      </c>
      <c r="E1137" s="126">
        <v>439</v>
      </c>
      <c r="F1137" s="126">
        <v>0</v>
      </c>
      <c r="G1137" s="126">
        <v>245</v>
      </c>
      <c r="H1137" s="126">
        <v>0</v>
      </c>
      <c r="I1137" s="126">
        <v>55.81</v>
      </c>
      <c r="J1137" s="126">
        <v>25.7</v>
      </c>
      <c r="K1137" s="126">
        <v>0</v>
      </c>
      <c r="L1137" s="126">
        <f t="shared" si="362"/>
        <v>439</v>
      </c>
      <c r="M1137" s="126">
        <f t="shared" si="363"/>
        <v>245</v>
      </c>
      <c r="N1137" s="171">
        <f t="shared" si="364"/>
        <v>0.55810000000000004</v>
      </c>
      <c r="O1137" s="132">
        <f t="shared" si="365"/>
        <v>0</v>
      </c>
      <c r="P1137" s="177">
        <f t="shared" si="366"/>
        <v>25.7</v>
      </c>
      <c r="Q1137" s="177">
        <f t="shared" si="367"/>
        <v>25.7</v>
      </c>
      <c r="S1137" s="233" t="b">
        <f t="shared" si="360"/>
        <v>0</v>
      </c>
    </row>
    <row r="1138" spans="1:19">
      <c r="A1138" s="126" t="s">
        <v>3726</v>
      </c>
      <c r="B1138" s="126" t="str">
        <f t="shared" si="361"/>
        <v>D0437</v>
      </c>
      <c r="C1138" s="126">
        <v>6522</v>
      </c>
      <c r="D1138" s="126" t="s">
        <v>2699</v>
      </c>
      <c r="E1138" s="126">
        <v>336</v>
      </c>
      <c r="F1138" s="126">
        <v>0</v>
      </c>
      <c r="G1138" s="126">
        <v>178</v>
      </c>
      <c r="H1138" s="126">
        <v>0</v>
      </c>
      <c r="I1138" s="126">
        <v>52.98</v>
      </c>
      <c r="J1138" s="126">
        <v>18.7</v>
      </c>
      <c r="K1138" s="126">
        <v>0</v>
      </c>
      <c r="L1138" s="126">
        <f t="shared" si="362"/>
        <v>336</v>
      </c>
      <c r="M1138" s="126">
        <f t="shared" si="363"/>
        <v>178</v>
      </c>
      <c r="N1138" s="171">
        <f t="shared" si="364"/>
        <v>0.52980000000000005</v>
      </c>
      <c r="O1138" s="132">
        <f t="shared" si="365"/>
        <v>0</v>
      </c>
      <c r="P1138" s="177">
        <f t="shared" si="366"/>
        <v>18.7</v>
      </c>
      <c r="Q1138" s="177">
        <f t="shared" si="367"/>
        <v>18.7</v>
      </c>
      <c r="S1138" s="233" t="b">
        <f t="shared" si="360"/>
        <v>0</v>
      </c>
    </row>
    <row r="1139" spans="1:19">
      <c r="A1139" s="126" t="s">
        <v>3726</v>
      </c>
      <c r="B1139" s="126" t="str">
        <f t="shared" si="361"/>
        <v>D0437</v>
      </c>
      <c r="C1139" s="126">
        <v>6527</v>
      </c>
      <c r="D1139" s="126" t="s">
        <v>2701</v>
      </c>
      <c r="E1139" s="126">
        <v>980</v>
      </c>
      <c r="F1139" s="126">
        <v>0</v>
      </c>
      <c r="G1139" s="126">
        <v>246</v>
      </c>
      <c r="H1139" s="126">
        <v>0</v>
      </c>
      <c r="I1139" s="126">
        <v>25.1</v>
      </c>
      <c r="J1139" s="126">
        <v>0</v>
      </c>
      <c r="K1139" s="126">
        <v>0</v>
      </c>
      <c r="L1139" s="126">
        <f t="shared" si="362"/>
        <v>980</v>
      </c>
      <c r="M1139" s="126">
        <f t="shared" si="363"/>
        <v>246</v>
      </c>
      <c r="N1139" s="171">
        <f t="shared" si="364"/>
        <v>0.251</v>
      </c>
      <c r="O1139" s="132">
        <f t="shared" si="365"/>
        <v>0</v>
      </c>
      <c r="P1139" s="177">
        <f t="shared" si="366"/>
        <v>0</v>
      </c>
      <c r="Q1139" s="177">
        <f t="shared" si="367"/>
        <v>0</v>
      </c>
      <c r="S1139" s="233" t="b">
        <f t="shared" si="360"/>
        <v>0</v>
      </c>
    </row>
    <row r="1140" spans="1:19">
      <c r="A1140" s="126" t="s">
        <v>3726</v>
      </c>
      <c r="B1140" s="126" t="str">
        <f t="shared" si="361"/>
        <v>D0437</v>
      </c>
      <c r="C1140" s="126">
        <v>6528</v>
      </c>
      <c r="D1140" s="126" t="s">
        <v>2703</v>
      </c>
      <c r="E1140" s="126">
        <v>512</v>
      </c>
      <c r="F1140" s="126">
        <v>0</v>
      </c>
      <c r="G1140" s="126">
        <v>111</v>
      </c>
      <c r="H1140" s="126">
        <v>0</v>
      </c>
      <c r="I1140" s="126">
        <v>21.68</v>
      </c>
      <c r="J1140" s="126">
        <v>0</v>
      </c>
      <c r="K1140" s="126">
        <v>0</v>
      </c>
      <c r="L1140" s="126">
        <f t="shared" si="362"/>
        <v>512</v>
      </c>
      <c r="M1140" s="126">
        <f t="shared" si="363"/>
        <v>111</v>
      </c>
      <c r="N1140" s="171">
        <f t="shared" si="364"/>
        <v>0.21679999999999999</v>
      </c>
      <c r="O1140" s="132">
        <f t="shared" si="365"/>
        <v>0</v>
      </c>
      <c r="P1140" s="177">
        <f t="shared" si="366"/>
        <v>0</v>
      </c>
      <c r="Q1140" s="177">
        <f t="shared" si="367"/>
        <v>0</v>
      </c>
      <c r="S1140" s="233" t="b">
        <f t="shared" si="360"/>
        <v>0</v>
      </c>
    </row>
    <row r="1141" spans="1:19">
      <c r="A1141" s="126" t="s">
        <v>3726</v>
      </c>
      <c r="B1141" s="126" t="str">
        <f t="shared" si="361"/>
        <v>D0437</v>
      </c>
      <c r="C1141" s="126">
        <v>6530</v>
      </c>
      <c r="D1141" s="126" t="s">
        <v>2705</v>
      </c>
      <c r="E1141" s="126">
        <v>558</v>
      </c>
      <c r="F1141" s="126">
        <v>0</v>
      </c>
      <c r="G1141" s="126">
        <v>44</v>
      </c>
      <c r="H1141" s="126">
        <v>0</v>
      </c>
      <c r="I1141" s="126">
        <v>7.89</v>
      </c>
      <c r="J1141" s="126">
        <v>0</v>
      </c>
      <c r="K1141" s="126">
        <v>0</v>
      </c>
      <c r="L1141" s="126">
        <f t="shared" si="362"/>
        <v>558</v>
      </c>
      <c r="M1141" s="126">
        <f t="shared" si="363"/>
        <v>44</v>
      </c>
      <c r="N1141" s="171">
        <f t="shared" si="364"/>
        <v>7.8899999999999998E-2</v>
      </c>
      <c r="O1141" s="132">
        <f t="shared" si="365"/>
        <v>0</v>
      </c>
      <c r="P1141" s="177">
        <f t="shared" si="366"/>
        <v>0</v>
      </c>
      <c r="Q1141" s="177">
        <f t="shared" si="367"/>
        <v>0</v>
      </c>
      <c r="S1141" s="233" t="b">
        <f t="shared" si="360"/>
        <v>0</v>
      </c>
    </row>
    <row r="1142" spans="1:19">
      <c r="A1142" s="126" t="s">
        <v>3726</v>
      </c>
      <c r="B1142" s="126" t="str">
        <f t="shared" si="361"/>
        <v>D0437</v>
      </c>
      <c r="C1142" s="126">
        <v>6532</v>
      </c>
      <c r="D1142" s="126" t="s">
        <v>2707</v>
      </c>
      <c r="E1142" s="126">
        <v>1930</v>
      </c>
      <c r="F1142" s="126">
        <v>0</v>
      </c>
      <c r="G1142" s="126">
        <v>425</v>
      </c>
      <c r="H1142" s="126">
        <v>0</v>
      </c>
      <c r="I1142" s="126">
        <v>22.02</v>
      </c>
      <c r="J1142" s="126">
        <v>0</v>
      </c>
      <c r="K1142" s="126">
        <v>0</v>
      </c>
      <c r="L1142" s="126">
        <f t="shared" si="362"/>
        <v>1930</v>
      </c>
      <c r="M1142" s="126">
        <f t="shared" si="363"/>
        <v>425</v>
      </c>
      <c r="N1142" s="171">
        <f t="shared" si="364"/>
        <v>0.22020000000000001</v>
      </c>
      <c r="O1142" s="132">
        <f t="shared" si="365"/>
        <v>0</v>
      </c>
      <c r="P1142" s="177">
        <f t="shared" si="366"/>
        <v>0</v>
      </c>
      <c r="Q1142" s="177">
        <f t="shared" si="367"/>
        <v>0</v>
      </c>
      <c r="S1142" s="233" t="b">
        <f t="shared" si="360"/>
        <v>0</v>
      </c>
    </row>
    <row r="1143" spans="1:19">
      <c r="A1143" s="126" t="s">
        <v>3941</v>
      </c>
      <c r="B1143" s="126" t="str">
        <f t="shared" si="361"/>
        <v>D0443</v>
      </c>
      <c r="C1143" s="126">
        <v>6674</v>
      </c>
      <c r="D1143" s="126" t="s">
        <v>1267</v>
      </c>
      <c r="E1143" s="126">
        <v>280</v>
      </c>
      <c r="F1143" s="126">
        <v>0</v>
      </c>
      <c r="G1143" s="126">
        <v>230</v>
      </c>
      <c r="H1143" s="126">
        <v>0</v>
      </c>
      <c r="I1143" s="126">
        <v>82.14</v>
      </c>
      <c r="J1143" s="126">
        <v>24.1</v>
      </c>
      <c r="K1143" s="126">
        <v>0</v>
      </c>
      <c r="L1143" s="126">
        <f t="shared" si="362"/>
        <v>280</v>
      </c>
      <c r="M1143" s="126">
        <f t="shared" si="363"/>
        <v>230</v>
      </c>
      <c r="N1143" s="171">
        <f t="shared" si="364"/>
        <v>0.82140000000000002</v>
      </c>
      <c r="O1143" s="132">
        <f t="shared" si="365"/>
        <v>0</v>
      </c>
      <c r="P1143" s="177">
        <f t="shared" si="366"/>
        <v>24.2</v>
      </c>
      <c r="Q1143" s="177">
        <f t="shared" si="367"/>
        <v>24.2</v>
      </c>
      <c r="S1143" s="233" t="b">
        <f t="shared" si="360"/>
        <v>0</v>
      </c>
    </row>
    <row r="1144" spans="1:19">
      <c r="A1144" s="126" t="s">
        <v>3941</v>
      </c>
      <c r="B1144" s="126" t="str">
        <f t="shared" si="361"/>
        <v>D0443</v>
      </c>
      <c r="C1144" s="126">
        <v>6678</v>
      </c>
      <c r="D1144" s="126" t="s">
        <v>2724</v>
      </c>
      <c r="E1144" s="126">
        <v>675</v>
      </c>
      <c r="F1144" s="126">
        <v>0</v>
      </c>
      <c r="G1144" s="126">
        <v>502</v>
      </c>
      <c r="H1144" s="126">
        <v>0</v>
      </c>
      <c r="I1144" s="126">
        <v>74.37</v>
      </c>
      <c r="J1144" s="126">
        <v>52.7</v>
      </c>
      <c r="K1144" s="126">
        <v>0</v>
      </c>
      <c r="L1144" s="126">
        <f t="shared" si="362"/>
        <v>675</v>
      </c>
      <c r="M1144" s="126">
        <f t="shared" si="363"/>
        <v>502</v>
      </c>
      <c r="N1144" s="171">
        <f t="shared" si="364"/>
        <v>0.74370000000000003</v>
      </c>
      <c r="O1144" s="132">
        <f t="shared" si="365"/>
        <v>0</v>
      </c>
      <c r="P1144" s="177">
        <f t="shared" si="366"/>
        <v>52.7</v>
      </c>
      <c r="Q1144" s="177">
        <f t="shared" si="367"/>
        <v>52.7</v>
      </c>
      <c r="S1144" s="233" t="b">
        <f t="shared" si="360"/>
        <v>0</v>
      </c>
    </row>
    <row r="1145" spans="1:19">
      <c r="A1145" s="126" t="s">
        <v>3941</v>
      </c>
      <c r="B1145" s="126" t="str">
        <f t="shared" si="361"/>
        <v>D0443</v>
      </c>
      <c r="C1145" s="126">
        <v>6680</v>
      </c>
      <c r="D1145" s="126" t="s">
        <v>2726</v>
      </c>
      <c r="E1145" s="126">
        <v>403</v>
      </c>
      <c r="F1145" s="126">
        <v>0</v>
      </c>
      <c r="G1145" s="126">
        <v>227</v>
      </c>
      <c r="H1145" s="126">
        <v>0</v>
      </c>
      <c r="I1145" s="126">
        <v>56.33</v>
      </c>
      <c r="J1145" s="126">
        <v>23.8</v>
      </c>
      <c r="K1145" s="126">
        <v>0</v>
      </c>
      <c r="L1145" s="126">
        <f t="shared" si="362"/>
        <v>403</v>
      </c>
      <c r="M1145" s="126">
        <f t="shared" si="363"/>
        <v>227</v>
      </c>
      <c r="N1145" s="171">
        <f t="shared" si="364"/>
        <v>0.56330000000000002</v>
      </c>
      <c r="O1145" s="132">
        <f t="shared" si="365"/>
        <v>0</v>
      </c>
      <c r="P1145" s="177">
        <f t="shared" si="366"/>
        <v>23.8</v>
      </c>
      <c r="Q1145" s="177">
        <f t="shared" si="367"/>
        <v>23.8</v>
      </c>
      <c r="S1145" s="233" t="b">
        <f t="shared" si="360"/>
        <v>0</v>
      </c>
    </row>
    <row r="1146" spans="1:19">
      <c r="A1146" s="126" t="s">
        <v>3941</v>
      </c>
      <c r="B1146" s="126" t="str">
        <f t="shared" si="361"/>
        <v>D0443</v>
      </c>
      <c r="C1146" s="126">
        <v>6682</v>
      </c>
      <c r="D1146" s="126" t="s">
        <v>2728</v>
      </c>
      <c r="E1146" s="126">
        <v>314</v>
      </c>
      <c r="F1146" s="126">
        <v>0</v>
      </c>
      <c r="G1146" s="126">
        <v>262</v>
      </c>
      <c r="H1146" s="126">
        <v>0</v>
      </c>
      <c r="I1146" s="126">
        <v>83.44</v>
      </c>
      <c r="J1146" s="126">
        <v>27.5</v>
      </c>
      <c r="K1146" s="126">
        <v>0</v>
      </c>
      <c r="L1146" s="126">
        <f t="shared" si="362"/>
        <v>314</v>
      </c>
      <c r="M1146" s="126">
        <f t="shared" si="363"/>
        <v>262</v>
      </c>
      <c r="N1146" s="171">
        <f t="shared" si="364"/>
        <v>0.83440000000000003</v>
      </c>
      <c r="O1146" s="132">
        <f t="shared" si="365"/>
        <v>0</v>
      </c>
      <c r="P1146" s="177">
        <f t="shared" si="366"/>
        <v>27.5</v>
      </c>
      <c r="Q1146" s="177">
        <f t="shared" si="367"/>
        <v>27.5</v>
      </c>
      <c r="S1146" s="233" t="b">
        <f t="shared" si="360"/>
        <v>0</v>
      </c>
    </row>
    <row r="1147" spans="1:19">
      <c r="A1147" s="126" t="s">
        <v>3941</v>
      </c>
      <c r="B1147" s="126" t="str">
        <f t="shared" si="361"/>
        <v>D0443</v>
      </c>
      <c r="C1147" s="126">
        <v>6684</v>
      </c>
      <c r="D1147" s="126" t="s">
        <v>2730</v>
      </c>
      <c r="E1147" s="126">
        <v>782</v>
      </c>
      <c r="F1147" s="126">
        <v>0</v>
      </c>
      <c r="G1147" s="126">
        <v>562</v>
      </c>
      <c r="H1147" s="126">
        <v>0</v>
      </c>
      <c r="I1147" s="126">
        <v>71.87</v>
      </c>
      <c r="J1147" s="126">
        <v>59</v>
      </c>
      <c r="K1147" s="126">
        <v>0</v>
      </c>
      <c r="L1147" s="126">
        <f t="shared" si="362"/>
        <v>782</v>
      </c>
      <c r="M1147" s="126">
        <f t="shared" si="363"/>
        <v>562</v>
      </c>
      <c r="N1147" s="171">
        <f t="shared" si="364"/>
        <v>0.71870000000000001</v>
      </c>
      <c r="O1147" s="132">
        <f t="shared" si="365"/>
        <v>0</v>
      </c>
      <c r="P1147" s="177">
        <f t="shared" si="366"/>
        <v>59</v>
      </c>
      <c r="Q1147" s="177">
        <f t="shared" si="367"/>
        <v>59</v>
      </c>
      <c r="S1147" s="233" t="b">
        <f t="shared" si="360"/>
        <v>0</v>
      </c>
    </row>
    <row r="1148" spans="1:19">
      <c r="A1148" s="126" t="s">
        <v>3941</v>
      </c>
      <c r="B1148" s="126" t="str">
        <f t="shared" si="361"/>
        <v>D0443</v>
      </c>
      <c r="C1148" s="126">
        <v>6685</v>
      </c>
      <c r="D1148" s="126" t="s">
        <v>2732</v>
      </c>
      <c r="E1148" s="126">
        <v>524</v>
      </c>
      <c r="F1148" s="126">
        <v>0</v>
      </c>
      <c r="G1148" s="126">
        <v>279</v>
      </c>
      <c r="H1148" s="126">
        <v>0</v>
      </c>
      <c r="I1148" s="126">
        <v>53.24</v>
      </c>
      <c r="J1148" s="126">
        <v>29.3</v>
      </c>
      <c r="K1148" s="126">
        <v>0</v>
      </c>
      <c r="L1148" s="126">
        <f t="shared" si="362"/>
        <v>524</v>
      </c>
      <c r="M1148" s="126">
        <f t="shared" si="363"/>
        <v>279</v>
      </c>
      <c r="N1148" s="171">
        <f t="shared" si="364"/>
        <v>0.53239999999999998</v>
      </c>
      <c r="O1148" s="132">
        <f t="shared" si="365"/>
        <v>0</v>
      </c>
      <c r="P1148" s="177">
        <f t="shared" si="366"/>
        <v>29.3</v>
      </c>
      <c r="Q1148" s="177">
        <f t="shared" si="367"/>
        <v>29.3</v>
      </c>
      <c r="S1148" s="233" t="b">
        <f t="shared" si="360"/>
        <v>0</v>
      </c>
    </row>
    <row r="1149" spans="1:19">
      <c r="A1149" s="126" t="s">
        <v>3941</v>
      </c>
      <c r="B1149" s="126" t="str">
        <f t="shared" si="361"/>
        <v>D0443</v>
      </c>
      <c r="C1149" s="126">
        <v>6686</v>
      </c>
      <c r="D1149" s="126" t="s">
        <v>2734</v>
      </c>
      <c r="E1149" s="126">
        <v>1952</v>
      </c>
      <c r="F1149" s="126">
        <v>0</v>
      </c>
      <c r="G1149" s="126">
        <v>1213</v>
      </c>
      <c r="H1149" s="126">
        <v>0</v>
      </c>
      <c r="I1149" s="126">
        <v>62.14</v>
      </c>
      <c r="J1149" s="126">
        <v>127.4</v>
      </c>
      <c r="K1149" s="126">
        <v>0</v>
      </c>
      <c r="L1149" s="126">
        <f t="shared" si="362"/>
        <v>1952</v>
      </c>
      <c r="M1149" s="126">
        <f t="shared" si="363"/>
        <v>1213</v>
      </c>
      <c r="N1149" s="171">
        <f t="shared" si="364"/>
        <v>0.62139999999999995</v>
      </c>
      <c r="O1149" s="132">
        <f t="shared" si="365"/>
        <v>0</v>
      </c>
      <c r="P1149" s="177">
        <f t="shared" si="366"/>
        <v>127.4</v>
      </c>
      <c r="Q1149" s="177">
        <f t="shared" si="367"/>
        <v>127.4</v>
      </c>
      <c r="S1149" s="233" t="b">
        <f t="shared" si="360"/>
        <v>0</v>
      </c>
    </row>
    <row r="1150" spans="1:19">
      <c r="A1150" s="126" t="s">
        <v>3941</v>
      </c>
      <c r="B1150" s="126" t="str">
        <f t="shared" ref="B1150:B1189" si="368">LEFT(A1150,5)</f>
        <v>D0443</v>
      </c>
      <c r="C1150" s="126">
        <v>6687</v>
      </c>
      <c r="D1150" s="126" t="s">
        <v>2736</v>
      </c>
      <c r="E1150" s="126">
        <v>357</v>
      </c>
      <c r="F1150" s="126">
        <v>0</v>
      </c>
      <c r="G1150" s="126">
        <v>288</v>
      </c>
      <c r="H1150" s="126">
        <v>0</v>
      </c>
      <c r="I1150" s="126">
        <v>80.67</v>
      </c>
      <c r="J1150" s="126">
        <v>30.2</v>
      </c>
      <c r="K1150" s="126">
        <v>0</v>
      </c>
      <c r="L1150" s="126">
        <f t="shared" si="362"/>
        <v>357</v>
      </c>
      <c r="M1150" s="126">
        <f t="shared" si="363"/>
        <v>288</v>
      </c>
      <c r="N1150" s="171">
        <f t="shared" si="364"/>
        <v>0.80669999999999997</v>
      </c>
      <c r="O1150" s="132">
        <f t="shared" si="365"/>
        <v>0</v>
      </c>
      <c r="P1150" s="177">
        <f t="shared" si="366"/>
        <v>30.2</v>
      </c>
      <c r="Q1150" s="177">
        <f t="shared" si="367"/>
        <v>30.2</v>
      </c>
      <c r="S1150" s="233" t="b">
        <f t="shared" si="360"/>
        <v>0</v>
      </c>
    </row>
    <row r="1151" spans="1:19">
      <c r="A1151" s="126" t="s">
        <v>3941</v>
      </c>
      <c r="B1151" s="126" t="str">
        <f t="shared" si="368"/>
        <v>D0443</v>
      </c>
      <c r="C1151" s="126">
        <v>6688</v>
      </c>
      <c r="D1151" s="126" t="s">
        <v>2738</v>
      </c>
      <c r="E1151" s="126">
        <v>429</v>
      </c>
      <c r="F1151" s="126">
        <v>0</v>
      </c>
      <c r="G1151" s="126">
        <v>305</v>
      </c>
      <c r="H1151" s="126">
        <v>0</v>
      </c>
      <c r="I1151" s="126">
        <v>71.099999999999994</v>
      </c>
      <c r="J1151" s="126">
        <v>32</v>
      </c>
      <c r="K1151" s="126">
        <v>0</v>
      </c>
      <c r="L1151" s="126">
        <f t="shared" si="362"/>
        <v>429</v>
      </c>
      <c r="M1151" s="126">
        <f t="shared" si="363"/>
        <v>305</v>
      </c>
      <c r="N1151" s="171">
        <f t="shared" si="364"/>
        <v>0.71099999999999997</v>
      </c>
      <c r="O1151" s="132">
        <f t="shared" si="365"/>
        <v>0</v>
      </c>
      <c r="P1151" s="177">
        <f t="shared" si="366"/>
        <v>32</v>
      </c>
      <c r="Q1151" s="177">
        <f t="shared" si="367"/>
        <v>32</v>
      </c>
      <c r="S1151" s="233" t="b">
        <f t="shared" si="360"/>
        <v>0</v>
      </c>
    </row>
    <row r="1152" spans="1:19">
      <c r="A1152" s="126" t="s">
        <v>3941</v>
      </c>
      <c r="B1152" s="126" t="str">
        <f t="shared" si="368"/>
        <v>D0443</v>
      </c>
      <c r="C1152" s="126">
        <v>6689</v>
      </c>
      <c r="D1152" s="126" t="s">
        <v>2740</v>
      </c>
      <c r="E1152" s="126">
        <v>414</v>
      </c>
      <c r="F1152" s="126">
        <v>0</v>
      </c>
      <c r="G1152" s="126">
        <v>279</v>
      </c>
      <c r="H1152" s="126">
        <v>0</v>
      </c>
      <c r="I1152" s="126">
        <v>67.39</v>
      </c>
      <c r="J1152" s="126">
        <v>29.3</v>
      </c>
      <c r="K1152" s="126">
        <v>0</v>
      </c>
      <c r="L1152" s="126">
        <f t="shared" si="362"/>
        <v>414</v>
      </c>
      <c r="M1152" s="126">
        <f t="shared" si="363"/>
        <v>279</v>
      </c>
      <c r="N1152" s="171">
        <f t="shared" si="364"/>
        <v>0.67390000000000005</v>
      </c>
      <c r="O1152" s="132">
        <f t="shared" si="365"/>
        <v>0</v>
      </c>
      <c r="P1152" s="177">
        <f t="shared" si="366"/>
        <v>29.3</v>
      </c>
      <c r="Q1152" s="177">
        <f t="shared" si="367"/>
        <v>29.3</v>
      </c>
      <c r="S1152" s="233" t="b">
        <f t="shared" si="360"/>
        <v>0</v>
      </c>
    </row>
    <row r="1153" spans="1:19">
      <c r="A1153" s="126" t="s">
        <v>3941</v>
      </c>
      <c r="B1153" s="126" t="str">
        <f t="shared" si="368"/>
        <v>D0443</v>
      </c>
      <c r="C1153" s="126">
        <v>6702</v>
      </c>
      <c r="D1153" s="126" t="s">
        <v>2742</v>
      </c>
      <c r="E1153" s="126">
        <v>117</v>
      </c>
      <c r="F1153" s="126">
        <v>0</v>
      </c>
      <c r="G1153" s="126">
        <v>82</v>
      </c>
      <c r="H1153" s="126">
        <v>0</v>
      </c>
      <c r="I1153" s="126">
        <v>70.09</v>
      </c>
      <c r="J1153" s="126">
        <v>8.6</v>
      </c>
      <c r="K1153" s="126">
        <v>0</v>
      </c>
      <c r="L1153" s="126">
        <f t="shared" si="362"/>
        <v>117</v>
      </c>
      <c r="M1153" s="126">
        <f t="shared" si="363"/>
        <v>82</v>
      </c>
      <c r="N1153" s="171">
        <f t="shared" si="364"/>
        <v>0.70089999999999997</v>
      </c>
      <c r="O1153" s="132">
        <f t="shared" si="365"/>
        <v>0</v>
      </c>
      <c r="P1153" s="177">
        <f t="shared" si="366"/>
        <v>8.6</v>
      </c>
      <c r="Q1153" s="177">
        <f t="shared" si="367"/>
        <v>8.6</v>
      </c>
      <c r="S1153" s="233" t="b">
        <f t="shared" si="360"/>
        <v>0</v>
      </c>
    </row>
    <row r="1154" spans="1:19">
      <c r="A1154" s="126" t="s">
        <v>3941</v>
      </c>
      <c r="B1154" s="126" t="str">
        <f t="shared" si="368"/>
        <v>D0443</v>
      </c>
      <c r="C1154" s="126">
        <v>6707</v>
      </c>
      <c r="D1154" s="126" t="s">
        <v>2744</v>
      </c>
      <c r="E1154" s="126">
        <v>741</v>
      </c>
      <c r="F1154" s="126">
        <v>0</v>
      </c>
      <c r="G1154" s="126">
        <v>491</v>
      </c>
      <c r="H1154" s="126">
        <v>0</v>
      </c>
      <c r="I1154" s="126">
        <v>66.260000000000005</v>
      </c>
      <c r="J1154" s="126">
        <v>51.6</v>
      </c>
      <c r="K1154" s="126">
        <v>0</v>
      </c>
      <c r="L1154" s="126">
        <f t="shared" si="362"/>
        <v>741</v>
      </c>
      <c r="M1154" s="126">
        <f t="shared" si="363"/>
        <v>491</v>
      </c>
      <c r="N1154" s="171">
        <f t="shared" si="364"/>
        <v>0.66259999999999997</v>
      </c>
      <c r="O1154" s="132">
        <f t="shared" si="365"/>
        <v>0</v>
      </c>
      <c r="P1154" s="177">
        <f t="shared" si="366"/>
        <v>51.6</v>
      </c>
      <c r="Q1154" s="177">
        <f t="shared" si="367"/>
        <v>51.6</v>
      </c>
      <c r="S1154" s="233" t="b">
        <f t="shared" si="360"/>
        <v>0</v>
      </c>
    </row>
    <row r="1155" spans="1:19">
      <c r="A1155" s="126" t="s">
        <v>3754</v>
      </c>
      <c r="B1155" s="126" t="str">
        <f t="shared" si="368"/>
        <v>D0450</v>
      </c>
      <c r="C1155" s="126">
        <v>6938</v>
      </c>
      <c r="D1155" s="126" t="s">
        <v>2780</v>
      </c>
      <c r="E1155" s="126">
        <v>465</v>
      </c>
      <c r="F1155" s="126">
        <v>0</v>
      </c>
      <c r="G1155" s="126">
        <v>108</v>
      </c>
      <c r="H1155" s="126">
        <v>0</v>
      </c>
      <c r="I1155" s="126">
        <v>23.23</v>
      </c>
      <c r="J1155" s="126">
        <v>0</v>
      </c>
      <c r="K1155" s="126">
        <v>0</v>
      </c>
      <c r="L1155" s="126">
        <f t="shared" si="362"/>
        <v>465</v>
      </c>
      <c r="M1155" s="126">
        <f t="shared" si="363"/>
        <v>108</v>
      </c>
      <c r="N1155" s="171">
        <f t="shared" si="364"/>
        <v>0.23230000000000001</v>
      </c>
      <c r="O1155" s="132">
        <f t="shared" si="365"/>
        <v>0</v>
      </c>
      <c r="P1155" s="177">
        <f t="shared" si="366"/>
        <v>0</v>
      </c>
      <c r="Q1155" s="177">
        <f t="shared" si="367"/>
        <v>0</v>
      </c>
      <c r="S1155" s="233" t="b">
        <f t="shared" si="360"/>
        <v>0</v>
      </c>
    </row>
    <row r="1156" spans="1:19">
      <c r="A1156" s="126" t="s">
        <v>3754</v>
      </c>
      <c r="B1156" s="126" t="str">
        <f t="shared" si="368"/>
        <v>D0450</v>
      </c>
      <c r="C1156" s="126">
        <v>6940</v>
      </c>
      <c r="D1156" s="126" t="s">
        <v>2782</v>
      </c>
      <c r="E1156" s="126">
        <v>437</v>
      </c>
      <c r="F1156" s="126">
        <v>0</v>
      </c>
      <c r="G1156" s="126">
        <v>95</v>
      </c>
      <c r="H1156" s="126">
        <v>0</v>
      </c>
      <c r="I1156" s="126">
        <v>21.74</v>
      </c>
      <c r="J1156" s="126">
        <v>0</v>
      </c>
      <c r="K1156" s="126">
        <v>0</v>
      </c>
      <c r="L1156" s="126">
        <f t="shared" ref="L1156:L1196" si="369">SUM(E1156:F1156)</f>
        <v>437</v>
      </c>
      <c r="M1156" s="126">
        <f t="shared" ref="M1156:M1196" si="370">SUM(G1156:H1156)</f>
        <v>95</v>
      </c>
      <c r="N1156" s="171">
        <f t="shared" ref="N1156:N1196" si="371">IF(ISERROR(M1156/L1156),0,M1156/L1156)</f>
        <v>0.21740000000000001</v>
      </c>
      <c r="O1156" s="132">
        <f t="shared" ref="O1156:O1196" si="372">IF(AND((N1156-35%)&gt;0,N1156&lt;50%),M1156*(N1156-35%)*0.7,0)</f>
        <v>0</v>
      </c>
      <c r="P1156" s="177">
        <f t="shared" ref="P1156:P1196" si="373">IF(N1156&gt;=50%,M1156*10.5%,0)</f>
        <v>0</v>
      </c>
      <c r="Q1156" s="177">
        <f t="shared" ref="Q1156:Q1196" si="374">MAX(O1156,P1156)</f>
        <v>0</v>
      </c>
      <c r="S1156" s="233" t="b">
        <f t="shared" si="360"/>
        <v>0</v>
      </c>
    </row>
    <row r="1157" spans="1:19">
      <c r="A1157" s="126" t="s">
        <v>3754</v>
      </c>
      <c r="B1157" s="126" t="str">
        <f t="shared" si="368"/>
        <v>D0450</v>
      </c>
      <c r="C1157" s="126">
        <v>6944</v>
      </c>
      <c r="D1157" s="126" t="s">
        <v>2784</v>
      </c>
      <c r="E1157" s="126">
        <v>1043</v>
      </c>
      <c r="F1157" s="126">
        <v>0</v>
      </c>
      <c r="G1157" s="126">
        <v>246</v>
      </c>
      <c r="H1157" s="126">
        <v>0</v>
      </c>
      <c r="I1157" s="126">
        <v>23.59</v>
      </c>
      <c r="J1157" s="126">
        <v>0</v>
      </c>
      <c r="K1157" s="126">
        <v>0</v>
      </c>
      <c r="L1157" s="126">
        <f t="shared" si="369"/>
        <v>1043</v>
      </c>
      <c r="M1157" s="126">
        <f t="shared" si="370"/>
        <v>246</v>
      </c>
      <c r="N1157" s="171">
        <f t="shared" si="371"/>
        <v>0.2359</v>
      </c>
      <c r="O1157" s="132">
        <f t="shared" si="372"/>
        <v>0</v>
      </c>
      <c r="P1157" s="177">
        <f t="shared" si="373"/>
        <v>0</v>
      </c>
      <c r="Q1157" s="177">
        <f t="shared" si="374"/>
        <v>0</v>
      </c>
      <c r="S1157" s="233" t="b">
        <f t="shared" ref="S1157:S1220" si="375">COUNTIF(C:C,C1157)&gt;1</f>
        <v>0</v>
      </c>
    </row>
    <row r="1158" spans="1:19">
      <c r="A1158" s="126" t="s">
        <v>3754</v>
      </c>
      <c r="B1158" s="126" t="str">
        <f t="shared" si="368"/>
        <v>D0450</v>
      </c>
      <c r="C1158" s="126">
        <v>6945</v>
      </c>
      <c r="D1158" s="126" t="s">
        <v>2786</v>
      </c>
      <c r="E1158" s="126">
        <v>593</v>
      </c>
      <c r="F1158" s="126">
        <v>0</v>
      </c>
      <c r="G1158" s="126">
        <v>171</v>
      </c>
      <c r="H1158" s="126">
        <v>0</v>
      </c>
      <c r="I1158" s="126">
        <v>28.84</v>
      </c>
      <c r="J1158" s="126">
        <v>0</v>
      </c>
      <c r="K1158" s="126">
        <v>0</v>
      </c>
      <c r="L1158" s="126">
        <f t="shared" si="369"/>
        <v>593</v>
      </c>
      <c r="M1158" s="126">
        <f t="shared" si="370"/>
        <v>171</v>
      </c>
      <c r="N1158" s="171">
        <f t="shared" si="371"/>
        <v>0.28839999999999999</v>
      </c>
      <c r="O1158" s="132">
        <f t="shared" si="372"/>
        <v>0</v>
      </c>
      <c r="P1158" s="177">
        <f t="shared" si="373"/>
        <v>0</v>
      </c>
      <c r="Q1158" s="177">
        <f t="shared" si="374"/>
        <v>0</v>
      </c>
      <c r="S1158" s="233" t="b">
        <f t="shared" si="375"/>
        <v>0</v>
      </c>
    </row>
    <row r="1159" spans="1:19">
      <c r="A1159" s="126" t="s">
        <v>3754</v>
      </c>
      <c r="B1159" s="126" t="str">
        <f t="shared" si="368"/>
        <v>D0450</v>
      </c>
      <c r="C1159" s="126">
        <v>6946</v>
      </c>
      <c r="D1159" s="126" t="s">
        <v>2788</v>
      </c>
      <c r="E1159" s="126">
        <v>430</v>
      </c>
      <c r="F1159" s="126">
        <v>0</v>
      </c>
      <c r="G1159" s="126">
        <v>173</v>
      </c>
      <c r="H1159" s="126">
        <v>0</v>
      </c>
      <c r="I1159" s="126">
        <v>40.229999999999997</v>
      </c>
      <c r="J1159" s="126">
        <v>0</v>
      </c>
      <c r="K1159" s="126">
        <v>6.3</v>
      </c>
      <c r="L1159" s="126">
        <f t="shared" si="369"/>
        <v>430</v>
      </c>
      <c r="M1159" s="126">
        <f t="shared" si="370"/>
        <v>173</v>
      </c>
      <c r="N1159" s="171">
        <f t="shared" si="371"/>
        <v>0.40229999999999999</v>
      </c>
      <c r="O1159" s="132">
        <f t="shared" si="372"/>
        <v>6.3</v>
      </c>
      <c r="P1159" s="177">
        <f t="shared" si="373"/>
        <v>0</v>
      </c>
      <c r="Q1159" s="177">
        <f t="shared" si="374"/>
        <v>6.3</v>
      </c>
      <c r="S1159" s="233" t="b">
        <f t="shared" si="375"/>
        <v>0</v>
      </c>
    </row>
    <row r="1160" spans="1:19">
      <c r="A1160" s="126" t="s">
        <v>3754</v>
      </c>
      <c r="B1160" s="126" t="str">
        <f t="shared" si="368"/>
        <v>D0450</v>
      </c>
      <c r="C1160" s="126">
        <v>6948</v>
      </c>
      <c r="D1160" s="126" t="s">
        <v>2790</v>
      </c>
      <c r="E1160" s="126">
        <v>476</v>
      </c>
      <c r="F1160" s="126">
        <v>0</v>
      </c>
      <c r="G1160" s="126">
        <v>141</v>
      </c>
      <c r="H1160" s="126">
        <v>0</v>
      </c>
      <c r="I1160" s="126">
        <v>29.62</v>
      </c>
      <c r="J1160" s="126">
        <v>0</v>
      </c>
      <c r="K1160" s="126">
        <v>0</v>
      </c>
      <c r="L1160" s="126">
        <f t="shared" si="369"/>
        <v>476</v>
      </c>
      <c r="M1160" s="126">
        <f t="shared" si="370"/>
        <v>141</v>
      </c>
      <c r="N1160" s="171">
        <f t="shared" si="371"/>
        <v>0.29620000000000002</v>
      </c>
      <c r="O1160" s="132">
        <f t="shared" si="372"/>
        <v>0</v>
      </c>
      <c r="P1160" s="177">
        <f t="shared" si="373"/>
        <v>0</v>
      </c>
      <c r="Q1160" s="177">
        <f t="shared" si="374"/>
        <v>0</v>
      </c>
      <c r="S1160" s="233" t="b">
        <f t="shared" si="375"/>
        <v>0</v>
      </c>
    </row>
    <row r="1161" spans="1:19">
      <c r="A1161" s="126" t="s">
        <v>3866</v>
      </c>
      <c r="B1161" s="126" t="str">
        <f t="shared" si="368"/>
        <v>D0457</v>
      </c>
      <c r="C1161" s="126">
        <v>7115</v>
      </c>
      <c r="D1161" s="126" t="s">
        <v>2820</v>
      </c>
      <c r="E1161" s="126">
        <v>202</v>
      </c>
      <c r="F1161" s="126">
        <v>0</v>
      </c>
      <c r="G1161" s="126">
        <v>132</v>
      </c>
      <c r="H1161" s="126">
        <v>0</v>
      </c>
      <c r="I1161" s="126">
        <v>65.349999999999994</v>
      </c>
      <c r="J1161" s="126">
        <v>13.9</v>
      </c>
      <c r="K1161" s="126">
        <v>0</v>
      </c>
      <c r="L1161" s="126">
        <f t="shared" si="369"/>
        <v>202</v>
      </c>
      <c r="M1161" s="126">
        <f t="shared" si="370"/>
        <v>132</v>
      </c>
      <c r="N1161" s="171">
        <f t="shared" si="371"/>
        <v>0.65349999999999997</v>
      </c>
      <c r="O1161" s="132">
        <f t="shared" si="372"/>
        <v>0</v>
      </c>
      <c r="P1161" s="177">
        <f t="shared" si="373"/>
        <v>13.9</v>
      </c>
      <c r="Q1161" s="177">
        <f t="shared" si="374"/>
        <v>13.9</v>
      </c>
      <c r="S1161" s="233" t="b">
        <f t="shared" si="375"/>
        <v>0</v>
      </c>
    </row>
    <row r="1162" spans="1:19">
      <c r="A1162" s="126" t="s">
        <v>3866</v>
      </c>
      <c r="B1162" s="126" t="str">
        <f t="shared" si="368"/>
        <v>D0457</v>
      </c>
      <c r="C1162" s="126">
        <v>7118</v>
      </c>
      <c r="D1162" s="126" t="s">
        <v>2822</v>
      </c>
      <c r="E1162" s="126">
        <v>325</v>
      </c>
      <c r="F1162" s="126">
        <v>0</v>
      </c>
      <c r="G1162" s="126">
        <v>218</v>
      </c>
      <c r="H1162" s="126">
        <v>0</v>
      </c>
      <c r="I1162" s="126">
        <v>67.08</v>
      </c>
      <c r="J1162" s="126">
        <v>22.9</v>
      </c>
      <c r="K1162" s="126">
        <v>0</v>
      </c>
      <c r="L1162" s="126">
        <f t="shared" si="369"/>
        <v>325</v>
      </c>
      <c r="M1162" s="126">
        <f t="shared" si="370"/>
        <v>218</v>
      </c>
      <c r="N1162" s="171">
        <f t="shared" si="371"/>
        <v>0.67079999999999995</v>
      </c>
      <c r="O1162" s="132">
        <f t="shared" si="372"/>
        <v>0</v>
      </c>
      <c r="P1162" s="177">
        <f t="shared" si="373"/>
        <v>22.9</v>
      </c>
      <c r="Q1162" s="177">
        <f t="shared" si="374"/>
        <v>22.9</v>
      </c>
      <c r="S1162" s="233" t="b">
        <f t="shared" si="375"/>
        <v>0</v>
      </c>
    </row>
    <row r="1163" spans="1:19">
      <c r="A1163" s="126" t="s">
        <v>3866</v>
      </c>
      <c r="B1163" s="126" t="str">
        <f t="shared" si="368"/>
        <v>D0457</v>
      </c>
      <c r="C1163" s="126">
        <v>7119</v>
      </c>
      <c r="D1163" s="126" t="s">
        <v>2824</v>
      </c>
      <c r="E1163" s="126">
        <v>354</v>
      </c>
      <c r="F1163" s="126">
        <v>0</v>
      </c>
      <c r="G1163" s="126">
        <v>177</v>
      </c>
      <c r="H1163" s="126">
        <v>0</v>
      </c>
      <c r="I1163" s="126">
        <v>50</v>
      </c>
      <c r="J1163" s="126">
        <v>18.600000000000001</v>
      </c>
      <c r="K1163" s="126">
        <v>0</v>
      </c>
      <c r="L1163" s="126">
        <f t="shared" si="369"/>
        <v>354</v>
      </c>
      <c r="M1163" s="126">
        <f t="shared" si="370"/>
        <v>177</v>
      </c>
      <c r="N1163" s="171">
        <f t="shared" si="371"/>
        <v>0.5</v>
      </c>
      <c r="O1163" s="132">
        <f t="shared" si="372"/>
        <v>0</v>
      </c>
      <c r="P1163" s="177">
        <f t="shared" si="373"/>
        <v>18.600000000000001</v>
      </c>
      <c r="Q1163" s="177">
        <f t="shared" si="374"/>
        <v>18.600000000000001</v>
      </c>
      <c r="S1163" s="233" t="b">
        <f t="shared" si="375"/>
        <v>0</v>
      </c>
    </row>
    <row r="1164" spans="1:19">
      <c r="A1164" s="126" t="s">
        <v>3866</v>
      </c>
      <c r="B1164" s="126" t="str">
        <f t="shared" si="368"/>
        <v>D0457</v>
      </c>
      <c r="C1164" s="126">
        <v>7120</v>
      </c>
      <c r="D1164" s="126" t="s">
        <v>2826</v>
      </c>
      <c r="E1164" s="126">
        <v>337</v>
      </c>
      <c r="F1164" s="126">
        <v>0</v>
      </c>
      <c r="G1164" s="126">
        <v>240</v>
      </c>
      <c r="H1164" s="126">
        <v>0</v>
      </c>
      <c r="I1164" s="126">
        <v>71.22</v>
      </c>
      <c r="J1164" s="126">
        <v>25.2</v>
      </c>
      <c r="K1164" s="126">
        <v>0</v>
      </c>
      <c r="L1164" s="126">
        <f t="shared" si="369"/>
        <v>337</v>
      </c>
      <c r="M1164" s="126">
        <f t="shared" si="370"/>
        <v>240</v>
      </c>
      <c r="N1164" s="171">
        <f t="shared" si="371"/>
        <v>0.71220000000000006</v>
      </c>
      <c r="O1164" s="132">
        <f t="shared" si="372"/>
        <v>0</v>
      </c>
      <c r="P1164" s="177">
        <f t="shared" si="373"/>
        <v>25.2</v>
      </c>
      <c r="Q1164" s="177">
        <f t="shared" si="374"/>
        <v>25.2</v>
      </c>
      <c r="S1164" s="233" t="b">
        <f t="shared" si="375"/>
        <v>0</v>
      </c>
    </row>
    <row r="1165" spans="1:19">
      <c r="A1165" s="126" t="s">
        <v>3866</v>
      </c>
      <c r="B1165" s="126" t="str">
        <f t="shared" si="368"/>
        <v>D0457</v>
      </c>
      <c r="C1165" s="126">
        <v>7124</v>
      </c>
      <c r="D1165" s="126" t="s">
        <v>2828</v>
      </c>
      <c r="E1165" s="126">
        <v>277</v>
      </c>
      <c r="F1165" s="126">
        <v>0</v>
      </c>
      <c r="G1165" s="126">
        <v>210</v>
      </c>
      <c r="H1165" s="126">
        <v>0</v>
      </c>
      <c r="I1165" s="126">
        <v>75.81</v>
      </c>
      <c r="J1165" s="126">
        <v>22</v>
      </c>
      <c r="K1165" s="126">
        <v>0</v>
      </c>
      <c r="L1165" s="126">
        <f t="shared" si="369"/>
        <v>277</v>
      </c>
      <c r="M1165" s="126">
        <f t="shared" si="370"/>
        <v>210</v>
      </c>
      <c r="N1165" s="171">
        <f t="shared" si="371"/>
        <v>0.7581</v>
      </c>
      <c r="O1165" s="132">
        <f t="shared" si="372"/>
        <v>0</v>
      </c>
      <c r="P1165" s="177">
        <f t="shared" si="373"/>
        <v>22.1</v>
      </c>
      <c r="Q1165" s="177">
        <f t="shared" si="374"/>
        <v>22.1</v>
      </c>
      <c r="S1165" s="233" t="b">
        <f t="shared" si="375"/>
        <v>0</v>
      </c>
    </row>
    <row r="1166" spans="1:19">
      <c r="A1166" s="126" t="s">
        <v>3866</v>
      </c>
      <c r="B1166" s="126" t="str">
        <f t="shared" si="368"/>
        <v>D0457</v>
      </c>
      <c r="C1166" s="126">
        <v>7126</v>
      </c>
      <c r="D1166" s="126" t="s">
        <v>2830</v>
      </c>
      <c r="E1166" s="126">
        <v>172</v>
      </c>
      <c r="F1166" s="126">
        <v>0</v>
      </c>
      <c r="G1166" s="126">
        <v>106</v>
      </c>
      <c r="H1166" s="126">
        <v>0</v>
      </c>
      <c r="I1166" s="126">
        <v>61.63</v>
      </c>
      <c r="J1166" s="126">
        <v>11.1</v>
      </c>
      <c r="K1166" s="126">
        <v>0</v>
      </c>
      <c r="L1166" s="126">
        <f t="shared" si="369"/>
        <v>172</v>
      </c>
      <c r="M1166" s="126">
        <f t="shared" si="370"/>
        <v>106</v>
      </c>
      <c r="N1166" s="171">
        <f t="shared" si="371"/>
        <v>0.61629999999999996</v>
      </c>
      <c r="O1166" s="132">
        <f t="shared" si="372"/>
        <v>0</v>
      </c>
      <c r="P1166" s="177">
        <f t="shared" si="373"/>
        <v>11.1</v>
      </c>
      <c r="Q1166" s="177">
        <f t="shared" si="374"/>
        <v>11.1</v>
      </c>
      <c r="S1166" s="233" t="b">
        <f t="shared" si="375"/>
        <v>0</v>
      </c>
    </row>
    <row r="1167" spans="1:19">
      <c r="A1167" s="126" t="s">
        <v>3866</v>
      </c>
      <c r="B1167" s="126" t="str">
        <f t="shared" si="368"/>
        <v>D0457</v>
      </c>
      <c r="C1167" s="126">
        <v>7128</v>
      </c>
      <c r="D1167" s="126" t="s">
        <v>2832</v>
      </c>
      <c r="E1167" s="126">
        <v>752</v>
      </c>
      <c r="F1167" s="126">
        <v>0</v>
      </c>
      <c r="G1167" s="126">
        <v>414</v>
      </c>
      <c r="H1167" s="126">
        <v>0</v>
      </c>
      <c r="I1167" s="126">
        <v>55.05</v>
      </c>
      <c r="J1167" s="126">
        <v>43.5</v>
      </c>
      <c r="K1167" s="126">
        <v>0</v>
      </c>
      <c r="L1167" s="126">
        <f t="shared" si="369"/>
        <v>752</v>
      </c>
      <c r="M1167" s="126">
        <f t="shared" si="370"/>
        <v>414</v>
      </c>
      <c r="N1167" s="171">
        <f t="shared" si="371"/>
        <v>0.55049999999999999</v>
      </c>
      <c r="O1167" s="132">
        <f t="shared" si="372"/>
        <v>0</v>
      </c>
      <c r="P1167" s="177">
        <f t="shared" si="373"/>
        <v>43.5</v>
      </c>
      <c r="Q1167" s="177">
        <f t="shared" si="374"/>
        <v>43.5</v>
      </c>
      <c r="S1167" s="233" t="b">
        <f t="shared" si="375"/>
        <v>0</v>
      </c>
    </row>
    <row r="1168" spans="1:19">
      <c r="A1168" s="126" t="s">
        <v>3866</v>
      </c>
      <c r="B1168" s="126" t="str">
        <f t="shared" si="368"/>
        <v>D0457</v>
      </c>
      <c r="C1168" s="126">
        <v>7130</v>
      </c>
      <c r="D1168" s="126" t="s">
        <v>2834</v>
      </c>
      <c r="E1168" s="126">
        <v>2041</v>
      </c>
      <c r="F1168" s="126">
        <v>0</v>
      </c>
      <c r="G1168" s="126">
        <v>933</v>
      </c>
      <c r="H1168" s="126">
        <v>0</v>
      </c>
      <c r="I1168" s="126">
        <v>45.71</v>
      </c>
      <c r="J1168" s="126">
        <v>0</v>
      </c>
      <c r="K1168" s="126">
        <v>69.900000000000006</v>
      </c>
      <c r="L1168" s="126">
        <f t="shared" si="369"/>
        <v>2041</v>
      </c>
      <c r="M1168" s="126">
        <f t="shared" si="370"/>
        <v>933</v>
      </c>
      <c r="N1168" s="171">
        <f t="shared" si="371"/>
        <v>0.45710000000000001</v>
      </c>
      <c r="O1168" s="132">
        <f t="shared" si="372"/>
        <v>69.900000000000006</v>
      </c>
      <c r="P1168" s="177">
        <f t="shared" si="373"/>
        <v>0</v>
      </c>
      <c r="Q1168" s="177">
        <f t="shared" si="374"/>
        <v>69.900000000000006</v>
      </c>
      <c r="S1168" s="233" t="b">
        <f t="shared" si="375"/>
        <v>0</v>
      </c>
    </row>
    <row r="1169" spans="1:19">
      <c r="A1169" s="126" t="s">
        <v>3866</v>
      </c>
      <c r="B1169" s="126" t="str">
        <f t="shared" si="368"/>
        <v>D0457</v>
      </c>
      <c r="C1169" s="126">
        <v>7131</v>
      </c>
      <c r="D1169" s="126" t="s">
        <v>2836</v>
      </c>
      <c r="E1169" s="126">
        <v>231</v>
      </c>
      <c r="F1169" s="126">
        <v>0</v>
      </c>
      <c r="G1169" s="126">
        <v>141</v>
      </c>
      <c r="H1169" s="126">
        <v>0</v>
      </c>
      <c r="I1169" s="126">
        <v>61.04</v>
      </c>
      <c r="J1169" s="126">
        <v>14.8</v>
      </c>
      <c r="K1169" s="126">
        <v>0</v>
      </c>
      <c r="L1169" s="126">
        <f t="shared" si="369"/>
        <v>231</v>
      </c>
      <c r="M1169" s="126">
        <f t="shared" si="370"/>
        <v>141</v>
      </c>
      <c r="N1169" s="171">
        <f t="shared" si="371"/>
        <v>0.61040000000000005</v>
      </c>
      <c r="O1169" s="132">
        <f t="shared" si="372"/>
        <v>0</v>
      </c>
      <c r="P1169" s="177">
        <f t="shared" si="373"/>
        <v>14.8</v>
      </c>
      <c r="Q1169" s="177">
        <f t="shared" si="374"/>
        <v>14.8</v>
      </c>
      <c r="S1169" s="233" t="b">
        <f t="shared" si="375"/>
        <v>0</v>
      </c>
    </row>
    <row r="1170" spans="1:19">
      <c r="A1170" s="126" t="s">
        <v>3866</v>
      </c>
      <c r="B1170" s="126" t="str">
        <f t="shared" si="368"/>
        <v>D0457</v>
      </c>
      <c r="C1170" s="126">
        <v>7132</v>
      </c>
      <c r="D1170" s="126" t="s">
        <v>2838</v>
      </c>
      <c r="E1170" s="126">
        <v>150</v>
      </c>
      <c r="F1170" s="126">
        <v>0</v>
      </c>
      <c r="G1170" s="126">
        <v>42</v>
      </c>
      <c r="H1170" s="126">
        <v>0</v>
      </c>
      <c r="I1170" s="126">
        <v>28</v>
      </c>
      <c r="J1170" s="126">
        <v>0</v>
      </c>
      <c r="K1170" s="126">
        <v>0</v>
      </c>
      <c r="L1170" s="126">
        <f t="shared" si="369"/>
        <v>150</v>
      </c>
      <c r="M1170" s="126">
        <f t="shared" si="370"/>
        <v>42</v>
      </c>
      <c r="N1170" s="171">
        <f t="shared" si="371"/>
        <v>0.28000000000000003</v>
      </c>
      <c r="O1170" s="132">
        <f t="shared" si="372"/>
        <v>0</v>
      </c>
      <c r="P1170" s="177">
        <f t="shared" si="373"/>
        <v>0</v>
      </c>
      <c r="Q1170" s="177">
        <f t="shared" si="374"/>
        <v>0</v>
      </c>
      <c r="S1170" s="233" t="b">
        <f t="shared" si="375"/>
        <v>0</v>
      </c>
    </row>
    <row r="1171" spans="1:19">
      <c r="A1171" s="126" t="s">
        <v>3866</v>
      </c>
      <c r="B1171" s="126" t="str">
        <f t="shared" si="368"/>
        <v>D0457</v>
      </c>
      <c r="C1171" s="126">
        <v>7133</v>
      </c>
      <c r="D1171" s="126" t="s">
        <v>2840</v>
      </c>
      <c r="E1171" s="126">
        <v>602</v>
      </c>
      <c r="F1171" s="126">
        <v>0</v>
      </c>
      <c r="G1171" s="126">
        <v>292</v>
      </c>
      <c r="H1171" s="126">
        <v>0</v>
      </c>
      <c r="I1171" s="126">
        <v>48.5</v>
      </c>
      <c r="J1171" s="126">
        <v>0</v>
      </c>
      <c r="K1171" s="126">
        <v>27.6</v>
      </c>
      <c r="L1171" s="126">
        <f t="shared" si="369"/>
        <v>602</v>
      </c>
      <c r="M1171" s="126">
        <f t="shared" si="370"/>
        <v>292</v>
      </c>
      <c r="N1171" s="171">
        <f t="shared" si="371"/>
        <v>0.48499999999999999</v>
      </c>
      <c r="O1171" s="132">
        <f t="shared" si="372"/>
        <v>27.6</v>
      </c>
      <c r="P1171" s="177">
        <f t="shared" si="373"/>
        <v>0</v>
      </c>
      <c r="Q1171" s="177">
        <f t="shared" si="374"/>
        <v>27.6</v>
      </c>
      <c r="S1171" s="233" t="b">
        <f t="shared" si="375"/>
        <v>0</v>
      </c>
    </row>
    <row r="1172" spans="1:19">
      <c r="A1172" s="126" t="s">
        <v>3866</v>
      </c>
      <c r="B1172" s="126" t="str">
        <f t="shared" si="368"/>
        <v>D0457</v>
      </c>
      <c r="C1172" s="126">
        <v>7138</v>
      </c>
      <c r="D1172" s="126" t="s">
        <v>2842</v>
      </c>
      <c r="E1172" s="126">
        <v>357</v>
      </c>
      <c r="F1172" s="126">
        <v>0</v>
      </c>
      <c r="G1172" s="126">
        <v>179</v>
      </c>
      <c r="H1172" s="126">
        <v>0</v>
      </c>
      <c r="I1172" s="126">
        <v>50.14</v>
      </c>
      <c r="J1172" s="126">
        <v>18.8</v>
      </c>
      <c r="K1172" s="126">
        <v>0</v>
      </c>
      <c r="L1172" s="126">
        <f t="shared" si="369"/>
        <v>357</v>
      </c>
      <c r="M1172" s="126">
        <f t="shared" si="370"/>
        <v>179</v>
      </c>
      <c r="N1172" s="171">
        <f t="shared" si="371"/>
        <v>0.50139999999999996</v>
      </c>
      <c r="O1172" s="132">
        <f t="shared" si="372"/>
        <v>0</v>
      </c>
      <c r="P1172" s="177">
        <f t="shared" si="373"/>
        <v>18.8</v>
      </c>
      <c r="Q1172" s="177">
        <f t="shared" si="374"/>
        <v>18.8</v>
      </c>
      <c r="S1172" s="233" t="b">
        <f t="shared" si="375"/>
        <v>0</v>
      </c>
    </row>
    <row r="1173" spans="1:19">
      <c r="A1173" s="126" t="s">
        <v>3866</v>
      </c>
      <c r="B1173" s="126" t="str">
        <f t="shared" si="368"/>
        <v>D0457</v>
      </c>
      <c r="C1173" s="126">
        <v>7140</v>
      </c>
      <c r="D1173" s="126" t="s">
        <v>2844</v>
      </c>
      <c r="E1173" s="126">
        <v>145</v>
      </c>
      <c r="F1173" s="126">
        <v>0</v>
      </c>
      <c r="G1173" s="126">
        <v>31</v>
      </c>
      <c r="H1173" s="126">
        <v>0</v>
      </c>
      <c r="I1173" s="126">
        <v>21.38</v>
      </c>
      <c r="J1173" s="126">
        <v>0</v>
      </c>
      <c r="K1173" s="126">
        <v>0</v>
      </c>
      <c r="L1173" s="126">
        <f t="shared" si="369"/>
        <v>145</v>
      </c>
      <c r="M1173" s="126">
        <f t="shared" si="370"/>
        <v>31</v>
      </c>
      <c r="N1173" s="171">
        <f t="shared" si="371"/>
        <v>0.21379999999999999</v>
      </c>
      <c r="O1173" s="132">
        <f t="shared" si="372"/>
        <v>0</v>
      </c>
      <c r="P1173" s="177">
        <f t="shared" si="373"/>
        <v>0</v>
      </c>
      <c r="Q1173" s="177">
        <f t="shared" si="374"/>
        <v>0</v>
      </c>
      <c r="S1173" s="233" t="b">
        <f t="shared" si="375"/>
        <v>0</v>
      </c>
    </row>
    <row r="1174" spans="1:19">
      <c r="A1174" s="126" t="s">
        <v>3866</v>
      </c>
      <c r="B1174" s="126" t="str">
        <f t="shared" si="368"/>
        <v>D0457</v>
      </c>
      <c r="C1174" s="126">
        <v>7143</v>
      </c>
      <c r="D1174" s="126" t="s">
        <v>2846</v>
      </c>
      <c r="E1174" s="126">
        <v>431</v>
      </c>
      <c r="F1174" s="126">
        <v>0</v>
      </c>
      <c r="G1174" s="126">
        <v>284</v>
      </c>
      <c r="H1174" s="126">
        <v>0</v>
      </c>
      <c r="I1174" s="126">
        <v>65.89</v>
      </c>
      <c r="J1174" s="126">
        <v>29.8</v>
      </c>
      <c r="K1174" s="126">
        <v>0</v>
      </c>
      <c r="L1174" s="126">
        <f t="shared" si="369"/>
        <v>431</v>
      </c>
      <c r="M1174" s="126">
        <f t="shared" si="370"/>
        <v>284</v>
      </c>
      <c r="N1174" s="171">
        <f t="shared" si="371"/>
        <v>0.65890000000000004</v>
      </c>
      <c r="O1174" s="132">
        <f t="shared" si="372"/>
        <v>0</v>
      </c>
      <c r="P1174" s="177">
        <f t="shared" si="373"/>
        <v>29.8</v>
      </c>
      <c r="Q1174" s="177">
        <f t="shared" si="374"/>
        <v>29.8</v>
      </c>
      <c r="S1174" s="233" t="b">
        <f t="shared" si="375"/>
        <v>0</v>
      </c>
    </row>
    <row r="1175" spans="1:19">
      <c r="A1175" s="126" t="s">
        <v>3866</v>
      </c>
      <c r="B1175" s="126" t="str">
        <f t="shared" si="368"/>
        <v>D0457</v>
      </c>
      <c r="C1175" s="126">
        <v>7147</v>
      </c>
      <c r="D1175" s="126" t="s">
        <v>2848</v>
      </c>
      <c r="E1175" s="126">
        <v>504</v>
      </c>
      <c r="F1175" s="126">
        <v>0</v>
      </c>
      <c r="G1175" s="126">
        <v>304</v>
      </c>
      <c r="H1175" s="126">
        <v>0</v>
      </c>
      <c r="I1175" s="126">
        <v>60.32</v>
      </c>
      <c r="J1175" s="126">
        <v>31.9</v>
      </c>
      <c r="K1175" s="126">
        <v>0</v>
      </c>
      <c r="L1175" s="126">
        <f t="shared" si="369"/>
        <v>504</v>
      </c>
      <c r="M1175" s="126">
        <f t="shared" si="370"/>
        <v>304</v>
      </c>
      <c r="N1175" s="171">
        <f t="shared" si="371"/>
        <v>0.60319999999999996</v>
      </c>
      <c r="O1175" s="132">
        <f t="shared" si="372"/>
        <v>0</v>
      </c>
      <c r="P1175" s="177">
        <f t="shared" si="373"/>
        <v>31.9</v>
      </c>
      <c r="Q1175" s="177">
        <f t="shared" si="374"/>
        <v>31.9</v>
      </c>
      <c r="S1175" s="233" t="b">
        <f t="shared" si="375"/>
        <v>0</v>
      </c>
    </row>
    <row r="1176" spans="1:19">
      <c r="A1176" s="126" t="s">
        <v>3866</v>
      </c>
      <c r="B1176" s="126" t="str">
        <f t="shared" si="368"/>
        <v>D0457</v>
      </c>
      <c r="C1176" s="126">
        <v>7148</v>
      </c>
      <c r="D1176" s="126" t="s">
        <v>2850</v>
      </c>
      <c r="E1176" s="126">
        <v>441</v>
      </c>
      <c r="F1176" s="126">
        <v>0</v>
      </c>
      <c r="G1176" s="126">
        <v>245</v>
      </c>
      <c r="H1176" s="126">
        <v>0</v>
      </c>
      <c r="I1176" s="126">
        <v>55.56</v>
      </c>
      <c r="J1176" s="126">
        <v>25.7</v>
      </c>
      <c r="K1176" s="126">
        <v>0</v>
      </c>
      <c r="L1176" s="126">
        <f t="shared" si="369"/>
        <v>441</v>
      </c>
      <c r="M1176" s="126">
        <f t="shared" si="370"/>
        <v>245</v>
      </c>
      <c r="N1176" s="171">
        <f t="shared" si="371"/>
        <v>0.55559999999999998</v>
      </c>
      <c r="O1176" s="132">
        <f t="shared" si="372"/>
        <v>0</v>
      </c>
      <c r="P1176" s="177">
        <f t="shared" si="373"/>
        <v>25.7</v>
      </c>
      <c r="Q1176" s="177">
        <f t="shared" si="374"/>
        <v>25.7</v>
      </c>
      <c r="S1176" s="233" t="b">
        <f t="shared" si="375"/>
        <v>0</v>
      </c>
    </row>
    <row r="1177" spans="1:19">
      <c r="A1177" s="126" t="s">
        <v>3866</v>
      </c>
      <c r="B1177" s="126" t="str">
        <f t="shared" si="368"/>
        <v>D0457</v>
      </c>
      <c r="C1177" s="126">
        <v>7177</v>
      </c>
      <c r="D1177" s="126" t="s">
        <v>2852</v>
      </c>
      <c r="E1177" s="126">
        <v>71</v>
      </c>
      <c r="F1177" s="126">
        <v>0</v>
      </c>
      <c r="G1177" s="126">
        <v>51</v>
      </c>
      <c r="H1177" s="126">
        <v>0</v>
      </c>
      <c r="I1177" s="126">
        <v>71.83</v>
      </c>
      <c r="J1177" s="126">
        <v>5.4</v>
      </c>
      <c r="K1177" s="126">
        <v>0</v>
      </c>
      <c r="L1177" s="126">
        <f t="shared" si="369"/>
        <v>71</v>
      </c>
      <c r="M1177" s="126">
        <f t="shared" si="370"/>
        <v>51</v>
      </c>
      <c r="N1177" s="171">
        <f t="shared" si="371"/>
        <v>0.71830000000000005</v>
      </c>
      <c r="O1177" s="132">
        <f t="shared" si="372"/>
        <v>0</v>
      </c>
      <c r="P1177" s="177">
        <f t="shared" si="373"/>
        <v>5.4</v>
      </c>
      <c r="Q1177" s="177">
        <f t="shared" si="374"/>
        <v>5.4</v>
      </c>
      <c r="S1177" s="233" t="b">
        <f t="shared" si="375"/>
        <v>0</v>
      </c>
    </row>
    <row r="1178" spans="1:19">
      <c r="A1178" s="126" t="s">
        <v>3867</v>
      </c>
      <c r="B1178" s="126" t="str">
        <f t="shared" si="368"/>
        <v>D0458</v>
      </c>
      <c r="C1178" s="126">
        <v>7160</v>
      </c>
      <c r="D1178" s="126" t="s">
        <v>2854</v>
      </c>
      <c r="E1178" s="126">
        <v>656</v>
      </c>
      <c r="F1178" s="126">
        <v>0</v>
      </c>
      <c r="G1178" s="126">
        <v>73</v>
      </c>
      <c r="H1178" s="126">
        <v>0</v>
      </c>
      <c r="I1178" s="126">
        <v>11.13</v>
      </c>
      <c r="J1178" s="126">
        <v>0</v>
      </c>
      <c r="K1178" s="126">
        <v>0</v>
      </c>
      <c r="L1178" s="126">
        <f t="shared" si="369"/>
        <v>656</v>
      </c>
      <c r="M1178" s="126">
        <f t="shared" si="370"/>
        <v>73</v>
      </c>
      <c r="N1178" s="171">
        <f t="shared" si="371"/>
        <v>0.1113</v>
      </c>
      <c r="O1178" s="132">
        <f t="shared" si="372"/>
        <v>0</v>
      </c>
      <c r="P1178" s="177">
        <f t="shared" si="373"/>
        <v>0</v>
      </c>
      <c r="Q1178" s="177">
        <f t="shared" si="374"/>
        <v>0</v>
      </c>
      <c r="S1178" s="233" t="b">
        <f t="shared" si="375"/>
        <v>0</v>
      </c>
    </row>
    <row r="1179" spans="1:19">
      <c r="A1179" s="126" t="s">
        <v>3867</v>
      </c>
      <c r="B1179" s="126" t="str">
        <f t="shared" si="368"/>
        <v>D0458</v>
      </c>
      <c r="C1179" s="126">
        <v>7164</v>
      </c>
      <c r="D1179" s="126" t="s">
        <v>2856</v>
      </c>
      <c r="E1179" s="126">
        <v>767</v>
      </c>
      <c r="F1179" s="126">
        <v>0</v>
      </c>
      <c r="G1179" s="126">
        <v>82</v>
      </c>
      <c r="H1179" s="126">
        <v>0</v>
      </c>
      <c r="I1179" s="126">
        <v>10.69</v>
      </c>
      <c r="J1179" s="126">
        <v>0</v>
      </c>
      <c r="K1179" s="126">
        <v>0</v>
      </c>
      <c r="L1179" s="126">
        <f t="shared" si="369"/>
        <v>767</v>
      </c>
      <c r="M1179" s="126">
        <f t="shared" si="370"/>
        <v>82</v>
      </c>
      <c r="N1179" s="171">
        <f t="shared" si="371"/>
        <v>0.1069</v>
      </c>
      <c r="O1179" s="132">
        <f t="shared" si="372"/>
        <v>0</v>
      </c>
      <c r="P1179" s="177">
        <f t="shared" si="373"/>
        <v>0</v>
      </c>
      <c r="Q1179" s="177">
        <f t="shared" si="374"/>
        <v>0</v>
      </c>
      <c r="S1179" s="233" t="b">
        <f t="shared" si="375"/>
        <v>0</v>
      </c>
    </row>
    <row r="1180" spans="1:19">
      <c r="A1180" s="126" t="s">
        <v>3867</v>
      </c>
      <c r="B1180" s="126" t="str">
        <f t="shared" si="368"/>
        <v>D0458</v>
      </c>
      <c r="C1180" s="126">
        <v>7170</v>
      </c>
      <c r="D1180" s="126" t="s">
        <v>2858</v>
      </c>
      <c r="E1180" s="126">
        <v>115</v>
      </c>
      <c r="F1180" s="126">
        <v>0</v>
      </c>
      <c r="G1180" s="126">
        <v>16</v>
      </c>
      <c r="H1180" s="126">
        <v>0</v>
      </c>
      <c r="I1180" s="126">
        <v>13.91</v>
      </c>
      <c r="J1180" s="126">
        <v>0</v>
      </c>
      <c r="K1180" s="126">
        <v>0</v>
      </c>
      <c r="L1180" s="126">
        <f t="shared" si="369"/>
        <v>115</v>
      </c>
      <c r="M1180" s="126">
        <f t="shared" si="370"/>
        <v>16</v>
      </c>
      <c r="N1180" s="171">
        <f t="shared" si="371"/>
        <v>0.1391</v>
      </c>
      <c r="O1180" s="132">
        <f t="shared" si="372"/>
        <v>0</v>
      </c>
      <c r="P1180" s="177">
        <f t="shared" si="373"/>
        <v>0</v>
      </c>
      <c r="Q1180" s="177">
        <f t="shared" si="374"/>
        <v>0</v>
      </c>
      <c r="S1180" s="233" t="b">
        <f t="shared" si="375"/>
        <v>0</v>
      </c>
    </row>
    <row r="1181" spans="1:19">
      <c r="A1181" s="126" t="s">
        <v>3867</v>
      </c>
      <c r="B1181" s="126" t="str">
        <f t="shared" si="368"/>
        <v>D0458</v>
      </c>
      <c r="C1181" s="126">
        <v>7172</v>
      </c>
      <c r="D1181" s="126" t="s">
        <v>2860</v>
      </c>
      <c r="E1181" s="126">
        <v>624</v>
      </c>
      <c r="F1181" s="126">
        <v>0</v>
      </c>
      <c r="G1181" s="126">
        <v>76</v>
      </c>
      <c r="H1181" s="126">
        <v>0</v>
      </c>
      <c r="I1181" s="126">
        <v>12.18</v>
      </c>
      <c r="J1181" s="126">
        <v>0</v>
      </c>
      <c r="K1181" s="126">
        <v>0</v>
      </c>
      <c r="L1181" s="126">
        <f t="shared" si="369"/>
        <v>624</v>
      </c>
      <c r="M1181" s="126">
        <f t="shared" si="370"/>
        <v>76</v>
      </c>
      <c r="N1181" s="171">
        <f t="shared" si="371"/>
        <v>0.12180000000000001</v>
      </c>
      <c r="O1181" s="132">
        <f t="shared" si="372"/>
        <v>0</v>
      </c>
      <c r="P1181" s="177">
        <f t="shared" si="373"/>
        <v>0</v>
      </c>
      <c r="Q1181" s="177">
        <f t="shared" si="374"/>
        <v>0</v>
      </c>
      <c r="S1181" s="233" t="b">
        <f t="shared" si="375"/>
        <v>0</v>
      </c>
    </row>
    <row r="1182" spans="1:19">
      <c r="A1182" s="126" t="s">
        <v>3867</v>
      </c>
      <c r="B1182" s="126" t="str">
        <f t="shared" si="368"/>
        <v>D0458</v>
      </c>
      <c r="C1182" s="126">
        <v>7175</v>
      </c>
      <c r="D1182" s="126" t="s">
        <v>2862</v>
      </c>
      <c r="E1182" s="126">
        <v>359</v>
      </c>
      <c r="F1182" s="126">
        <v>0</v>
      </c>
      <c r="G1182" s="126">
        <v>22</v>
      </c>
      <c r="H1182" s="126">
        <v>0</v>
      </c>
      <c r="I1182" s="126">
        <v>6.13</v>
      </c>
      <c r="J1182" s="126">
        <v>0</v>
      </c>
      <c r="K1182" s="126">
        <v>0</v>
      </c>
      <c r="L1182" s="126">
        <f t="shared" si="369"/>
        <v>359</v>
      </c>
      <c r="M1182" s="126">
        <f t="shared" si="370"/>
        <v>22</v>
      </c>
      <c r="N1182" s="171">
        <f t="shared" si="371"/>
        <v>6.13E-2</v>
      </c>
      <c r="O1182" s="132">
        <f t="shared" si="372"/>
        <v>0</v>
      </c>
      <c r="P1182" s="177">
        <f t="shared" si="373"/>
        <v>0</v>
      </c>
      <c r="Q1182" s="177">
        <f t="shared" si="374"/>
        <v>0</v>
      </c>
      <c r="S1182" s="233" t="b">
        <f t="shared" si="375"/>
        <v>0</v>
      </c>
    </row>
    <row r="1183" spans="1:19">
      <c r="A1183" s="126" t="s">
        <v>3870</v>
      </c>
      <c r="B1183" s="126" t="str">
        <f t="shared" si="368"/>
        <v>D0468</v>
      </c>
      <c r="C1183" s="126">
        <v>7402</v>
      </c>
      <c r="D1183" s="126" t="s">
        <v>2917</v>
      </c>
      <c r="E1183" s="126">
        <v>28</v>
      </c>
      <c r="F1183" s="126">
        <v>0</v>
      </c>
      <c r="G1183" s="126">
        <v>18</v>
      </c>
      <c r="H1183" s="126">
        <v>0</v>
      </c>
      <c r="I1183" s="126">
        <v>64.290000000000006</v>
      </c>
      <c r="J1183" s="126">
        <v>1.9</v>
      </c>
      <c r="K1183" s="126">
        <v>0</v>
      </c>
      <c r="L1183" s="126">
        <f t="shared" si="369"/>
        <v>28</v>
      </c>
      <c r="M1183" s="126">
        <f t="shared" si="370"/>
        <v>18</v>
      </c>
      <c r="N1183" s="171">
        <f t="shared" si="371"/>
        <v>0.64290000000000003</v>
      </c>
      <c r="O1183" s="132">
        <f t="shared" si="372"/>
        <v>0</v>
      </c>
      <c r="P1183" s="177">
        <f t="shared" si="373"/>
        <v>1.9</v>
      </c>
      <c r="Q1183" s="177">
        <f t="shared" si="374"/>
        <v>1.9</v>
      </c>
      <c r="S1183" s="233" t="b">
        <f t="shared" si="375"/>
        <v>0</v>
      </c>
    </row>
    <row r="1184" spans="1:19">
      <c r="A1184" s="126" t="s">
        <v>3870</v>
      </c>
      <c r="B1184" s="126" t="str">
        <f t="shared" si="368"/>
        <v>D0468</v>
      </c>
      <c r="C1184" s="126">
        <v>7404</v>
      </c>
      <c r="D1184" s="126" t="s">
        <v>2919</v>
      </c>
      <c r="E1184" s="126">
        <v>24</v>
      </c>
      <c r="F1184" s="126">
        <v>0</v>
      </c>
      <c r="G1184" s="126">
        <v>17</v>
      </c>
      <c r="H1184" s="126">
        <v>0</v>
      </c>
      <c r="I1184" s="126">
        <v>70.83</v>
      </c>
      <c r="J1184" s="126">
        <v>1.8</v>
      </c>
      <c r="K1184" s="126">
        <v>0</v>
      </c>
      <c r="L1184" s="126">
        <f t="shared" si="369"/>
        <v>24</v>
      </c>
      <c r="M1184" s="126">
        <f t="shared" si="370"/>
        <v>17</v>
      </c>
      <c r="N1184" s="171">
        <f t="shared" si="371"/>
        <v>0.70830000000000004</v>
      </c>
      <c r="O1184" s="132">
        <f t="shared" si="372"/>
        <v>0</v>
      </c>
      <c r="P1184" s="177">
        <f t="shared" si="373"/>
        <v>1.8</v>
      </c>
      <c r="Q1184" s="177">
        <f t="shared" si="374"/>
        <v>1.8</v>
      </c>
      <c r="S1184" s="233" t="b">
        <f t="shared" si="375"/>
        <v>0</v>
      </c>
    </row>
    <row r="1185" spans="1:19">
      <c r="A1185" s="126" t="s">
        <v>3771</v>
      </c>
      <c r="B1185" s="126" t="str">
        <f t="shared" si="368"/>
        <v>D0491</v>
      </c>
      <c r="C1185" s="126">
        <v>8022</v>
      </c>
      <c r="D1185" s="126" t="s">
        <v>3051</v>
      </c>
      <c r="E1185" s="126">
        <v>842</v>
      </c>
      <c r="F1185" s="126">
        <v>0</v>
      </c>
      <c r="G1185" s="126">
        <v>211</v>
      </c>
      <c r="H1185" s="126">
        <v>0</v>
      </c>
      <c r="I1185" s="126">
        <v>25.06</v>
      </c>
      <c r="J1185" s="126">
        <v>0</v>
      </c>
      <c r="K1185" s="126">
        <v>0</v>
      </c>
      <c r="L1185" s="126">
        <f t="shared" si="369"/>
        <v>842</v>
      </c>
      <c r="M1185" s="126">
        <f t="shared" si="370"/>
        <v>211</v>
      </c>
      <c r="N1185" s="171">
        <f t="shared" si="371"/>
        <v>0.25059999999999999</v>
      </c>
      <c r="O1185" s="132">
        <f t="shared" si="372"/>
        <v>0</v>
      </c>
      <c r="P1185" s="177">
        <f t="shared" si="373"/>
        <v>0</v>
      </c>
      <c r="Q1185" s="177">
        <f t="shared" si="374"/>
        <v>0</v>
      </c>
      <c r="S1185" s="233" t="b">
        <f t="shared" si="375"/>
        <v>0</v>
      </c>
    </row>
    <row r="1186" spans="1:19">
      <c r="A1186" s="126" t="s">
        <v>3771</v>
      </c>
      <c r="B1186" s="126" t="str">
        <f t="shared" si="368"/>
        <v>D0491</v>
      </c>
      <c r="C1186" s="126">
        <v>8023</v>
      </c>
      <c r="D1186" s="126" t="s">
        <v>3772</v>
      </c>
      <c r="E1186" s="126">
        <v>497</v>
      </c>
      <c r="F1186" s="126">
        <v>0</v>
      </c>
      <c r="G1186" s="126">
        <v>91</v>
      </c>
      <c r="H1186" s="126">
        <v>0</v>
      </c>
      <c r="I1186" s="126">
        <v>18.309999999999999</v>
      </c>
      <c r="J1186" s="126">
        <v>0</v>
      </c>
      <c r="K1186" s="126">
        <v>0</v>
      </c>
      <c r="L1186" s="126">
        <f t="shared" si="369"/>
        <v>497</v>
      </c>
      <c r="M1186" s="126">
        <f t="shared" si="370"/>
        <v>91</v>
      </c>
      <c r="N1186" s="171">
        <f t="shared" si="371"/>
        <v>0.18310000000000001</v>
      </c>
      <c r="O1186" s="132">
        <f t="shared" si="372"/>
        <v>0</v>
      </c>
      <c r="P1186" s="177">
        <f t="shared" si="373"/>
        <v>0</v>
      </c>
      <c r="Q1186" s="177">
        <f t="shared" si="374"/>
        <v>0</v>
      </c>
      <c r="S1186" s="233" t="b">
        <f t="shared" si="375"/>
        <v>0</v>
      </c>
    </row>
    <row r="1187" spans="1:19">
      <c r="A1187" s="126" t="s">
        <v>3771</v>
      </c>
      <c r="B1187" s="126" t="str">
        <f t="shared" si="368"/>
        <v>D0491</v>
      </c>
      <c r="C1187" s="126">
        <v>8029</v>
      </c>
      <c r="D1187" s="126" t="s">
        <v>3055</v>
      </c>
      <c r="E1187" s="126">
        <v>411</v>
      </c>
      <c r="F1187" s="126">
        <v>0</v>
      </c>
      <c r="G1187" s="126">
        <v>93</v>
      </c>
      <c r="H1187" s="126">
        <v>0</v>
      </c>
      <c r="I1187" s="126">
        <v>22.63</v>
      </c>
      <c r="J1187" s="126">
        <v>0</v>
      </c>
      <c r="K1187" s="126">
        <v>0</v>
      </c>
      <c r="L1187" s="126">
        <f t="shared" si="369"/>
        <v>411</v>
      </c>
      <c r="M1187" s="126">
        <f t="shared" si="370"/>
        <v>93</v>
      </c>
      <c r="N1187" s="171">
        <f t="shared" si="371"/>
        <v>0.2263</v>
      </c>
      <c r="O1187" s="132">
        <f t="shared" si="372"/>
        <v>0</v>
      </c>
      <c r="P1187" s="177">
        <f t="shared" si="373"/>
        <v>0</v>
      </c>
      <c r="Q1187" s="177">
        <f t="shared" si="374"/>
        <v>0</v>
      </c>
      <c r="S1187" s="233" t="b">
        <f t="shared" si="375"/>
        <v>0</v>
      </c>
    </row>
    <row r="1188" spans="1:19">
      <c r="A1188" s="126" t="s">
        <v>3761</v>
      </c>
      <c r="B1188" s="126" t="str">
        <f t="shared" si="368"/>
        <v>D0500</v>
      </c>
      <c r="C1188" s="126">
        <v>8279</v>
      </c>
      <c r="D1188" s="126" t="s">
        <v>3134</v>
      </c>
      <c r="E1188" s="126">
        <v>362</v>
      </c>
      <c r="F1188" s="126">
        <v>0</v>
      </c>
      <c r="G1188" s="126">
        <v>296</v>
      </c>
      <c r="H1188" s="126">
        <v>0</v>
      </c>
      <c r="I1188" s="126">
        <v>81.77</v>
      </c>
      <c r="J1188" s="126">
        <v>31.1</v>
      </c>
      <c r="K1188" s="126">
        <v>0</v>
      </c>
      <c r="L1188" s="126">
        <f t="shared" si="369"/>
        <v>362</v>
      </c>
      <c r="M1188" s="126">
        <f t="shared" si="370"/>
        <v>296</v>
      </c>
      <c r="N1188" s="171">
        <f t="shared" si="371"/>
        <v>0.81769999999999998</v>
      </c>
      <c r="O1188" s="132">
        <f t="shared" si="372"/>
        <v>0</v>
      </c>
      <c r="P1188" s="177">
        <f t="shared" si="373"/>
        <v>31.1</v>
      </c>
      <c r="Q1188" s="177">
        <f t="shared" si="374"/>
        <v>31.1</v>
      </c>
      <c r="S1188" s="233" t="b">
        <f t="shared" si="375"/>
        <v>0</v>
      </c>
    </row>
    <row r="1189" spans="1:19">
      <c r="A1189" s="126" t="s">
        <v>3761</v>
      </c>
      <c r="B1189" s="126" t="str">
        <f t="shared" si="368"/>
        <v>D0500</v>
      </c>
      <c r="C1189" s="126">
        <v>8281</v>
      </c>
      <c r="D1189" s="126" t="s">
        <v>3136</v>
      </c>
      <c r="E1189" s="126">
        <v>344</v>
      </c>
      <c r="F1189" s="126">
        <v>0</v>
      </c>
      <c r="G1189" s="126">
        <v>243</v>
      </c>
      <c r="H1189" s="126">
        <v>0</v>
      </c>
      <c r="I1189" s="126">
        <v>70.64</v>
      </c>
      <c r="J1189" s="126">
        <v>25.5</v>
      </c>
      <c r="K1189" s="126">
        <v>0</v>
      </c>
      <c r="L1189" s="126">
        <f t="shared" si="369"/>
        <v>344</v>
      </c>
      <c r="M1189" s="126">
        <f t="shared" si="370"/>
        <v>243</v>
      </c>
      <c r="N1189" s="171">
        <f t="shared" si="371"/>
        <v>0.70640000000000003</v>
      </c>
      <c r="O1189" s="132">
        <f t="shared" si="372"/>
        <v>0</v>
      </c>
      <c r="P1189" s="177">
        <f t="shared" si="373"/>
        <v>25.5</v>
      </c>
      <c r="Q1189" s="177">
        <f t="shared" si="374"/>
        <v>25.5</v>
      </c>
      <c r="S1189" s="233" t="b">
        <f t="shared" si="375"/>
        <v>0</v>
      </c>
    </row>
    <row r="1190" spans="1:19">
      <c r="A1190" s="126" t="s">
        <v>3761</v>
      </c>
      <c r="B1190" s="126" t="str">
        <f t="shared" ref="B1190:B1252" si="376">LEFT(A1190,5)</f>
        <v>D0500</v>
      </c>
      <c r="C1190" s="126">
        <v>8282</v>
      </c>
      <c r="D1190" s="126" t="s">
        <v>3138</v>
      </c>
      <c r="E1190" s="126">
        <v>276</v>
      </c>
      <c r="F1190" s="126">
        <v>0</v>
      </c>
      <c r="G1190" s="126">
        <v>225</v>
      </c>
      <c r="H1190" s="126">
        <v>0</v>
      </c>
      <c r="I1190" s="126">
        <v>81.52</v>
      </c>
      <c r="J1190" s="126">
        <v>23.6</v>
      </c>
      <c r="K1190" s="126">
        <v>0</v>
      </c>
      <c r="L1190" s="126">
        <f t="shared" si="369"/>
        <v>276</v>
      </c>
      <c r="M1190" s="126">
        <f t="shared" si="370"/>
        <v>225</v>
      </c>
      <c r="N1190" s="171">
        <f t="shared" si="371"/>
        <v>0.81520000000000004</v>
      </c>
      <c r="O1190" s="132">
        <f t="shared" si="372"/>
        <v>0</v>
      </c>
      <c r="P1190" s="177">
        <f t="shared" si="373"/>
        <v>23.6</v>
      </c>
      <c r="Q1190" s="177">
        <f t="shared" si="374"/>
        <v>23.6</v>
      </c>
      <c r="S1190" s="233" t="b">
        <f t="shared" si="375"/>
        <v>0</v>
      </c>
    </row>
    <row r="1191" spans="1:19">
      <c r="A1191" s="126" t="s">
        <v>3761</v>
      </c>
      <c r="B1191" s="126" t="str">
        <f t="shared" si="376"/>
        <v>D0500</v>
      </c>
      <c r="C1191" s="126">
        <v>8284</v>
      </c>
      <c r="D1191" s="126" t="s">
        <v>3140</v>
      </c>
      <c r="E1191" s="126">
        <v>710</v>
      </c>
      <c r="F1191" s="126">
        <v>0</v>
      </c>
      <c r="G1191" s="126">
        <v>527</v>
      </c>
      <c r="H1191" s="126">
        <v>0</v>
      </c>
      <c r="I1191" s="126">
        <v>74.23</v>
      </c>
      <c r="J1191" s="126">
        <v>55.3</v>
      </c>
      <c r="K1191" s="126">
        <v>0</v>
      </c>
      <c r="L1191" s="126">
        <f t="shared" si="369"/>
        <v>710</v>
      </c>
      <c r="M1191" s="126">
        <f t="shared" si="370"/>
        <v>527</v>
      </c>
      <c r="N1191" s="171">
        <f t="shared" si="371"/>
        <v>0.74229999999999996</v>
      </c>
      <c r="O1191" s="132">
        <f t="shared" si="372"/>
        <v>0</v>
      </c>
      <c r="P1191" s="177">
        <f t="shared" si="373"/>
        <v>55.3</v>
      </c>
      <c r="Q1191" s="177">
        <f t="shared" si="374"/>
        <v>55.3</v>
      </c>
      <c r="S1191" s="233" t="b">
        <f t="shared" si="375"/>
        <v>0</v>
      </c>
    </row>
    <row r="1192" spans="1:19">
      <c r="A1192" s="126" t="s">
        <v>3761</v>
      </c>
      <c r="B1192" s="126" t="str">
        <f t="shared" si="376"/>
        <v>D0500</v>
      </c>
      <c r="C1192" s="126">
        <v>8285</v>
      </c>
      <c r="D1192" s="126" t="s">
        <v>3142</v>
      </c>
      <c r="E1192" s="126">
        <v>271</v>
      </c>
      <c r="F1192" s="126">
        <v>0</v>
      </c>
      <c r="G1192" s="126">
        <v>203</v>
      </c>
      <c r="H1192" s="126">
        <v>0</v>
      </c>
      <c r="I1192" s="126">
        <v>74.91</v>
      </c>
      <c r="J1192" s="126">
        <v>21.3</v>
      </c>
      <c r="K1192" s="126">
        <v>0</v>
      </c>
      <c r="L1192" s="126">
        <f t="shared" si="369"/>
        <v>271</v>
      </c>
      <c r="M1192" s="126">
        <f t="shared" si="370"/>
        <v>203</v>
      </c>
      <c r="N1192" s="171">
        <f t="shared" si="371"/>
        <v>0.74909999999999999</v>
      </c>
      <c r="O1192" s="132">
        <f t="shared" si="372"/>
        <v>0</v>
      </c>
      <c r="P1192" s="177">
        <f t="shared" si="373"/>
        <v>21.3</v>
      </c>
      <c r="Q1192" s="177">
        <f t="shared" si="374"/>
        <v>21.3</v>
      </c>
      <c r="S1192" s="233" t="b">
        <f t="shared" si="375"/>
        <v>0</v>
      </c>
    </row>
    <row r="1193" spans="1:19">
      <c r="A1193" s="126" t="s">
        <v>3761</v>
      </c>
      <c r="B1193" s="126" t="str">
        <f t="shared" si="376"/>
        <v>D0500</v>
      </c>
      <c r="C1193" s="126">
        <v>8287</v>
      </c>
      <c r="D1193" s="126" t="s">
        <v>3144</v>
      </c>
      <c r="E1193" s="126">
        <v>328</v>
      </c>
      <c r="F1193" s="126">
        <v>0</v>
      </c>
      <c r="G1193" s="126">
        <v>272</v>
      </c>
      <c r="H1193" s="126">
        <v>0</v>
      </c>
      <c r="I1193" s="126">
        <v>82.93</v>
      </c>
      <c r="J1193" s="126">
        <v>28.6</v>
      </c>
      <c r="K1193" s="126">
        <v>0</v>
      </c>
      <c r="L1193" s="126">
        <f t="shared" si="369"/>
        <v>328</v>
      </c>
      <c r="M1193" s="126">
        <f t="shared" si="370"/>
        <v>272</v>
      </c>
      <c r="N1193" s="171">
        <f t="shared" si="371"/>
        <v>0.82930000000000004</v>
      </c>
      <c r="O1193" s="132">
        <f t="shared" si="372"/>
        <v>0</v>
      </c>
      <c r="P1193" s="177">
        <f t="shared" si="373"/>
        <v>28.6</v>
      </c>
      <c r="Q1193" s="177">
        <f t="shared" si="374"/>
        <v>28.6</v>
      </c>
      <c r="S1193" s="233" t="b">
        <f t="shared" si="375"/>
        <v>0</v>
      </c>
    </row>
    <row r="1194" spans="1:19">
      <c r="A1194" s="126" t="s">
        <v>3761</v>
      </c>
      <c r="B1194" s="126" t="str">
        <f t="shared" si="376"/>
        <v>D0500</v>
      </c>
      <c r="C1194" s="126">
        <v>8288</v>
      </c>
      <c r="D1194" s="126" t="s">
        <v>3146</v>
      </c>
      <c r="E1194" s="126">
        <v>197</v>
      </c>
      <c r="F1194" s="126">
        <v>0</v>
      </c>
      <c r="G1194" s="126">
        <v>156</v>
      </c>
      <c r="H1194" s="126">
        <v>0</v>
      </c>
      <c r="I1194" s="126">
        <v>79.19</v>
      </c>
      <c r="J1194" s="126">
        <v>16.399999999999999</v>
      </c>
      <c r="K1194" s="126">
        <v>0</v>
      </c>
      <c r="L1194" s="126">
        <f t="shared" si="369"/>
        <v>197</v>
      </c>
      <c r="M1194" s="126">
        <f t="shared" si="370"/>
        <v>156</v>
      </c>
      <c r="N1194" s="171">
        <f t="shared" si="371"/>
        <v>0.79190000000000005</v>
      </c>
      <c r="O1194" s="132">
        <f t="shared" si="372"/>
        <v>0</v>
      </c>
      <c r="P1194" s="177">
        <f t="shared" si="373"/>
        <v>16.399999999999999</v>
      </c>
      <c r="Q1194" s="177">
        <f t="shared" si="374"/>
        <v>16.399999999999999</v>
      </c>
      <c r="S1194" s="233" t="b">
        <f t="shared" si="375"/>
        <v>0</v>
      </c>
    </row>
    <row r="1195" spans="1:19">
      <c r="A1195" s="126" t="s">
        <v>3761</v>
      </c>
      <c r="B1195" s="126" t="str">
        <f t="shared" si="376"/>
        <v>D0500</v>
      </c>
      <c r="C1195" s="126">
        <v>8290</v>
      </c>
      <c r="D1195" s="126" t="s">
        <v>3148</v>
      </c>
      <c r="E1195" s="126">
        <v>578</v>
      </c>
      <c r="F1195" s="126">
        <v>0</v>
      </c>
      <c r="G1195" s="126">
        <v>263</v>
      </c>
      <c r="H1195" s="126">
        <v>0</v>
      </c>
      <c r="I1195" s="126">
        <v>45.5</v>
      </c>
      <c r="J1195" s="126">
        <v>0</v>
      </c>
      <c r="K1195" s="126">
        <v>19.3</v>
      </c>
      <c r="L1195" s="126">
        <f t="shared" si="369"/>
        <v>578</v>
      </c>
      <c r="M1195" s="126">
        <f t="shared" si="370"/>
        <v>263</v>
      </c>
      <c r="N1195" s="171">
        <f t="shared" si="371"/>
        <v>0.45500000000000002</v>
      </c>
      <c r="O1195" s="132">
        <f t="shared" si="372"/>
        <v>19.3</v>
      </c>
      <c r="P1195" s="177">
        <f t="shared" si="373"/>
        <v>0</v>
      </c>
      <c r="Q1195" s="177">
        <f t="shared" si="374"/>
        <v>19.3</v>
      </c>
      <c r="S1195" s="233" t="b">
        <f t="shared" si="375"/>
        <v>0</v>
      </c>
    </row>
    <row r="1196" spans="1:19">
      <c r="A1196" s="126" t="s">
        <v>3761</v>
      </c>
      <c r="B1196" s="126" t="str">
        <f t="shared" si="376"/>
        <v>D0500</v>
      </c>
      <c r="C1196" s="126">
        <v>8292</v>
      </c>
      <c r="D1196" s="126" t="s">
        <v>3150</v>
      </c>
      <c r="E1196" s="126">
        <v>365</v>
      </c>
      <c r="F1196" s="126">
        <v>0</v>
      </c>
      <c r="G1196" s="126">
        <v>262</v>
      </c>
      <c r="H1196" s="126">
        <v>0</v>
      </c>
      <c r="I1196" s="126">
        <v>71.78</v>
      </c>
      <c r="J1196" s="126">
        <v>27.5</v>
      </c>
      <c r="K1196" s="126">
        <v>0</v>
      </c>
      <c r="L1196" s="126">
        <f t="shared" si="369"/>
        <v>365</v>
      </c>
      <c r="M1196" s="126">
        <f t="shared" si="370"/>
        <v>262</v>
      </c>
      <c r="N1196" s="171">
        <f t="shared" si="371"/>
        <v>0.71779999999999999</v>
      </c>
      <c r="O1196" s="132">
        <f t="shared" si="372"/>
        <v>0</v>
      </c>
      <c r="P1196" s="177">
        <f t="shared" si="373"/>
        <v>27.5</v>
      </c>
      <c r="Q1196" s="177">
        <f t="shared" si="374"/>
        <v>27.5</v>
      </c>
      <c r="S1196" s="233" t="b">
        <f t="shared" si="375"/>
        <v>0</v>
      </c>
    </row>
    <row r="1197" spans="1:19">
      <c r="A1197" s="126" t="s">
        <v>3761</v>
      </c>
      <c r="B1197" s="126" t="str">
        <f t="shared" si="376"/>
        <v>D0500</v>
      </c>
      <c r="C1197" s="126">
        <v>8293</v>
      </c>
      <c r="D1197" s="126" t="s">
        <v>3152</v>
      </c>
      <c r="E1197" s="126">
        <v>362</v>
      </c>
      <c r="F1197" s="126">
        <v>0</v>
      </c>
      <c r="G1197" s="126">
        <v>322</v>
      </c>
      <c r="H1197" s="126">
        <v>0</v>
      </c>
      <c r="I1197" s="126">
        <v>88.95</v>
      </c>
      <c r="J1197" s="126">
        <v>33.799999999999997</v>
      </c>
      <c r="K1197" s="126">
        <v>0</v>
      </c>
      <c r="L1197" s="126">
        <f t="shared" ref="L1197:L1245" si="377">SUM(E1197:F1197)</f>
        <v>362</v>
      </c>
      <c r="M1197" s="126">
        <f t="shared" ref="M1197:M1245" si="378">SUM(G1197:H1197)</f>
        <v>322</v>
      </c>
      <c r="N1197" s="171">
        <f t="shared" ref="N1197:N1245" si="379">IF(ISERROR(M1197/L1197),0,M1197/L1197)</f>
        <v>0.88949999999999996</v>
      </c>
      <c r="O1197" s="132">
        <f t="shared" ref="O1197:O1245" si="380">IF(AND((N1197-35%)&gt;0,N1197&lt;50%),M1197*(N1197-35%)*0.7,0)</f>
        <v>0</v>
      </c>
      <c r="P1197" s="177">
        <f t="shared" ref="P1197:P1245" si="381">IF(N1197&gt;=50%,M1197*10.5%,0)</f>
        <v>33.799999999999997</v>
      </c>
      <c r="Q1197" s="177">
        <f t="shared" ref="Q1197:Q1245" si="382">MAX(O1197,P1197)</f>
        <v>33.799999999999997</v>
      </c>
      <c r="S1197" s="233" t="b">
        <f t="shared" si="375"/>
        <v>0</v>
      </c>
    </row>
    <row r="1198" spans="1:19">
      <c r="A1198" s="126" t="s">
        <v>3761</v>
      </c>
      <c r="B1198" s="126" t="str">
        <f t="shared" si="376"/>
        <v>D0500</v>
      </c>
      <c r="C1198" s="126">
        <v>8298</v>
      </c>
      <c r="D1198" s="126" t="s">
        <v>3154</v>
      </c>
      <c r="E1198" s="126">
        <v>270</v>
      </c>
      <c r="F1198" s="126">
        <v>0</v>
      </c>
      <c r="G1198" s="126">
        <v>195</v>
      </c>
      <c r="H1198" s="126">
        <v>0</v>
      </c>
      <c r="I1198" s="126">
        <v>72.22</v>
      </c>
      <c r="J1198" s="126">
        <v>20.5</v>
      </c>
      <c r="K1198" s="126">
        <v>0</v>
      </c>
      <c r="L1198" s="126">
        <f t="shared" si="377"/>
        <v>270</v>
      </c>
      <c r="M1198" s="126">
        <f t="shared" si="378"/>
        <v>195</v>
      </c>
      <c r="N1198" s="171">
        <f t="shared" si="379"/>
        <v>0.72219999999999995</v>
      </c>
      <c r="O1198" s="132">
        <f t="shared" si="380"/>
        <v>0</v>
      </c>
      <c r="P1198" s="177">
        <f t="shared" si="381"/>
        <v>20.5</v>
      </c>
      <c r="Q1198" s="177">
        <f t="shared" si="382"/>
        <v>20.5</v>
      </c>
      <c r="S1198" s="233" t="b">
        <f t="shared" si="375"/>
        <v>0</v>
      </c>
    </row>
    <row r="1199" spans="1:19">
      <c r="A1199" s="126" t="s">
        <v>3761</v>
      </c>
      <c r="B1199" s="126" t="str">
        <f t="shared" si="376"/>
        <v>D0500</v>
      </c>
      <c r="C1199" s="126">
        <v>8303</v>
      </c>
      <c r="D1199" s="126" t="s">
        <v>3156</v>
      </c>
      <c r="E1199" s="126">
        <v>259</v>
      </c>
      <c r="F1199" s="126">
        <v>0</v>
      </c>
      <c r="G1199" s="126">
        <v>158</v>
      </c>
      <c r="H1199" s="126">
        <v>0</v>
      </c>
      <c r="I1199" s="126">
        <v>61</v>
      </c>
      <c r="J1199" s="126">
        <v>16.600000000000001</v>
      </c>
      <c r="K1199" s="126">
        <v>0</v>
      </c>
      <c r="L1199" s="126">
        <f t="shared" si="377"/>
        <v>259</v>
      </c>
      <c r="M1199" s="126">
        <f t="shared" si="378"/>
        <v>158</v>
      </c>
      <c r="N1199" s="171">
        <f t="shared" si="379"/>
        <v>0.61</v>
      </c>
      <c r="O1199" s="132">
        <f t="shared" si="380"/>
        <v>0</v>
      </c>
      <c r="P1199" s="177">
        <f t="shared" si="381"/>
        <v>16.600000000000001</v>
      </c>
      <c r="Q1199" s="177">
        <f t="shared" si="382"/>
        <v>16.600000000000001</v>
      </c>
      <c r="S1199" s="233" t="b">
        <f t="shared" si="375"/>
        <v>0</v>
      </c>
    </row>
    <row r="1200" spans="1:19">
      <c r="A1200" s="126" t="s">
        <v>3761</v>
      </c>
      <c r="B1200" s="126" t="str">
        <f t="shared" si="376"/>
        <v>D0500</v>
      </c>
      <c r="C1200" s="126">
        <v>8305</v>
      </c>
      <c r="D1200" s="126" t="s">
        <v>3158</v>
      </c>
      <c r="E1200" s="126">
        <v>347</v>
      </c>
      <c r="F1200" s="126">
        <v>0</v>
      </c>
      <c r="G1200" s="126">
        <v>268</v>
      </c>
      <c r="H1200" s="126">
        <v>0</v>
      </c>
      <c r="I1200" s="126">
        <v>77.23</v>
      </c>
      <c r="J1200" s="126">
        <v>28.1</v>
      </c>
      <c r="K1200" s="126">
        <v>0</v>
      </c>
      <c r="L1200" s="126">
        <f t="shared" si="377"/>
        <v>347</v>
      </c>
      <c r="M1200" s="126">
        <f t="shared" si="378"/>
        <v>268</v>
      </c>
      <c r="N1200" s="171">
        <f t="shared" si="379"/>
        <v>0.77229999999999999</v>
      </c>
      <c r="O1200" s="132">
        <f t="shared" si="380"/>
        <v>0</v>
      </c>
      <c r="P1200" s="177">
        <f t="shared" si="381"/>
        <v>28.1</v>
      </c>
      <c r="Q1200" s="177">
        <f t="shared" si="382"/>
        <v>28.1</v>
      </c>
      <c r="S1200" s="233" t="b">
        <f t="shared" si="375"/>
        <v>0</v>
      </c>
    </row>
    <row r="1201" spans="1:19">
      <c r="A1201" s="126" t="s">
        <v>3761</v>
      </c>
      <c r="B1201" s="126" t="str">
        <f t="shared" si="376"/>
        <v>D0500</v>
      </c>
      <c r="C1201" s="126">
        <v>8308</v>
      </c>
      <c r="D1201" s="126" t="s">
        <v>3160</v>
      </c>
      <c r="E1201" s="126">
        <v>340</v>
      </c>
      <c r="F1201" s="126">
        <v>0</v>
      </c>
      <c r="G1201" s="126">
        <v>225</v>
      </c>
      <c r="H1201" s="126">
        <v>0</v>
      </c>
      <c r="I1201" s="126">
        <v>66.180000000000007</v>
      </c>
      <c r="J1201" s="126">
        <v>23.6</v>
      </c>
      <c r="K1201" s="126">
        <v>0</v>
      </c>
      <c r="L1201" s="126">
        <f t="shared" si="377"/>
        <v>340</v>
      </c>
      <c r="M1201" s="126">
        <f t="shared" si="378"/>
        <v>225</v>
      </c>
      <c r="N1201" s="171">
        <f t="shared" si="379"/>
        <v>0.66180000000000005</v>
      </c>
      <c r="O1201" s="132">
        <f t="shared" si="380"/>
        <v>0</v>
      </c>
      <c r="P1201" s="177">
        <f t="shared" si="381"/>
        <v>23.6</v>
      </c>
      <c r="Q1201" s="177">
        <f t="shared" si="382"/>
        <v>23.6</v>
      </c>
      <c r="S1201" s="233" t="b">
        <f t="shared" si="375"/>
        <v>0</v>
      </c>
    </row>
    <row r="1202" spans="1:19">
      <c r="A1202" s="126" t="s">
        <v>3761</v>
      </c>
      <c r="B1202" s="126" t="str">
        <f t="shared" si="376"/>
        <v>D0500</v>
      </c>
      <c r="C1202" s="126">
        <v>8309</v>
      </c>
      <c r="D1202" s="126" t="s">
        <v>3162</v>
      </c>
      <c r="E1202" s="126">
        <v>338</v>
      </c>
      <c r="F1202" s="126">
        <v>0</v>
      </c>
      <c r="G1202" s="126">
        <v>259</v>
      </c>
      <c r="H1202" s="126">
        <v>0</v>
      </c>
      <c r="I1202" s="126">
        <v>76.63</v>
      </c>
      <c r="J1202" s="126">
        <v>27.2</v>
      </c>
      <c r="K1202" s="126">
        <v>0</v>
      </c>
      <c r="L1202" s="126">
        <f t="shared" si="377"/>
        <v>338</v>
      </c>
      <c r="M1202" s="126">
        <f t="shared" si="378"/>
        <v>259</v>
      </c>
      <c r="N1202" s="171">
        <f t="shared" si="379"/>
        <v>0.76629999999999998</v>
      </c>
      <c r="O1202" s="132">
        <f t="shared" si="380"/>
        <v>0</v>
      </c>
      <c r="P1202" s="177">
        <f t="shared" si="381"/>
        <v>27.2</v>
      </c>
      <c r="Q1202" s="177">
        <f t="shared" si="382"/>
        <v>27.2</v>
      </c>
      <c r="S1202" s="233" t="b">
        <f t="shared" si="375"/>
        <v>0</v>
      </c>
    </row>
    <row r="1203" spans="1:19">
      <c r="A1203" s="126" t="s">
        <v>3761</v>
      </c>
      <c r="B1203" s="126" t="str">
        <f t="shared" si="376"/>
        <v>D0500</v>
      </c>
      <c r="C1203" s="126">
        <v>8311</v>
      </c>
      <c r="D1203" s="126" t="s">
        <v>1357</v>
      </c>
      <c r="E1203" s="126">
        <v>291</v>
      </c>
      <c r="F1203" s="126">
        <v>0</v>
      </c>
      <c r="G1203" s="126">
        <v>194</v>
      </c>
      <c r="H1203" s="126">
        <v>0</v>
      </c>
      <c r="I1203" s="126">
        <v>66.67</v>
      </c>
      <c r="J1203" s="126">
        <v>20.399999999999999</v>
      </c>
      <c r="K1203" s="126">
        <v>0</v>
      </c>
      <c r="L1203" s="126">
        <f t="shared" si="377"/>
        <v>291</v>
      </c>
      <c r="M1203" s="126">
        <f t="shared" si="378"/>
        <v>194</v>
      </c>
      <c r="N1203" s="171">
        <f t="shared" si="379"/>
        <v>0.66669999999999996</v>
      </c>
      <c r="O1203" s="132">
        <f t="shared" si="380"/>
        <v>0</v>
      </c>
      <c r="P1203" s="177">
        <f t="shared" si="381"/>
        <v>20.399999999999999</v>
      </c>
      <c r="Q1203" s="177">
        <f t="shared" si="382"/>
        <v>20.399999999999999</v>
      </c>
      <c r="S1203" s="233" t="b">
        <f t="shared" si="375"/>
        <v>0</v>
      </c>
    </row>
    <row r="1204" spans="1:19">
      <c r="A1204" s="126" t="s">
        <v>3761</v>
      </c>
      <c r="B1204" s="126" t="str">
        <f t="shared" si="376"/>
        <v>D0500</v>
      </c>
      <c r="C1204" s="126">
        <v>8312</v>
      </c>
      <c r="D1204" s="126" t="s">
        <v>3165</v>
      </c>
      <c r="E1204" s="126">
        <v>268</v>
      </c>
      <c r="F1204" s="126">
        <v>0</v>
      </c>
      <c r="G1204" s="126">
        <v>178</v>
      </c>
      <c r="H1204" s="126">
        <v>0</v>
      </c>
      <c r="I1204" s="126">
        <v>66.42</v>
      </c>
      <c r="J1204" s="126">
        <v>18.7</v>
      </c>
      <c r="K1204" s="126">
        <v>0</v>
      </c>
      <c r="L1204" s="126">
        <f t="shared" si="377"/>
        <v>268</v>
      </c>
      <c r="M1204" s="126">
        <f t="shared" si="378"/>
        <v>178</v>
      </c>
      <c r="N1204" s="171">
        <f t="shared" si="379"/>
        <v>0.66420000000000001</v>
      </c>
      <c r="O1204" s="132">
        <f t="shared" si="380"/>
        <v>0</v>
      </c>
      <c r="P1204" s="177">
        <f t="shared" si="381"/>
        <v>18.7</v>
      </c>
      <c r="Q1204" s="177">
        <f t="shared" si="382"/>
        <v>18.7</v>
      </c>
      <c r="S1204" s="233" t="b">
        <f t="shared" si="375"/>
        <v>0</v>
      </c>
    </row>
    <row r="1205" spans="1:19">
      <c r="A1205" s="126" t="s">
        <v>3761</v>
      </c>
      <c r="B1205" s="126" t="str">
        <f t="shared" si="376"/>
        <v>D0500</v>
      </c>
      <c r="C1205" s="126">
        <v>8313</v>
      </c>
      <c r="D1205" s="126" t="s">
        <v>2901</v>
      </c>
      <c r="E1205" s="126">
        <v>578</v>
      </c>
      <c r="F1205" s="126">
        <v>0</v>
      </c>
      <c r="G1205" s="126">
        <v>452</v>
      </c>
      <c r="H1205" s="126">
        <v>0</v>
      </c>
      <c r="I1205" s="126">
        <v>78.2</v>
      </c>
      <c r="J1205" s="126">
        <v>47.5</v>
      </c>
      <c r="K1205" s="126">
        <v>0</v>
      </c>
      <c r="L1205" s="126">
        <f t="shared" si="377"/>
        <v>578</v>
      </c>
      <c r="M1205" s="126">
        <f t="shared" si="378"/>
        <v>452</v>
      </c>
      <c r="N1205" s="171">
        <f t="shared" si="379"/>
        <v>0.78200000000000003</v>
      </c>
      <c r="O1205" s="132">
        <f t="shared" si="380"/>
        <v>0</v>
      </c>
      <c r="P1205" s="177">
        <f t="shared" si="381"/>
        <v>47.5</v>
      </c>
      <c r="Q1205" s="177">
        <f t="shared" si="382"/>
        <v>47.5</v>
      </c>
      <c r="S1205" s="233" t="b">
        <f t="shared" si="375"/>
        <v>0</v>
      </c>
    </row>
    <row r="1206" spans="1:19">
      <c r="A1206" s="126" t="s">
        <v>3761</v>
      </c>
      <c r="B1206" s="126" t="str">
        <f t="shared" si="376"/>
        <v>D0500</v>
      </c>
      <c r="C1206" s="126">
        <v>8315</v>
      </c>
      <c r="D1206" s="126" t="s">
        <v>2928</v>
      </c>
      <c r="E1206" s="126">
        <v>484</v>
      </c>
      <c r="F1206" s="126">
        <v>0</v>
      </c>
      <c r="G1206" s="126">
        <v>296</v>
      </c>
      <c r="H1206" s="126">
        <v>0</v>
      </c>
      <c r="I1206" s="126">
        <v>61.16</v>
      </c>
      <c r="J1206" s="126">
        <v>31.1</v>
      </c>
      <c r="K1206" s="126">
        <v>0</v>
      </c>
      <c r="L1206" s="126">
        <f t="shared" si="377"/>
        <v>484</v>
      </c>
      <c r="M1206" s="126">
        <f t="shared" si="378"/>
        <v>296</v>
      </c>
      <c r="N1206" s="171">
        <f t="shared" si="379"/>
        <v>0.61160000000000003</v>
      </c>
      <c r="O1206" s="132">
        <f t="shared" si="380"/>
        <v>0</v>
      </c>
      <c r="P1206" s="177">
        <f t="shared" si="381"/>
        <v>31.1</v>
      </c>
      <c r="Q1206" s="177">
        <f t="shared" si="382"/>
        <v>31.1</v>
      </c>
      <c r="S1206" s="233" t="b">
        <f t="shared" si="375"/>
        <v>0</v>
      </c>
    </row>
    <row r="1207" spans="1:19">
      <c r="A1207" s="126" t="s">
        <v>3761</v>
      </c>
      <c r="B1207" s="126" t="str">
        <f t="shared" si="376"/>
        <v>D0500</v>
      </c>
      <c r="C1207" s="126">
        <v>8316</v>
      </c>
      <c r="D1207" s="126" t="s">
        <v>3169</v>
      </c>
      <c r="E1207" s="126">
        <v>741</v>
      </c>
      <c r="F1207" s="126">
        <v>0</v>
      </c>
      <c r="G1207" s="126">
        <v>562</v>
      </c>
      <c r="H1207" s="126">
        <v>0</v>
      </c>
      <c r="I1207" s="126">
        <v>75.84</v>
      </c>
      <c r="J1207" s="126">
        <v>59</v>
      </c>
      <c r="K1207" s="126">
        <v>0</v>
      </c>
      <c r="L1207" s="126">
        <f t="shared" si="377"/>
        <v>741</v>
      </c>
      <c r="M1207" s="126">
        <f t="shared" si="378"/>
        <v>562</v>
      </c>
      <c r="N1207" s="171">
        <f t="shared" si="379"/>
        <v>0.75839999999999996</v>
      </c>
      <c r="O1207" s="132">
        <f t="shared" si="380"/>
        <v>0</v>
      </c>
      <c r="P1207" s="177">
        <f t="shared" si="381"/>
        <v>59</v>
      </c>
      <c r="Q1207" s="177">
        <f t="shared" si="382"/>
        <v>59</v>
      </c>
      <c r="S1207" s="233" t="b">
        <f t="shared" si="375"/>
        <v>0</v>
      </c>
    </row>
    <row r="1208" spans="1:19">
      <c r="A1208" s="126" t="s">
        <v>3761</v>
      </c>
      <c r="B1208" s="126" t="str">
        <f t="shared" si="376"/>
        <v>D0500</v>
      </c>
      <c r="C1208" s="126">
        <v>8317</v>
      </c>
      <c r="D1208" s="126" t="s">
        <v>3171</v>
      </c>
      <c r="E1208" s="126">
        <v>757</v>
      </c>
      <c r="F1208" s="126">
        <v>0</v>
      </c>
      <c r="G1208" s="126">
        <v>511</v>
      </c>
      <c r="H1208" s="126">
        <v>0</v>
      </c>
      <c r="I1208" s="126">
        <v>67.5</v>
      </c>
      <c r="J1208" s="126">
        <v>53.7</v>
      </c>
      <c r="K1208" s="126">
        <v>0</v>
      </c>
      <c r="L1208" s="126">
        <f t="shared" si="377"/>
        <v>757</v>
      </c>
      <c r="M1208" s="126">
        <f t="shared" si="378"/>
        <v>511</v>
      </c>
      <c r="N1208" s="171">
        <f t="shared" si="379"/>
        <v>0.67500000000000004</v>
      </c>
      <c r="O1208" s="132">
        <f t="shared" si="380"/>
        <v>0</v>
      </c>
      <c r="P1208" s="177">
        <f t="shared" si="381"/>
        <v>53.7</v>
      </c>
      <c r="Q1208" s="177">
        <f t="shared" si="382"/>
        <v>53.7</v>
      </c>
      <c r="S1208" s="233" t="b">
        <f t="shared" si="375"/>
        <v>0</v>
      </c>
    </row>
    <row r="1209" spans="1:19">
      <c r="A1209" s="126" t="s">
        <v>3761</v>
      </c>
      <c r="B1209" s="126" t="str">
        <f t="shared" si="376"/>
        <v>D0500</v>
      </c>
      <c r="C1209" s="126">
        <v>8318</v>
      </c>
      <c r="D1209" s="126" t="s">
        <v>3173</v>
      </c>
      <c r="E1209" s="126">
        <v>88</v>
      </c>
      <c r="F1209" s="126">
        <v>0</v>
      </c>
      <c r="G1209" s="126">
        <v>56</v>
      </c>
      <c r="H1209" s="126">
        <v>0</v>
      </c>
      <c r="I1209" s="126">
        <v>63.64</v>
      </c>
      <c r="J1209" s="126">
        <v>5.9</v>
      </c>
      <c r="K1209" s="126">
        <v>0</v>
      </c>
      <c r="L1209" s="126">
        <f t="shared" si="377"/>
        <v>88</v>
      </c>
      <c r="M1209" s="126">
        <f t="shared" si="378"/>
        <v>56</v>
      </c>
      <c r="N1209" s="171">
        <f t="shared" si="379"/>
        <v>0.63639999999999997</v>
      </c>
      <c r="O1209" s="132">
        <f t="shared" si="380"/>
        <v>0</v>
      </c>
      <c r="P1209" s="177">
        <f t="shared" si="381"/>
        <v>5.9</v>
      </c>
      <c r="Q1209" s="177">
        <f t="shared" si="382"/>
        <v>5.9</v>
      </c>
      <c r="S1209" s="233" t="b">
        <f t="shared" si="375"/>
        <v>0</v>
      </c>
    </row>
    <row r="1210" spans="1:19">
      <c r="A1210" s="126" t="s">
        <v>3761</v>
      </c>
      <c r="B1210" s="126" t="str">
        <f t="shared" si="376"/>
        <v>D0500</v>
      </c>
      <c r="C1210" s="126">
        <v>8319</v>
      </c>
      <c r="D1210" s="126" t="s">
        <v>3175</v>
      </c>
      <c r="E1210" s="126">
        <v>322</v>
      </c>
      <c r="F1210" s="126">
        <v>0</v>
      </c>
      <c r="G1210" s="126">
        <v>227</v>
      </c>
      <c r="H1210" s="126">
        <v>0</v>
      </c>
      <c r="I1210" s="126">
        <v>70.5</v>
      </c>
      <c r="J1210" s="126">
        <v>23.8</v>
      </c>
      <c r="K1210" s="126">
        <v>0</v>
      </c>
      <c r="L1210" s="126">
        <f t="shared" si="377"/>
        <v>322</v>
      </c>
      <c r="M1210" s="126">
        <f t="shared" si="378"/>
        <v>227</v>
      </c>
      <c r="N1210" s="171">
        <f t="shared" si="379"/>
        <v>0.70499999999999996</v>
      </c>
      <c r="O1210" s="132">
        <f t="shared" si="380"/>
        <v>0</v>
      </c>
      <c r="P1210" s="177">
        <f t="shared" si="381"/>
        <v>23.8</v>
      </c>
      <c r="Q1210" s="177">
        <f t="shared" si="382"/>
        <v>23.8</v>
      </c>
      <c r="S1210" s="233" t="b">
        <f t="shared" si="375"/>
        <v>0</v>
      </c>
    </row>
    <row r="1211" spans="1:19">
      <c r="A1211" s="126" t="s">
        <v>3761</v>
      </c>
      <c r="B1211" s="126" t="str">
        <f t="shared" si="376"/>
        <v>D0500</v>
      </c>
      <c r="C1211" s="126">
        <v>8320</v>
      </c>
      <c r="D1211" s="126" t="s">
        <v>3177</v>
      </c>
      <c r="E1211" s="126">
        <v>713</v>
      </c>
      <c r="F1211" s="126">
        <v>0</v>
      </c>
      <c r="G1211" s="126">
        <v>526</v>
      </c>
      <c r="H1211" s="126">
        <v>0</v>
      </c>
      <c r="I1211" s="126">
        <v>73.77</v>
      </c>
      <c r="J1211" s="126">
        <v>55.2</v>
      </c>
      <c r="K1211" s="126">
        <v>0</v>
      </c>
      <c r="L1211" s="126">
        <f t="shared" si="377"/>
        <v>713</v>
      </c>
      <c r="M1211" s="126">
        <f t="shared" si="378"/>
        <v>526</v>
      </c>
      <c r="N1211" s="171">
        <f t="shared" si="379"/>
        <v>0.73770000000000002</v>
      </c>
      <c r="O1211" s="132">
        <f t="shared" si="380"/>
        <v>0</v>
      </c>
      <c r="P1211" s="177">
        <f t="shared" si="381"/>
        <v>55.2</v>
      </c>
      <c r="Q1211" s="177">
        <f t="shared" si="382"/>
        <v>55.2</v>
      </c>
      <c r="S1211" s="233" t="b">
        <f t="shared" si="375"/>
        <v>0</v>
      </c>
    </row>
    <row r="1212" spans="1:19">
      <c r="A1212" s="126" t="s">
        <v>3761</v>
      </c>
      <c r="B1212" s="126" t="str">
        <f t="shared" si="376"/>
        <v>D0500</v>
      </c>
      <c r="C1212" s="126">
        <v>8321</v>
      </c>
      <c r="D1212" s="126" t="s">
        <v>3179</v>
      </c>
      <c r="E1212" s="126">
        <v>647</v>
      </c>
      <c r="F1212" s="126">
        <v>0</v>
      </c>
      <c r="G1212" s="126">
        <v>375</v>
      </c>
      <c r="H1212" s="126">
        <v>0</v>
      </c>
      <c r="I1212" s="126">
        <v>57.96</v>
      </c>
      <c r="J1212" s="126">
        <v>39.4</v>
      </c>
      <c r="K1212" s="126">
        <v>0</v>
      </c>
      <c r="L1212" s="126">
        <f t="shared" si="377"/>
        <v>647</v>
      </c>
      <c r="M1212" s="126">
        <f t="shared" si="378"/>
        <v>375</v>
      </c>
      <c r="N1212" s="171">
        <f t="shared" si="379"/>
        <v>0.5796</v>
      </c>
      <c r="O1212" s="132">
        <f t="shared" si="380"/>
        <v>0</v>
      </c>
      <c r="P1212" s="177">
        <f t="shared" si="381"/>
        <v>39.4</v>
      </c>
      <c r="Q1212" s="177">
        <f t="shared" si="382"/>
        <v>39.4</v>
      </c>
      <c r="S1212" s="233" t="b">
        <f t="shared" si="375"/>
        <v>0</v>
      </c>
    </row>
    <row r="1213" spans="1:19">
      <c r="A1213" s="126" t="s">
        <v>3761</v>
      </c>
      <c r="B1213" s="126" t="str">
        <f t="shared" si="376"/>
        <v>D0500</v>
      </c>
      <c r="C1213" s="126">
        <v>8322</v>
      </c>
      <c r="D1213" s="126" t="s">
        <v>3181</v>
      </c>
      <c r="E1213" s="126">
        <v>1090</v>
      </c>
      <c r="F1213" s="126">
        <v>0</v>
      </c>
      <c r="G1213" s="126">
        <v>573</v>
      </c>
      <c r="H1213" s="126">
        <v>0</v>
      </c>
      <c r="I1213" s="126">
        <v>52.57</v>
      </c>
      <c r="J1213" s="126">
        <v>60.2</v>
      </c>
      <c r="K1213" s="126">
        <v>0</v>
      </c>
      <c r="L1213" s="126">
        <f t="shared" si="377"/>
        <v>1090</v>
      </c>
      <c r="M1213" s="126">
        <f t="shared" si="378"/>
        <v>573</v>
      </c>
      <c r="N1213" s="171">
        <f t="shared" si="379"/>
        <v>0.52569999999999995</v>
      </c>
      <c r="O1213" s="132">
        <f t="shared" si="380"/>
        <v>0</v>
      </c>
      <c r="P1213" s="177">
        <f t="shared" si="381"/>
        <v>60.2</v>
      </c>
      <c r="Q1213" s="177">
        <f t="shared" si="382"/>
        <v>60.2</v>
      </c>
      <c r="S1213" s="233" t="b">
        <f t="shared" si="375"/>
        <v>0</v>
      </c>
    </row>
    <row r="1214" spans="1:19">
      <c r="A1214" s="126" t="s">
        <v>3761</v>
      </c>
      <c r="B1214" s="126" t="str">
        <f t="shared" si="376"/>
        <v>D0500</v>
      </c>
      <c r="C1214" s="126">
        <v>8323</v>
      </c>
      <c r="D1214" s="126" t="s">
        <v>3183</v>
      </c>
      <c r="E1214" s="126">
        <v>1479</v>
      </c>
      <c r="F1214" s="126">
        <v>0</v>
      </c>
      <c r="G1214" s="126">
        <v>1138</v>
      </c>
      <c r="H1214" s="126">
        <v>0</v>
      </c>
      <c r="I1214" s="126">
        <v>76.94</v>
      </c>
      <c r="J1214" s="126">
        <v>119.5</v>
      </c>
      <c r="K1214" s="126">
        <v>0</v>
      </c>
      <c r="L1214" s="126">
        <f t="shared" si="377"/>
        <v>1479</v>
      </c>
      <c r="M1214" s="126">
        <f t="shared" si="378"/>
        <v>1138</v>
      </c>
      <c r="N1214" s="171">
        <f t="shared" si="379"/>
        <v>0.76939999999999997</v>
      </c>
      <c r="O1214" s="132">
        <f t="shared" si="380"/>
        <v>0</v>
      </c>
      <c r="P1214" s="177">
        <f t="shared" si="381"/>
        <v>119.5</v>
      </c>
      <c r="Q1214" s="177">
        <f t="shared" si="382"/>
        <v>119.5</v>
      </c>
      <c r="S1214" s="233" t="b">
        <f t="shared" si="375"/>
        <v>0</v>
      </c>
    </row>
    <row r="1215" spans="1:19">
      <c r="A1215" s="126" t="s">
        <v>3761</v>
      </c>
      <c r="B1215" s="126" t="str">
        <f t="shared" si="376"/>
        <v>D0500</v>
      </c>
      <c r="C1215" s="126">
        <v>8324</v>
      </c>
      <c r="D1215" s="126" t="s">
        <v>3185</v>
      </c>
      <c r="E1215" s="126">
        <v>470</v>
      </c>
      <c r="F1215" s="126">
        <v>0</v>
      </c>
      <c r="G1215" s="126">
        <v>258</v>
      </c>
      <c r="H1215" s="126">
        <v>0</v>
      </c>
      <c r="I1215" s="126">
        <v>54.89</v>
      </c>
      <c r="J1215" s="126">
        <v>27.1</v>
      </c>
      <c r="K1215" s="126">
        <v>0</v>
      </c>
      <c r="L1215" s="126">
        <f t="shared" si="377"/>
        <v>470</v>
      </c>
      <c r="M1215" s="126">
        <f t="shared" si="378"/>
        <v>258</v>
      </c>
      <c r="N1215" s="171">
        <f t="shared" si="379"/>
        <v>0.54890000000000005</v>
      </c>
      <c r="O1215" s="132">
        <f t="shared" si="380"/>
        <v>0</v>
      </c>
      <c r="P1215" s="177">
        <f t="shared" si="381"/>
        <v>27.1</v>
      </c>
      <c r="Q1215" s="177">
        <f t="shared" si="382"/>
        <v>27.1</v>
      </c>
      <c r="S1215" s="233" t="b">
        <f t="shared" si="375"/>
        <v>0</v>
      </c>
    </row>
    <row r="1216" spans="1:19">
      <c r="A1216" s="126" t="s">
        <v>3761</v>
      </c>
      <c r="B1216" s="126" t="str">
        <f t="shared" si="376"/>
        <v>D0500</v>
      </c>
      <c r="C1216" s="126">
        <v>8326</v>
      </c>
      <c r="D1216" s="126" t="s">
        <v>3187</v>
      </c>
      <c r="E1216" s="126">
        <v>206</v>
      </c>
      <c r="F1216" s="126">
        <v>0</v>
      </c>
      <c r="G1216" s="126">
        <v>129</v>
      </c>
      <c r="H1216" s="126">
        <v>0</v>
      </c>
      <c r="I1216" s="126">
        <v>62.62</v>
      </c>
      <c r="J1216" s="126">
        <v>13.5</v>
      </c>
      <c r="K1216" s="126">
        <v>0</v>
      </c>
      <c r="L1216" s="126">
        <f t="shared" si="377"/>
        <v>206</v>
      </c>
      <c r="M1216" s="126">
        <f t="shared" si="378"/>
        <v>129</v>
      </c>
      <c r="N1216" s="171">
        <f t="shared" si="379"/>
        <v>0.62619999999999998</v>
      </c>
      <c r="O1216" s="132">
        <f t="shared" si="380"/>
        <v>0</v>
      </c>
      <c r="P1216" s="177">
        <f t="shared" si="381"/>
        <v>13.5</v>
      </c>
      <c r="Q1216" s="177">
        <f t="shared" si="382"/>
        <v>13.5</v>
      </c>
      <c r="S1216" s="233" t="b">
        <f t="shared" si="375"/>
        <v>0</v>
      </c>
    </row>
    <row r="1217" spans="1:19">
      <c r="A1217" s="126" t="s">
        <v>3761</v>
      </c>
      <c r="B1217" s="126" t="str">
        <f t="shared" si="376"/>
        <v>D0500</v>
      </c>
      <c r="C1217" s="126">
        <v>8327</v>
      </c>
      <c r="D1217" s="126" t="s">
        <v>3189</v>
      </c>
      <c r="E1217" s="126">
        <v>1335</v>
      </c>
      <c r="F1217" s="126">
        <v>0</v>
      </c>
      <c r="G1217" s="126">
        <v>856</v>
      </c>
      <c r="H1217" s="126">
        <v>0</v>
      </c>
      <c r="I1217" s="126">
        <v>64.12</v>
      </c>
      <c r="J1217" s="126">
        <v>89.9</v>
      </c>
      <c r="K1217" s="126">
        <v>0</v>
      </c>
      <c r="L1217" s="126">
        <f t="shared" si="377"/>
        <v>1335</v>
      </c>
      <c r="M1217" s="126">
        <f t="shared" si="378"/>
        <v>856</v>
      </c>
      <c r="N1217" s="171">
        <f t="shared" si="379"/>
        <v>0.64119999999999999</v>
      </c>
      <c r="O1217" s="132">
        <f t="shared" si="380"/>
        <v>0</v>
      </c>
      <c r="P1217" s="177">
        <f t="shared" si="381"/>
        <v>89.9</v>
      </c>
      <c r="Q1217" s="177">
        <f t="shared" si="382"/>
        <v>89.9</v>
      </c>
      <c r="S1217" s="233" t="b">
        <f t="shared" si="375"/>
        <v>0</v>
      </c>
    </row>
    <row r="1218" spans="1:19">
      <c r="A1218" s="126" t="s">
        <v>3761</v>
      </c>
      <c r="B1218" s="126" t="str">
        <f t="shared" si="376"/>
        <v>D0500</v>
      </c>
      <c r="C1218" s="126">
        <v>8328</v>
      </c>
      <c r="D1218" s="126" t="s">
        <v>3191</v>
      </c>
      <c r="E1218" s="126">
        <v>506</v>
      </c>
      <c r="F1218" s="126">
        <v>0</v>
      </c>
      <c r="G1218" s="126">
        <v>292</v>
      </c>
      <c r="H1218" s="126">
        <v>0</v>
      </c>
      <c r="I1218" s="126">
        <v>57.71</v>
      </c>
      <c r="J1218" s="126">
        <v>30.7</v>
      </c>
      <c r="K1218" s="126">
        <v>0</v>
      </c>
      <c r="L1218" s="126">
        <f t="shared" si="377"/>
        <v>506</v>
      </c>
      <c r="M1218" s="126">
        <f t="shared" si="378"/>
        <v>292</v>
      </c>
      <c r="N1218" s="171">
        <f t="shared" si="379"/>
        <v>0.57709999999999995</v>
      </c>
      <c r="O1218" s="132">
        <f t="shared" si="380"/>
        <v>0</v>
      </c>
      <c r="P1218" s="177">
        <f t="shared" si="381"/>
        <v>30.7</v>
      </c>
      <c r="Q1218" s="177">
        <f t="shared" si="382"/>
        <v>30.7</v>
      </c>
      <c r="S1218" s="233" t="b">
        <f t="shared" si="375"/>
        <v>0</v>
      </c>
    </row>
    <row r="1219" spans="1:19">
      <c r="A1219" s="126" t="s">
        <v>3761</v>
      </c>
      <c r="B1219" s="126" t="str">
        <f t="shared" si="376"/>
        <v>D0500</v>
      </c>
      <c r="C1219" s="126">
        <v>8329</v>
      </c>
      <c r="D1219" s="126" t="s">
        <v>3193</v>
      </c>
      <c r="E1219" s="126">
        <v>1037</v>
      </c>
      <c r="F1219" s="126">
        <v>0</v>
      </c>
      <c r="G1219" s="126">
        <v>632</v>
      </c>
      <c r="H1219" s="126">
        <v>0</v>
      </c>
      <c r="I1219" s="126">
        <v>60.95</v>
      </c>
      <c r="J1219" s="126">
        <v>66.400000000000006</v>
      </c>
      <c r="K1219" s="126">
        <v>0</v>
      </c>
      <c r="L1219" s="126">
        <f t="shared" si="377"/>
        <v>1037</v>
      </c>
      <c r="M1219" s="126">
        <f t="shared" si="378"/>
        <v>632</v>
      </c>
      <c r="N1219" s="171">
        <f t="shared" si="379"/>
        <v>0.60950000000000004</v>
      </c>
      <c r="O1219" s="132">
        <f t="shared" si="380"/>
        <v>0</v>
      </c>
      <c r="P1219" s="177">
        <f t="shared" si="381"/>
        <v>66.400000000000006</v>
      </c>
      <c r="Q1219" s="177">
        <f t="shared" si="382"/>
        <v>66.400000000000006</v>
      </c>
      <c r="S1219" s="233" t="b">
        <f t="shared" si="375"/>
        <v>0</v>
      </c>
    </row>
    <row r="1220" spans="1:19">
      <c r="A1220" s="126" t="s">
        <v>3761</v>
      </c>
      <c r="B1220" s="126" t="str">
        <f t="shared" si="376"/>
        <v>D0500</v>
      </c>
      <c r="C1220" s="126">
        <v>8330</v>
      </c>
      <c r="D1220" s="126" t="s">
        <v>3195</v>
      </c>
      <c r="E1220" s="126">
        <v>290</v>
      </c>
      <c r="F1220" s="126">
        <v>0</v>
      </c>
      <c r="G1220" s="126">
        <v>195</v>
      </c>
      <c r="H1220" s="126">
        <v>0</v>
      </c>
      <c r="I1220" s="126">
        <v>67.239999999999995</v>
      </c>
      <c r="J1220" s="126">
        <v>20.5</v>
      </c>
      <c r="K1220" s="126">
        <v>0</v>
      </c>
      <c r="L1220" s="126">
        <f t="shared" si="377"/>
        <v>290</v>
      </c>
      <c r="M1220" s="126">
        <f t="shared" si="378"/>
        <v>195</v>
      </c>
      <c r="N1220" s="171">
        <f t="shared" si="379"/>
        <v>0.6724</v>
      </c>
      <c r="O1220" s="132">
        <f t="shared" si="380"/>
        <v>0</v>
      </c>
      <c r="P1220" s="177">
        <f t="shared" si="381"/>
        <v>20.5</v>
      </c>
      <c r="Q1220" s="177">
        <f t="shared" si="382"/>
        <v>20.5</v>
      </c>
      <c r="S1220" s="233" t="b">
        <f t="shared" si="375"/>
        <v>0</v>
      </c>
    </row>
    <row r="1221" spans="1:19">
      <c r="A1221" s="126" t="s">
        <v>3761</v>
      </c>
      <c r="B1221" s="126" t="str">
        <f t="shared" si="376"/>
        <v>D0500</v>
      </c>
      <c r="C1221" s="126">
        <v>8331</v>
      </c>
      <c r="D1221" s="126" t="s">
        <v>3197</v>
      </c>
      <c r="E1221" s="126">
        <v>688</v>
      </c>
      <c r="F1221" s="126">
        <v>0</v>
      </c>
      <c r="G1221" s="126">
        <v>415</v>
      </c>
      <c r="H1221" s="126">
        <v>0</v>
      </c>
      <c r="I1221" s="126">
        <v>60.32</v>
      </c>
      <c r="J1221" s="126">
        <v>43.6</v>
      </c>
      <c r="K1221" s="126">
        <v>0</v>
      </c>
      <c r="L1221" s="126">
        <f t="shared" si="377"/>
        <v>688</v>
      </c>
      <c r="M1221" s="126">
        <f t="shared" si="378"/>
        <v>415</v>
      </c>
      <c r="N1221" s="171">
        <f t="shared" si="379"/>
        <v>0.60319999999999996</v>
      </c>
      <c r="O1221" s="132">
        <f t="shared" si="380"/>
        <v>0</v>
      </c>
      <c r="P1221" s="177">
        <f t="shared" si="381"/>
        <v>43.6</v>
      </c>
      <c r="Q1221" s="177">
        <f t="shared" si="382"/>
        <v>43.6</v>
      </c>
      <c r="S1221" s="233" t="b">
        <f t="shared" ref="S1221:S1284" si="383">COUNTIF(C:C,C1221)&gt;1</f>
        <v>0</v>
      </c>
    </row>
    <row r="1222" spans="1:19">
      <c r="A1222" s="126" t="s">
        <v>3761</v>
      </c>
      <c r="B1222" s="126" t="str">
        <f t="shared" si="376"/>
        <v>D0500</v>
      </c>
      <c r="C1222" s="126">
        <v>8332</v>
      </c>
      <c r="D1222" s="126" t="s">
        <v>3199</v>
      </c>
      <c r="E1222" s="126">
        <v>558</v>
      </c>
      <c r="F1222" s="126">
        <v>0</v>
      </c>
      <c r="G1222" s="126">
        <v>305</v>
      </c>
      <c r="H1222" s="126">
        <v>0</v>
      </c>
      <c r="I1222" s="126">
        <v>54.66</v>
      </c>
      <c r="J1222" s="126">
        <v>32</v>
      </c>
      <c r="K1222" s="126">
        <v>0</v>
      </c>
      <c r="L1222" s="126">
        <f t="shared" si="377"/>
        <v>558</v>
      </c>
      <c r="M1222" s="126">
        <f t="shared" si="378"/>
        <v>305</v>
      </c>
      <c r="N1222" s="171">
        <f t="shared" si="379"/>
        <v>0.54659999999999997</v>
      </c>
      <c r="O1222" s="132">
        <f t="shared" si="380"/>
        <v>0</v>
      </c>
      <c r="P1222" s="177">
        <f t="shared" si="381"/>
        <v>32</v>
      </c>
      <c r="Q1222" s="177">
        <f t="shared" si="382"/>
        <v>32</v>
      </c>
      <c r="S1222" s="233" t="b">
        <f t="shared" si="383"/>
        <v>0</v>
      </c>
    </row>
    <row r="1223" spans="1:19">
      <c r="A1223" s="126" t="s">
        <v>3761</v>
      </c>
      <c r="B1223" s="126" t="str">
        <f t="shared" si="376"/>
        <v>D0500</v>
      </c>
      <c r="C1223" s="126">
        <v>8340</v>
      </c>
      <c r="D1223" s="126" t="s">
        <v>3201</v>
      </c>
      <c r="E1223" s="126">
        <v>444</v>
      </c>
      <c r="F1223" s="126">
        <v>0</v>
      </c>
      <c r="G1223" s="126">
        <v>279</v>
      </c>
      <c r="H1223" s="126">
        <v>0</v>
      </c>
      <c r="I1223" s="126">
        <v>62.84</v>
      </c>
      <c r="J1223" s="126">
        <v>29.3</v>
      </c>
      <c r="K1223" s="126">
        <v>0</v>
      </c>
      <c r="L1223" s="126">
        <f t="shared" si="377"/>
        <v>444</v>
      </c>
      <c r="M1223" s="126">
        <f t="shared" si="378"/>
        <v>279</v>
      </c>
      <c r="N1223" s="171">
        <f t="shared" si="379"/>
        <v>0.62839999999999996</v>
      </c>
      <c r="O1223" s="132">
        <f t="shared" si="380"/>
        <v>0</v>
      </c>
      <c r="P1223" s="177">
        <f t="shared" si="381"/>
        <v>29.3</v>
      </c>
      <c r="Q1223" s="177">
        <f t="shared" si="382"/>
        <v>29.3</v>
      </c>
      <c r="S1223" s="233" t="b">
        <f t="shared" si="383"/>
        <v>0</v>
      </c>
    </row>
    <row r="1224" spans="1:19">
      <c r="A1224" s="126" t="s">
        <v>3761</v>
      </c>
      <c r="B1224" s="126" t="str">
        <f t="shared" si="376"/>
        <v>D0500</v>
      </c>
      <c r="C1224" s="126">
        <v>8342</v>
      </c>
      <c r="D1224" s="126" t="s">
        <v>3203</v>
      </c>
      <c r="E1224" s="126">
        <v>231</v>
      </c>
      <c r="F1224" s="126">
        <v>0</v>
      </c>
      <c r="G1224" s="126">
        <v>140</v>
      </c>
      <c r="H1224" s="126">
        <v>0</v>
      </c>
      <c r="I1224" s="126">
        <v>60.61</v>
      </c>
      <c r="J1224" s="126">
        <v>14.7</v>
      </c>
      <c r="K1224" s="126">
        <v>0</v>
      </c>
      <c r="L1224" s="126">
        <f t="shared" si="377"/>
        <v>231</v>
      </c>
      <c r="M1224" s="126">
        <f t="shared" si="378"/>
        <v>140</v>
      </c>
      <c r="N1224" s="171">
        <f t="shared" si="379"/>
        <v>0.60609999999999997</v>
      </c>
      <c r="O1224" s="132">
        <f t="shared" si="380"/>
        <v>0</v>
      </c>
      <c r="P1224" s="177">
        <f t="shared" si="381"/>
        <v>14.7</v>
      </c>
      <c r="Q1224" s="177">
        <f t="shared" si="382"/>
        <v>14.7</v>
      </c>
      <c r="S1224" s="233" t="b">
        <f t="shared" si="383"/>
        <v>0</v>
      </c>
    </row>
    <row r="1225" spans="1:19">
      <c r="A1225" s="126" t="s">
        <v>3761</v>
      </c>
      <c r="B1225" s="126" t="str">
        <f t="shared" si="376"/>
        <v>D0500</v>
      </c>
      <c r="C1225" s="126">
        <v>8346</v>
      </c>
      <c r="D1225" s="126" t="s">
        <v>3205</v>
      </c>
      <c r="E1225" s="126">
        <v>324</v>
      </c>
      <c r="F1225" s="126">
        <v>0</v>
      </c>
      <c r="G1225" s="126">
        <v>202</v>
      </c>
      <c r="H1225" s="126">
        <v>0</v>
      </c>
      <c r="I1225" s="126">
        <v>62.35</v>
      </c>
      <c r="J1225" s="126">
        <v>21.2</v>
      </c>
      <c r="K1225" s="126">
        <v>0</v>
      </c>
      <c r="L1225" s="126">
        <f t="shared" si="377"/>
        <v>324</v>
      </c>
      <c r="M1225" s="126">
        <f t="shared" si="378"/>
        <v>202</v>
      </c>
      <c r="N1225" s="171">
        <f t="shared" si="379"/>
        <v>0.62350000000000005</v>
      </c>
      <c r="O1225" s="132">
        <f t="shared" si="380"/>
        <v>0</v>
      </c>
      <c r="P1225" s="177">
        <f t="shared" si="381"/>
        <v>21.2</v>
      </c>
      <c r="Q1225" s="177">
        <f t="shared" si="382"/>
        <v>21.2</v>
      </c>
      <c r="S1225" s="233" t="b">
        <f t="shared" si="383"/>
        <v>0</v>
      </c>
    </row>
    <row r="1226" spans="1:19">
      <c r="A1226" s="126" t="s">
        <v>3761</v>
      </c>
      <c r="B1226" s="126" t="str">
        <f t="shared" si="376"/>
        <v>D0500</v>
      </c>
      <c r="C1226" s="126">
        <v>8348</v>
      </c>
      <c r="D1226" s="126" t="s">
        <v>3207</v>
      </c>
      <c r="E1226" s="126">
        <v>341</v>
      </c>
      <c r="F1226" s="126">
        <v>0</v>
      </c>
      <c r="G1226" s="126">
        <v>177</v>
      </c>
      <c r="H1226" s="126">
        <v>0</v>
      </c>
      <c r="I1226" s="126">
        <v>51.91</v>
      </c>
      <c r="J1226" s="126">
        <v>18.600000000000001</v>
      </c>
      <c r="K1226" s="126">
        <v>0</v>
      </c>
      <c r="L1226" s="126">
        <f t="shared" si="377"/>
        <v>341</v>
      </c>
      <c r="M1226" s="126">
        <f t="shared" si="378"/>
        <v>177</v>
      </c>
      <c r="N1226" s="171">
        <f t="shared" si="379"/>
        <v>0.51910000000000001</v>
      </c>
      <c r="O1226" s="132">
        <f t="shared" si="380"/>
        <v>0</v>
      </c>
      <c r="P1226" s="177">
        <f t="shared" si="381"/>
        <v>18.600000000000001</v>
      </c>
      <c r="Q1226" s="177">
        <f t="shared" si="382"/>
        <v>18.600000000000001</v>
      </c>
      <c r="S1226" s="233" t="b">
        <f t="shared" si="383"/>
        <v>0</v>
      </c>
    </row>
    <row r="1227" spans="1:19">
      <c r="A1227" s="126" t="s">
        <v>3761</v>
      </c>
      <c r="B1227" s="126" t="str">
        <f t="shared" si="376"/>
        <v>D0500</v>
      </c>
      <c r="C1227" s="126">
        <v>8350</v>
      </c>
      <c r="D1227" s="126" t="s">
        <v>3209</v>
      </c>
      <c r="E1227" s="126">
        <v>1084</v>
      </c>
      <c r="F1227" s="126">
        <v>0</v>
      </c>
      <c r="G1227" s="126">
        <v>590</v>
      </c>
      <c r="H1227" s="126">
        <v>0</v>
      </c>
      <c r="I1227" s="126">
        <v>54.43</v>
      </c>
      <c r="J1227" s="126">
        <v>61.9</v>
      </c>
      <c r="K1227" s="126">
        <v>0</v>
      </c>
      <c r="L1227" s="126">
        <f t="shared" si="377"/>
        <v>1084</v>
      </c>
      <c r="M1227" s="126">
        <f t="shared" si="378"/>
        <v>590</v>
      </c>
      <c r="N1227" s="171">
        <f t="shared" si="379"/>
        <v>0.54430000000000001</v>
      </c>
      <c r="O1227" s="132">
        <f t="shared" si="380"/>
        <v>0</v>
      </c>
      <c r="P1227" s="177">
        <f t="shared" si="381"/>
        <v>62</v>
      </c>
      <c r="Q1227" s="177">
        <f t="shared" si="382"/>
        <v>62</v>
      </c>
      <c r="S1227" s="233" t="b">
        <f t="shared" si="383"/>
        <v>0</v>
      </c>
    </row>
    <row r="1228" spans="1:19">
      <c r="A1228" s="126" t="s">
        <v>3761</v>
      </c>
      <c r="B1228" s="126" t="str">
        <f t="shared" si="376"/>
        <v>D0500</v>
      </c>
      <c r="C1228" s="126">
        <v>8352</v>
      </c>
      <c r="D1228" s="126" t="s">
        <v>3211</v>
      </c>
      <c r="E1228" s="126">
        <v>503</v>
      </c>
      <c r="F1228" s="126">
        <v>0</v>
      </c>
      <c r="G1228" s="126">
        <v>358</v>
      </c>
      <c r="H1228" s="126">
        <v>0</v>
      </c>
      <c r="I1228" s="126">
        <v>71.17</v>
      </c>
      <c r="J1228" s="126">
        <v>37.6</v>
      </c>
      <c r="K1228" s="126">
        <v>0</v>
      </c>
      <c r="L1228" s="126">
        <f t="shared" si="377"/>
        <v>503</v>
      </c>
      <c r="M1228" s="126">
        <f t="shared" si="378"/>
        <v>358</v>
      </c>
      <c r="N1228" s="171">
        <f t="shared" si="379"/>
        <v>0.7117</v>
      </c>
      <c r="O1228" s="132">
        <f t="shared" si="380"/>
        <v>0</v>
      </c>
      <c r="P1228" s="177">
        <f t="shared" si="381"/>
        <v>37.6</v>
      </c>
      <c r="Q1228" s="177">
        <f t="shared" si="382"/>
        <v>37.6</v>
      </c>
      <c r="S1228" s="233" t="b">
        <f t="shared" si="383"/>
        <v>0</v>
      </c>
    </row>
    <row r="1229" spans="1:19">
      <c r="A1229" s="126" t="s">
        <v>3761</v>
      </c>
      <c r="B1229" s="126" t="str">
        <f t="shared" si="376"/>
        <v>D0500</v>
      </c>
      <c r="C1229" s="126">
        <v>8354</v>
      </c>
      <c r="D1229" s="126" t="s">
        <v>3213</v>
      </c>
      <c r="E1229" s="126">
        <v>261</v>
      </c>
      <c r="F1229" s="126">
        <v>0</v>
      </c>
      <c r="G1229" s="126">
        <v>120</v>
      </c>
      <c r="H1229" s="126">
        <v>0</v>
      </c>
      <c r="I1229" s="126">
        <v>45.98</v>
      </c>
      <c r="J1229" s="126">
        <v>0</v>
      </c>
      <c r="K1229" s="126">
        <v>9.1999999999999993</v>
      </c>
      <c r="L1229" s="126">
        <f t="shared" si="377"/>
        <v>261</v>
      </c>
      <c r="M1229" s="126">
        <f t="shared" si="378"/>
        <v>120</v>
      </c>
      <c r="N1229" s="171">
        <f t="shared" si="379"/>
        <v>0.45979999999999999</v>
      </c>
      <c r="O1229" s="132">
        <f t="shared" si="380"/>
        <v>9.1999999999999993</v>
      </c>
      <c r="P1229" s="177">
        <f t="shared" si="381"/>
        <v>0</v>
      </c>
      <c r="Q1229" s="177">
        <f t="shared" si="382"/>
        <v>9.1999999999999993</v>
      </c>
      <c r="S1229" s="233" t="b">
        <f t="shared" si="383"/>
        <v>0</v>
      </c>
    </row>
    <row r="1230" spans="1:19">
      <c r="A1230" s="126" t="s">
        <v>3761</v>
      </c>
      <c r="B1230" s="126" t="str">
        <f t="shared" si="376"/>
        <v>D0500</v>
      </c>
      <c r="C1230" s="126">
        <v>8358</v>
      </c>
      <c r="D1230" s="126" t="s">
        <v>3215</v>
      </c>
      <c r="E1230" s="126">
        <v>626</v>
      </c>
      <c r="F1230" s="126">
        <v>0</v>
      </c>
      <c r="G1230" s="126">
        <v>474</v>
      </c>
      <c r="H1230" s="126">
        <v>0</v>
      </c>
      <c r="I1230" s="126">
        <v>75.72</v>
      </c>
      <c r="J1230" s="126">
        <v>49.8</v>
      </c>
      <c r="K1230" s="126">
        <v>0</v>
      </c>
      <c r="L1230" s="126">
        <f t="shared" si="377"/>
        <v>626</v>
      </c>
      <c r="M1230" s="126">
        <f t="shared" si="378"/>
        <v>474</v>
      </c>
      <c r="N1230" s="171">
        <f t="shared" si="379"/>
        <v>0.75719999999999998</v>
      </c>
      <c r="O1230" s="132">
        <f t="shared" si="380"/>
        <v>0</v>
      </c>
      <c r="P1230" s="177">
        <f t="shared" si="381"/>
        <v>49.8</v>
      </c>
      <c r="Q1230" s="177">
        <f t="shared" si="382"/>
        <v>49.8</v>
      </c>
      <c r="S1230" s="233" t="b">
        <f t="shared" si="383"/>
        <v>0</v>
      </c>
    </row>
    <row r="1231" spans="1:19">
      <c r="A1231" s="126" t="s">
        <v>3761</v>
      </c>
      <c r="B1231" s="126" t="str">
        <f t="shared" si="376"/>
        <v>D0500</v>
      </c>
      <c r="C1231" s="126">
        <v>8402</v>
      </c>
      <c r="D1231" s="126" t="s">
        <v>3217</v>
      </c>
      <c r="E1231" s="126">
        <v>66</v>
      </c>
      <c r="F1231" s="126">
        <v>0</v>
      </c>
      <c r="G1231" s="126">
        <v>40</v>
      </c>
      <c r="H1231" s="126">
        <v>0</v>
      </c>
      <c r="I1231" s="126">
        <v>60.61</v>
      </c>
      <c r="J1231" s="126">
        <v>4.2</v>
      </c>
      <c r="K1231" s="126">
        <v>0</v>
      </c>
      <c r="L1231" s="126">
        <f t="shared" si="377"/>
        <v>66</v>
      </c>
      <c r="M1231" s="126">
        <f t="shared" si="378"/>
        <v>40</v>
      </c>
      <c r="N1231" s="171">
        <f t="shared" si="379"/>
        <v>0.60609999999999997</v>
      </c>
      <c r="O1231" s="132">
        <f t="shared" si="380"/>
        <v>0</v>
      </c>
      <c r="P1231" s="177">
        <f t="shared" si="381"/>
        <v>4.2</v>
      </c>
      <c r="Q1231" s="177">
        <f t="shared" si="382"/>
        <v>4.2</v>
      </c>
      <c r="S1231" s="233" t="b">
        <f t="shared" si="383"/>
        <v>0</v>
      </c>
    </row>
    <row r="1232" spans="1:19">
      <c r="A1232" s="126" t="s">
        <v>3761</v>
      </c>
      <c r="B1232" s="126" t="str">
        <f t="shared" si="376"/>
        <v>D0500</v>
      </c>
      <c r="C1232" s="126">
        <v>8403</v>
      </c>
      <c r="D1232" s="126" t="s">
        <v>3219</v>
      </c>
      <c r="E1232" s="126">
        <v>2</v>
      </c>
      <c r="F1232" s="126">
        <v>0</v>
      </c>
      <c r="H1232" s="126">
        <v>0</v>
      </c>
      <c r="J1232" s="126">
        <v>0</v>
      </c>
      <c r="K1232" s="126">
        <v>0</v>
      </c>
      <c r="L1232" s="126">
        <f t="shared" si="377"/>
        <v>2</v>
      </c>
      <c r="M1232" s="126">
        <f t="shared" si="378"/>
        <v>0</v>
      </c>
      <c r="N1232" s="171">
        <f t="shared" si="379"/>
        <v>0</v>
      </c>
      <c r="O1232" s="132">
        <f t="shared" si="380"/>
        <v>0</v>
      </c>
      <c r="P1232" s="177">
        <f t="shared" si="381"/>
        <v>0</v>
      </c>
      <c r="Q1232" s="177">
        <f t="shared" si="382"/>
        <v>0</v>
      </c>
      <c r="S1232" s="233" t="b">
        <f t="shared" si="383"/>
        <v>0</v>
      </c>
    </row>
    <row r="1233" spans="1:19">
      <c r="A1233" s="126" t="s">
        <v>3761</v>
      </c>
      <c r="B1233" s="126" t="str">
        <f t="shared" si="376"/>
        <v>D0500</v>
      </c>
      <c r="C1233" s="126">
        <v>8405</v>
      </c>
      <c r="D1233" s="126" t="s">
        <v>3221</v>
      </c>
      <c r="E1233" s="126">
        <v>52</v>
      </c>
      <c r="F1233" s="126">
        <v>0</v>
      </c>
      <c r="G1233" s="126">
        <v>18</v>
      </c>
      <c r="H1233" s="126">
        <v>0</v>
      </c>
      <c r="I1233" s="126">
        <v>34.619999999999997</v>
      </c>
      <c r="J1233" s="126">
        <v>0</v>
      </c>
      <c r="K1233" s="126">
        <v>0</v>
      </c>
      <c r="L1233" s="126">
        <f t="shared" si="377"/>
        <v>52</v>
      </c>
      <c r="M1233" s="126">
        <f t="shared" si="378"/>
        <v>18</v>
      </c>
      <c r="N1233" s="171">
        <f t="shared" si="379"/>
        <v>0.34620000000000001</v>
      </c>
      <c r="O1233" s="132">
        <f t="shared" si="380"/>
        <v>0</v>
      </c>
      <c r="P1233" s="177">
        <f t="shared" si="381"/>
        <v>0</v>
      </c>
      <c r="Q1233" s="177">
        <f t="shared" si="382"/>
        <v>0</v>
      </c>
      <c r="S1233" s="233" t="b">
        <f t="shared" si="383"/>
        <v>0</v>
      </c>
    </row>
    <row r="1234" spans="1:19">
      <c r="A1234" s="126" t="s">
        <v>3761</v>
      </c>
      <c r="B1234" s="126" t="str">
        <f t="shared" si="376"/>
        <v>D0500</v>
      </c>
      <c r="C1234" s="126">
        <v>8406</v>
      </c>
      <c r="D1234" s="126" t="s">
        <v>3223</v>
      </c>
      <c r="E1234" s="126">
        <v>36</v>
      </c>
      <c r="F1234" s="126">
        <v>0</v>
      </c>
      <c r="G1234" s="126">
        <v>24</v>
      </c>
      <c r="H1234" s="126">
        <v>0</v>
      </c>
      <c r="I1234" s="126">
        <v>66.67</v>
      </c>
      <c r="J1234" s="126">
        <v>2.5</v>
      </c>
      <c r="K1234" s="126">
        <v>0</v>
      </c>
      <c r="L1234" s="126">
        <f t="shared" si="377"/>
        <v>36</v>
      </c>
      <c r="M1234" s="126">
        <f t="shared" si="378"/>
        <v>24</v>
      </c>
      <c r="N1234" s="171">
        <f t="shared" si="379"/>
        <v>0.66669999999999996</v>
      </c>
      <c r="O1234" s="132">
        <f t="shared" si="380"/>
        <v>0</v>
      </c>
      <c r="P1234" s="177">
        <f t="shared" si="381"/>
        <v>2.5</v>
      </c>
      <c r="Q1234" s="177">
        <f t="shared" si="382"/>
        <v>2.5</v>
      </c>
      <c r="S1234" s="233" t="b">
        <f t="shared" si="383"/>
        <v>0</v>
      </c>
    </row>
    <row r="1235" spans="1:19">
      <c r="A1235" s="126" t="s">
        <v>476</v>
      </c>
      <c r="B1235" s="126" t="str">
        <f t="shared" si="376"/>
        <v>D0505</v>
      </c>
      <c r="C1235" s="126">
        <v>8370</v>
      </c>
      <c r="D1235" s="126" t="s">
        <v>3295</v>
      </c>
      <c r="E1235" s="126">
        <v>93</v>
      </c>
      <c r="F1235" s="126">
        <v>0</v>
      </c>
      <c r="G1235" s="126">
        <v>33</v>
      </c>
      <c r="H1235" s="126">
        <v>0</v>
      </c>
      <c r="I1235" s="126">
        <v>35.479999999999997</v>
      </c>
      <c r="J1235" s="126">
        <v>0</v>
      </c>
      <c r="K1235" s="126">
        <v>0.1</v>
      </c>
      <c r="L1235" s="126">
        <f t="shared" si="377"/>
        <v>93</v>
      </c>
      <c r="M1235" s="126">
        <f t="shared" si="378"/>
        <v>33</v>
      </c>
      <c r="N1235" s="171">
        <f t="shared" si="379"/>
        <v>0.3548</v>
      </c>
      <c r="O1235" s="132">
        <f t="shared" si="380"/>
        <v>0.1</v>
      </c>
      <c r="P1235" s="177">
        <f t="shared" si="381"/>
        <v>0</v>
      </c>
      <c r="Q1235" s="177">
        <f t="shared" si="382"/>
        <v>0.1</v>
      </c>
      <c r="S1235" s="233" t="b">
        <f t="shared" si="383"/>
        <v>0</v>
      </c>
    </row>
    <row r="1236" spans="1:19">
      <c r="A1236" s="126" t="s">
        <v>476</v>
      </c>
      <c r="B1236" s="126" t="str">
        <f t="shared" si="376"/>
        <v>D0505</v>
      </c>
      <c r="C1236" s="126">
        <v>8372</v>
      </c>
      <c r="D1236" s="126" t="s">
        <v>3297</v>
      </c>
      <c r="E1236" s="126">
        <v>68</v>
      </c>
      <c r="F1236" s="126">
        <v>0</v>
      </c>
      <c r="G1236" s="126">
        <v>22</v>
      </c>
      <c r="H1236" s="126">
        <v>0</v>
      </c>
      <c r="I1236" s="126">
        <v>32.35</v>
      </c>
      <c r="J1236" s="126">
        <v>0</v>
      </c>
      <c r="K1236" s="126">
        <v>0</v>
      </c>
      <c r="L1236" s="126">
        <f t="shared" si="377"/>
        <v>68</v>
      </c>
      <c r="M1236" s="126">
        <f t="shared" si="378"/>
        <v>22</v>
      </c>
      <c r="N1236" s="171">
        <f t="shared" si="379"/>
        <v>0.32350000000000001</v>
      </c>
      <c r="O1236" s="132">
        <f t="shared" si="380"/>
        <v>0</v>
      </c>
      <c r="P1236" s="177">
        <f t="shared" si="381"/>
        <v>0</v>
      </c>
      <c r="Q1236" s="177">
        <f t="shared" si="382"/>
        <v>0</v>
      </c>
      <c r="S1236" s="233" t="b">
        <f t="shared" si="383"/>
        <v>0</v>
      </c>
    </row>
    <row r="1237" spans="1:19">
      <c r="A1237" s="126" t="s">
        <v>476</v>
      </c>
      <c r="B1237" s="126" t="str">
        <f t="shared" si="376"/>
        <v>D0505</v>
      </c>
      <c r="C1237" s="126">
        <v>8373</v>
      </c>
      <c r="D1237" s="126" t="s">
        <v>3299</v>
      </c>
      <c r="E1237" s="126">
        <v>61</v>
      </c>
      <c r="F1237" s="126">
        <v>0</v>
      </c>
      <c r="G1237" s="126">
        <v>18</v>
      </c>
      <c r="H1237" s="126">
        <v>0</v>
      </c>
      <c r="I1237" s="126">
        <v>29.51</v>
      </c>
      <c r="J1237" s="126">
        <v>0</v>
      </c>
      <c r="K1237" s="126">
        <v>0</v>
      </c>
      <c r="L1237" s="126">
        <f t="shared" si="377"/>
        <v>61</v>
      </c>
      <c r="M1237" s="126">
        <f t="shared" si="378"/>
        <v>18</v>
      </c>
      <c r="N1237" s="171">
        <f t="shared" si="379"/>
        <v>0.29509999999999997</v>
      </c>
      <c r="O1237" s="132">
        <f t="shared" si="380"/>
        <v>0</v>
      </c>
      <c r="P1237" s="177">
        <f t="shared" si="381"/>
        <v>0</v>
      </c>
      <c r="Q1237" s="177">
        <f t="shared" si="382"/>
        <v>0</v>
      </c>
      <c r="S1237" s="233" t="b">
        <f t="shared" si="383"/>
        <v>0</v>
      </c>
    </row>
    <row r="1238" spans="1:19">
      <c r="A1238" s="126" t="s">
        <v>476</v>
      </c>
      <c r="B1238" s="126" t="str">
        <f t="shared" si="376"/>
        <v>D0505</v>
      </c>
      <c r="C1238" s="126">
        <v>8636</v>
      </c>
      <c r="D1238" s="126" t="s">
        <v>3301</v>
      </c>
      <c r="E1238" s="126">
        <v>72</v>
      </c>
      <c r="F1238" s="126">
        <v>0</v>
      </c>
      <c r="G1238" s="126">
        <v>41</v>
      </c>
      <c r="H1238" s="126">
        <v>0</v>
      </c>
      <c r="I1238" s="126">
        <v>56.94</v>
      </c>
      <c r="J1238" s="126">
        <v>4.3</v>
      </c>
      <c r="K1238" s="126">
        <v>0</v>
      </c>
      <c r="L1238" s="126">
        <f t="shared" si="377"/>
        <v>72</v>
      </c>
      <c r="M1238" s="126">
        <f t="shared" si="378"/>
        <v>41</v>
      </c>
      <c r="N1238" s="171">
        <f t="shared" si="379"/>
        <v>0.56940000000000002</v>
      </c>
      <c r="O1238" s="132">
        <f t="shared" si="380"/>
        <v>0</v>
      </c>
      <c r="P1238" s="177">
        <f t="shared" si="381"/>
        <v>4.3</v>
      </c>
      <c r="Q1238" s="177">
        <f t="shared" si="382"/>
        <v>4.3</v>
      </c>
      <c r="S1238" s="233" t="b">
        <f t="shared" si="383"/>
        <v>0</v>
      </c>
    </row>
    <row r="1239" spans="1:19">
      <c r="A1239" s="126" t="s">
        <v>476</v>
      </c>
      <c r="B1239" s="126" t="str">
        <f t="shared" si="376"/>
        <v>D0505</v>
      </c>
      <c r="C1239" s="126">
        <v>8638</v>
      </c>
      <c r="D1239" s="126" t="s">
        <v>3303</v>
      </c>
      <c r="E1239" s="126">
        <v>103</v>
      </c>
      <c r="F1239" s="126">
        <v>0</v>
      </c>
      <c r="G1239" s="126">
        <v>54</v>
      </c>
      <c r="H1239" s="126">
        <v>0</v>
      </c>
      <c r="I1239" s="126">
        <v>52.43</v>
      </c>
      <c r="J1239" s="126">
        <v>5.7</v>
      </c>
      <c r="K1239" s="126">
        <v>0</v>
      </c>
      <c r="L1239" s="126">
        <f t="shared" si="377"/>
        <v>103</v>
      </c>
      <c r="M1239" s="126">
        <f t="shared" si="378"/>
        <v>54</v>
      </c>
      <c r="N1239" s="171">
        <f t="shared" si="379"/>
        <v>0.52429999999999999</v>
      </c>
      <c r="O1239" s="132">
        <f t="shared" si="380"/>
        <v>0</v>
      </c>
      <c r="P1239" s="177">
        <f t="shared" si="381"/>
        <v>5.7</v>
      </c>
      <c r="Q1239" s="177">
        <f t="shared" si="382"/>
        <v>5.7</v>
      </c>
      <c r="S1239" s="233" t="b">
        <f t="shared" si="383"/>
        <v>0</v>
      </c>
    </row>
    <row r="1240" spans="1:19">
      <c r="A1240" s="126" t="s">
        <v>3712</v>
      </c>
      <c r="B1240" s="126" t="str">
        <f t="shared" si="376"/>
        <v>D0506</v>
      </c>
      <c r="C1240" s="126">
        <v>8652</v>
      </c>
      <c r="D1240" s="126" t="s">
        <v>3305</v>
      </c>
      <c r="E1240" s="126">
        <v>217</v>
      </c>
      <c r="F1240" s="126">
        <v>0</v>
      </c>
      <c r="G1240" s="126">
        <v>102</v>
      </c>
      <c r="H1240" s="126">
        <v>0</v>
      </c>
      <c r="I1240" s="126">
        <v>47</v>
      </c>
      <c r="J1240" s="126">
        <v>0</v>
      </c>
      <c r="K1240" s="126">
        <v>8.6</v>
      </c>
      <c r="L1240" s="126">
        <f t="shared" si="377"/>
        <v>217</v>
      </c>
      <c r="M1240" s="126">
        <f t="shared" si="378"/>
        <v>102</v>
      </c>
      <c r="N1240" s="171">
        <f t="shared" si="379"/>
        <v>0.47</v>
      </c>
      <c r="O1240" s="132">
        <f t="shared" si="380"/>
        <v>8.6</v>
      </c>
      <c r="P1240" s="177">
        <f t="shared" si="381"/>
        <v>0</v>
      </c>
      <c r="Q1240" s="177">
        <f t="shared" si="382"/>
        <v>8.6</v>
      </c>
      <c r="S1240" s="233" t="b">
        <f t="shared" si="383"/>
        <v>0</v>
      </c>
    </row>
    <row r="1241" spans="1:19">
      <c r="A1241" s="126" t="s">
        <v>3712</v>
      </c>
      <c r="B1241" s="126" t="str">
        <f t="shared" si="376"/>
        <v>D0506</v>
      </c>
      <c r="C1241" s="126">
        <v>8654</v>
      </c>
      <c r="D1241" s="126" t="s">
        <v>3307</v>
      </c>
      <c r="E1241" s="126">
        <v>487</v>
      </c>
      <c r="F1241" s="126">
        <v>0</v>
      </c>
      <c r="G1241" s="126">
        <v>213</v>
      </c>
      <c r="H1241" s="126">
        <v>0</v>
      </c>
      <c r="I1241" s="126">
        <v>43.74</v>
      </c>
      <c r="J1241" s="126">
        <v>0</v>
      </c>
      <c r="K1241" s="126">
        <v>13</v>
      </c>
      <c r="L1241" s="126">
        <f t="shared" si="377"/>
        <v>487</v>
      </c>
      <c r="M1241" s="126">
        <f t="shared" si="378"/>
        <v>213</v>
      </c>
      <c r="N1241" s="171">
        <f t="shared" si="379"/>
        <v>0.43740000000000001</v>
      </c>
      <c r="O1241" s="132">
        <f t="shared" si="380"/>
        <v>13</v>
      </c>
      <c r="P1241" s="177">
        <f t="shared" si="381"/>
        <v>0</v>
      </c>
      <c r="Q1241" s="177">
        <f t="shared" si="382"/>
        <v>13</v>
      </c>
      <c r="S1241" s="233" t="b">
        <f t="shared" si="383"/>
        <v>0</v>
      </c>
    </row>
    <row r="1242" spans="1:19">
      <c r="A1242" s="126" t="s">
        <v>3712</v>
      </c>
      <c r="B1242" s="126" t="str">
        <f t="shared" si="376"/>
        <v>D0506</v>
      </c>
      <c r="C1242" s="126">
        <v>8658</v>
      </c>
      <c r="D1242" s="126" t="s">
        <v>3309</v>
      </c>
      <c r="E1242" s="126">
        <v>130</v>
      </c>
      <c r="F1242" s="126">
        <v>0</v>
      </c>
      <c r="G1242" s="126">
        <v>61</v>
      </c>
      <c r="H1242" s="126">
        <v>0</v>
      </c>
      <c r="I1242" s="126">
        <v>46.92</v>
      </c>
      <c r="J1242" s="126">
        <v>0</v>
      </c>
      <c r="K1242" s="126">
        <v>5.0999999999999996</v>
      </c>
      <c r="L1242" s="126">
        <f t="shared" si="377"/>
        <v>130</v>
      </c>
      <c r="M1242" s="126">
        <f t="shared" si="378"/>
        <v>61</v>
      </c>
      <c r="N1242" s="171">
        <f t="shared" si="379"/>
        <v>0.46920000000000001</v>
      </c>
      <c r="O1242" s="132">
        <f t="shared" si="380"/>
        <v>5.0999999999999996</v>
      </c>
      <c r="P1242" s="177">
        <f t="shared" si="381"/>
        <v>0</v>
      </c>
      <c r="Q1242" s="177">
        <f t="shared" si="382"/>
        <v>5.0999999999999996</v>
      </c>
      <c r="S1242" s="233" t="b">
        <f t="shared" si="383"/>
        <v>0</v>
      </c>
    </row>
    <row r="1243" spans="1:19">
      <c r="A1243" s="126" t="s">
        <v>3712</v>
      </c>
      <c r="B1243" s="126" t="str">
        <f t="shared" si="376"/>
        <v>D0506</v>
      </c>
      <c r="C1243" s="126">
        <v>8666</v>
      </c>
      <c r="D1243" s="126" t="s">
        <v>3311</v>
      </c>
      <c r="E1243" s="126">
        <v>168</v>
      </c>
      <c r="F1243" s="126">
        <v>0</v>
      </c>
      <c r="G1243" s="126">
        <v>69</v>
      </c>
      <c r="H1243" s="126">
        <v>0</v>
      </c>
      <c r="I1243" s="126">
        <v>41.07</v>
      </c>
      <c r="J1243" s="126">
        <v>0</v>
      </c>
      <c r="K1243" s="126">
        <v>2.9</v>
      </c>
      <c r="L1243" s="126">
        <f t="shared" si="377"/>
        <v>168</v>
      </c>
      <c r="M1243" s="126">
        <f t="shared" si="378"/>
        <v>69</v>
      </c>
      <c r="N1243" s="171">
        <f t="shared" si="379"/>
        <v>0.41070000000000001</v>
      </c>
      <c r="O1243" s="132">
        <f t="shared" si="380"/>
        <v>2.9</v>
      </c>
      <c r="P1243" s="177">
        <f t="shared" si="381"/>
        <v>0</v>
      </c>
      <c r="Q1243" s="177">
        <f t="shared" si="382"/>
        <v>2.9</v>
      </c>
      <c r="S1243" s="233" t="b">
        <f t="shared" si="383"/>
        <v>0</v>
      </c>
    </row>
    <row r="1244" spans="1:19">
      <c r="A1244" s="126" t="s">
        <v>3712</v>
      </c>
      <c r="B1244" s="126" t="str">
        <f t="shared" si="376"/>
        <v>D0506</v>
      </c>
      <c r="C1244" s="126">
        <v>8680</v>
      </c>
      <c r="D1244" s="126" t="s">
        <v>3313</v>
      </c>
      <c r="E1244" s="126">
        <v>376</v>
      </c>
      <c r="F1244" s="126">
        <v>0</v>
      </c>
      <c r="G1244" s="126">
        <v>196</v>
      </c>
      <c r="H1244" s="126">
        <v>0</v>
      </c>
      <c r="I1244" s="126">
        <v>52.13</v>
      </c>
      <c r="J1244" s="126">
        <v>20.6</v>
      </c>
      <c r="K1244" s="126">
        <v>0</v>
      </c>
      <c r="L1244" s="126">
        <f t="shared" si="377"/>
        <v>376</v>
      </c>
      <c r="M1244" s="126">
        <f t="shared" si="378"/>
        <v>196</v>
      </c>
      <c r="N1244" s="171">
        <f t="shared" si="379"/>
        <v>0.52129999999999999</v>
      </c>
      <c r="O1244" s="132">
        <f t="shared" si="380"/>
        <v>0</v>
      </c>
      <c r="P1244" s="177">
        <f t="shared" si="381"/>
        <v>20.6</v>
      </c>
      <c r="Q1244" s="177">
        <f t="shared" si="382"/>
        <v>20.6</v>
      </c>
      <c r="S1244" s="233" t="b">
        <f t="shared" si="383"/>
        <v>0</v>
      </c>
    </row>
    <row r="1245" spans="1:19">
      <c r="A1245" s="126" t="s">
        <v>3712</v>
      </c>
      <c r="B1245" s="126" t="str">
        <f t="shared" si="376"/>
        <v>D0506</v>
      </c>
      <c r="C1245" s="126">
        <v>8684</v>
      </c>
      <c r="D1245" s="126" t="s">
        <v>3315</v>
      </c>
      <c r="E1245" s="126">
        <v>162</v>
      </c>
      <c r="F1245" s="126">
        <v>0</v>
      </c>
      <c r="G1245" s="126">
        <v>80</v>
      </c>
      <c r="H1245" s="126">
        <v>0</v>
      </c>
      <c r="I1245" s="126">
        <v>49.38</v>
      </c>
      <c r="J1245" s="126">
        <v>0</v>
      </c>
      <c r="K1245" s="126">
        <v>8.1</v>
      </c>
      <c r="L1245" s="126">
        <f t="shared" si="377"/>
        <v>162</v>
      </c>
      <c r="M1245" s="126">
        <f t="shared" si="378"/>
        <v>80</v>
      </c>
      <c r="N1245" s="171">
        <f t="shared" si="379"/>
        <v>0.49380000000000002</v>
      </c>
      <c r="O1245" s="132">
        <f t="shared" si="380"/>
        <v>8.1</v>
      </c>
      <c r="P1245" s="177">
        <f t="shared" si="381"/>
        <v>0</v>
      </c>
      <c r="Q1245" s="177">
        <f t="shared" si="382"/>
        <v>8.1</v>
      </c>
      <c r="S1245" s="233" t="b">
        <f t="shared" si="383"/>
        <v>0</v>
      </c>
    </row>
    <row r="1246" spans="1:19">
      <c r="A1246" s="126" t="s">
        <v>3943</v>
      </c>
      <c r="B1246" s="126" t="str">
        <f t="shared" si="376"/>
        <v>D0260</v>
      </c>
      <c r="C1246" s="126">
        <v>1926</v>
      </c>
      <c r="D1246" s="126" t="s">
        <v>1678</v>
      </c>
      <c r="E1246" s="126">
        <v>863</v>
      </c>
      <c r="F1246" s="126">
        <v>1</v>
      </c>
      <c r="G1246" s="126">
        <v>317</v>
      </c>
      <c r="H1246" s="126">
        <v>0</v>
      </c>
      <c r="I1246" s="126">
        <v>36.69</v>
      </c>
      <c r="J1246" s="126">
        <v>0</v>
      </c>
      <c r="K1246" s="126">
        <v>3.8</v>
      </c>
      <c r="L1246" s="126">
        <f t="shared" ref="L1246:L1276" si="384">SUM(E1246:F1246)</f>
        <v>864</v>
      </c>
      <c r="M1246" s="312">
        <f>G1246</f>
        <v>317</v>
      </c>
      <c r="N1246" s="171">
        <f t="shared" ref="N1246:N1276" si="385">IF(ISERROR(M1246/L1246),0,M1246/L1246)</f>
        <v>0.3669</v>
      </c>
      <c r="O1246" s="132">
        <f t="shared" ref="O1246:O1276" si="386">IF(AND((N1246-35%)&gt;0,N1246&lt;50%),M1246*(N1246-35%)*0.7,0)</f>
        <v>3.8</v>
      </c>
      <c r="P1246" s="177">
        <f t="shared" ref="P1246:P1276" si="387">IF(N1246&gt;=50%,M1246*10.5%,0)</f>
        <v>0</v>
      </c>
      <c r="Q1246" s="177">
        <f t="shared" ref="Q1246:Q1276" si="388">MAX(O1246,P1246)</f>
        <v>3.8</v>
      </c>
      <c r="S1246" s="233" t="b">
        <f t="shared" si="383"/>
        <v>0</v>
      </c>
    </row>
    <row r="1247" spans="1:19">
      <c r="A1247" s="126" t="s">
        <v>3943</v>
      </c>
      <c r="B1247" s="126" t="str">
        <f t="shared" si="376"/>
        <v>D0260</v>
      </c>
      <c r="C1247" s="126">
        <v>1927</v>
      </c>
      <c r="D1247" s="126" t="s">
        <v>1680</v>
      </c>
      <c r="E1247" s="126">
        <v>298</v>
      </c>
      <c r="F1247" s="126">
        <v>1</v>
      </c>
      <c r="G1247" s="126">
        <v>69</v>
      </c>
      <c r="H1247" s="126">
        <v>0</v>
      </c>
      <c r="I1247" s="126">
        <v>23.08</v>
      </c>
      <c r="J1247" s="126">
        <v>0</v>
      </c>
      <c r="K1247" s="126">
        <v>0</v>
      </c>
      <c r="L1247" s="126">
        <f t="shared" si="384"/>
        <v>299</v>
      </c>
      <c r="M1247" s="312">
        <f t="shared" ref="M1247:M1257" si="389">G1247</f>
        <v>69</v>
      </c>
      <c r="N1247" s="171">
        <f t="shared" si="385"/>
        <v>0.23080000000000001</v>
      </c>
      <c r="O1247" s="132">
        <f t="shared" si="386"/>
        <v>0</v>
      </c>
      <c r="P1247" s="177">
        <f t="shared" si="387"/>
        <v>0</v>
      </c>
      <c r="Q1247" s="177">
        <f t="shared" si="388"/>
        <v>0</v>
      </c>
      <c r="S1247" s="233" t="b">
        <f t="shared" si="383"/>
        <v>0</v>
      </c>
    </row>
    <row r="1248" spans="1:19">
      <c r="A1248" s="126" t="s">
        <v>3943</v>
      </c>
      <c r="B1248" s="126" t="str">
        <f t="shared" si="376"/>
        <v>D0260</v>
      </c>
      <c r="C1248" s="126">
        <v>1928</v>
      </c>
      <c r="D1248" s="126" t="s">
        <v>1682</v>
      </c>
      <c r="E1248" s="126">
        <v>260</v>
      </c>
      <c r="F1248" s="126">
        <v>1</v>
      </c>
      <c r="G1248" s="126">
        <v>207</v>
      </c>
      <c r="H1248" s="126">
        <v>0</v>
      </c>
      <c r="I1248" s="126">
        <v>79.31</v>
      </c>
      <c r="J1248" s="126">
        <v>21.7</v>
      </c>
      <c r="K1248" s="126">
        <v>0</v>
      </c>
      <c r="L1248" s="126">
        <f t="shared" si="384"/>
        <v>261</v>
      </c>
      <c r="M1248" s="312">
        <f t="shared" si="389"/>
        <v>207</v>
      </c>
      <c r="N1248" s="171">
        <f t="shared" si="385"/>
        <v>0.79310000000000003</v>
      </c>
      <c r="O1248" s="132">
        <f t="shared" si="386"/>
        <v>0</v>
      </c>
      <c r="P1248" s="177">
        <f t="shared" si="387"/>
        <v>21.7</v>
      </c>
      <c r="Q1248" s="177">
        <f t="shared" si="388"/>
        <v>21.7</v>
      </c>
      <c r="S1248" s="233" t="b">
        <f t="shared" si="383"/>
        <v>0</v>
      </c>
    </row>
    <row r="1249" spans="1:19">
      <c r="A1249" s="126" t="s">
        <v>3943</v>
      </c>
      <c r="B1249" s="126" t="str">
        <f t="shared" si="376"/>
        <v>D0260</v>
      </c>
      <c r="C1249" s="126">
        <v>1930</v>
      </c>
      <c r="D1249" s="126" t="s">
        <v>1684</v>
      </c>
      <c r="E1249" s="126">
        <v>314</v>
      </c>
      <c r="F1249" s="126">
        <v>0</v>
      </c>
      <c r="G1249" s="126">
        <v>231</v>
      </c>
      <c r="H1249" s="126">
        <v>0</v>
      </c>
      <c r="I1249" s="126">
        <v>73.569999999999993</v>
      </c>
      <c r="J1249" s="126">
        <v>24.3</v>
      </c>
      <c r="K1249" s="126">
        <v>0</v>
      </c>
      <c r="L1249" s="126">
        <f t="shared" si="384"/>
        <v>314</v>
      </c>
      <c r="M1249" s="312">
        <f t="shared" si="389"/>
        <v>231</v>
      </c>
      <c r="N1249" s="171">
        <f t="shared" si="385"/>
        <v>0.73570000000000002</v>
      </c>
      <c r="O1249" s="132">
        <f t="shared" si="386"/>
        <v>0</v>
      </c>
      <c r="P1249" s="177">
        <f t="shared" si="387"/>
        <v>24.3</v>
      </c>
      <c r="Q1249" s="177">
        <f t="shared" si="388"/>
        <v>24.3</v>
      </c>
      <c r="S1249" s="233" t="b">
        <f t="shared" si="383"/>
        <v>0</v>
      </c>
    </row>
    <row r="1250" spans="1:19">
      <c r="A1250" s="126" t="s">
        <v>3943</v>
      </c>
      <c r="B1250" s="126" t="str">
        <f t="shared" si="376"/>
        <v>D0260</v>
      </c>
      <c r="C1250" s="126">
        <v>1932</v>
      </c>
      <c r="D1250" s="126" t="s">
        <v>1686</v>
      </c>
      <c r="E1250" s="126">
        <v>260</v>
      </c>
      <c r="F1250" s="126">
        <v>1</v>
      </c>
      <c r="G1250" s="126">
        <v>105</v>
      </c>
      <c r="H1250" s="126">
        <v>0</v>
      </c>
      <c r="I1250" s="126">
        <v>40.229999999999997</v>
      </c>
      <c r="J1250" s="126">
        <v>0</v>
      </c>
      <c r="K1250" s="126">
        <v>3.8</v>
      </c>
      <c r="L1250" s="126">
        <f t="shared" si="384"/>
        <v>261</v>
      </c>
      <c r="M1250" s="312">
        <f t="shared" si="389"/>
        <v>105</v>
      </c>
      <c r="N1250" s="171">
        <f t="shared" si="385"/>
        <v>0.40229999999999999</v>
      </c>
      <c r="O1250" s="132">
        <f t="shared" si="386"/>
        <v>3.8</v>
      </c>
      <c r="P1250" s="177">
        <f t="shared" si="387"/>
        <v>0</v>
      </c>
      <c r="Q1250" s="177">
        <f t="shared" si="388"/>
        <v>3.8</v>
      </c>
      <c r="S1250" s="233" t="b">
        <f t="shared" si="383"/>
        <v>0</v>
      </c>
    </row>
    <row r="1251" spans="1:19">
      <c r="A1251" s="126" t="s">
        <v>3943</v>
      </c>
      <c r="B1251" s="126" t="str">
        <f t="shared" si="376"/>
        <v>D0260</v>
      </c>
      <c r="C1251" s="126">
        <v>1934</v>
      </c>
      <c r="D1251" s="126" t="s">
        <v>1688</v>
      </c>
      <c r="E1251" s="126">
        <v>440</v>
      </c>
      <c r="F1251" s="126">
        <v>5</v>
      </c>
      <c r="G1251" s="126">
        <v>157</v>
      </c>
      <c r="H1251" s="126">
        <v>0</v>
      </c>
      <c r="I1251" s="126">
        <v>35.28</v>
      </c>
      <c r="J1251" s="126">
        <v>0</v>
      </c>
      <c r="K1251" s="126">
        <v>0.3</v>
      </c>
      <c r="L1251" s="126">
        <f t="shared" si="384"/>
        <v>445</v>
      </c>
      <c r="M1251" s="312">
        <f t="shared" si="389"/>
        <v>157</v>
      </c>
      <c r="N1251" s="171">
        <f t="shared" si="385"/>
        <v>0.3528</v>
      </c>
      <c r="O1251" s="132">
        <f t="shared" si="386"/>
        <v>0.3</v>
      </c>
      <c r="P1251" s="177">
        <f t="shared" si="387"/>
        <v>0</v>
      </c>
      <c r="Q1251" s="177">
        <f t="shared" si="388"/>
        <v>0.3</v>
      </c>
      <c r="S1251" s="233" t="b">
        <f t="shared" si="383"/>
        <v>0</v>
      </c>
    </row>
    <row r="1252" spans="1:19">
      <c r="A1252" s="126" t="s">
        <v>3943</v>
      </c>
      <c r="B1252" s="126" t="str">
        <f t="shared" si="376"/>
        <v>D0260</v>
      </c>
      <c r="C1252" s="126">
        <v>1936</v>
      </c>
      <c r="D1252" s="126" t="s">
        <v>1690</v>
      </c>
      <c r="E1252" s="126">
        <v>456</v>
      </c>
      <c r="F1252" s="126">
        <v>13</v>
      </c>
      <c r="G1252" s="126">
        <v>175</v>
      </c>
      <c r="H1252" s="126">
        <v>6</v>
      </c>
      <c r="I1252" s="126">
        <v>37.31</v>
      </c>
      <c r="J1252" s="126">
        <v>0</v>
      </c>
      <c r="K1252" s="126">
        <v>2.8</v>
      </c>
      <c r="L1252" s="126">
        <f t="shared" si="384"/>
        <v>469</v>
      </c>
      <c r="M1252" s="312">
        <f t="shared" si="389"/>
        <v>175</v>
      </c>
      <c r="N1252" s="171">
        <f t="shared" si="385"/>
        <v>0.37309999999999999</v>
      </c>
      <c r="O1252" s="132">
        <f t="shared" si="386"/>
        <v>2.8</v>
      </c>
      <c r="P1252" s="177">
        <f t="shared" si="387"/>
        <v>0</v>
      </c>
      <c r="Q1252" s="177">
        <f t="shared" si="388"/>
        <v>2.8</v>
      </c>
      <c r="S1252" s="233" t="b">
        <f t="shared" si="383"/>
        <v>0</v>
      </c>
    </row>
    <row r="1253" spans="1:19">
      <c r="A1253" s="126" t="s">
        <v>3943</v>
      </c>
      <c r="B1253" s="126" t="str">
        <f t="shared" ref="B1253:B1309" si="390">LEFT(A1253,5)</f>
        <v>D0260</v>
      </c>
      <c r="C1253" s="126">
        <v>1941</v>
      </c>
      <c r="D1253" s="126" t="s">
        <v>1692</v>
      </c>
      <c r="E1253" s="126">
        <v>567</v>
      </c>
      <c r="F1253" s="126">
        <v>4</v>
      </c>
      <c r="G1253" s="126">
        <v>93</v>
      </c>
      <c r="H1253" s="126">
        <v>1</v>
      </c>
      <c r="I1253" s="126">
        <v>16.29</v>
      </c>
      <c r="J1253" s="126">
        <v>0</v>
      </c>
      <c r="K1253" s="126">
        <v>0</v>
      </c>
      <c r="L1253" s="126">
        <f t="shared" si="384"/>
        <v>571</v>
      </c>
      <c r="M1253" s="312">
        <f t="shared" si="389"/>
        <v>93</v>
      </c>
      <c r="N1253" s="171">
        <f t="shared" si="385"/>
        <v>0.16289999999999999</v>
      </c>
      <c r="O1253" s="132">
        <f t="shared" si="386"/>
        <v>0</v>
      </c>
      <c r="P1253" s="177">
        <f t="shared" si="387"/>
        <v>0</v>
      </c>
      <c r="Q1253" s="177">
        <f t="shared" si="388"/>
        <v>0</v>
      </c>
      <c r="S1253" s="233" t="b">
        <f t="shared" si="383"/>
        <v>0</v>
      </c>
    </row>
    <row r="1254" spans="1:19">
      <c r="A1254" s="126" t="s">
        <v>3943</v>
      </c>
      <c r="B1254" s="126" t="str">
        <f t="shared" si="390"/>
        <v>D0260</v>
      </c>
      <c r="C1254" s="126">
        <v>1942</v>
      </c>
      <c r="D1254" s="126" t="s">
        <v>1694</v>
      </c>
      <c r="E1254" s="126">
        <v>2006</v>
      </c>
      <c r="F1254" s="126">
        <v>3</v>
      </c>
      <c r="G1254" s="126">
        <v>606</v>
      </c>
      <c r="H1254" s="126">
        <v>2</v>
      </c>
      <c r="I1254" s="126">
        <v>30.16</v>
      </c>
      <c r="J1254" s="126">
        <v>0</v>
      </c>
      <c r="K1254" s="126">
        <v>0</v>
      </c>
      <c r="L1254" s="126">
        <f t="shared" si="384"/>
        <v>2009</v>
      </c>
      <c r="M1254" s="312">
        <f t="shared" si="389"/>
        <v>606</v>
      </c>
      <c r="N1254" s="171">
        <f t="shared" si="385"/>
        <v>0.30159999999999998</v>
      </c>
      <c r="O1254" s="132">
        <f t="shared" si="386"/>
        <v>0</v>
      </c>
      <c r="P1254" s="177">
        <f t="shared" si="387"/>
        <v>0</v>
      </c>
      <c r="Q1254" s="177">
        <f t="shared" si="388"/>
        <v>0</v>
      </c>
      <c r="S1254" s="233" t="b">
        <f t="shared" si="383"/>
        <v>0</v>
      </c>
    </row>
    <row r="1255" spans="1:19">
      <c r="A1255" s="126" t="s">
        <v>3943</v>
      </c>
      <c r="B1255" s="126" t="str">
        <f t="shared" si="390"/>
        <v>D0260</v>
      </c>
      <c r="C1255" s="126">
        <v>1944</v>
      </c>
      <c r="D1255" s="126" t="s">
        <v>1696</v>
      </c>
      <c r="E1255" s="126">
        <v>592</v>
      </c>
      <c r="F1255" s="126">
        <v>3</v>
      </c>
      <c r="G1255" s="126">
        <v>97</v>
      </c>
      <c r="H1255" s="126">
        <v>2</v>
      </c>
      <c r="I1255" s="126">
        <v>16.3</v>
      </c>
      <c r="J1255" s="126">
        <v>0</v>
      </c>
      <c r="K1255" s="126">
        <v>0</v>
      </c>
      <c r="L1255" s="126">
        <f t="shared" si="384"/>
        <v>595</v>
      </c>
      <c r="M1255" s="312">
        <f t="shared" si="389"/>
        <v>97</v>
      </c>
      <c r="N1255" s="171">
        <f t="shared" si="385"/>
        <v>0.16300000000000001</v>
      </c>
      <c r="O1255" s="132">
        <f t="shared" si="386"/>
        <v>0</v>
      </c>
      <c r="P1255" s="177">
        <f t="shared" si="387"/>
        <v>0</v>
      </c>
      <c r="Q1255" s="177">
        <f t="shared" si="388"/>
        <v>0</v>
      </c>
      <c r="S1255" s="233" t="b">
        <f t="shared" si="383"/>
        <v>0</v>
      </c>
    </row>
    <row r="1256" spans="1:19">
      <c r="A1256" s="126" t="s">
        <v>3943</v>
      </c>
      <c r="B1256" s="126" t="str">
        <f t="shared" si="390"/>
        <v>D0260</v>
      </c>
      <c r="C1256" s="126">
        <v>1945</v>
      </c>
      <c r="D1256" s="126" t="s">
        <v>1698</v>
      </c>
      <c r="E1256" s="126">
        <v>365</v>
      </c>
      <c r="F1256" s="126">
        <v>2</v>
      </c>
      <c r="G1256" s="126">
        <v>69</v>
      </c>
      <c r="H1256" s="126">
        <v>0</v>
      </c>
      <c r="I1256" s="126">
        <v>18.8</v>
      </c>
      <c r="J1256" s="126">
        <v>0</v>
      </c>
      <c r="K1256" s="126">
        <v>0</v>
      </c>
      <c r="L1256" s="126">
        <f t="shared" si="384"/>
        <v>367</v>
      </c>
      <c r="M1256" s="312">
        <f t="shared" si="389"/>
        <v>69</v>
      </c>
      <c r="N1256" s="171">
        <f t="shared" si="385"/>
        <v>0.188</v>
      </c>
      <c r="O1256" s="132">
        <f t="shared" si="386"/>
        <v>0</v>
      </c>
      <c r="P1256" s="177">
        <f t="shared" si="387"/>
        <v>0</v>
      </c>
      <c r="Q1256" s="177">
        <f t="shared" si="388"/>
        <v>0</v>
      </c>
      <c r="S1256" s="233" t="b">
        <f t="shared" si="383"/>
        <v>0</v>
      </c>
    </row>
    <row r="1257" spans="1:19">
      <c r="A1257" s="126" t="s">
        <v>3943</v>
      </c>
      <c r="B1257" s="126" t="str">
        <f t="shared" si="390"/>
        <v>D0260</v>
      </c>
      <c r="C1257" s="126">
        <v>1976</v>
      </c>
      <c r="D1257" s="126" t="s">
        <v>1700</v>
      </c>
      <c r="E1257" s="126">
        <v>835</v>
      </c>
      <c r="F1257" s="126">
        <v>2</v>
      </c>
      <c r="G1257" s="126">
        <v>254</v>
      </c>
      <c r="H1257" s="126">
        <v>0</v>
      </c>
      <c r="I1257" s="126">
        <v>30.35</v>
      </c>
      <c r="J1257" s="126">
        <v>0</v>
      </c>
      <c r="K1257" s="126">
        <v>0</v>
      </c>
      <c r="L1257" s="126">
        <f t="shared" si="384"/>
        <v>837</v>
      </c>
      <c r="M1257" s="312">
        <f t="shared" si="389"/>
        <v>254</v>
      </c>
      <c r="N1257" s="171">
        <f t="shared" si="385"/>
        <v>0.30349999999999999</v>
      </c>
      <c r="O1257" s="132">
        <f t="shared" si="386"/>
        <v>0</v>
      </c>
      <c r="P1257" s="177">
        <f t="shared" si="387"/>
        <v>0</v>
      </c>
      <c r="Q1257" s="177">
        <f t="shared" si="388"/>
        <v>0</v>
      </c>
      <c r="S1257" s="233" t="b">
        <f t="shared" si="383"/>
        <v>0</v>
      </c>
    </row>
    <row r="1258" spans="1:19">
      <c r="A1258" s="126" t="s">
        <v>3885</v>
      </c>
      <c r="B1258" s="126" t="str">
        <f t="shared" si="390"/>
        <v>D0410</v>
      </c>
      <c r="C1258" s="126">
        <v>5812</v>
      </c>
      <c r="D1258" s="126" t="s">
        <v>2558</v>
      </c>
      <c r="E1258" s="126">
        <v>294</v>
      </c>
      <c r="F1258" s="126">
        <v>0</v>
      </c>
      <c r="G1258" s="126">
        <v>88</v>
      </c>
      <c r="H1258" s="126">
        <v>0</v>
      </c>
      <c r="I1258" s="126">
        <v>29.93</v>
      </c>
      <c r="J1258" s="126">
        <v>0</v>
      </c>
      <c r="K1258" s="126">
        <v>0</v>
      </c>
      <c r="L1258" s="126">
        <f t="shared" si="384"/>
        <v>294</v>
      </c>
      <c r="M1258" s="312">
        <f t="shared" ref="M1258:M1259" si="391">SUM(G1258:H1258)</f>
        <v>88</v>
      </c>
      <c r="N1258" s="171">
        <f t="shared" si="385"/>
        <v>0.29930000000000001</v>
      </c>
      <c r="O1258" s="132">
        <f t="shared" si="386"/>
        <v>0</v>
      </c>
      <c r="P1258" s="177">
        <f t="shared" si="387"/>
        <v>0</v>
      </c>
      <c r="Q1258" s="177">
        <f t="shared" si="388"/>
        <v>0</v>
      </c>
      <c r="S1258" s="233" t="b">
        <f t="shared" si="383"/>
        <v>0</v>
      </c>
    </row>
    <row r="1259" spans="1:19">
      <c r="A1259" s="126" t="s">
        <v>3885</v>
      </c>
      <c r="B1259" s="126" t="str">
        <f t="shared" si="390"/>
        <v>D0410</v>
      </c>
      <c r="C1259" s="126">
        <v>5814</v>
      </c>
      <c r="D1259" s="126" t="s">
        <v>2560</v>
      </c>
      <c r="E1259" s="126">
        <v>295</v>
      </c>
      <c r="F1259" s="126">
        <v>0</v>
      </c>
      <c r="G1259" s="126">
        <v>70</v>
      </c>
      <c r="H1259" s="126">
        <v>0</v>
      </c>
      <c r="I1259" s="126">
        <v>23.73</v>
      </c>
      <c r="J1259" s="126">
        <v>0</v>
      </c>
      <c r="K1259" s="126">
        <v>0</v>
      </c>
      <c r="L1259" s="126">
        <f t="shared" si="384"/>
        <v>295</v>
      </c>
      <c r="M1259" s="312">
        <f t="shared" si="391"/>
        <v>70</v>
      </c>
      <c r="N1259" s="171">
        <f t="shared" si="385"/>
        <v>0.23730000000000001</v>
      </c>
      <c r="O1259" s="132">
        <f t="shared" si="386"/>
        <v>0</v>
      </c>
      <c r="P1259" s="177">
        <f t="shared" si="387"/>
        <v>0</v>
      </c>
      <c r="Q1259" s="177">
        <f t="shared" si="388"/>
        <v>0</v>
      </c>
      <c r="S1259" s="233" t="b">
        <f t="shared" si="383"/>
        <v>0</v>
      </c>
    </row>
    <row r="1260" spans="1:19">
      <c r="A1260" s="126" t="s">
        <v>3944</v>
      </c>
      <c r="B1260" s="126" t="str">
        <f t="shared" si="390"/>
        <v>D0475</v>
      </c>
      <c r="C1260" s="126">
        <v>7592</v>
      </c>
      <c r="D1260" s="126" t="s">
        <v>2957</v>
      </c>
      <c r="E1260" s="126">
        <v>118</v>
      </c>
      <c r="F1260" s="126">
        <v>6</v>
      </c>
      <c r="G1260" s="126">
        <v>73</v>
      </c>
      <c r="H1260" s="126">
        <v>3</v>
      </c>
      <c r="I1260" s="126">
        <v>61.29</v>
      </c>
      <c r="J1260" s="126">
        <v>8</v>
      </c>
      <c r="K1260" s="126">
        <v>0</v>
      </c>
      <c r="L1260" s="126">
        <f t="shared" si="384"/>
        <v>124</v>
      </c>
      <c r="M1260" s="312">
        <f t="shared" ref="M1260:M1276" si="392">G1260</f>
        <v>73</v>
      </c>
      <c r="N1260" s="171">
        <f t="shared" si="385"/>
        <v>0.5887</v>
      </c>
      <c r="O1260" s="132">
        <f t="shared" si="386"/>
        <v>0</v>
      </c>
      <c r="P1260" s="177">
        <f t="shared" si="387"/>
        <v>7.7</v>
      </c>
      <c r="Q1260" s="177">
        <f t="shared" si="388"/>
        <v>7.7</v>
      </c>
      <c r="S1260" s="233" t="b">
        <f t="shared" si="383"/>
        <v>0</v>
      </c>
    </row>
    <row r="1261" spans="1:19">
      <c r="A1261" s="126" t="s">
        <v>3944</v>
      </c>
      <c r="B1261" s="126" t="str">
        <f t="shared" si="390"/>
        <v>D0475</v>
      </c>
      <c r="C1261" s="126">
        <v>7593</v>
      </c>
      <c r="D1261" s="126" t="s">
        <v>2959</v>
      </c>
      <c r="E1261" s="126">
        <v>379</v>
      </c>
      <c r="F1261" s="126">
        <v>19</v>
      </c>
      <c r="G1261" s="126">
        <v>106</v>
      </c>
      <c r="H1261" s="126">
        <v>2</v>
      </c>
      <c r="I1261" s="126">
        <v>27.14</v>
      </c>
      <c r="J1261" s="126">
        <v>0</v>
      </c>
      <c r="K1261" s="126">
        <v>0</v>
      </c>
      <c r="L1261" s="126">
        <f t="shared" si="384"/>
        <v>398</v>
      </c>
      <c r="M1261" s="312">
        <f t="shared" si="392"/>
        <v>106</v>
      </c>
      <c r="N1261" s="171">
        <f t="shared" si="385"/>
        <v>0.26629999999999998</v>
      </c>
      <c r="O1261" s="132">
        <f t="shared" si="386"/>
        <v>0</v>
      </c>
      <c r="P1261" s="177">
        <f t="shared" si="387"/>
        <v>0</v>
      </c>
      <c r="Q1261" s="177">
        <f t="shared" si="388"/>
        <v>0</v>
      </c>
      <c r="S1261" s="233" t="b">
        <f t="shared" si="383"/>
        <v>0</v>
      </c>
    </row>
    <row r="1262" spans="1:19">
      <c r="A1262" s="126" t="s">
        <v>3944</v>
      </c>
      <c r="B1262" s="126" t="str">
        <f t="shared" si="390"/>
        <v>D0475</v>
      </c>
      <c r="C1262" s="126">
        <v>7598</v>
      </c>
      <c r="D1262" s="126" t="s">
        <v>1026</v>
      </c>
      <c r="E1262" s="126">
        <v>337</v>
      </c>
      <c r="F1262" s="126">
        <v>16</v>
      </c>
      <c r="G1262" s="126">
        <v>126</v>
      </c>
      <c r="H1262" s="126">
        <v>1</v>
      </c>
      <c r="I1262" s="126">
        <v>35.979999999999997</v>
      </c>
      <c r="J1262" s="126">
        <v>0</v>
      </c>
      <c r="K1262" s="126">
        <v>0.9</v>
      </c>
      <c r="L1262" s="126">
        <f t="shared" si="384"/>
        <v>353</v>
      </c>
      <c r="M1262" s="312">
        <f t="shared" si="392"/>
        <v>126</v>
      </c>
      <c r="N1262" s="171">
        <f t="shared" si="385"/>
        <v>0.3569</v>
      </c>
      <c r="O1262" s="132">
        <f t="shared" si="386"/>
        <v>0.6</v>
      </c>
      <c r="P1262" s="177">
        <f t="shared" si="387"/>
        <v>0</v>
      </c>
      <c r="Q1262" s="177">
        <f t="shared" si="388"/>
        <v>0.6</v>
      </c>
      <c r="S1262" s="233" t="b">
        <f t="shared" si="383"/>
        <v>0</v>
      </c>
    </row>
    <row r="1263" spans="1:19">
      <c r="A1263" s="126" t="s">
        <v>3944</v>
      </c>
      <c r="B1263" s="126" t="str">
        <f t="shared" si="390"/>
        <v>D0475</v>
      </c>
      <c r="C1263" s="126">
        <v>7600</v>
      </c>
      <c r="D1263" s="126" t="s">
        <v>2962</v>
      </c>
      <c r="E1263" s="126">
        <v>359</v>
      </c>
      <c r="F1263" s="126">
        <v>45</v>
      </c>
      <c r="G1263" s="126">
        <v>73</v>
      </c>
      <c r="H1263" s="126">
        <v>10</v>
      </c>
      <c r="I1263" s="126">
        <v>20.54</v>
      </c>
      <c r="J1263" s="126">
        <v>0</v>
      </c>
      <c r="K1263" s="126">
        <v>0</v>
      </c>
      <c r="L1263" s="126">
        <f t="shared" si="384"/>
        <v>404</v>
      </c>
      <c r="M1263" s="312">
        <f t="shared" si="392"/>
        <v>73</v>
      </c>
      <c r="N1263" s="171">
        <f t="shared" si="385"/>
        <v>0.1807</v>
      </c>
      <c r="O1263" s="132">
        <f t="shared" si="386"/>
        <v>0</v>
      </c>
      <c r="P1263" s="177">
        <f t="shared" si="387"/>
        <v>0</v>
      </c>
      <c r="Q1263" s="177">
        <f t="shared" si="388"/>
        <v>0</v>
      </c>
      <c r="S1263" s="233" t="b">
        <f t="shared" si="383"/>
        <v>0</v>
      </c>
    </row>
    <row r="1264" spans="1:19">
      <c r="A1264" s="126" t="s">
        <v>3944</v>
      </c>
      <c r="B1264" s="126" t="str">
        <f t="shared" si="390"/>
        <v>D0475</v>
      </c>
      <c r="C1264" s="126">
        <v>7601</v>
      </c>
      <c r="D1264" s="126" t="s">
        <v>2964</v>
      </c>
      <c r="E1264" s="126">
        <v>657</v>
      </c>
      <c r="F1264" s="126">
        <v>67</v>
      </c>
      <c r="G1264" s="126">
        <v>251</v>
      </c>
      <c r="H1264" s="126">
        <v>27</v>
      </c>
      <c r="I1264" s="126">
        <v>38.4</v>
      </c>
      <c r="J1264" s="126">
        <v>0</v>
      </c>
      <c r="K1264" s="126">
        <v>6.6</v>
      </c>
      <c r="L1264" s="126">
        <f t="shared" si="384"/>
        <v>724</v>
      </c>
      <c r="M1264" s="312">
        <f t="shared" si="392"/>
        <v>251</v>
      </c>
      <c r="N1264" s="171">
        <f t="shared" si="385"/>
        <v>0.34670000000000001</v>
      </c>
      <c r="O1264" s="132">
        <f t="shared" si="386"/>
        <v>0</v>
      </c>
      <c r="P1264" s="177">
        <f t="shared" si="387"/>
        <v>0</v>
      </c>
      <c r="Q1264" s="177">
        <f t="shared" si="388"/>
        <v>0</v>
      </c>
      <c r="S1264" s="233" t="b">
        <f t="shared" si="383"/>
        <v>0</v>
      </c>
    </row>
    <row r="1265" spans="1:19">
      <c r="A1265" s="126" t="s">
        <v>3944</v>
      </c>
      <c r="B1265" s="126" t="str">
        <f t="shared" si="390"/>
        <v>D0475</v>
      </c>
      <c r="C1265" s="126">
        <v>7602</v>
      </c>
      <c r="D1265" s="126" t="s">
        <v>1554</v>
      </c>
      <c r="E1265" s="126">
        <v>183</v>
      </c>
      <c r="F1265" s="126">
        <v>1</v>
      </c>
      <c r="G1265" s="126">
        <v>123</v>
      </c>
      <c r="H1265" s="126">
        <v>0</v>
      </c>
      <c r="I1265" s="126">
        <v>66.849999999999994</v>
      </c>
      <c r="J1265" s="126">
        <v>12.9</v>
      </c>
      <c r="K1265" s="126">
        <v>0</v>
      </c>
      <c r="L1265" s="126">
        <f t="shared" si="384"/>
        <v>184</v>
      </c>
      <c r="M1265" s="312">
        <f t="shared" si="392"/>
        <v>123</v>
      </c>
      <c r="N1265" s="171">
        <f t="shared" si="385"/>
        <v>0.66849999999999998</v>
      </c>
      <c r="O1265" s="132">
        <f t="shared" si="386"/>
        <v>0</v>
      </c>
      <c r="P1265" s="177">
        <f t="shared" si="387"/>
        <v>12.9</v>
      </c>
      <c r="Q1265" s="177">
        <f t="shared" si="388"/>
        <v>12.9</v>
      </c>
      <c r="S1265" s="233" t="b">
        <f t="shared" si="383"/>
        <v>0</v>
      </c>
    </row>
    <row r="1266" spans="1:19">
      <c r="A1266" s="126" t="s">
        <v>3944</v>
      </c>
      <c r="B1266" s="126" t="str">
        <f t="shared" si="390"/>
        <v>D0475</v>
      </c>
      <c r="C1266" s="126">
        <v>7604</v>
      </c>
      <c r="D1266" s="126" t="s">
        <v>1488</v>
      </c>
      <c r="E1266" s="126">
        <v>199</v>
      </c>
      <c r="F1266" s="126">
        <v>31</v>
      </c>
      <c r="G1266" s="126">
        <v>61</v>
      </c>
      <c r="H1266" s="126">
        <v>8</v>
      </c>
      <c r="I1266" s="126">
        <v>30</v>
      </c>
      <c r="J1266" s="126">
        <v>0</v>
      </c>
      <c r="K1266" s="126">
        <v>0</v>
      </c>
      <c r="L1266" s="126">
        <f t="shared" si="384"/>
        <v>230</v>
      </c>
      <c r="M1266" s="312">
        <f t="shared" si="392"/>
        <v>61</v>
      </c>
      <c r="N1266" s="171">
        <f t="shared" si="385"/>
        <v>0.26519999999999999</v>
      </c>
      <c r="O1266" s="132">
        <f t="shared" si="386"/>
        <v>0</v>
      </c>
      <c r="P1266" s="177">
        <f t="shared" si="387"/>
        <v>0</v>
      </c>
      <c r="Q1266" s="177">
        <f t="shared" si="388"/>
        <v>0</v>
      </c>
      <c r="S1266" s="233" t="b">
        <f t="shared" si="383"/>
        <v>0</v>
      </c>
    </row>
    <row r="1267" spans="1:19">
      <c r="A1267" s="126" t="s">
        <v>3944</v>
      </c>
      <c r="B1267" s="126" t="str">
        <f t="shared" si="390"/>
        <v>D0475</v>
      </c>
      <c r="C1267" s="126">
        <v>7606</v>
      </c>
      <c r="D1267" s="126" t="s">
        <v>1490</v>
      </c>
      <c r="E1267" s="126">
        <v>258</v>
      </c>
      <c r="F1267" s="126">
        <v>8</v>
      </c>
      <c r="G1267" s="126">
        <v>112</v>
      </c>
      <c r="H1267" s="126">
        <v>2</v>
      </c>
      <c r="I1267" s="126">
        <v>42.86</v>
      </c>
      <c r="J1267" s="126">
        <v>0</v>
      </c>
      <c r="K1267" s="126">
        <v>6.3</v>
      </c>
      <c r="L1267" s="126">
        <f t="shared" si="384"/>
        <v>266</v>
      </c>
      <c r="M1267" s="312">
        <f t="shared" si="392"/>
        <v>112</v>
      </c>
      <c r="N1267" s="171">
        <f t="shared" si="385"/>
        <v>0.42109999999999997</v>
      </c>
      <c r="O1267" s="132">
        <f t="shared" si="386"/>
        <v>5.6</v>
      </c>
      <c r="P1267" s="177">
        <f t="shared" si="387"/>
        <v>0</v>
      </c>
      <c r="Q1267" s="177">
        <f t="shared" si="388"/>
        <v>5.6</v>
      </c>
      <c r="S1267" s="233" t="b">
        <f t="shared" si="383"/>
        <v>0</v>
      </c>
    </row>
    <row r="1268" spans="1:19">
      <c r="A1268" s="126" t="s">
        <v>3944</v>
      </c>
      <c r="B1268" s="126" t="str">
        <f t="shared" si="390"/>
        <v>D0475</v>
      </c>
      <c r="C1268" s="126">
        <v>7608</v>
      </c>
      <c r="D1268" s="126" t="s">
        <v>2969</v>
      </c>
      <c r="E1268" s="126">
        <v>210</v>
      </c>
      <c r="F1268" s="126">
        <v>12</v>
      </c>
      <c r="G1268" s="126">
        <v>55</v>
      </c>
      <c r="H1268" s="126">
        <v>7</v>
      </c>
      <c r="I1268" s="126">
        <v>27.93</v>
      </c>
      <c r="J1268" s="126">
        <v>0</v>
      </c>
      <c r="K1268" s="126">
        <v>0</v>
      </c>
      <c r="L1268" s="126">
        <f t="shared" si="384"/>
        <v>222</v>
      </c>
      <c r="M1268" s="312">
        <f t="shared" si="392"/>
        <v>55</v>
      </c>
      <c r="N1268" s="171">
        <f t="shared" si="385"/>
        <v>0.2477</v>
      </c>
      <c r="O1268" s="132">
        <f t="shared" si="386"/>
        <v>0</v>
      </c>
      <c r="P1268" s="177">
        <f t="shared" si="387"/>
        <v>0</v>
      </c>
      <c r="Q1268" s="177">
        <f t="shared" si="388"/>
        <v>0</v>
      </c>
      <c r="S1268" s="233" t="b">
        <f t="shared" si="383"/>
        <v>0</v>
      </c>
    </row>
    <row r="1269" spans="1:19">
      <c r="A1269" s="126" t="s">
        <v>3944</v>
      </c>
      <c r="B1269" s="126" t="str">
        <f t="shared" si="390"/>
        <v>D0475</v>
      </c>
      <c r="C1269" s="126">
        <v>7610</v>
      </c>
      <c r="D1269" s="126" t="s">
        <v>2971</v>
      </c>
      <c r="E1269" s="126">
        <v>249</v>
      </c>
      <c r="F1269" s="126">
        <v>2</v>
      </c>
      <c r="G1269" s="126">
        <v>91</v>
      </c>
      <c r="H1269" s="126">
        <v>0</v>
      </c>
      <c r="I1269" s="126">
        <v>36.25</v>
      </c>
      <c r="J1269" s="126">
        <v>0</v>
      </c>
      <c r="K1269" s="126">
        <v>0.8</v>
      </c>
      <c r="L1269" s="126">
        <f t="shared" si="384"/>
        <v>251</v>
      </c>
      <c r="M1269" s="312">
        <f t="shared" si="392"/>
        <v>91</v>
      </c>
      <c r="N1269" s="171">
        <f t="shared" si="385"/>
        <v>0.36249999999999999</v>
      </c>
      <c r="O1269" s="132">
        <f t="shared" si="386"/>
        <v>0.8</v>
      </c>
      <c r="P1269" s="177">
        <f t="shared" si="387"/>
        <v>0</v>
      </c>
      <c r="Q1269" s="177">
        <f t="shared" si="388"/>
        <v>0.8</v>
      </c>
      <c r="S1269" s="233" t="b">
        <f t="shared" si="383"/>
        <v>0</v>
      </c>
    </row>
    <row r="1270" spans="1:19">
      <c r="A1270" s="126" t="s">
        <v>3944</v>
      </c>
      <c r="B1270" s="126" t="str">
        <f t="shared" si="390"/>
        <v>D0475</v>
      </c>
      <c r="C1270" s="126">
        <v>7612</v>
      </c>
      <c r="D1270" s="126" t="s">
        <v>1283</v>
      </c>
      <c r="E1270" s="126">
        <v>349</v>
      </c>
      <c r="F1270" s="126">
        <v>7</v>
      </c>
      <c r="G1270" s="126">
        <v>334</v>
      </c>
      <c r="H1270" s="126">
        <v>5</v>
      </c>
      <c r="I1270" s="126">
        <v>95.22</v>
      </c>
      <c r="J1270" s="126">
        <v>35.6</v>
      </c>
      <c r="K1270" s="126">
        <v>0</v>
      </c>
      <c r="L1270" s="126">
        <f t="shared" si="384"/>
        <v>356</v>
      </c>
      <c r="M1270" s="312">
        <f t="shared" si="392"/>
        <v>334</v>
      </c>
      <c r="N1270" s="171">
        <f t="shared" si="385"/>
        <v>0.93820000000000003</v>
      </c>
      <c r="O1270" s="132">
        <f t="shared" si="386"/>
        <v>0</v>
      </c>
      <c r="P1270" s="177">
        <f t="shared" si="387"/>
        <v>35.1</v>
      </c>
      <c r="Q1270" s="177">
        <f t="shared" si="388"/>
        <v>35.1</v>
      </c>
      <c r="S1270" s="233" t="b">
        <f t="shared" si="383"/>
        <v>0</v>
      </c>
    </row>
    <row r="1271" spans="1:19">
      <c r="A1271" s="126" t="s">
        <v>3944</v>
      </c>
      <c r="B1271" s="126" t="str">
        <f t="shared" si="390"/>
        <v>D0475</v>
      </c>
      <c r="C1271" s="126">
        <v>7614</v>
      </c>
      <c r="D1271" s="126" t="s">
        <v>2974</v>
      </c>
      <c r="E1271" s="126">
        <v>283</v>
      </c>
      <c r="F1271" s="126">
        <v>2</v>
      </c>
      <c r="G1271" s="126">
        <v>174</v>
      </c>
      <c r="H1271" s="126">
        <v>2</v>
      </c>
      <c r="I1271" s="126">
        <v>61.75</v>
      </c>
      <c r="J1271" s="126">
        <v>18.5</v>
      </c>
      <c r="K1271" s="126">
        <v>0</v>
      </c>
      <c r="L1271" s="126">
        <f t="shared" si="384"/>
        <v>285</v>
      </c>
      <c r="M1271" s="312">
        <f t="shared" si="392"/>
        <v>174</v>
      </c>
      <c r="N1271" s="171">
        <f t="shared" si="385"/>
        <v>0.61050000000000004</v>
      </c>
      <c r="O1271" s="132">
        <f t="shared" si="386"/>
        <v>0</v>
      </c>
      <c r="P1271" s="177">
        <f t="shared" si="387"/>
        <v>18.3</v>
      </c>
      <c r="Q1271" s="177">
        <f t="shared" si="388"/>
        <v>18.3</v>
      </c>
      <c r="S1271" s="233" t="b">
        <f t="shared" si="383"/>
        <v>0</v>
      </c>
    </row>
    <row r="1272" spans="1:19">
      <c r="A1272" s="126" t="s">
        <v>3944</v>
      </c>
      <c r="B1272" s="126" t="str">
        <f t="shared" si="390"/>
        <v>D0475</v>
      </c>
      <c r="C1272" s="126">
        <v>7616</v>
      </c>
      <c r="D1272" s="126" t="s">
        <v>2976</v>
      </c>
      <c r="E1272" s="126">
        <v>588</v>
      </c>
      <c r="F1272" s="126">
        <v>28</v>
      </c>
      <c r="G1272" s="126">
        <v>115</v>
      </c>
      <c r="H1272" s="126">
        <v>7</v>
      </c>
      <c r="I1272" s="126">
        <v>19.809999999999999</v>
      </c>
      <c r="J1272" s="126">
        <v>0</v>
      </c>
      <c r="K1272" s="126">
        <v>0</v>
      </c>
      <c r="L1272" s="126">
        <f t="shared" si="384"/>
        <v>616</v>
      </c>
      <c r="M1272" s="312">
        <f t="shared" si="392"/>
        <v>115</v>
      </c>
      <c r="N1272" s="171">
        <f t="shared" si="385"/>
        <v>0.1867</v>
      </c>
      <c r="O1272" s="132">
        <f t="shared" si="386"/>
        <v>0</v>
      </c>
      <c r="P1272" s="177">
        <f t="shared" si="387"/>
        <v>0</v>
      </c>
      <c r="Q1272" s="177">
        <f t="shared" si="388"/>
        <v>0</v>
      </c>
      <c r="S1272" s="233" t="b">
        <f t="shared" si="383"/>
        <v>0</v>
      </c>
    </row>
    <row r="1273" spans="1:19">
      <c r="A1273" s="126" t="s">
        <v>3944</v>
      </c>
      <c r="B1273" s="126" t="str">
        <f t="shared" si="390"/>
        <v>D0475</v>
      </c>
      <c r="C1273" s="126">
        <v>7618</v>
      </c>
      <c r="D1273" s="126" t="s">
        <v>2978</v>
      </c>
      <c r="E1273" s="126">
        <v>954</v>
      </c>
      <c r="F1273" s="126">
        <v>10</v>
      </c>
      <c r="G1273" s="126">
        <v>440</v>
      </c>
      <c r="H1273" s="126">
        <v>3</v>
      </c>
      <c r="I1273" s="126">
        <v>45.95</v>
      </c>
      <c r="J1273" s="126">
        <v>0</v>
      </c>
      <c r="K1273" s="126">
        <v>34</v>
      </c>
      <c r="L1273" s="126">
        <f t="shared" si="384"/>
        <v>964</v>
      </c>
      <c r="M1273" s="312">
        <f t="shared" si="392"/>
        <v>440</v>
      </c>
      <c r="N1273" s="171">
        <f t="shared" si="385"/>
        <v>0.45639999999999997</v>
      </c>
      <c r="O1273" s="132">
        <f t="shared" si="386"/>
        <v>32.799999999999997</v>
      </c>
      <c r="P1273" s="177">
        <f t="shared" si="387"/>
        <v>0</v>
      </c>
      <c r="Q1273" s="177">
        <f t="shared" si="388"/>
        <v>32.799999999999997</v>
      </c>
      <c r="S1273" s="233" t="b">
        <f t="shared" si="383"/>
        <v>0</v>
      </c>
    </row>
    <row r="1274" spans="1:19">
      <c r="A1274" s="126" t="s">
        <v>3944</v>
      </c>
      <c r="B1274" s="126" t="str">
        <f t="shared" si="390"/>
        <v>D0475</v>
      </c>
      <c r="C1274" s="126">
        <v>7620</v>
      </c>
      <c r="D1274" s="126" t="s">
        <v>2980</v>
      </c>
      <c r="E1274" s="126">
        <v>1424</v>
      </c>
      <c r="F1274" s="126">
        <v>33</v>
      </c>
      <c r="G1274" s="126">
        <v>515</v>
      </c>
      <c r="H1274" s="126">
        <v>9</v>
      </c>
      <c r="I1274" s="126">
        <v>35.96</v>
      </c>
      <c r="J1274" s="126">
        <v>0</v>
      </c>
      <c r="K1274" s="126">
        <v>3.5</v>
      </c>
      <c r="L1274" s="126">
        <f t="shared" si="384"/>
        <v>1457</v>
      </c>
      <c r="M1274" s="312">
        <f t="shared" si="392"/>
        <v>515</v>
      </c>
      <c r="N1274" s="171">
        <f t="shared" si="385"/>
        <v>0.35349999999999998</v>
      </c>
      <c r="O1274" s="132">
        <f t="shared" si="386"/>
        <v>1.3</v>
      </c>
      <c r="P1274" s="177">
        <f t="shared" si="387"/>
        <v>0</v>
      </c>
      <c r="Q1274" s="177">
        <f t="shared" si="388"/>
        <v>1.3</v>
      </c>
      <c r="S1274" s="233" t="b">
        <f t="shared" si="383"/>
        <v>0</v>
      </c>
    </row>
    <row r="1275" spans="1:19">
      <c r="A1275" s="126" t="s">
        <v>3944</v>
      </c>
      <c r="B1275" s="126" t="str">
        <f t="shared" si="390"/>
        <v>D0475</v>
      </c>
      <c r="C1275" s="126">
        <v>7624</v>
      </c>
      <c r="D1275" s="126" t="s">
        <v>2982</v>
      </c>
      <c r="E1275" s="126">
        <v>90</v>
      </c>
      <c r="F1275" s="126">
        <v>2</v>
      </c>
      <c r="G1275" s="126">
        <v>25</v>
      </c>
      <c r="H1275" s="126">
        <v>0</v>
      </c>
      <c r="I1275" s="126">
        <v>27.17</v>
      </c>
      <c r="J1275" s="126">
        <v>0</v>
      </c>
      <c r="K1275" s="126">
        <v>0</v>
      </c>
      <c r="L1275" s="126">
        <f t="shared" si="384"/>
        <v>92</v>
      </c>
      <c r="M1275" s="312">
        <f t="shared" si="392"/>
        <v>25</v>
      </c>
      <c r="N1275" s="171">
        <f t="shared" si="385"/>
        <v>0.2717</v>
      </c>
      <c r="O1275" s="132">
        <f t="shared" si="386"/>
        <v>0</v>
      </c>
      <c r="P1275" s="177">
        <f t="shared" si="387"/>
        <v>0</v>
      </c>
      <c r="Q1275" s="177">
        <f t="shared" si="388"/>
        <v>0</v>
      </c>
      <c r="S1275" s="233" t="b">
        <f t="shared" si="383"/>
        <v>0</v>
      </c>
    </row>
    <row r="1276" spans="1:19">
      <c r="A1276" s="126" t="s">
        <v>3944</v>
      </c>
      <c r="B1276" s="126" t="str">
        <f t="shared" si="390"/>
        <v>D0475</v>
      </c>
      <c r="C1276" s="126">
        <v>7630</v>
      </c>
      <c r="D1276" s="126" t="s">
        <v>2984</v>
      </c>
      <c r="E1276" s="126">
        <v>572</v>
      </c>
      <c r="F1276" s="126">
        <v>51</v>
      </c>
      <c r="G1276" s="126">
        <v>172</v>
      </c>
      <c r="H1276" s="126">
        <v>11</v>
      </c>
      <c r="I1276" s="126">
        <v>29.37</v>
      </c>
      <c r="J1276" s="126">
        <v>0</v>
      </c>
      <c r="K1276" s="126">
        <v>0</v>
      </c>
      <c r="L1276" s="126">
        <f t="shared" si="384"/>
        <v>623</v>
      </c>
      <c r="M1276" s="312">
        <f t="shared" si="392"/>
        <v>172</v>
      </c>
      <c r="N1276" s="171">
        <f t="shared" si="385"/>
        <v>0.27610000000000001</v>
      </c>
      <c r="O1276" s="132">
        <f t="shared" si="386"/>
        <v>0</v>
      </c>
      <c r="P1276" s="177">
        <f t="shared" si="387"/>
        <v>0</v>
      </c>
      <c r="Q1276" s="177">
        <f t="shared" si="388"/>
        <v>0</v>
      </c>
      <c r="S1276" s="233" t="b">
        <f t="shared" si="383"/>
        <v>0</v>
      </c>
    </row>
    <row r="1277" spans="1:19">
      <c r="A1277" s="126" t="s">
        <v>3683</v>
      </c>
      <c r="B1277" s="126" t="str">
        <f t="shared" si="390"/>
        <v>D0501</v>
      </c>
      <c r="C1277" s="126">
        <v>8446</v>
      </c>
      <c r="D1277" s="126" t="s">
        <v>3225</v>
      </c>
      <c r="E1277" s="126">
        <v>26</v>
      </c>
      <c r="F1277" s="126">
        <v>0</v>
      </c>
      <c r="G1277" s="126">
        <v>20</v>
      </c>
      <c r="H1277" s="126">
        <v>0</v>
      </c>
      <c r="I1277" s="126">
        <v>76.92</v>
      </c>
      <c r="J1277" s="126">
        <v>2.1</v>
      </c>
      <c r="K1277" s="126">
        <v>0</v>
      </c>
      <c r="L1277" s="126">
        <f t="shared" ref="L1277:L1303" si="393">SUM(E1277:F1277)</f>
        <v>26</v>
      </c>
      <c r="M1277" s="312">
        <f t="shared" ref="M1277:M1303" si="394">G1277</f>
        <v>20</v>
      </c>
      <c r="N1277" s="171">
        <f t="shared" ref="N1277:N1303" si="395">IF(ISERROR(M1277/L1277),0,M1277/L1277)</f>
        <v>0.76919999999999999</v>
      </c>
      <c r="O1277" s="132">
        <f t="shared" ref="O1277:O1303" si="396">IF(AND((N1277-35%)&gt;0,N1277&lt;50%),M1277*(N1277-35%)*0.7,0)</f>
        <v>0</v>
      </c>
      <c r="P1277" s="177">
        <f t="shared" ref="P1277:P1303" si="397">IF(N1277&gt;=50%,M1277*10.5%,0)</f>
        <v>2.1</v>
      </c>
      <c r="Q1277" s="177">
        <f t="shared" ref="Q1277:Q1303" si="398">MAX(O1277,P1277)</f>
        <v>2.1</v>
      </c>
      <c r="S1277" s="233" t="b">
        <f t="shared" si="383"/>
        <v>0</v>
      </c>
    </row>
    <row r="1278" spans="1:19">
      <c r="A1278" s="126" t="s">
        <v>3683</v>
      </c>
      <c r="B1278" s="126" t="str">
        <f t="shared" si="390"/>
        <v>D0501</v>
      </c>
      <c r="C1278" s="126">
        <v>8452</v>
      </c>
      <c r="D1278" s="126" t="s">
        <v>3227</v>
      </c>
      <c r="E1278" s="126">
        <v>457</v>
      </c>
      <c r="F1278" s="126">
        <v>0</v>
      </c>
      <c r="G1278" s="126">
        <v>345</v>
      </c>
      <c r="H1278" s="126">
        <v>0</v>
      </c>
      <c r="I1278" s="126">
        <v>75.489999999999995</v>
      </c>
      <c r="J1278" s="126">
        <v>36.200000000000003</v>
      </c>
      <c r="K1278" s="126">
        <v>0</v>
      </c>
      <c r="L1278" s="126">
        <f t="shared" si="393"/>
        <v>457</v>
      </c>
      <c r="M1278" s="312">
        <f t="shared" si="394"/>
        <v>345</v>
      </c>
      <c r="N1278" s="171">
        <f t="shared" si="395"/>
        <v>0.75490000000000002</v>
      </c>
      <c r="O1278" s="132">
        <f t="shared" si="396"/>
        <v>0</v>
      </c>
      <c r="P1278" s="177">
        <f t="shared" si="397"/>
        <v>36.200000000000003</v>
      </c>
      <c r="Q1278" s="177">
        <f t="shared" si="398"/>
        <v>36.200000000000003</v>
      </c>
      <c r="S1278" s="233" t="b">
        <f t="shared" si="383"/>
        <v>0</v>
      </c>
    </row>
    <row r="1279" spans="1:19">
      <c r="A1279" s="126" t="s">
        <v>3683</v>
      </c>
      <c r="B1279" s="126" t="str">
        <f t="shared" si="390"/>
        <v>D0501</v>
      </c>
      <c r="C1279" s="126">
        <v>8453</v>
      </c>
      <c r="D1279" s="126" t="s">
        <v>3229</v>
      </c>
      <c r="E1279" s="126">
        <v>682</v>
      </c>
      <c r="F1279" s="126">
        <v>0</v>
      </c>
      <c r="G1279" s="126">
        <v>410</v>
      </c>
      <c r="H1279" s="126">
        <v>0</v>
      </c>
      <c r="I1279" s="126">
        <v>60.12</v>
      </c>
      <c r="J1279" s="126">
        <v>43</v>
      </c>
      <c r="K1279" s="126">
        <v>0</v>
      </c>
      <c r="L1279" s="126">
        <f t="shared" si="393"/>
        <v>682</v>
      </c>
      <c r="M1279" s="312">
        <f t="shared" si="394"/>
        <v>410</v>
      </c>
      <c r="N1279" s="171">
        <f t="shared" si="395"/>
        <v>0.60119999999999996</v>
      </c>
      <c r="O1279" s="132">
        <f t="shared" si="396"/>
        <v>0</v>
      </c>
      <c r="P1279" s="177">
        <f t="shared" si="397"/>
        <v>43.1</v>
      </c>
      <c r="Q1279" s="177">
        <f t="shared" si="398"/>
        <v>43.1</v>
      </c>
      <c r="S1279" s="233" t="b">
        <f t="shared" si="383"/>
        <v>0</v>
      </c>
    </row>
    <row r="1280" spans="1:19">
      <c r="A1280" s="126" t="s">
        <v>3683</v>
      </c>
      <c r="B1280" s="126" t="str">
        <f t="shared" si="390"/>
        <v>D0501</v>
      </c>
      <c r="C1280" s="126">
        <v>8462</v>
      </c>
      <c r="D1280" s="126" t="s">
        <v>3231</v>
      </c>
      <c r="E1280" s="126">
        <v>364</v>
      </c>
      <c r="F1280" s="126">
        <v>0</v>
      </c>
      <c r="G1280" s="126">
        <v>299</v>
      </c>
      <c r="H1280" s="126">
        <v>0</v>
      </c>
      <c r="I1280" s="126">
        <v>82.14</v>
      </c>
      <c r="J1280" s="126">
        <v>31.4</v>
      </c>
      <c r="K1280" s="126">
        <v>0</v>
      </c>
      <c r="L1280" s="126">
        <f t="shared" si="393"/>
        <v>364</v>
      </c>
      <c r="M1280" s="312">
        <f t="shared" si="394"/>
        <v>299</v>
      </c>
      <c r="N1280" s="171">
        <f t="shared" si="395"/>
        <v>0.82140000000000002</v>
      </c>
      <c r="O1280" s="132">
        <f t="shared" si="396"/>
        <v>0</v>
      </c>
      <c r="P1280" s="177">
        <f t="shared" si="397"/>
        <v>31.4</v>
      </c>
      <c r="Q1280" s="177">
        <f t="shared" si="398"/>
        <v>31.4</v>
      </c>
      <c r="S1280" s="233" t="b">
        <f t="shared" si="383"/>
        <v>0</v>
      </c>
    </row>
    <row r="1281" spans="1:19">
      <c r="A1281" s="126" t="s">
        <v>3683</v>
      </c>
      <c r="B1281" s="126" t="str">
        <f t="shared" si="390"/>
        <v>D0501</v>
      </c>
      <c r="C1281" s="126">
        <v>8465</v>
      </c>
      <c r="D1281" s="126" t="s">
        <v>3233</v>
      </c>
      <c r="E1281" s="126">
        <v>580</v>
      </c>
      <c r="F1281" s="126">
        <v>0</v>
      </c>
      <c r="G1281" s="126">
        <v>426</v>
      </c>
      <c r="H1281" s="126">
        <v>0</v>
      </c>
      <c r="I1281" s="126">
        <v>73.45</v>
      </c>
      <c r="J1281" s="126">
        <v>44.7</v>
      </c>
      <c r="K1281" s="126">
        <v>0</v>
      </c>
      <c r="L1281" s="126">
        <f t="shared" si="393"/>
        <v>580</v>
      </c>
      <c r="M1281" s="312">
        <f t="shared" si="394"/>
        <v>426</v>
      </c>
      <c r="N1281" s="171">
        <f t="shared" si="395"/>
        <v>0.73450000000000004</v>
      </c>
      <c r="O1281" s="132">
        <f t="shared" si="396"/>
        <v>0</v>
      </c>
      <c r="P1281" s="177">
        <f t="shared" si="397"/>
        <v>44.7</v>
      </c>
      <c r="Q1281" s="177">
        <f t="shared" si="398"/>
        <v>44.7</v>
      </c>
      <c r="S1281" s="233" t="b">
        <f t="shared" si="383"/>
        <v>0</v>
      </c>
    </row>
    <row r="1282" spans="1:19">
      <c r="A1282" s="126" t="s">
        <v>3683</v>
      </c>
      <c r="B1282" s="126" t="str">
        <f t="shared" si="390"/>
        <v>D0501</v>
      </c>
      <c r="C1282" s="126">
        <v>8467</v>
      </c>
      <c r="D1282" s="126" t="s">
        <v>3235</v>
      </c>
      <c r="E1282" s="126">
        <v>116</v>
      </c>
      <c r="F1282" s="126">
        <v>0</v>
      </c>
      <c r="G1282" s="126">
        <v>81</v>
      </c>
      <c r="H1282" s="126">
        <v>0</v>
      </c>
      <c r="I1282" s="126">
        <v>69.83</v>
      </c>
      <c r="J1282" s="126">
        <v>8.5</v>
      </c>
      <c r="K1282" s="126">
        <v>0</v>
      </c>
      <c r="L1282" s="126">
        <f t="shared" si="393"/>
        <v>116</v>
      </c>
      <c r="M1282" s="312">
        <f t="shared" si="394"/>
        <v>81</v>
      </c>
      <c r="N1282" s="171">
        <f t="shared" si="395"/>
        <v>0.69830000000000003</v>
      </c>
      <c r="O1282" s="132">
        <f t="shared" si="396"/>
        <v>0</v>
      </c>
      <c r="P1282" s="177">
        <f t="shared" si="397"/>
        <v>8.5</v>
      </c>
      <c r="Q1282" s="177">
        <f t="shared" si="398"/>
        <v>8.5</v>
      </c>
      <c r="S1282" s="233" t="b">
        <f t="shared" si="383"/>
        <v>0</v>
      </c>
    </row>
    <row r="1283" spans="1:19">
      <c r="A1283" s="126" t="s">
        <v>3683</v>
      </c>
      <c r="B1283" s="126" t="str">
        <f t="shared" si="390"/>
        <v>D0501</v>
      </c>
      <c r="C1283" s="126">
        <v>8472</v>
      </c>
      <c r="D1283" s="126" t="s">
        <v>3237</v>
      </c>
      <c r="E1283" s="126">
        <v>289</v>
      </c>
      <c r="F1283" s="126">
        <v>0</v>
      </c>
      <c r="G1283" s="126">
        <v>210</v>
      </c>
      <c r="H1283" s="126">
        <v>0</v>
      </c>
      <c r="I1283" s="126">
        <v>72.66</v>
      </c>
      <c r="J1283" s="126">
        <v>22</v>
      </c>
      <c r="K1283" s="126">
        <v>0</v>
      </c>
      <c r="L1283" s="126">
        <f t="shared" si="393"/>
        <v>289</v>
      </c>
      <c r="M1283" s="312">
        <f t="shared" si="394"/>
        <v>210</v>
      </c>
      <c r="N1283" s="171">
        <f t="shared" si="395"/>
        <v>0.72660000000000002</v>
      </c>
      <c r="O1283" s="132">
        <f t="shared" si="396"/>
        <v>0</v>
      </c>
      <c r="P1283" s="177">
        <f t="shared" si="397"/>
        <v>22.1</v>
      </c>
      <c r="Q1283" s="177">
        <f t="shared" si="398"/>
        <v>22.1</v>
      </c>
      <c r="S1283" s="233" t="b">
        <f t="shared" si="383"/>
        <v>0</v>
      </c>
    </row>
    <row r="1284" spans="1:19">
      <c r="A1284" s="126" t="s">
        <v>3683</v>
      </c>
      <c r="B1284" s="126" t="str">
        <f t="shared" si="390"/>
        <v>D0501</v>
      </c>
      <c r="C1284" s="126">
        <v>8480</v>
      </c>
      <c r="D1284" s="126" t="s">
        <v>3239</v>
      </c>
      <c r="E1284" s="126">
        <v>374</v>
      </c>
      <c r="F1284" s="126">
        <v>0</v>
      </c>
      <c r="G1284" s="126">
        <v>198</v>
      </c>
      <c r="H1284" s="126">
        <v>0</v>
      </c>
      <c r="I1284" s="126">
        <v>52.94</v>
      </c>
      <c r="J1284" s="126">
        <v>20.8</v>
      </c>
      <c r="K1284" s="126">
        <v>0</v>
      </c>
      <c r="L1284" s="126">
        <f t="shared" si="393"/>
        <v>374</v>
      </c>
      <c r="M1284" s="312">
        <f t="shared" si="394"/>
        <v>198</v>
      </c>
      <c r="N1284" s="171">
        <f t="shared" si="395"/>
        <v>0.52939999999999998</v>
      </c>
      <c r="O1284" s="132">
        <f t="shared" si="396"/>
        <v>0</v>
      </c>
      <c r="P1284" s="177">
        <f t="shared" si="397"/>
        <v>20.8</v>
      </c>
      <c r="Q1284" s="177">
        <f t="shared" si="398"/>
        <v>20.8</v>
      </c>
      <c r="S1284" s="233" t="b">
        <f t="shared" si="383"/>
        <v>0</v>
      </c>
    </row>
    <row r="1285" spans="1:19">
      <c r="A1285" s="126" t="s">
        <v>3683</v>
      </c>
      <c r="B1285" s="126" t="str">
        <f t="shared" si="390"/>
        <v>D0501</v>
      </c>
      <c r="C1285" s="126">
        <v>8482</v>
      </c>
      <c r="D1285" s="126" t="s">
        <v>3241</v>
      </c>
      <c r="E1285" s="126">
        <v>326</v>
      </c>
      <c r="F1285" s="126">
        <v>0</v>
      </c>
      <c r="G1285" s="126">
        <v>178</v>
      </c>
      <c r="H1285" s="126">
        <v>0</v>
      </c>
      <c r="I1285" s="126">
        <v>54.6</v>
      </c>
      <c r="J1285" s="126">
        <v>18.7</v>
      </c>
      <c r="K1285" s="126">
        <v>0</v>
      </c>
      <c r="L1285" s="126">
        <f t="shared" si="393"/>
        <v>326</v>
      </c>
      <c r="M1285" s="312">
        <f t="shared" si="394"/>
        <v>178</v>
      </c>
      <c r="N1285" s="171">
        <f t="shared" si="395"/>
        <v>0.54600000000000004</v>
      </c>
      <c r="O1285" s="132">
        <f t="shared" si="396"/>
        <v>0</v>
      </c>
      <c r="P1285" s="177">
        <f t="shared" si="397"/>
        <v>18.7</v>
      </c>
      <c r="Q1285" s="177">
        <f t="shared" si="398"/>
        <v>18.7</v>
      </c>
      <c r="S1285" s="233" t="b">
        <f t="shared" ref="S1285:S1309" si="399">COUNTIF(C:C,C1285)&gt;1</f>
        <v>0</v>
      </c>
    </row>
    <row r="1286" spans="1:19">
      <c r="A1286" s="126" t="s">
        <v>3683</v>
      </c>
      <c r="B1286" s="126" t="str">
        <f t="shared" si="390"/>
        <v>D0501</v>
      </c>
      <c r="C1286" s="126">
        <v>8484</v>
      </c>
      <c r="D1286" s="126" t="s">
        <v>3243</v>
      </c>
      <c r="E1286" s="126">
        <v>385</v>
      </c>
      <c r="F1286" s="126">
        <v>0</v>
      </c>
      <c r="G1286" s="126">
        <v>211</v>
      </c>
      <c r="H1286" s="126">
        <v>0</v>
      </c>
      <c r="I1286" s="126">
        <v>54.81</v>
      </c>
      <c r="J1286" s="126">
        <v>22.2</v>
      </c>
      <c r="K1286" s="126">
        <v>0</v>
      </c>
      <c r="L1286" s="126">
        <f t="shared" si="393"/>
        <v>385</v>
      </c>
      <c r="M1286" s="312">
        <f t="shared" si="394"/>
        <v>211</v>
      </c>
      <c r="N1286" s="171">
        <f t="shared" si="395"/>
        <v>0.54810000000000003</v>
      </c>
      <c r="O1286" s="132">
        <f t="shared" si="396"/>
        <v>0</v>
      </c>
      <c r="P1286" s="177">
        <f t="shared" si="397"/>
        <v>22.2</v>
      </c>
      <c r="Q1286" s="177">
        <f t="shared" si="398"/>
        <v>22.2</v>
      </c>
      <c r="S1286" s="233" t="b">
        <f t="shared" si="399"/>
        <v>0</v>
      </c>
    </row>
    <row r="1287" spans="1:19">
      <c r="A1287" s="126" t="s">
        <v>3683</v>
      </c>
      <c r="B1287" s="126" t="str">
        <f t="shared" si="390"/>
        <v>D0501</v>
      </c>
      <c r="C1287" s="126">
        <v>8486</v>
      </c>
      <c r="D1287" s="126" t="s">
        <v>3245</v>
      </c>
      <c r="E1287" s="126">
        <v>501</v>
      </c>
      <c r="F1287" s="126">
        <v>0</v>
      </c>
      <c r="G1287" s="126">
        <v>347</v>
      </c>
      <c r="H1287" s="126">
        <v>0</v>
      </c>
      <c r="I1287" s="126">
        <v>69.260000000000005</v>
      </c>
      <c r="J1287" s="126">
        <v>36.4</v>
      </c>
      <c r="K1287" s="126">
        <v>0</v>
      </c>
      <c r="L1287" s="126">
        <f t="shared" si="393"/>
        <v>501</v>
      </c>
      <c r="M1287" s="312">
        <f t="shared" si="394"/>
        <v>347</v>
      </c>
      <c r="N1287" s="171">
        <f t="shared" si="395"/>
        <v>0.69259999999999999</v>
      </c>
      <c r="O1287" s="132">
        <f t="shared" si="396"/>
        <v>0</v>
      </c>
      <c r="P1287" s="177">
        <f t="shared" si="397"/>
        <v>36.4</v>
      </c>
      <c r="Q1287" s="177">
        <f t="shared" si="398"/>
        <v>36.4</v>
      </c>
      <c r="S1287" s="233" t="b">
        <f t="shared" si="399"/>
        <v>0</v>
      </c>
    </row>
    <row r="1288" spans="1:19">
      <c r="A1288" s="126" t="s">
        <v>3683</v>
      </c>
      <c r="B1288" s="126" t="str">
        <f t="shared" si="390"/>
        <v>D0501</v>
      </c>
      <c r="C1288" s="126">
        <v>8494</v>
      </c>
      <c r="D1288" s="126" t="s">
        <v>3247</v>
      </c>
      <c r="E1288" s="126">
        <v>243</v>
      </c>
      <c r="F1288" s="126">
        <v>0</v>
      </c>
      <c r="G1288" s="126">
        <v>206</v>
      </c>
      <c r="H1288" s="126">
        <v>0</v>
      </c>
      <c r="I1288" s="126">
        <v>84.77</v>
      </c>
      <c r="J1288" s="126">
        <v>21.6</v>
      </c>
      <c r="K1288" s="126">
        <v>0</v>
      </c>
      <c r="L1288" s="126">
        <f t="shared" si="393"/>
        <v>243</v>
      </c>
      <c r="M1288" s="312">
        <f t="shared" si="394"/>
        <v>206</v>
      </c>
      <c r="N1288" s="171">
        <f t="shared" si="395"/>
        <v>0.84770000000000001</v>
      </c>
      <c r="O1288" s="132">
        <f t="shared" si="396"/>
        <v>0</v>
      </c>
      <c r="P1288" s="177">
        <f t="shared" si="397"/>
        <v>21.6</v>
      </c>
      <c r="Q1288" s="177">
        <f t="shared" si="398"/>
        <v>21.6</v>
      </c>
      <c r="S1288" s="233" t="b">
        <f t="shared" si="399"/>
        <v>0</v>
      </c>
    </row>
    <row r="1289" spans="1:19">
      <c r="A1289" s="126" t="s">
        <v>3683</v>
      </c>
      <c r="B1289" s="126" t="str">
        <f t="shared" si="390"/>
        <v>D0501</v>
      </c>
      <c r="C1289" s="126">
        <v>8498</v>
      </c>
      <c r="D1289" s="126" t="s">
        <v>3249</v>
      </c>
      <c r="E1289" s="126">
        <v>376</v>
      </c>
      <c r="F1289" s="126">
        <v>0</v>
      </c>
      <c r="G1289" s="126">
        <v>213</v>
      </c>
      <c r="H1289" s="126">
        <v>0</v>
      </c>
      <c r="I1289" s="126">
        <v>56.65</v>
      </c>
      <c r="J1289" s="126">
        <v>22.4</v>
      </c>
      <c r="K1289" s="126">
        <v>0</v>
      </c>
      <c r="L1289" s="126">
        <f t="shared" si="393"/>
        <v>376</v>
      </c>
      <c r="M1289" s="312">
        <f t="shared" si="394"/>
        <v>213</v>
      </c>
      <c r="N1289" s="171">
        <f t="shared" si="395"/>
        <v>0.5665</v>
      </c>
      <c r="O1289" s="132">
        <f t="shared" si="396"/>
        <v>0</v>
      </c>
      <c r="P1289" s="177">
        <f t="shared" si="397"/>
        <v>22.4</v>
      </c>
      <c r="Q1289" s="177">
        <f t="shared" si="398"/>
        <v>22.4</v>
      </c>
      <c r="S1289" s="233" t="b">
        <f t="shared" si="399"/>
        <v>0</v>
      </c>
    </row>
    <row r="1290" spans="1:19">
      <c r="A1290" s="126" t="s">
        <v>3683</v>
      </c>
      <c r="B1290" s="126" t="str">
        <f t="shared" si="390"/>
        <v>D0501</v>
      </c>
      <c r="C1290" s="126">
        <v>8499</v>
      </c>
      <c r="D1290" s="126" t="s">
        <v>3251</v>
      </c>
      <c r="E1290" s="126">
        <v>512</v>
      </c>
      <c r="F1290" s="126">
        <v>0</v>
      </c>
      <c r="G1290" s="126">
        <v>323</v>
      </c>
      <c r="H1290" s="126">
        <v>0</v>
      </c>
      <c r="I1290" s="126">
        <v>63.09</v>
      </c>
      <c r="J1290" s="126">
        <v>33.9</v>
      </c>
      <c r="K1290" s="126">
        <v>0</v>
      </c>
      <c r="L1290" s="126">
        <f t="shared" si="393"/>
        <v>512</v>
      </c>
      <c r="M1290" s="312">
        <f t="shared" si="394"/>
        <v>323</v>
      </c>
      <c r="N1290" s="171">
        <f t="shared" si="395"/>
        <v>0.63090000000000002</v>
      </c>
      <c r="O1290" s="132">
        <f t="shared" si="396"/>
        <v>0</v>
      </c>
      <c r="P1290" s="177">
        <f t="shared" si="397"/>
        <v>33.9</v>
      </c>
      <c r="Q1290" s="177">
        <f t="shared" si="398"/>
        <v>33.9</v>
      </c>
      <c r="S1290" s="233" t="b">
        <f t="shared" si="399"/>
        <v>0</v>
      </c>
    </row>
    <row r="1291" spans="1:19">
      <c r="A1291" s="126" t="s">
        <v>3683</v>
      </c>
      <c r="B1291" s="126" t="str">
        <f t="shared" si="390"/>
        <v>D0501</v>
      </c>
      <c r="C1291" s="126">
        <v>8501</v>
      </c>
      <c r="D1291" s="126" t="s">
        <v>1655</v>
      </c>
      <c r="E1291" s="126">
        <v>401</v>
      </c>
      <c r="F1291" s="126">
        <v>0</v>
      </c>
      <c r="G1291" s="126">
        <v>263</v>
      </c>
      <c r="H1291" s="126">
        <v>0</v>
      </c>
      <c r="I1291" s="126">
        <v>65.59</v>
      </c>
      <c r="J1291" s="126">
        <v>27.6</v>
      </c>
      <c r="K1291" s="126">
        <v>0</v>
      </c>
      <c r="L1291" s="126">
        <f t="shared" si="393"/>
        <v>401</v>
      </c>
      <c r="M1291" s="312">
        <f t="shared" si="394"/>
        <v>263</v>
      </c>
      <c r="N1291" s="171">
        <f t="shared" si="395"/>
        <v>0.65590000000000004</v>
      </c>
      <c r="O1291" s="132">
        <f t="shared" si="396"/>
        <v>0</v>
      </c>
      <c r="P1291" s="177">
        <f t="shared" si="397"/>
        <v>27.6</v>
      </c>
      <c r="Q1291" s="177">
        <f t="shared" si="398"/>
        <v>27.6</v>
      </c>
      <c r="S1291" s="233" t="b">
        <f t="shared" si="399"/>
        <v>0</v>
      </c>
    </row>
    <row r="1292" spans="1:19">
      <c r="A1292" s="126" t="s">
        <v>3683</v>
      </c>
      <c r="B1292" s="126" t="str">
        <f t="shared" si="390"/>
        <v>D0501</v>
      </c>
      <c r="C1292" s="126">
        <v>8504</v>
      </c>
      <c r="D1292" s="126" t="s">
        <v>3254</v>
      </c>
      <c r="E1292" s="126">
        <v>500</v>
      </c>
      <c r="F1292" s="126">
        <v>0</v>
      </c>
      <c r="G1292" s="126">
        <v>362</v>
      </c>
      <c r="H1292" s="126">
        <v>0</v>
      </c>
      <c r="I1292" s="126">
        <v>72.400000000000006</v>
      </c>
      <c r="J1292" s="126">
        <v>38</v>
      </c>
      <c r="K1292" s="126">
        <v>0</v>
      </c>
      <c r="L1292" s="126">
        <f t="shared" si="393"/>
        <v>500</v>
      </c>
      <c r="M1292" s="312">
        <f t="shared" si="394"/>
        <v>362</v>
      </c>
      <c r="N1292" s="171">
        <f t="shared" si="395"/>
        <v>0.72399999999999998</v>
      </c>
      <c r="O1292" s="132">
        <f t="shared" si="396"/>
        <v>0</v>
      </c>
      <c r="P1292" s="177">
        <f t="shared" si="397"/>
        <v>38</v>
      </c>
      <c r="Q1292" s="177">
        <f t="shared" si="398"/>
        <v>38</v>
      </c>
      <c r="S1292" s="233" t="b">
        <f t="shared" si="399"/>
        <v>0</v>
      </c>
    </row>
    <row r="1293" spans="1:19">
      <c r="A1293" s="126" t="s">
        <v>3683</v>
      </c>
      <c r="B1293" s="126" t="str">
        <f t="shared" si="390"/>
        <v>D0501</v>
      </c>
      <c r="C1293" s="126">
        <v>8506</v>
      </c>
      <c r="D1293" s="126" t="s">
        <v>3256</v>
      </c>
      <c r="E1293" s="126">
        <v>253</v>
      </c>
      <c r="F1293" s="126">
        <v>0</v>
      </c>
      <c r="G1293" s="126">
        <v>157</v>
      </c>
      <c r="H1293" s="126">
        <v>0</v>
      </c>
      <c r="I1293" s="126">
        <v>62.06</v>
      </c>
      <c r="J1293" s="126">
        <v>16.5</v>
      </c>
      <c r="K1293" s="126">
        <v>0</v>
      </c>
      <c r="L1293" s="126">
        <f t="shared" si="393"/>
        <v>253</v>
      </c>
      <c r="M1293" s="312">
        <f t="shared" si="394"/>
        <v>157</v>
      </c>
      <c r="N1293" s="171">
        <f t="shared" si="395"/>
        <v>0.62060000000000004</v>
      </c>
      <c r="O1293" s="132">
        <f t="shared" si="396"/>
        <v>0</v>
      </c>
      <c r="P1293" s="177">
        <f t="shared" si="397"/>
        <v>16.5</v>
      </c>
      <c r="Q1293" s="177">
        <f t="shared" si="398"/>
        <v>16.5</v>
      </c>
      <c r="S1293" s="233" t="b">
        <f t="shared" si="399"/>
        <v>0</v>
      </c>
    </row>
    <row r="1294" spans="1:19">
      <c r="A1294" s="126" t="s">
        <v>3683</v>
      </c>
      <c r="B1294" s="126" t="str">
        <f t="shared" si="390"/>
        <v>D0501</v>
      </c>
      <c r="C1294" s="126">
        <v>8512</v>
      </c>
      <c r="D1294" s="126" t="s">
        <v>3258</v>
      </c>
      <c r="E1294" s="126">
        <v>390</v>
      </c>
      <c r="F1294" s="126">
        <v>0</v>
      </c>
      <c r="G1294" s="126">
        <v>200</v>
      </c>
      <c r="H1294" s="126">
        <v>0</v>
      </c>
      <c r="I1294" s="126">
        <v>51.28</v>
      </c>
      <c r="J1294" s="126">
        <v>21</v>
      </c>
      <c r="K1294" s="126">
        <v>0</v>
      </c>
      <c r="L1294" s="126">
        <f t="shared" si="393"/>
        <v>390</v>
      </c>
      <c r="M1294" s="312">
        <f t="shared" si="394"/>
        <v>200</v>
      </c>
      <c r="N1294" s="171">
        <f t="shared" si="395"/>
        <v>0.51280000000000003</v>
      </c>
      <c r="O1294" s="132">
        <f t="shared" si="396"/>
        <v>0</v>
      </c>
      <c r="P1294" s="177">
        <f t="shared" si="397"/>
        <v>21</v>
      </c>
      <c r="Q1294" s="177">
        <f t="shared" si="398"/>
        <v>21</v>
      </c>
      <c r="S1294" s="233" t="b">
        <f t="shared" si="399"/>
        <v>0</v>
      </c>
    </row>
    <row r="1295" spans="1:19">
      <c r="A1295" s="126" t="s">
        <v>3683</v>
      </c>
      <c r="B1295" s="126" t="str">
        <f t="shared" si="390"/>
        <v>D0501</v>
      </c>
      <c r="C1295" s="126">
        <v>8513</v>
      </c>
      <c r="D1295" s="126" t="s">
        <v>3260</v>
      </c>
      <c r="E1295" s="126">
        <v>544</v>
      </c>
      <c r="F1295" s="126">
        <v>0</v>
      </c>
      <c r="G1295" s="126">
        <v>423</v>
      </c>
      <c r="H1295" s="126">
        <v>0</v>
      </c>
      <c r="I1295" s="126">
        <v>77.760000000000005</v>
      </c>
      <c r="J1295" s="126">
        <v>44.4</v>
      </c>
      <c r="K1295" s="126">
        <v>0</v>
      </c>
      <c r="L1295" s="126">
        <f t="shared" si="393"/>
        <v>544</v>
      </c>
      <c r="M1295" s="312">
        <f t="shared" si="394"/>
        <v>423</v>
      </c>
      <c r="N1295" s="171">
        <f t="shared" si="395"/>
        <v>0.77759999999999996</v>
      </c>
      <c r="O1295" s="132">
        <f t="shared" si="396"/>
        <v>0</v>
      </c>
      <c r="P1295" s="177">
        <f t="shared" si="397"/>
        <v>44.4</v>
      </c>
      <c r="Q1295" s="177">
        <f t="shared" si="398"/>
        <v>44.4</v>
      </c>
      <c r="S1295" s="233" t="b">
        <f t="shared" si="399"/>
        <v>0</v>
      </c>
    </row>
    <row r="1296" spans="1:19">
      <c r="A1296" s="126" t="s">
        <v>3683</v>
      </c>
      <c r="B1296" s="126" t="str">
        <f t="shared" si="390"/>
        <v>D0501</v>
      </c>
      <c r="C1296" s="126">
        <v>8524</v>
      </c>
      <c r="D1296" s="126" t="s">
        <v>3005</v>
      </c>
      <c r="E1296" s="126">
        <v>534</v>
      </c>
      <c r="F1296" s="126">
        <v>0</v>
      </c>
      <c r="G1296" s="126">
        <v>401</v>
      </c>
      <c r="H1296" s="126">
        <v>0</v>
      </c>
      <c r="I1296" s="126">
        <v>75.09</v>
      </c>
      <c r="J1296" s="126">
        <v>42.1</v>
      </c>
      <c r="K1296" s="126">
        <v>0</v>
      </c>
      <c r="L1296" s="126">
        <f t="shared" si="393"/>
        <v>534</v>
      </c>
      <c r="M1296" s="312">
        <f t="shared" si="394"/>
        <v>401</v>
      </c>
      <c r="N1296" s="171">
        <f t="shared" si="395"/>
        <v>0.75090000000000001</v>
      </c>
      <c r="O1296" s="132">
        <f t="shared" si="396"/>
        <v>0</v>
      </c>
      <c r="P1296" s="177">
        <f t="shared" si="397"/>
        <v>42.1</v>
      </c>
      <c r="Q1296" s="177">
        <f t="shared" si="398"/>
        <v>42.1</v>
      </c>
      <c r="S1296" s="233" t="b">
        <f t="shared" si="399"/>
        <v>0</v>
      </c>
    </row>
    <row r="1297" spans="1:19">
      <c r="A1297" s="126" t="s">
        <v>3683</v>
      </c>
      <c r="B1297" s="126" t="str">
        <f t="shared" si="390"/>
        <v>D0501</v>
      </c>
      <c r="C1297" s="126">
        <v>8530</v>
      </c>
      <c r="D1297" s="126" t="s">
        <v>3263</v>
      </c>
      <c r="E1297" s="126">
        <v>521</v>
      </c>
      <c r="F1297" s="126">
        <v>0</v>
      </c>
      <c r="G1297" s="126">
        <v>333</v>
      </c>
      <c r="H1297" s="126">
        <v>0</v>
      </c>
      <c r="I1297" s="126">
        <v>63.92</v>
      </c>
      <c r="J1297" s="126">
        <v>35</v>
      </c>
      <c r="K1297" s="126">
        <v>0</v>
      </c>
      <c r="L1297" s="126">
        <f t="shared" si="393"/>
        <v>521</v>
      </c>
      <c r="M1297" s="312">
        <f t="shared" si="394"/>
        <v>333</v>
      </c>
      <c r="N1297" s="171">
        <f t="shared" si="395"/>
        <v>0.63919999999999999</v>
      </c>
      <c r="O1297" s="132">
        <f t="shared" si="396"/>
        <v>0</v>
      </c>
      <c r="P1297" s="177">
        <f t="shared" si="397"/>
        <v>35</v>
      </c>
      <c r="Q1297" s="177">
        <f t="shared" si="398"/>
        <v>35</v>
      </c>
      <c r="S1297" s="233" t="b">
        <f t="shared" si="399"/>
        <v>0</v>
      </c>
    </row>
    <row r="1298" spans="1:19">
      <c r="A1298" s="126" t="s">
        <v>3683</v>
      </c>
      <c r="B1298" s="126" t="str">
        <f t="shared" si="390"/>
        <v>D0501</v>
      </c>
      <c r="C1298" s="126">
        <v>8532</v>
      </c>
      <c r="D1298" s="126" t="s">
        <v>3265</v>
      </c>
      <c r="E1298" s="126">
        <v>445</v>
      </c>
      <c r="F1298" s="126">
        <v>0</v>
      </c>
      <c r="G1298" s="126">
        <v>257</v>
      </c>
      <c r="H1298" s="126">
        <v>0</v>
      </c>
      <c r="I1298" s="126">
        <v>57.75</v>
      </c>
      <c r="J1298" s="126">
        <v>27</v>
      </c>
      <c r="K1298" s="126">
        <v>0</v>
      </c>
      <c r="L1298" s="126">
        <f t="shared" si="393"/>
        <v>445</v>
      </c>
      <c r="M1298" s="312">
        <f t="shared" si="394"/>
        <v>257</v>
      </c>
      <c r="N1298" s="171">
        <f t="shared" si="395"/>
        <v>0.57750000000000001</v>
      </c>
      <c r="O1298" s="132">
        <f t="shared" si="396"/>
        <v>0</v>
      </c>
      <c r="P1298" s="177">
        <f t="shared" si="397"/>
        <v>27</v>
      </c>
      <c r="Q1298" s="177">
        <f t="shared" si="398"/>
        <v>27</v>
      </c>
      <c r="S1298" s="233" t="b">
        <f t="shared" si="399"/>
        <v>0</v>
      </c>
    </row>
    <row r="1299" spans="1:19">
      <c r="A1299" s="126" t="s">
        <v>3683</v>
      </c>
      <c r="B1299" s="126" t="str">
        <f t="shared" si="390"/>
        <v>D0501</v>
      </c>
      <c r="C1299" s="126">
        <v>8533</v>
      </c>
      <c r="D1299" s="126" t="s">
        <v>3267</v>
      </c>
      <c r="E1299" s="126">
        <v>469</v>
      </c>
      <c r="F1299" s="126">
        <v>0</v>
      </c>
      <c r="G1299" s="126">
        <v>255</v>
      </c>
      <c r="H1299" s="126">
        <v>0</v>
      </c>
      <c r="I1299" s="126">
        <v>54.37</v>
      </c>
      <c r="J1299" s="126">
        <v>26.8</v>
      </c>
      <c r="K1299" s="126">
        <v>0</v>
      </c>
      <c r="L1299" s="126">
        <f t="shared" si="393"/>
        <v>469</v>
      </c>
      <c r="M1299" s="312">
        <f t="shared" si="394"/>
        <v>255</v>
      </c>
      <c r="N1299" s="171">
        <f t="shared" si="395"/>
        <v>0.54369999999999996</v>
      </c>
      <c r="O1299" s="132">
        <f t="shared" si="396"/>
        <v>0</v>
      </c>
      <c r="P1299" s="177">
        <f t="shared" si="397"/>
        <v>26.8</v>
      </c>
      <c r="Q1299" s="177">
        <f t="shared" si="398"/>
        <v>26.8</v>
      </c>
      <c r="S1299" s="233" t="b">
        <f t="shared" si="399"/>
        <v>0</v>
      </c>
    </row>
    <row r="1300" spans="1:19">
      <c r="A1300" s="126" t="s">
        <v>3683</v>
      </c>
      <c r="B1300" s="126" t="str">
        <f t="shared" si="390"/>
        <v>D0501</v>
      </c>
      <c r="C1300" s="126">
        <v>8536</v>
      </c>
      <c r="D1300" s="126" t="s">
        <v>3269</v>
      </c>
      <c r="E1300" s="126">
        <v>837</v>
      </c>
      <c r="F1300" s="126">
        <v>0</v>
      </c>
      <c r="G1300" s="126">
        <v>618</v>
      </c>
      <c r="H1300" s="126">
        <v>0</v>
      </c>
      <c r="I1300" s="126">
        <v>73.84</v>
      </c>
      <c r="J1300" s="126">
        <v>64.900000000000006</v>
      </c>
      <c r="K1300" s="126">
        <v>0</v>
      </c>
      <c r="L1300" s="126">
        <f t="shared" si="393"/>
        <v>837</v>
      </c>
      <c r="M1300" s="312">
        <f t="shared" si="394"/>
        <v>618</v>
      </c>
      <c r="N1300" s="171">
        <f t="shared" si="395"/>
        <v>0.73839999999999995</v>
      </c>
      <c r="O1300" s="132">
        <f t="shared" si="396"/>
        <v>0</v>
      </c>
      <c r="P1300" s="177">
        <f t="shared" si="397"/>
        <v>64.900000000000006</v>
      </c>
      <c r="Q1300" s="177">
        <f t="shared" si="398"/>
        <v>64.900000000000006</v>
      </c>
      <c r="S1300" s="233" t="b">
        <f t="shared" si="399"/>
        <v>0</v>
      </c>
    </row>
    <row r="1301" spans="1:19">
      <c r="A1301" s="126" t="s">
        <v>3683</v>
      </c>
      <c r="B1301" s="126" t="str">
        <f t="shared" si="390"/>
        <v>D0501</v>
      </c>
      <c r="C1301" s="126">
        <v>8538</v>
      </c>
      <c r="D1301" s="126" t="s">
        <v>3271</v>
      </c>
      <c r="E1301" s="126">
        <v>1617</v>
      </c>
      <c r="F1301" s="126">
        <v>0</v>
      </c>
      <c r="G1301" s="126">
        <v>892</v>
      </c>
      <c r="H1301" s="126">
        <v>0</v>
      </c>
      <c r="I1301" s="126">
        <v>55.16</v>
      </c>
      <c r="J1301" s="126">
        <v>93.7</v>
      </c>
      <c r="K1301" s="126">
        <v>0</v>
      </c>
      <c r="L1301" s="126">
        <f t="shared" si="393"/>
        <v>1617</v>
      </c>
      <c r="M1301" s="312">
        <f t="shared" si="394"/>
        <v>892</v>
      </c>
      <c r="N1301" s="171">
        <f t="shared" si="395"/>
        <v>0.55159999999999998</v>
      </c>
      <c r="O1301" s="132">
        <f t="shared" si="396"/>
        <v>0</v>
      </c>
      <c r="P1301" s="177">
        <f t="shared" si="397"/>
        <v>93.7</v>
      </c>
      <c r="Q1301" s="177">
        <f t="shared" si="398"/>
        <v>93.7</v>
      </c>
      <c r="S1301" s="233" t="b">
        <f t="shared" si="399"/>
        <v>0</v>
      </c>
    </row>
    <row r="1302" spans="1:19">
      <c r="A1302" s="126" t="s">
        <v>3683</v>
      </c>
      <c r="B1302" s="126" t="str">
        <f t="shared" si="390"/>
        <v>D0501</v>
      </c>
      <c r="C1302" s="126">
        <v>8540</v>
      </c>
      <c r="D1302" s="126" t="s">
        <v>3273</v>
      </c>
      <c r="E1302" s="126">
        <v>1066</v>
      </c>
      <c r="F1302" s="126">
        <v>0</v>
      </c>
      <c r="G1302" s="126">
        <v>478</v>
      </c>
      <c r="H1302" s="126">
        <v>0</v>
      </c>
      <c r="I1302" s="126">
        <v>44.84</v>
      </c>
      <c r="J1302" s="126">
        <v>0</v>
      </c>
      <c r="K1302" s="126">
        <v>32.9</v>
      </c>
      <c r="L1302" s="126">
        <f t="shared" si="393"/>
        <v>1066</v>
      </c>
      <c r="M1302" s="312">
        <f t="shared" si="394"/>
        <v>478</v>
      </c>
      <c r="N1302" s="171">
        <f t="shared" si="395"/>
        <v>0.44840000000000002</v>
      </c>
      <c r="O1302" s="132">
        <f t="shared" si="396"/>
        <v>32.9</v>
      </c>
      <c r="P1302" s="177">
        <f t="shared" si="397"/>
        <v>0</v>
      </c>
      <c r="Q1302" s="177">
        <f t="shared" si="398"/>
        <v>32.9</v>
      </c>
      <c r="S1302" s="233" t="b">
        <f t="shared" si="399"/>
        <v>0</v>
      </c>
    </row>
    <row r="1303" spans="1:19">
      <c r="A1303" s="126" t="s">
        <v>3683</v>
      </c>
      <c r="B1303" s="126" t="str">
        <f t="shared" si="390"/>
        <v>D0501</v>
      </c>
      <c r="C1303" s="126">
        <v>8552</v>
      </c>
      <c r="D1303" s="126" t="s">
        <v>3275</v>
      </c>
      <c r="E1303" s="126">
        <v>99</v>
      </c>
      <c r="F1303" s="126">
        <v>0</v>
      </c>
      <c r="G1303" s="126">
        <v>68</v>
      </c>
      <c r="H1303" s="126">
        <v>0</v>
      </c>
      <c r="I1303" s="126">
        <v>68.69</v>
      </c>
      <c r="J1303" s="126">
        <v>7.1</v>
      </c>
      <c r="K1303" s="126">
        <v>0</v>
      </c>
      <c r="L1303" s="126">
        <f t="shared" si="393"/>
        <v>99</v>
      </c>
      <c r="M1303" s="312">
        <f t="shared" si="394"/>
        <v>68</v>
      </c>
      <c r="N1303" s="171">
        <f t="shared" si="395"/>
        <v>0.68689999999999996</v>
      </c>
      <c r="O1303" s="132">
        <f t="shared" si="396"/>
        <v>0</v>
      </c>
      <c r="P1303" s="177">
        <f t="shared" si="397"/>
        <v>7.1</v>
      </c>
      <c r="Q1303" s="177">
        <f t="shared" si="398"/>
        <v>7.1</v>
      </c>
      <c r="S1303" s="233" t="b">
        <f t="shared" si="399"/>
        <v>0</v>
      </c>
    </row>
    <row r="1304" spans="1:19">
      <c r="A1304" s="126" t="s">
        <v>3900</v>
      </c>
      <c r="B1304" s="126" t="str">
        <f t="shared" si="390"/>
        <v>D0230</v>
      </c>
      <c r="C1304" s="126">
        <v>787</v>
      </c>
      <c r="D1304" s="126" t="s">
        <v>1199</v>
      </c>
      <c r="E1304" s="126">
        <v>515</v>
      </c>
      <c r="F1304" s="126">
        <v>0</v>
      </c>
      <c r="G1304" s="126">
        <v>134</v>
      </c>
      <c r="H1304" s="126">
        <v>0</v>
      </c>
      <c r="I1304" s="126">
        <v>26.02</v>
      </c>
      <c r="J1304" s="126">
        <v>0</v>
      </c>
      <c r="K1304" s="126">
        <v>0</v>
      </c>
      <c r="L1304" s="126">
        <f t="shared" ref="L1304:L1309" si="400">SUM(E1304:F1304)</f>
        <v>515</v>
      </c>
      <c r="M1304" s="312">
        <f t="shared" ref="M1304:M1309" si="401">G1304</f>
        <v>134</v>
      </c>
      <c r="N1304" s="171">
        <f t="shared" ref="N1304:N1309" si="402">IF(ISERROR(M1304/L1304),0,M1304/L1304)</f>
        <v>0.26019999999999999</v>
      </c>
      <c r="O1304" s="132">
        <f t="shared" ref="O1304:O1309" si="403">IF(AND((N1304-35%)&gt;0,N1304&lt;50%),M1304*(N1304-35%)*0.7,0)</f>
        <v>0</v>
      </c>
      <c r="P1304" s="177">
        <f t="shared" ref="P1304:P1309" si="404">IF(N1304&gt;=50%,M1304*10.5%,0)</f>
        <v>0</v>
      </c>
      <c r="Q1304" s="177">
        <f t="shared" ref="Q1304:Q1309" si="405">MAX(O1304,P1304)</f>
        <v>0</v>
      </c>
      <c r="S1304" s="233" t="b">
        <f t="shared" si="399"/>
        <v>0</v>
      </c>
    </row>
    <row r="1305" spans="1:19">
      <c r="A1305" s="126" t="s">
        <v>3900</v>
      </c>
      <c r="B1305" s="126" t="str">
        <f t="shared" si="390"/>
        <v>D0230</v>
      </c>
      <c r="C1305" s="126">
        <v>790</v>
      </c>
      <c r="D1305" s="126" t="s">
        <v>1201</v>
      </c>
      <c r="E1305" s="126">
        <v>779</v>
      </c>
      <c r="F1305" s="126">
        <v>0</v>
      </c>
      <c r="G1305" s="126">
        <v>93</v>
      </c>
      <c r="H1305" s="126">
        <v>0</v>
      </c>
      <c r="I1305" s="126">
        <v>11.94</v>
      </c>
      <c r="J1305" s="126">
        <v>0</v>
      </c>
      <c r="K1305" s="126">
        <v>0</v>
      </c>
      <c r="L1305" s="126">
        <f t="shared" si="400"/>
        <v>779</v>
      </c>
      <c r="M1305" s="312">
        <f t="shared" si="401"/>
        <v>93</v>
      </c>
      <c r="N1305" s="171">
        <f t="shared" si="402"/>
        <v>0.11940000000000001</v>
      </c>
      <c r="O1305" s="132">
        <f t="shared" si="403"/>
        <v>0</v>
      </c>
      <c r="P1305" s="177">
        <f t="shared" si="404"/>
        <v>0</v>
      </c>
      <c r="Q1305" s="177">
        <f t="shared" si="405"/>
        <v>0</v>
      </c>
      <c r="S1305" s="233" t="b">
        <f t="shared" si="399"/>
        <v>0</v>
      </c>
    </row>
    <row r="1306" spans="1:19">
      <c r="A1306" s="126" t="s">
        <v>3900</v>
      </c>
      <c r="B1306" s="126" t="str">
        <f t="shared" si="390"/>
        <v>D0230</v>
      </c>
      <c r="C1306" s="126">
        <v>792</v>
      </c>
      <c r="D1306" s="126" t="s">
        <v>1203</v>
      </c>
      <c r="E1306" s="126">
        <v>719</v>
      </c>
      <c r="F1306" s="126">
        <v>0</v>
      </c>
      <c r="G1306" s="126">
        <v>90</v>
      </c>
      <c r="H1306" s="126">
        <v>0</v>
      </c>
      <c r="I1306" s="126">
        <v>12.52</v>
      </c>
      <c r="J1306" s="126">
        <v>0</v>
      </c>
      <c r="K1306" s="126">
        <v>0</v>
      </c>
      <c r="L1306" s="126">
        <f t="shared" si="400"/>
        <v>719</v>
      </c>
      <c r="M1306" s="312">
        <f t="shared" si="401"/>
        <v>90</v>
      </c>
      <c r="N1306" s="171">
        <f t="shared" si="402"/>
        <v>0.12520000000000001</v>
      </c>
      <c r="O1306" s="132">
        <f t="shared" si="403"/>
        <v>0</v>
      </c>
      <c r="P1306" s="177">
        <f t="shared" si="404"/>
        <v>0</v>
      </c>
      <c r="Q1306" s="177">
        <f t="shared" si="405"/>
        <v>0</v>
      </c>
      <c r="S1306" s="233" t="b">
        <f t="shared" si="399"/>
        <v>0</v>
      </c>
    </row>
    <row r="1307" spans="1:19">
      <c r="A1307" s="126" t="s">
        <v>3900</v>
      </c>
      <c r="B1307" s="126" t="str">
        <f t="shared" si="390"/>
        <v>D0230</v>
      </c>
      <c r="C1307" s="126">
        <v>793</v>
      </c>
      <c r="D1307" s="126" t="s">
        <v>1205</v>
      </c>
      <c r="E1307" s="126">
        <v>391</v>
      </c>
      <c r="F1307" s="126">
        <v>0</v>
      </c>
      <c r="G1307" s="126">
        <v>6</v>
      </c>
      <c r="H1307" s="126">
        <v>0</v>
      </c>
      <c r="I1307" s="126">
        <v>1.53</v>
      </c>
      <c r="J1307" s="126">
        <v>0</v>
      </c>
      <c r="K1307" s="126">
        <v>0</v>
      </c>
      <c r="L1307" s="126">
        <f t="shared" si="400"/>
        <v>391</v>
      </c>
      <c r="M1307" s="312">
        <f t="shared" si="401"/>
        <v>6</v>
      </c>
      <c r="N1307" s="171">
        <f t="shared" si="402"/>
        <v>1.5299999999999999E-2</v>
      </c>
      <c r="O1307" s="132">
        <f t="shared" si="403"/>
        <v>0</v>
      </c>
      <c r="P1307" s="177">
        <f t="shared" si="404"/>
        <v>0</v>
      </c>
      <c r="Q1307" s="177">
        <f t="shared" si="405"/>
        <v>0</v>
      </c>
      <c r="S1307" s="233" t="b">
        <f t="shared" si="399"/>
        <v>0</v>
      </c>
    </row>
    <row r="1308" spans="1:19">
      <c r="A1308" s="126" t="s">
        <v>3900</v>
      </c>
      <c r="B1308" s="126" t="str">
        <f t="shared" si="390"/>
        <v>D0230</v>
      </c>
      <c r="C1308" s="126">
        <v>929</v>
      </c>
      <c r="D1308" s="126" t="s">
        <v>1209</v>
      </c>
      <c r="E1308" s="126">
        <v>419</v>
      </c>
      <c r="F1308" s="126">
        <v>0</v>
      </c>
      <c r="G1308" s="126">
        <v>42</v>
      </c>
      <c r="H1308" s="126">
        <v>0</v>
      </c>
      <c r="I1308" s="126">
        <v>10.02</v>
      </c>
      <c r="J1308" s="126">
        <v>0</v>
      </c>
      <c r="K1308" s="126">
        <v>0</v>
      </c>
      <c r="L1308" s="126">
        <f t="shared" si="400"/>
        <v>419</v>
      </c>
      <c r="M1308" s="312">
        <f t="shared" si="401"/>
        <v>42</v>
      </c>
      <c r="N1308" s="171">
        <f t="shared" si="402"/>
        <v>0.1002</v>
      </c>
      <c r="O1308" s="132">
        <f t="shared" si="403"/>
        <v>0</v>
      </c>
      <c r="P1308" s="177">
        <f t="shared" si="404"/>
        <v>0</v>
      </c>
      <c r="Q1308" s="177">
        <f t="shared" si="405"/>
        <v>0</v>
      </c>
      <c r="S1308" s="233" t="b">
        <f t="shared" si="399"/>
        <v>0</v>
      </c>
    </row>
    <row r="1309" spans="1:19">
      <c r="A1309" s="126" t="s">
        <v>3900</v>
      </c>
      <c r="B1309" s="126" t="str">
        <f t="shared" si="390"/>
        <v>D0230</v>
      </c>
      <c r="C1309" s="126">
        <v>951</v>
      </c>
      <c r="D1309" s="126" t="s">
        <v>3600</v>
      </c>
      <c r="E1309" s="126">
        <v>291</v>
      </c>
      <c r="F1309" s="126">
        <v>0</v>
      </c>
      <c r="G1309" s="126">
        <v>9</v>
      </c>
      <c r="H1309" s="126">
        <v>0</v>
      </c>
      <c r="I1309" s="126">
        <v>3.09</v>
      </c>
      <c r="J1309" s="126">
        <v>0</v>
      </c>
      <c r="K1309" s="126">
        <v>0</v>
      </c>
      <c r="L1309" s="126">
        <f t="shared" si="400"/>
        <v>291</v>
      </c>
      <c r="M1309" s="312">
        <f t="shared" si="401"/>
        <v>9</v>
      </c>
      <c r="N1309" s="171">
        <f t="shared" si="402"/>
        <v>3.09E-2</v>
      </c>
      <c r="O1309" s="132">
        <f t="shared" si="403"/>
        <v>0</v>
      </c>
      <c r="P1309" s="177">
        <f t="shared" si="404"/>
        <v>0</v>
      </c>
      <c r="Q1309" s="177">
        <f t="shared" si="405"/>
        <v>0</v>
      </c>
      <c r="S1309" s="233" t="b">
        <f t="shared" si="399"/>
        <v>0</v>
      </c>
    </row>
  </sheetData>
  <autoFilter ref="A4:U1309"/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92"/>
  <sheetViews>
    <sheetView zoomScaleNormal="100" workbookViewId="0">
      <pane ySplit="1" topLeftCell="A2" activePane="bottomLeft" state="frozen"/>
      <selection pane="bottomLeft" activeCell="L67" sqref="L67"/>
    </sheetView>
  </sheetViews>
  <sheetFormatPr defaultColWidth="9.140625" defaultRowHeight="12.75"/>
  <cols>
    <col min="1" max="6" width="15.7109375" style="1" customWidth="1"/>
    <col min="7" max="8" width="15.7109375" style="59" customWidth="1"/>
    <col min="9" max="9" width="15.7109375" style="1" customWidth="1"/>
    <col min="10" max="16384" width="9.140625" style="1"/>
  </cols>
  <sheetData>
    <row r="1" spans="1:9" ht="27" customHeight="1" thickBot="1">
      <c r="A1" s="41" t="s">
        <v>500</v>
      </c>
      <c r="B1" s="39"/>
      <c r="C1" s="39"/>
      <c r="D1" s="39"/>
      <c r="E1" s="39"/>
      <c r="F1" s="39"/>
      <c r="G1" s="60"/>
      <c r="H1" s="60"/>
      <c r="I1" s="42"/>
    </row>
    <row r="2" spans="1:9" ht="51" customHeight="1">
      <c r="A2" s="344" t="s">
        <v>499</v>
      </c>
      <c r="B2" s="345"/>
      <c r="C2" s="346"/>
      <c r="D2" s="342" t="s">
        <v>497</v>
      </c>
      <c r="E2" s="343"/>
      <c r="F2" s="341"/>
      <c r="G2" s="344" t="s">
        <v>498</v>
      </c>
      <c r="H2" s="345"/>
      <c r="I2" s="346"/>
    </row>
    <row r="3" spans="1:9">
      <c r="A3" s="3"/>
      <c r="B3" s="4" t="s">
        <v>508</v>
      </c>
      <c r="C3" s="2"/>
      <c r="D3" s="3"/>
      <c r="E3" s="4" t="s">
        <v>507</v>
      </c>
      <c r="F3" s="2"/>
      <c r="G3" s="43"/>
      <c r="H3" s="4" t="s">
        <v>506</v>
      </c>
      <c r="I3" s="2"/>
    </row>
    <row r="4" spans="1:9">
      <c r="A4" s="3"/>
      <c r="B4" s="4" t="s">
        <v>110</v>
      </c>
      <c r="C4" s="5"/>
      <c r="D4" s="3"/>
      <c r="E4" s="4" t="s">
        <v>110</v>
      </c>
      <c r="F4" s="5"/>
      <c r="G4" s="43"/>
      <c r="H4" s="4" t="s">
        <v>110</v>
      </c>
      <c r="I4" s="5"/>
    </row>
    <row r="5" spans="1:9">
      <c r="A5" s="3"/>
      <c r="B5" s="4" t="s">
        <v>112</v>
      </c>
      <c r="C5" s="5"/>
      <c r="D5" s="3"/>
      <c r="E5" s="4" t="s">
        <v>112</v>
      </c>
      <c r="F5" s="5"/>
      <c r="G5" s="43"/>
      <c r="H5" s="4" t="s">
        <v>112</v>
      </c>
      <c r="I5" s="5"/>
    </row>
    <row r="6" spans="1:9">
      <c r="A6" s="3">
        <v>280</v>
      </c>
      <c r="B6" s="6">
        <v>554184</v>
      </c>
      <c r="C6" s="2"/>
      <c r="D6" s="3">
        <v>317</v>
      </c>
      <c r="E6" s="6">
        <v>883854</v>
      </c>
      <c r="F6" s="2"/>
      <c r="G6" s="43">
        <v>302</v>
      </c>
      <c r="H6" s="44">
        <v>1136495</v>
      </c>
      <c r="I6" s="2"/>
    </row>
    <row r="7" spans="1:9" ht="13.5" thickBot="1">
      <c r="A7" s="3">
        <v>281</v>
      </c>
      <c r="B7" s="7">
        <v>2993832</v>
      </c>
      <c r="C7" s="2"/>
      <c r="D7" s="3">
        <v>318</v>
      </c>
      <c r="E7" s="7">
        <v>2440257</v>
      </c>
      <c r="F7" s="2"/>
      <c r="G7" s="43">
        <v>304</v>
      </c>
      <c r="H7" s="45">
        <v>820888</v>
      </c>
      <c r="I7" s="2"/>
    </row>
    <row r="8" spans="1:9" ht="13.5" thickTop="1">
      <c r="A8" s="8" t="s">
        <v>111</v>
      </c>
      <c r="B8" s="9">
        <f>SUM(B6:B7)</f>
        <v>3548016</v>
      </c>
      <c r="C8" s="2"/>
      <c r="D8" s="8" t="s">
        <v>111</v>
      </c>
      <c r="E8" s="6">
        <f>SUM(E6:E7)</f>
        <v>3324111</v>
      </c>
      <c r="F8" s="2"/>
      <c r="G8" s="18" t="s">
        <v>111</v>
      </c>
      <c r="H8" s="44">
        <f>SUM(H6:H7)</f>
        <v>1957383</v>
      </c>
      <c r="I8" s="5"/>
    </row>
    <row r="9" spans="1:9">
      <c r="A9" s="8" t="s">
        <v>113</v>
      </c>
      <c r="B9" s="9">
        <v>-154</v>
      </c>
      <c r="C9" s="40"/>
      <c r="D9" s="8" t="s">
        <v>117</v>
      </c>
      <c r="E9" s="10">
        <v>86615</v>
      </c>
      <c r="F9" s="2"/>
      <c r="G9" s="18" t="s">
        <v>121</v>
      </c>
      <c r="H9" s="46">
        <v>77952</v>
      </c>
      <c r="I9" s="5"/>
    </row>
    <row r="10" spans="1:9" ht="13.5" thickBot="1">
      <c r="A10" s="8" t="s">
        <v>114</v>
      </c>
      <c r="B10" s="11">
        <v>-143386</v>
      </c>
      <c r="C10" s="40"/>
      <c r="D10" s="8" t="s">
        <v>118</v>
      </c>
      <c r="E10" s="12">
        <v>133936</v>
      </c>
      <c r="F10" s="2"/>
      <c r="G10" s="18" t="s">
        <v>122</v>
      </c>
      <c r="H10" s="47">
        <v>56643</v>
      </c>
      <c r="I10" s="2"/>
    </row>
    <row r="11" spans="1:9" ht="13.5" thickTop="1">
      <c r="A11" s="8" t="s">
        <v>115</v>
      </c>
      <c r="B11" s="9">
        <f>SUM(B8:B10)</f>
        <v>3404476</v>
      </c>
      <c r="C11" s="40"/>
      <c r="D11" s="8" t="s">
        <v>115</v>
      </c>
      <c r="E11" s="6">
        <f>E8-E9-E10</f>
        <v>3103560</v>
      </c>
      <c r="F11" s="2"/>
      <c r="G11" s="18" t="s">
        <v>115</v>
      </c>
      <c r="H11" s="44">
        <f>H8-H9-H10</f>
        <v>1822788</v>
      </c>
      <c r="I11" s="2"/>
    </row>
    <row r="12" spans="1:9" ht="13.5" thickBot="1">
      <c r="A12" s="8" t="s">
        <v>116</v>
      </c>
      <c r="B12" s="11" t="e">
        <f>'2019 Legal Max'!#REF!*4257</f>
        <v>#REF!</v>
      </c>
      <c r="C12" s="40"/>
      <c r="D12" s="8" t="s">
        <v>119</v>
      </c>
      <c r="E12" s="7" t="e">
        <f>'2019 Legal Max'!#REF!*4316</f>
        <v>#REF!</v>
      </c>
      <c r="F12" s="2"/>
      <c r="G12" s="18" t="s">
        <v>119</v>
      </c>
      <c r="H12" s="45" t="e">
        <f>'2019 Legal Max'!#REF!*4374</f>
        <v>#REF!</v>
      </c>
      <c r="I12" s="5"/>
    </row>
    <row r="13" spans="1:9" ht="13.5" thickTop="1">
      <c r="A13" s="8" t="s">
        <v>123</v>
      </c>
      <c r="B13" s="9" t="e">
        <f>SUM(B11:B12)</f>
        <v>#REF!</v>
      </c>
      <c r="C13" s="40"/>
      <c r="D13" s="8" t="s">
        <v>120</v>
      </c>
      <c r="E13" s="6" t="e">
        <f>SUM(E11:E12)</f>
        <v>#REF!</v>
      </c>
      <c r="F13" s="2"/>
      <c r="G13" s="18" t="s">
        <v>120</v>
      </c>
      <c r="H13" s="44" t="e">
        <f>SUM(H11:H12)</f>
        <v>#REF!</v>
      </c>
      <c r="I13" s="5"/>
    </row>
    <row r="14" spans="1:9" ht="13.5" thickBot="1">
      <c r="A14" s="13"/>
      <c r="B14" s="14"/>
      <c r="C14" s="15"/>
      <c r="D14" s="13"/>
      <c r="E14" s="14"/>
      <c r="F14" s="15"/>
      <c r="G14" s="48"/>
      <c r="H14" s="48"/>
      <c r="I14" s="15"/>
    </row>
    <row r="15" spans="1:9" ht="51" customHeight="1">
      <c r="A15" s="339" t="s">
        <v>483</v>
      </c>
      <c r="B15" s="340"/>
      <c r="C15" s="341"/>
      <c r="D15" s="342" t="s">
        <v>484</v>
      </c>
      <c r="E15" s="343"/>
      <c r="F15" s="341"/>
      <c r="G15" s="342" t="s">
        <v>485</v>
      </c>
      <c r="H15" s="343"/>
      <c r="I15" s="341"/>
    </row>
    <row r="16" spans="1:9">
      <c r="A16" s="3"/>
      <c r="B16" s="4" t="s">
        <v>505</v>
      </c>
      <c r="C16" s="2"/>
      <c r="D16" s="3"/>
      <c r="E16" s="4" t="s">
        <v>505</v>
      </c>
      <c r="F16" s="2"/>
      <c r="G16" s="43"/>
      <c r="H16" s="4" t="s">
        <v>505</v>
      </c>
      <c r="I16" s="5"/>
    </row>
    <row r="17" spans="1:9">
      <c r="A17" s="3"/>
      <c r="B17" s="4" t="s">
        <v>110</v>
      </c>
      <c r="C17" s="2"/>
      <c r="D17" s="3"/>
      <c r="E17" s="4" t="s">
        <v>110</v>
      </c>
      <c r="F17" s="2"/>
      <c r="G17" s="43"/>
      <c r="H17" s="4" t="s">
        <v>110</v>
      </c>
      <c r="I17" s="5"/>
    </row>
    <row r="18" spans="1:9">
      <c r="A18" s="3"/>
      <c r="B18" s="4" t="s">
        <v>124</v>
      </c>
      <c r="C18" s="2"/>
      <c r="D18" s="3"/>
      <c r="E18" s="4" t="s">
        <v>124</v>
      </c>
      <c r="F18" s="2"/>
      <c r="G18" s="43"/>
      <c r="H18" s="4" t="s">
        <v>124</v>
      </c>
      <c r="I18" s="5"/>
    </row>
    <row r="19" spans="1:9">
      <c r="A19" s="3">
        <v>104</v>
      </c>
      <c r="B19" s="16">
        <v>1183446</v>
      </c>
      <c r="C19" s="2"/>
      <c r="D19" s="3">
        <v>221</v>
      </c>
      <c r="E19" s="16">
        <v>1205582</v>
      </c>
      <c r="F19" s="2"/>
      <c r="G19" s="43">
        <v>427</v>
      </c>
      <c r="H19" s="49">
        <v>3442636</v>
      </c>
      <c r="I19" s="5"/>
    </row>
    <row r="20" spans="1:9" ht="13.5" thickBot="1">
      <c r="A20" s="3">
        <v>278</v>
      </c>
      <c r="B20" s="17">
        <v>1751330</v>
      </c>
      <c r="C20" s="2"/>
      <c r="D20" s="3">
        <v>222</v>
      </c>
      <c r="E20" s="17">
        <v>2622738</v>
      </c>
      <c r="F20" s="2"/>
      <c r="G20" s="43">
        <v>455</v>
      </c>
      <c r="H20" s="50">
        <v>1173655</v>
      </c>
      <c r="I20" s="5"/>
    </row>
    <row r="21" spans="1:9" ht="13.5" thickTop="1">
      <c r="A21" s="8" t="s">
        <v>111</v>
      </c>
      <c r="B21" s="16">
        <f>SUM(B19:B20)</f>
        <v>2934776</v>
      </c>
      <c r="C21" s="2"/>
      <c r="D21" s="8" t="s">
        <v>111</v>
      </c>
      <c r="E21" s="16">
        <f>SUM(E19:E20)</f>
        <v>3828320</v>
      </c>
      <c r="F21" s="2"/>
      <c r="G21" s="18" t="s">
        <v>111</v>
      </c>
      <c r="H21" s="49">
        <f>SUM(H19:H20)</f>
        <v>4616291</v>
      </c>
      <c r="I21" s="5"/>
    </row>
    <row r="22" spans="1:9">
      <c r="A22" s="8" t="s">
        <v>125</v>
      </c>
      <c r="B22" s="19">
        <v>83064</v>
      </c>
      <c r="C22" s="2"/>
      <c r="D22" s="8" t="s">
        <v>127</v>
      </c>
      <c r="E22" s="19">
        <v>122855</v>
      </c>
      <c r="F22" s="2"/>
      <c r="G22" s="18" t="s">
        <v>129</v>
      </c>
      <c r="H22" s="51">
        <v>398982</v>
      </c>
      <c r="I22" s="5"/>
    </row>
    <row r="23" spans="1:9" ht="13.5" thickBot="1">
      <c r="A23" s="8" t="s">
        <v>126</v>
      </c>
      <c r="B23" s="20">
        <v>76561</v>
      </c>
      <c r="C23" s="2"/>
      <c r="D23" s="8" t="s">
        <v>128</v>
      </c>
      <c r="E23" s="20">
        <v>230689</v>
      </c>
      <c r="F23" s="2"/>
      <c r="G23" s="18" t="s">
        <v>130</v>
      </c>
      <c r="H23" s="52">
        <v>95498</v>
      </c>
      <c r="I23" s="5"/>
    </row>
    <row r="24" spans="1:9" ht="13.5" thickTop="1">
      <c r="A24" s="8" t="s">
        <v>115</v>
      </c>
      <c r="B24" s="16">
        <f>B21-B22-B23</f>
        <v>2775151</v>
      </c>
      <c r="C24" s="2"/>
      <c r="D24" s="8" t="s">
        <v>115</v>
      </c>
      <c r="E24" s="16">
        <f>E21-E22-E23</f>
        <v>3474776</v>
      </c>
      <c r="F24" s="2"/>
      <c r="G24" s="18" t="s">
        <v>115</v>
      </c>
      <c r="H24" s="49">
        <f>H21-H22-H23</f>
        <v>4121811</v>
      </c>
      <c r="I24" s="5"/>
    </row>
    <row r="25" spans="1:9" ht="13.5" thickBot="1">
      <c r="A25" s="8" t="s">
        <v>132</v>
      </c>
      <c r="B25" s="17" t="e">
        <f>'2019 Legal Max'!#REF!*4400</f>
        <v>#REF!</v>
      </c>
      <c r="C25" s="2"/>
      <c r="D25" s="8" t="s">
        <v>132</v>
      </c>
      <c r="E25" s="17" t="e">
        <f>'2019 Legal Max'!#REF!*4400</f>
        <v>#REF!</v>
      </c>
      <c r="F25" s="2"/>
      <c r="G25" s="18" t="s">
        <v>132</v>
      </c>
      <c r="H25" s="50" t="e">
        <f>'2019 Legal Max'!#REF!*4400</f>
        <v>#REF!</v>
      </c>
      <c r="I25" s="5"/>
    </row>
    <row r="26" spans="1:9" ht="13.5" thickTop="1">
      <c r="A26" s="8" t="s">
        <v>131</v>
      </c>
      <c r="B26" s="16" t="e">
        <f>B24+B25</f>
        <v>#REF!</v>
      </c>
      <c r="C26" s="2"/>
      <c r="D26" s="8" t="s">
        <v>131</v>
      </c>
      <c r="E26" s="16" t="e">
        <f>E24+E25</f>
        <v>#REF!</v>
      </c>
      <c r="F26" s="2"/>
      <c r="G26" s="18" t="s">
        <v>131</v>
      </c>
      <c r="H26" s="49" t="e">
        <f>H24+H25</f>
        <v>#REF!</v>
      </c>
      <c r="I26" s="5"/>
    </row>
    <row r="27" spans="1:9" ht="13.5" thickBot="1">
      <c r="A27" s="13"/>
      <c r="B27" s="14"/>
      <c r="C27" s="15"/>
      <c r="D27" s="13"/>
      <c r="E27" s="14"/>
      <c r="F27" s="15"/>
      <c r="G27" s="61"/>
      <c r="H27" s="48"/>
      <c r="I27" s="62"/>
    </row>
    <row r="28" spans="1:9" ht="51" customHeight="1">
      <c r="A28" s="331" t="s">
        <v>486</v>
      </c>
      <c r="B28" s="347"/>
      <c r="C28" s="338"/>
      <c r="D28" s="334" t="s">
        <v>487</v>
      </c>
      <c r="E28" s="335"/>
      <c r="F28" s="333"/>
      <c r="G28" s="334" t="s">
        <v>488</v>
      </c>
      <c r="H28" s="335"/>
      <c r="I28" s="333"/>
    </row>
    <row r="29" spans="1:9">
      <c r="A29" s="3"/>
      <c r="B29" s="4" t="s">
        <v>504</v>
      </c>
      <c r="C29" s="2"/>
      <c r="D29" s="3"/>
      <c r="E29" s="4" t="s">
        <v>137</v>
      </c>
      <c r="F29" s="2"/>
      <c r="G29" s="43"/>
      <c r="H29" s="4" t="s">
        <v>137</v>
      </c>
      <c r="I29" s="5"/>
    </row>
    <row r="30" spans="1:9">
      <c r="A30" s="3"/>
      <c r="B30" s="4" t="s">
        <v>110</v>
      </c>
      <c r="C30" s="2"/>
      <c r="D30" s="3"/>
      <c r="E30" s="4" t="s">
        <v>110</v>
      </c>
      <c r="F30" s="2"/>
      <c r="G30" s="43"/>
      <c r="H30" s="4" t="s">
        <v>110</v>
      </c>
      <c r="I30" s="5"/>
    </row>
    <row r="31" spans="1:9">
      <c r="A31" s="3"/>
      <c r="B31" s="4" t="s">
        <v>124</v>
      </c>
      <c r="C31" s="2"/>
      <c r="D31" s="3"/>
      <c r="E31" s="4" t="s">
        <v>124</v>
      </c>
      <c r="F31" s="2"/>
      <c r="G31" s="43"/>
      <c r="H31" s="4" t="s">
        <v>124</v>
      </c>
      <c r="I31" s="5"/>
    </row>
    <row r="32" spans="1:9">
      <c r="A32" s="3">
        <v>238</v>
      </c>
      <c r="B32" s="16">
        <v>1743476</v>
      </c>
      <c r="C32" s="2"/>
      <c r="D32" s="3">
        <v>425</v>
      </c>
      <c r="E32" s="16">
        <v>2258960</v>
      </c>
      <c r="F32" s="2"/>
      <c r="G32" s="43">
        <v>107</v>
      </c>
      <c r="H32" s="49">
        <v>3042231</v>
      </c>
      <c r="I32" s="71"/>
    </row>
    <row r="33" spans="1:9" ht="13.5" thickBot="1">
      <c r="A33" s="3">
        <v>324</v>
      </c>
      <c r="B33" s="17">
        <v>1381747</v>
      </c>
      <c r="C33" s="2"/>
      <c r="D33" s="3">
        <v>433</v>
      </c>
      <c r="E33" s="17">
        <v>1947000</v>
      </c>
      <c r="F33" s="2"/>
      <c r="G33" s="43">
        <v>279</v>
      </c>
      <c r="H33" s="50">
        <v>591782</v>
      </c>
      <c r="I33" s="71"/>
    </row>
    <row r="34" spans="1:9" ht="13.5" thickTop="1">
      <c r="A34" s="8" t="s">
        <v>111</v>
      </c>
      <c r="B34" s="16">
        <f>SUM(B32:B33)</f>
        <v>3125223</v>
      </c>
      <c r="C34" s="2"/>
      <c r="D34" s="8" t="s">
        <v>111</v>
      </c>
      <c r="E34" s="16">
        <f>SUM(E32:E33)</f>
        <v>4205960</v>
      </c>
      <c r="F34" s="2"/>
      <c r="G34" s="18" t="s">
        <v>111</v>
      </c>
      <c r="H34" s="49">
        <f>SUM(H32:H33)</f>
        <v>3634013</v>
      </c>
      <c r="I34" s="71"/>
    </row>
    <row r="35" spans="1:9">
      <c r="A35" s="8" t="s">
        <v>134</v>
      </c>
      <c r="B35" s="19">
        <v>195300</v>
      </c>
      <c r="C35" s="2"/>
      <c r="D35" s="8" t="s">
        <v>138</v>
      </c>
      <c r="E35" s="19">
        <v>285521</v>
      </c>
      <c r="F35" s="2"/>
      <c r="G35" s="18" t="s">
        <v>141</v>
      </c>
      <c r="H35" s="51">
        <v>267171</v>
      </c>
      <c r="I35" s="72"/>
    </row>
    <row r="36" spans="1:9" ht="13.5" thickBot="1">
      <c r="A36" s="8" t="s">
        <v>135</v>
      </c>
      <c r="B36" s="20">
        <v>137268</v>
      </c>
      <c r="C36" s="2"/>
      <c r="D36" s="8" t="s">
        <v>139</v>
      </c>
      <c r="E36" s="20">
        <v>269700</v>
      </c>
      <c r="F36" s="2"/>
      <c r="G36" s="18" t="s">
        <v>142</v>
      </c>
      <c r="H36" s="52">
        <v>56043</v>
      </c>
      <c r="I36" s="72"/>
    </row>
    <row r="37" spans="1:9" ht="13.5" thickTop="1">
      <c r="A37" s="8" t="s">
        <v>115</v>
      </c>
      <c r="B37" s="16">
        <f>B34-B35-B36</f>
        <v>2792655</v>
      </c>
      <c r="C37" s="2"/>
      <c r="D37" s="8" t="s">
        <v>115</v>
      </c>
      <c r="E37" s="16">
        <f>E34-E35-E36</f>
        <v>3650739</v>
      </c>
      <c r="F37" s="2"/>
      <c r="G37" s="18" t="s">
        <v>115</v>
      </c>
      <c r="H37" s="49">
        <f>H34-H35-H36</f>
        <v>3310799</v>
      </c>
      <c r="I37" s="71"/>
    </row>
    <row r="38" spans="1:9" ht="13.5" thickBot="1">
      <c r="A38" s="8" t="s">
        <v>132</v>
      </c>
      <c r="B38" s="17" t="e">
        <f>'2019 Legal Max'!#REF!*'Weighting Factors'!Q5</f>
        <v>#REF!</v>
      </c>
      <c r="C38" s="2"/>
      <c r="D38" s="8" t="s">
        <v>132</v>
      </c>
      <c r="E38" s="17" t="e">
        <f>'2019 Legal Max'!#REF!*'Weighting Factors'!Q5</f>
        <v>#REF!</v>
      </c>
      <c r="F38" s="2"/>
      <c r="G38" s="18" t="s">
        <v>132</v>
      </c>
      <c r="H38" s="50" t="e">
        <f>'2019 Legal Max'!#REF!*'Weighting Factors'!Q5</f>
        <v>#REF!</v>
      </c>
      <c r="I38" s="71"/>
    </row>
    <row r="39" spans="1:9" ht="13.5" thickTop="1">
      <c r="A39" s="8" t="s">
        <v>136</v>
      </c>
      <c r="B39" s="16" t="e">
        <f>B37+B38</f>
        <v>#REF!</v>
      </c>
      <c r="C39" s="2"/>
      <c r="D39" s="8" t="s">
        <v>140</v>
      </c>
      <c r="E39" s="16" t="e">
        <f>E37+E38</f>
        <v>#REF!</v>
      </c>
      <c r="F39" s="2"/>
      <c r="G39" s="18" t="s">
        <v>140</v>
      </c>
      <c r="H39" s="49" t="e">
        <f>H37+H38</f>
        <v>#REF!</v>
      </c>
      <c r="I39" s="71"/>
    </row>
    <row r="40" spans="1:9" ht="13.5" thickBot="1">
      <c r="A40" s="13"/>
      <c r="B40" s="14"/>
      <c r="C40" s="15"/>
      <c r="D40" s="13"/>
      <c r="E40" s="14"/>
      <c r="F40" s="15"/>
      <c r="G40" s="48"/>
      <c r="H40" s="48"/>
      <c r="I40" s="73"/>
    </row>
    <row r="41" spans="1:9" ht="51" customHeight="1">
      <c r="A41" s="331" t="s">
        <v>489</v>
      </c>
      <c r="B41" s="332"/>
      <c r="C41" s="333"/>
      <c r="D41" s="334" t="s">
        <v>490</v>
      </c>
      <c r="E41" s="335"/>
      <c r="F41" s="333"/>
      <c r="G41" s="334" t="s">
        <v>491</v>
      </c>
      <c r="H41" s="335"/>
      <c r="I41" s="333"/>
    </row>
    <row r="42" spans="1:9">
      <c r="A42" s="3"/>
      <c r="B42" s="4" t="s">
        <v>137</v>
      </c>
      <c r="C42" s="2"/>
      <c r="D42" s="3"/>
      <c r="E42" s="4" t="s">
        <v>502</v>
      </c>
      <c r="F42" s="2"/>
      <c r="G42" s="43"/>
      <c r="H42" s="4" t="s">
        <v>502</v>
      </c>
      <c r="I42" s="5"/>
    </row>
    <row r="43" spans="1:9">
      <c r="A43" s="3"/>
      <c r="B43" s="4" t="s">
        <v>110</v>
      </c>
      <c r="C43" s="2"/>
      <c r="D43" s="3"/>
      <c r="E43" s="4" t="s">
        <v>110</v>
      </c>
      <c r="F43" s="2"/>
      <c r="G43" s="43"/>
      <c r="H43" s="4" t="s">
        <v>110</v>
      </c>
      <c r="I43" s="5"/>
    </row>
    <row r="44" spans="1:9">
      <c r="A44" s="3"/>
      <c r="B44" s="4" t="s">
        <v>124</v>
      </c>
      <c r="C44" s="2"/>
      <c r="D44" s="3"/>
      <c r="E44" s="4" t="s">
        <v>124</v>
      </c>
      <c r="F44" s="2"/>
      <c r="G44" s="43"/>
      <c r="H44" s="4" t="s">
        <v>124</v>
      </c>
      <c r="I44" s="5"/>
    </row>
    <row r="45" spans="1:9">
      <c r="A45" s="3">
        <v>273</v>
      </c>
      <c r="B45" s="16">
        <v>5470960</v>
      </c>
      <c r="C45" s="2"/>
      <c r="D45" s="3">
        <v>328</v>
      </c>
      <c r="E45" s="16">
        <v>3622435</v>
      </c>
      <c r="F45" s="2"/>
      <c r="G45" s="43">
        <v>441</v>
      </c>
      <c r="H45" s="49">
        <v>6332541</v>
      </c>
      <c r="I45" s="71"/>
    </row>
    <row r="46" spans="1:9" ht="13.5" thickBot="1">
      <c r="A46" s="3">
        <v>279</v>
      </c>
      <c r="B46" s="17">
        <v>641098</v>
      </c>
      <c r="C46" s="2"/>
      <c r="D46" s="3">
        <v>354</v>
      </c>
      <c r="E46" s="17">
        <v>1970694</v>
      </c>
      <c r="F46" s="2"/>
      <c r="G46" s="43">
        <v>488</v>
      </c>
      <c r="H46" s="50">
        <v>2323750</v>
      </c>
      <c r="I46" s="71"/>
    </row>
    <row r="47" spans="1:9" ht="13.5" thickTop="1">
      <c r="A47" s="8" t="s">
        <v>111</v>
      </c>
      <c r="B47" s="16">
        <f>SUM(B45:B46)</f>
        <v>6112058</v>
      </c>
      <c r="C47" s="2"/>
      <c r="D47" s="8" t="s">
        <v>111</v>
      </c>
      <c r="E47" s="16">
        <f>SUM(E45:E46)</f>
        <v>5593129</v>
      </c>
      <c r="F47" s="2"/>
      <c r="G47" s="18" t="s">
        <v>111</v>
      </c>
      <c r="H47" s="49">
        <f>SUM(H45:H46)</f>
        <v>8656291</v>
      </c>
      <c r="I47" s="71"/>
    </row>
    <row r="48" spans="1:9">
      <c r="A48" s="8" t="s">
        <v>143</v>
      </c>
      <c r="B48" s="19">
        <v>764106</v>
      </c>
      <c r="C48" s="2"/>
      <c r="D48" s="8" t="s">
        <v>145</v>
      </c>
      <c r="E48" s="19">
        <v>333773</v>
      </c>
      <c r="F48" s="2"/>
      <c r="G48" s="18" t="s">
        <v>147</v>
      </c>
      <c r="H48" s="51">
        <v>799708</v>
      </c>
      <c r="I48" s="72"/>
    </row>
    <row r="49" spans="1:9" ht="13.5" thickBot="1">
      <c r="A49" s="8" t="s">
        <v>142</v>
      </c>
      <c r="B49" s="20">
        <v>60713</v>
      </c>
      <c r="C49" s="2"/>
      <c r="D49" s="8" t="s">
        <v>146</v>
      </c>
      <c r="E49" s="20">
        <v>261319</v>
      </c>
      <c r="F49" s="2"/>
      <c r="G49" s="18" t="s">
        <v>153</v>
      </c>
      <c r="H49" s="52">
        <v>218072</v>
      </c>
      <c r="I49" s="72"/>
    </row>
    <row r="50" spans="1:9" ht="13.5" thickTop="1">
      <c r="A50" s="8" t="s">
        <v>115</v>
      </c>
      <c r="B50" s="16">
        <f>B47-B48-B49</f>
        <v>5287239</v>
      </c>
      <c r="C50" s="2"/>
      <c r="D50" s="8" t="s">
        <v>115</v>
      </c>
      <c r="E50" s="16">
        <f>E47-E48-E49</f>
        <v>4998037</v>
      </c>
      <c r="F50" s="2"/>
      <c r="G50" s="18" t="s">
        <v>115</v>
      </c>
      <c r="H50" s="49">
        <f>H47-H48-H49</f>
        <v>7638511</v>
      </c>
      <c r="I50" s="71"/>
    </row>
    <row r="51" spans="1:9" ht="13.5" thickBot="1">
      <c r="A51" s="8" t="s">
        <v>132</v>
      </c>
      <c r="B51" s="17" t="e">
        <f>'2019 Legal Max'!#REF!*'Weighting Factors'!Q5</f>
        <v>#REF!</v>
      </c>
      <c r="C51" s="2"/>
      <c r="D51" s="8" t="s">
        <v>132</v>
      </c>
      <c r="E51" s="17" t="e">
        <f>'2019 Legal Max'!#REF!*'Weighting Factors'!Q5</f>
        <v>#REF!</v>
      </c>
      <c r="F51" s="2"/>
      <c r="G51" s="18" t="s">
        <v>132</v>
      </c>
      <c r="H51" s="50" t="e">
        <f>'2019 Legal Max'!#REF!*'Weighting Factors'!Q5</f>
        <v>#REF!</v>
      </c>
      <c r="I51" s="71"/>
    </row>
    <row r="52" spans="1:9" ht="13.5" thickTop="1">
      <c r="A52" s="8" t="s">
        <v>140</v>
      </c>
      <c r="B52" s="16" t="e">
        <f>B50+B51</f>
        <v>#REF!</v>
      </c>
      <c r="C52" s="2"/>
      <c r="D52" s="8" t="s">
        <v>148</v>
      </c>
      <c r="E52" s="16" t="e">
        <f>E50+E51</f>
        <v>#REF!</v>
      </c>
      <c r="F52" s="2"/>
      <c r="G52" s="18" t="s">
        <v>148</v>
      </c>
      <c r="H52" s="49" t="e">
        <f>H50+H51</f>
        <v>#REF!</v>
      </c>
      <c r="I52" s="71"/>
    </row>
    <row r="53" spans="1:9" ht="13.5" thickBot="1">
      <c r="A53" s="13"/>
      <c r="B53" s="14"/>
      <c r="C53" s="15"/>
      <c r="D53" s="13"/>
      <c r="E53" s="14"/>
      <c r="F53" s="15"/>
      <c r="G53" s="48"/>
      <c r="H53" s="48"/>
      <c r="I53" s="73"/>
    </row>
    <row r="54" spans="1:9" ht="51" customHeight="1">
      <c r="A54" s="331" t="s">
        <v>492</v>
      </c>
      <c r="B54" s="332"/>
      <c r="C54" s="333"/>
      <c r="D54" s="334" t="s">
        <v>493</v>
      </c>
      <c r="E54" s="335"/>
      <c r="F54" s="333"/>
      <c r="G54" s="334" t="s">
        <v>494</v>
      </c>
      <c r="H54" s="335"/>
      <c r="I54" s="333"/>
    </row>
    <row r="55" spans="1:9">
      <c r="A55" s="3"/>
      <c r="B55" s="4" t="s">
        <v>502</v>
      </c>
      <c r="C55" s="2"/>
      <c r="D55" s="3"/>
      <c r="E55" s="4" t="s">
        <v>502</v>
      </c>
      <c r="F55" s="2"/>
      <c r="G55" s="43"/>
      <c r="H55" s="4" t="s">
        <v>503</v>
      </c>
      <c r="I55" s="5"/>
    </row>
    <row r="56" spans="1:9">
      <c r="A56" s="3"/>
      <c r="B56" s="4" t="s">
        <v>110</v>
      </c>
      <c r="C56" s="2"/>
      <c r="D56" s="3"/>
      <c r="E56" s="4" t="s">
        <v>110</v>
      </c>
      <c r="F56" s="2"/>
      <c r="G56" s="43"/>
      <c r="H56" s="4" t="s">
        <v>110</v>
      </c>
      <c r="I56" s="5"/>
    </row>
    <row r="57" spans="1:9">
      <c r="A57" s="3"/>
      <c r="B57" s="4" t="s">
        <v>124</v>
      </c>
      <c r="C57" s="2"/>
      <c r="D57" s="3"/>
      <c r="E57" s="4" t="s">
        <v>124</v>
      </c>
      <c r="F57" s="2"/>
      <c r="G57" s="43"/>
      <c r="H57" s="4" t="s">
        <v>124</v>
      </c>
      <c r="I57" s="5"/>
    </row>
    <row r="58" spans="1:9">
      <c r="A58" s="3">
        <v>406</v>
      </c>
      <c r="B58" s="16">
        <v>3095862</v>
      </c>
      <c r="C58" s="2"/>
      <c r="D58" s="3">
        <v>211</v>
      </c>
      <c r="E58" s="16">
        <v>5032252</v>
      </c>
      <c r="F58" s="2"/>
      <c r="G58" s="43">
        <v>442</v>
      </c>
      <c r="H58" s="49">
        <v>3414166</v>
      </c>
      <c r="I58" s="71"/>
    </row>
    <row r="59" spans="1:9" ht="13.5" thickBot="1">
      <c r="A59" s="3">
        <v>486</v>
      </c>
      <c r="B59" s="17">
        <v>2493458</v>
      </c>
      <c r="C59" s="2"/>
      <c r="D59" s="3">
        <v>213</v>
      </c>
      <c r="E59" s="17">
        <v>438913</v>
      </c>
      <c r="F59" s="2"/>
      <c r="G59" s="43">
        <v>451</v>
      </c>
      <c r="H59" s="50">
        <v>1602753</v>
      </c>
      <c r="I59" s="71"/>
    </row>
    <row r="60" spans="1:9" ht="13.5" thickTop="1">
      <c r="A60" s="8" t="s">
        <v>111</v>
      </c>
      <c r="B60" s="16">
        <f>SUM(B58:B59)</f>
        <v>5589320</v>
      </c>
      <c r="C60" s="2"/>
      <c r="D60" s="8" t="s">
        <v>111</v>
      </c>
      <c r="E60" s="16">
        <f>SUM(E58:E59)</f>
        <v>5471165</v>
      </c>
      <c r="F60" s="2"/>
      <c r="G60" s="18" t="s">
        <v>111</v>
      </c>
      <c r="H60" s="49">
        <f>SUM(H58:H59)</f>
        <v>5016919</v>
      </c>
      <c r="I60" s="71"/>
    </row>
    <row r="61" spans="1:9">
      <c r="A61" s="8" t="s">
        <v>149</v>
      </c>
      <c r="B61" s="19">
        <v>375445</v>
      </c>
      <c r="C61" s="2"/>
      <c r="D61" s="8" t="s">
        <v>151</v>
      </c>
      <c r="E61" s="19">
        <v>714638</v>
      </c>
      <c r="F61" s="2"/>
      <c r="G61" s="18" t="s">
        <v>109</v>
      </c>
      <c r="H61" s="51">
        <v>381205</v>
      </c>
      <c r="I61" s="72"/>
    </row>
    <row r="62" spans="1:9" ht="13.5" thickBot="1">
      <c r="A62" s="8" t="s">
        <v>150</v>
      </c>
      <c r="B62" s="20">
        <v>258021</v>
      </c>
      <c r="C62" s="2"/>
      <c r="D62" s="8" t="s">
        <v>152</v>
      </c>
      <c r="E62" s="20">
        <v>37880</v>
      </c>
      <c r="F62" s="2"/>
      <c r="G62" s="18" t="s">
        <v>109</v>
      </c>
      <c r="H62" s="52">
        <v>128351</v>
      </c>
      <c r="I62" s="72"/>
    </row>
    <row r="63" spans="1:9" ht="13.5" thickTop="1">
      <c r="A63" s="8" t="s">
        <v>115</v>
      </c>
      <c r="B63" s="16">
        <f>B60-B61-B62</f>
        <v>4955854</v>
      </c>
      <c r="C63" s="2"/>
      <c r="D63" s="8" t="s">
        <v>115</v>
      </c>
      <c r="E63" s="16">
        <f>E60-E61-E62</f>
        <v>4718647</v>
      </c>
      <c r="F63" s="2"/>
      <c r="G63" s="18" t="s">
        <v>115</v>
      </c>
      <c r="H63" s="49">
        <f>H60-H61-H62</f>
        <v>4507363</v>
      </c>
      <c r="I63" s="71"/>
    </row>
    <row r="64" spans="1:9" ht="13.5" thickBot="1">
      <c r="A64" s="8" t="s">
        <v>132</v>
      </c>
      <c r="B64" s="17" t="e">
        <f>'2019 Legal Max'!#REF!*'Weighting Factors'!Q5</f>
        <v>#REF!</v>
      </c>
      <c r="C64" s="2"/>
      <c r="D64" s="8" t="s">
        <v>132</v>
      </c>
      <c r="E64" s="17" t="e">
        <f>'2019 Legal Max'!#REF!*'Weighting Factors'!Q5</f>
        <v>#REF!</v>
      </c>
      <c r="F64" s="2"/>
      <c r="G64" s="18" t="s">
        <v>132</v>
      </c>
      <c r="H64" s="50" t="e">
        <f>'2019 Legal Max'!#REF!*'Weighting Factors'!Q5</f>
        <v>#REF!</v>
      </c>
      <c r="I64" s="71"/>
    </row>
    <row r="65" spans="1:9" ht="13.5" thickTop="1">
      <c r="A65" s="8" t="s">
        <v>148</v>
      </c>
      <c r="B65" s="16" t="e">
        <f>B63+B64</f>
        <v>#REF!</v>
      </c>
      <c r="C65" s="2"/>
      <c r="D65" s="8" t="s">
        <v>148</v>
      </c>
      <c r="E65" s="16" t="e">
        <f>E63+E64</f>
        <v>#REF!</v>
      </c>
      <c r="F65" s="2"/>
      <c r="G65" s="18" t="s">
        <v>509</v>
      </c>
      <c r="H65" s="49" t="e">
        <f>H63+H64</f>
        <v>#REF!</v>
      </c>
      <c r="I65" s="71"/>
    </row>
    <row r="66" spans="1:9" ht="13.5" thickBot="1">
      <c r="A66" s="13"/>
      <c r="B66" s="14"/>
      <c r="C66" s="15"/>
      <c r="D66" s="13"/>
      <c r="E66" s="14"/>
      <c r="F66" s="15"/>
      <c r="G66" s="48"/>
      <c r="H66" s="48"/>
      <c r="I66" s="73"/>
    </row>
    <row r="67" spans="1:9" ht="51" customHeight="1">
      <c r="A67" s="331" t="s">
        <v>495</v>
      </c>
      <c r="B67" s="332"/>
      <c r="C67" s="333"/>
      <c r="D67" s="334" t="s">
        <v>812</v>
      </c>
      <c r="E67" s="335"/>
      <c r="F67" s="333"/>
      <c r="G67" s="348" t="s">
        <v>496</v>
      </c>
      <c r="H67" s="349"/>
      <c r="I67" s="350"/>
    </row>
    <row r="68" spans="1:9">
      <c r="A68" s="3"/>
      <c r="B68" s="4" t="s">
        <v>503</v>
      </c>
      <c r="C68" s="2"/>
      <c r="D68" s="3"/>
      <c r="E68" s="4" t="s">
        <v>503</v>
      </c>
      <c r="F68" s="2"/>
      <c r="G68" s="53"/>
      <c r="H68" s="23" t="s">
        <v>187</v>
      </c>
      <c r="I68" s="34"/>
    </row>
    <row r="69" spans="1:9">
      <c r="A69" s="3"/>
      <c r="B69" s="4" t="s">
        <v>110</v>
      </c>
      <c r="C69" s="2"/>
      <c r="D69" s="3"/>
      <c r="E69" s="4" t="s">
        <v>110</v>
      </c>
      <c r="F69" s="2"/>
      <c r="G69" s="53"/>
      <c r="H69" s="23" t="s">
        <v>110</v>
      </c>
      <c r="I69" s="34"/>
    </row>
    <row r="70" spans="1:9">
      <c r="A70" s="3"/>
      <c r="B70" s="4" t="s">
        <v>124</v>
      </c>
      <c r="C70" s="2"/>
      <c r="D70" s="3"/>
      <c r="E70" s="4" t="s">
        <v>124</v>
      </c>
      <c r="F70" s="2"/>
      <c r="G70" s="53"/>
      <c r="H70" s="23" t="s">
        <v>124</v>
      </c>
      <c r="I70" s="34"/>
    </row>
    <row r="71" spans="1:9">
      <c r="A71" s="3">
        <v>227</v>
      </c>
      <c r="B71" s="16">
        <v>2122437</v>
      </c>
      <c r="C71" s="2"/>
      <c r="D71" s="3">
        <v>422</v>
      </c>
      <c r="E71" s="16">
        <v>1990547</v>
      </c>
      <c r="F71" s="2"/>
      <c r="G71" s="27" t="s">
        <v>0</v>
      </c>
      <c r="H71" s="54"/>
      <c r="I71" s="35"/>
    </row>
    <row r="72" spans="1:9" ht="13.5" thickBot="1">
      <c r="A72" s="3">
        <v>228</v>
      </c>
      <c r="B72" s="17">
        <v>729132</v>
      </c>
      <c r="C72" s="2"/>
      <c r="D72" s="3">
        <v>424</v>
      </c>
      <c r="E72" s="17">
        <v>1451178</v>
      </c>
      <c r="F72" s="2"/>
      <c r="G72" s="27" t="s">
        <v>0</v>
      </c>
      <c r="H72" s="55"/>
      <c r="I72" s="35"/>
    </row>
    <row r="73" spans="1:9" ht="13.5" thickTop="1">
      <c r="A73" s="8" t="s">
        <v>111</v>
      </c>
      <c r="B73" s="16">
        <f>SUM(B71:B72)</f>
        <v>2851569</v>
      </c>
      <c r="C73" s="2"/>
      <c r="D73" s="8" t="s">
        <v>111</v>
      </c>
      <c r="E73" s="16">
        <f>SUM(E71:E72)</f>
        <v>3441725</v>
      </c>
      <c r="F73" s="2"/>
      <c r="G73" s="27" t="s">
        <v>111</v>
      </c>
      <c r="H73" s="54"/>
      <c r="I73" s="35"/>
    </row>
    <row r="74" spans="1:9">
      <c r="A74" s="8" t="s">
        <v>189</v>
      </c>
      <c r="B74" s="19">
        <v>177299</v>
      </c>
      <c r="C74" s="2"/>
      <c r="D74" s="8" t="s">
        <v>192</v>
      </c>
      <c r="E74" s="19">
        <v>237029</v>
      </c>
      <c r="F74" s="2"/>
      <c r="G74" s="27" t="s">
        <v>109</v>
      </c>
      <c r="H74" s="56"/>
      <c r="I74" s="36"/>
    </row>
    <row r="75" spans="1:9" ht="13.5" thickBot="1">
      <c r="A75" s="8" t="s">
        <v>190</v>
      </c>
      <c r="B75" s="20">
        <v>75523</v>
      </c>
      <c r="C75" s="2"/>
      <c r="D75" s="8" t="s">
        <v>191</v>
      </c>
      <c r="E75" s="20">
        <v>58241</v>
      </c>
      <c r="F75" s="2"/>
      <c r="G75" s="27" t="s">
        <v>109</v>
      </c>
      <c r="H75" s="57"/>
      <c r="I75" s="36"/>
    </row>
    <row r="76" spans="1:9" ht="13.5" thickTop="1">
      <c r="A76" s="8" t="s">
        <v>115</v>
      </c>
      <c r="B76" s="16">
        <f>B73-B74-B75</f>
        <v>2598747</v>
      </c>
      <c r="C76" s="2"/>
      <c r="D76" s="8" t="s">
        <v>115</v>
      </c>
      <c r="E76" s="16">
        <f>E73-E74-E75</f>
        <v>3146455</v>
      </c>
      <c r="F76" s="2"/>
      <c r="G76" s="27" t="s">
        <v>115</v>
      </c>
      <c r="H76" s="54"/>
      <c r="I76" s="35"/>
    </row>
    <row r="77" spans="1:9" ht="13.5" thickBot="1">
      <c r="A77" s="8" t="s">
        <v>132</v>
      </c>
      <c r="B77" s="17" t="e">
        <f>'2019 Legal Max'!#REF!*'Weighting Factors'!Q5</f>
        <v>#REF!</v>
      </c>
      <c r="C77" s="2"/>
      <c r="D77" s="8" t="s">
        <v>132</v>
      </c>
      <c r="E77" s="17" t="e">
        <f>'2019 Legal Max'!#REF!*'Weighting Factors'!Q5</f>
        <v>#REF!</v>
      </c>
      <c r="F77" s="2"/>
      <c r="G77" s="27" t="s">
        <v>132</v>
      </c>
      <c r="H77" s="55"/>
      <c r="I77" s="35"/>
    </row>
    <row r="78" spans="1:9" ht="13.5" thickTop="1">
      <c r="A78" s="8" t="s">
        <v>509</v>
      </c>
      <c r="B78" s="16" t="e">
        <f>B76+B77</f>
        <v>#REF!</v>
      </c>
      <c r="C78" s="2"/>
      <c r="D78" s="8" t="s">
        <v>509</v>
      </c>
      <c r="E78" s="16" t="e">
        <f>E76+E77</f>
        <v>#REF!</v>
      </c>
      <c r="F78" s="2"/>
      <c r="G78" s="27" t="s">
        <v>188</v>
      </c>
      <c r="H78" s="54"/>
      <c r="I78" s="35"/>
    </row>
    <row r="79" spans="1:9" ht="13.5" thickBot="1">
      <c r="A79" s="80"/>
      <c r="B79" s="81"/>
      <c r="C79" s="15"/>
      <c r="D79" s="80"/>
      <c r="E79" s="81"/>
      <c r="F79" s="15"/>
      <c r="G79" s="33"/>
      <c r="H79" s="58"/>
      <c r="I79" s="37"/>
    </row>
    <row r="80" spans="1:9" ht="51" customHeight="1">
      <c r="A80" s="336" t="s">
        <v>496</v>
      </c>
      <c r="B80" s="337"/>
      <c r="C80" s="338"/>
      <c r="D80" s="336" t="s">
        <v>496</v>
      </c>
      <c r="E80" s="337"/>
      <c r="F80" s="338"/>
      <c r="G80" s="348" t="s">
        <v>496</v>
      </c>
      <c r="H80" s="349"/>
      <c r="I80" s="350"/>
    </row>
    <row r="81" spans="1:9">
      <c r="A81" s="21"/>
      <c r="B81" s="23" t="s">
        <v>187</v>
      </c>
      <c r="C81" s="22"/>
      <c r="D81" s="21"/>
      <c r="E81" s="23" t="s">
        <v>187</v>
      </c>
      <c r="F81" s="22"/>
      <c r="G81" s="53"/>
      <c r="H81" s="23" t="s">
        <v>187</v>
      </c>
      <c r="I81" s="34"/>
    </row>
    <row r="82" spans="1:9">
      <c r="A82" s="21"/>
      <c r="B82" s="23" t="s">
        <v>110</v>
      </c>
      <c r="C82" s="22"/>
      <c r="D82" s="21"/>
      <c r="E82" s="23" t="s">
        <v>110</v>
      </c>
      <c r="F82" s="22"/>
      <c r="G82" s="53"/>
      <c r="H82" s="23" t="s">
        <v>110</v>
      </c>
      <c r="I82" s="34"/>
    </row>
    <row r="83" spans="1:9">
      <c r="A83" s="21"/>
      <c r="B83" s="23" t="s">
        <v>124</v>
      </c>
      <c r="C83" s="22"/>
      <c r="D83" s="21"/>
      <c r="E83" s="23" t="s">
        <v>124</v>
      </c>
      <c r="F83" s="22"/>
      <c r="G83" s="53"/>
      <c r="H83" s="23" t="s">
        <v>124</v>
      </c>
      <c r="I83" s="34"/>
    </row>
    <row r="84" spans="1:9">
      <c r="A84" s="21"/>
      <c r="B84" s="24"/>
      <c r="C84" s="22"/>
      <c r="D84" s="21"/>
      <c r="E84" s="24"/>
      <c r="F84" s="22"/>
      <c r="G84" s="27" t="s">
        <v>0</v>
      </c>
      <c r="H84" s="54"/>
      <c r="I84" s="35"/>
    </row>
    <row r="85" spans="1:9" ht="13.5" thickBot="1">
      <c r="A85" s="21"/>
      <c r="B85" s="25"/>
      <c r="C85" s="22"/>
      <c r="D85" s="21"/>
      <c r="E85" s="25"/>
      <c r="F85" s="22"/>
      <c r="G85" s="27" t="s">
        <v>0</v>
      </c>
      <c r="H85" s="55"/>
      <c r="I85" s="35"/>
    </row>
    <row r="86" spans="1:9" ht="13.5" thickTop="1">
      <c r="A86" s="26" t="s">
        <v>111</v>
      </c>
      <c r="B86" s="24"/>
      <c r="C86" s="22"/>
      <c r="D86" s="26" t="s">
        <v>111</v>
      </c>
      <c r="E86" s="24"/>
      <c r="F86" s="22"/>
      <c r="G86" s="27" t="s">
        <v>111</v>
      </c>
      <c r="H86" s="54"/>
      <c r="I86" s="35"/>
    </row>
    <row r="87" spans="1:9">
      <c r="A87" s="26" t="s">
        <v>501</v>
      </c>
      <c r="B87" s="28"/>
      <c r="C87" s="22"/>
      <c r="D87" s="26" t="s">
        <v>501</v>
      </c>
      <c r="E87" s="28"/>
      <c r="F87" s="22"/>
      <c r="G87" s="27" t="s">
        <v>109</v>
      </c>
      <c r="H87" s="56"/>
      <c r="I87" s="36"/>
    </row>
    <row r="88" spans="1:9" ht="13.5" thickBot="1">
      <c r="A88" s="26" t="s">
        <v>109</v>
      </c>
      <c r="B88" s="29"/>
      <c r="C88" s="22"/>
      <c r="D88" s="26" t="s">
        <v>501</v>
      </c>
      <c r="E88" s="29"/>
      <c r="F88" s="22"/>
      <c r="G88" s="27" t="s">
        <v>109</v>
      </c>
      <c r="H88" s="57"/>
      <c r="I88" s="36"/>
    </row>
    <row r="89" spans="1:9" ht="13.5" thickTop="1">
      <c r="A89" s="26" t="s">
        <v>115</v>
      </c>
      <c r="B89" s="24"/>
      <c r="C89" s="22"/>
      <c r="D89" s="26" t="s">
        <v>115</v>
      </c>
      <c r="E89" s="24"/>
      <c r="F89" s="22"/>
      <c r="G89" s="27" t="s">
        <v>115</v>
      </c>
      <c r="H89" s="54"/>
      <c r="I89" s="35"/>
    </row>
    <row r="90" spans="1:9" ht="13.5" thickBot="1">
      <c r="A90" s="26" t="s">
        <v>132</v>
      </c>
      <c r="B90" s="25"/>
      <c r="C90" s="22"/>
      <c r="D90" s="26" t="s">
        <v>132</v>
      </c>
      <c r="E90" s="25"/>
      <c r="F90" s="22"/>
      <c r="G90" s="27" t="s">
        <v>132</v>
      </c>
      <c r="H90" s="55"/>
      <c r="I90" s="35"/>
    </row>
    <row r="91" spans="1:9" ht="13.5" thickTop="1">
      <c r="A91" s="26" t="s">
        <v>188</v>
      </c>
      <c r="B91" s="24"/>
      <c r="C91" s="22"/>
      <c r="D91" s="26" t="s">
        <v>188</v>
      </c>
      <c r="E91" s="24"/>
      <c r="F91" s="22"/>
      <c r="G91" s="27" t="s">
        <v>188</v>
      </c>
      <c r="H91" s="54"/>
      <c r="I91" s="35"/>
    </row>
    <row r="92" spans="1:9" ht="13.5" thickBot="1">
      <c r="A92" s="30"/>
      <c r="B92" s="31"/>
      <c r="C92" s="32"/>
      <c r="D92" s="30"/>
      <c r="E92" s="31"/>
      <c r="F92" s="32"/>
      <c r="G92" s="33"/>
      <c r="H92" s="58"/>
      <c r="I92" s="37"/>
    </row>
  </sheetData>
  <mergeCells count="21">
    <mergeCell ref="G67:I67"/>
    <mergeCell ref="G80:I80"/>
    <mergeCell ref="G2:I2"/>
    <mergeCell ref="G15:I15"/>
    <mergeCell ref="G28:I28"/>
    <mergeCell ref="G41:I41"/>
    <mergeCell ref="G54:I54"/>
    <mergeCell ref="A15:C15"/>
    <mergeCell ref="D15:F15"/>
    <mergeCell ref="A2:C2"/>
    <mergeCell ref="D2:F2"/>
    <mergeCell ref="A28:C28"/>
    <mergeCell ref="D28:F28"/>
    <mergeCell ref="A41:C41"/>
    <mergeCell ref="D41:F41"/>
    <mergeCell ref="A80:C80"/>
    <mergeCell ref="D80:F80"/>
    <mergeCell ref="A54:C54"/>
    <mergeCell ref="D54:F54"/>
    <mergeCell ref="A67:C67"/>
    <mergeCell ref="D67:F67"/>
  </mergeCells>
  <phoneticPr fontId="0" type="noConversion"/>
  <pageMargins left="0.25" right="0.25" top="0.5" bottom="0.5" header="0.5" footer="0.5"/>
  <pageSetup scale="8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Z373"/>
  <sheetViews>
    <sheetView topLeftCell="B1" workbookViewId="0">
      <pane ySplit="4" topLeftCell="A194" activePane="bottomLeft" state="frozen"/>
      <selection pane="bottomLeft" activeCell="B214" sqref="A214:XFD214"/>
    </sheetView>
  </sheetViews>
  <sheetFormatPr defaultColWidth="9.140625" defaultRowHeight="12.75"/>
  <cols>
    <col min="1" max="1" width="7.7109375" style="1" bestFit="1" customWidth="1"/>
    <col min="2" max="2" width="9.85546875" style="1" bestFit="1" customWidth="1"/>
    <col min="3" max="3" width="0" style="1" hidden="1" customWidth="1"/>
    <col min="4" max="4" width="9.140625" style="126"/>
    <col min="5" max="5" width="9.140625" style="84"/>
    <col min="6" max="6" width="9.140625" style="126"/>
    <col min="7" max="7" width="9.28515625" style="126" bestFit="1" customWidth="1"/>
    <col min="8" max="8" width="10.85546875" style="126" bestFit="1" customWidth="1"/>
    <col min="9" max="9" width="9.140625" style="126"/>
    <col min="10" max="10" width="10.42578125" style="126" bestFit="1" customWidth="1"/>
    <col min="11" max="11" width="10.42578125" style="1" customWidth="1"/>
    <col min="12" max="12" width="11.7109375" style="1" customWidth="1"/>
    <col min="13" max="13" width="9.42578125" style="1" bestFit="1" customWidth="1"/>
    <col min="14" max="15" width="9.140625" style="1"/>
    <col min="16" max="16" width="18.42578125" style="1" bestFit="1" customWidth="1"/>
    <col min="17" max="19" width="9.140625" style="1"/>
    <col min="20" max="20" width="13.5703125" style="1" bestFit="1" customWidth="1"/>
    <col min="21" max="23" width="9.140625" style="1"/>
    <col min="24" max="24" width="14.28515625" style="1" customWidth="1"/>
    <col min="25" max="16384" width="9.140625" style="1"/>
  </cols>
  <sheetData>
    <row r="1" spans="1:26">
      <c r="E1" s="168" t="s">
        <v>891</v>
      </c>
      <c r="F1" s="168" t="s">
        <v>891</v>
      </c>
      <c r="G1" s="168" t="s">
        <v>891</v>
      </c>
    </row>
    <row r="2" spans="1:26" ht="13.5" thickBot="1">
      <c r="E2" s="84" t="s">
        <v>829</v>
      </c>
      <c r="F2" s="84" t="s">
        <v>829</v>
      </c>
      <c r="G2" s="84" t="s">
        <v>829</v>
      </c>
      <c r="W2" s="355" t="s">
        <v>3502</v>
      </c>
      <c r="X2" s="355"/>
      <c r="Y2" s="355"/>
      <c r="Z2" s="355"/>
    </row>
    <row r="3" spans="1:26" ht="13.5" thickTop="1">
      <c r="A3" s="351" t="s">
        <v>805</v>
      </c>
      <c r="B3" s="351"/>
      <c r="D3" s="153"/>
      <c r="E3" s="84" t="s">
        <v>824</v>
      </c>
      <c r="F3" s="84" t="s">
        <v>824</v>
      </c>
      <c r="G3" s="84" t="s">
        <v>824</v>
      </c>
      <c r="H3" s="154"/>
      <c r="I3" s="154"/>
      <c r="J3" s="155"/>
      <c r="K3" s="78">
        <v>2.5000000000000001E-2</v>
      </c>
      <c r="L3" s="135" t="s">
        <v>831</v>
      </c>
      <c r="P3" s="352" t="s">
        <v>845</v>
      </c>
      <c r="Q3" s="353"/>
      <c r="R3" s="353"/>
      <c r="S3" s="353"/>
      <c r="T3" s="354"/>
    </row>
    <row r="4" spans="1:26">
      <c r="A4" s="1" t="s">
        <v>171</v>
      </c>
      <c r="B4" s="1" t="s">
        <v>511</v>
      </c>
      <c r="D4" s="65" t="s">
        <v>512</v>
      </c>
      <c r="E4" s="84" t="s">
        <v>828</v>
      </c>
      <c r="F4" s="63" t="s">
        <v>513</v>
      </c>
      <c r="G4" s="63" t="s">
        <v>3462</v>
      </c>
      <c r="H4" s="63" t="s">
        <v>514</v>
      </c>
      <c r="I4" s="63" t="s">
        <v>515</v>
      </c>
      <c r="J4" s="66" t="s">
        <v>516</v>
      </c>
      <c r="K4" s="64" t="s">
        <v>808</v>
      </c>
      <c r="L4" s="77">
        <v>43363</v>
      </c>
      <c r="M4" s="77">
        <v>43516</v>
      </c>
      <c r="P4" s="67"/>
      <c r="Q4" s="64"/>
      <c r="R4" s="64"/>
      <c r="S4" s="64"/>
      <c r="T4" s="68"/>
      <c r="W4" s="1" t="s">
        <v>3499</v>
      </c>
      <c r="X4" s="351" t="s">
        <v>3500</v>
      </c>
      <c r="Y4" s="351"/>
      <c r="Z4" s="1" t="s">
        <v>3501</v>
      </c>
    </row>
    <row r="5" spans="1:26">
      <c r="A5" s="67" t="s">
        <v>197</v>
      </c>
      <c r="B5" s="38">
        <v>731167</v>
      </c>
      <c r="D5" s="67" t="s">
        <v>197</v>
      </c>
      <c r="E5" s="24">
        <f>IF(ISNA(VLOOKUP($D5,'Audit Values'!$A$2:$DL$374,2,FALSE)), 0, VLOOKUP($D5,'Audit Values'!$A$2:$DL$374,72,FALSE))</f>
        <v>0</v>
      </c>
      <c r="F5" s="24">
        <f>Transportation!G5</f>
        <v>0</v>
      </c>
      <c r="G5" s="24" t="s">
        <v>826</v>
      </c>
      <c r="H5" s="24"/>
      <c r="I5" s="128"/>
      <c r="J5" s="105"/>
      <c r="K5" s="64" t="str">
        <f>IF(AND(H5&lt;&gt;"",(OR(H5&lt;'2019 Legal Max'!BG5, ('Weighting Factors'!H5-'2019 Legal Max'!BG5)/'2019 Legal Max'!BG5&gt;0.025))), "Confirm!", "")</f>
        <v/>
      </c>
      <c r="L5" s="126">
        <f>IF(ISNA(VLOOKUP($CZ5,'Audit Values'!$A$3:$BW$3,2,FALSE)),'Preliminary SO66'!B4,VLOOKUP($CZ5,'Audit Values'!$A$3:$BW$3,32,FALSE))</f>
        <v>1</v>
      </c>
      <c r="N5" s="95"/>
      <c r="P5" s="147" t="s">
        <v>3508</v>
      </c>
      <c r="Q5" s="64">
        <v>4165</v>
      </c>
      <c r="R5" s="64"/>
      <c r="S5" s="64" t="s">
        <v>806</v>
      </c>
      <c r="T5" s="304">
        <f>Q5/Q14</f>
        <v>1</v>
      </c>
      <c r="W5" s="1">
        <v>1</v>
      </c>
      <c r="X5" s="242">
        <v>0</v>
      </c>
      <c r="Y5" s="1">
        <v>5.8999999999999997E-2</v>
      </c>
      <c r="Z5" s="1">
        <v>1620</v>
      </c>
    </row>
    <row r="6" spans="1:26">
      <c r="A6" s="67" t="s">
        <v>198</v>
      </c>
      <c r="B6" s="38">
        <v>538383</v>
      </c>
      <c r="D6" s="67" t="s">
        <v>198</v>
      </c>
      <c r="E6" s="24">
        <f>IF(ISNA(VLOOKUP($D6,'Audit Values'!$A$2:$DL$374,2,FALSE)), 0, VLOOKUP($D6,'Audit Values'!$A$2:$DL$374,72,FALSE))</f>
        <v>0</v>
      </c>
      <c r="F6" s="24">
        <f>Transportation!G6</f>
        <v>0</v>
      </c>
      <c r="G6" s="24"/>
      <c r="H6" s="24"/>
      <c r="I6" s="128"/>
      <c r="J6" s="105"/>
      <c r="K6" s="64" t="str">
        <f>IF(AND(H6&lt;&gt;"",(OR(H6&lt;'2019 Legal Max'!BG6, ('Weighting Factors'!H6-'2019 Legal Max'!BG6)/'2019 Legal Max'!BG6&gt;0.025))), "Confirm!", "")</f>
        <v/>
      </c>
      <c r="L6" s="126">
        <f>IF(ISNA(VLOOKUP($CV6,'Audit Values'!$A$3:$BW$3,2,FALSE)),'Preliminary SO66'!B5,VLOOKUP($CV6,'Audit Values'!$A$3:$BW$3,32,FALSE))</f>
        <v>1</v>
      </c>
      <c r="N6" s="95"/>
      <c r="P6" s="147" t="s">
        <v>840</v>
      </c>
      <c r="Q6" s="64">
        <v>0.5</v>
      </c>
      <c r="R6" s="64"/>
      <c r="S6" s="64" t="s">
        <v>3713</v>
      </c>
      <c r="T6" s="244"/>
      <c r="W6" s="1">
        <v>2</v>
      </c>
      <c r="X6" s="242">
        <v>0.06</v>
      </c>
      <c r="Y6" s="1">
        <v>6.9000000000000006E-2</v>
      </c>
      <c r="Z6" s="1">
        <v>1580</v>
      </c>
    </row>
    <row r="7" spans="1:26">
      <c r="A7" s="67" t="s">
        <v>199</v>
      </c>
      <c r="B7" s="38">
        <v>190255</v>
      </c>
      <c r="D7" s="67" t="s">
        <v>199</v>
      </c>
      <c r="E7" s="24">
        <f>IF(ISNA(VLOOKUP($D7,'Audit Values'!$A$2:$DL$374,2,FALSE)), 0, VLOOKUP($D7,'Audit Values'!$A$2:$DL$374,72,FALSE))</f>
        <v>0</v>
      </c>
      <c r="F7" s="24">
        <f>Transportation!G7</f>
        <v>-13187</v>
      </c>
      <c r="G7" s="24"/>
      <c r="H7" s="24"/>
      <c r="I7" s="128"/>
      <c r="J7" s="105"/>
      <c r="K7" s="64" t="str">
        <f>IF(AND(H7&lt;&gt;"",(OR(H7&lt;'2019 Legal Max'!BG7, ('Weighting Factors'!H7-'2019 Legal Max'!BG7)/'2019 Legal Max'!BG7&gt;0.025))), "Confirm!", "")</f>
        <v/>
      </c>
      <c r="L7" s="126">
        <f>IF(ISNA(VLOOKUP($CV7,'Audit Values'!$A$3:$BW$3,2,FALSE)),'Preliminary SO66'!B6,VLOOKUP($CV7,'Audit Values'!$A$3:$BW$3,32,FALSE))</f>
        <v>1</v>
      </c>
      <c r="N7" s="95"/>
      <c r="P7" s="147" t="s">
        <v>837</v>
      </c>
      <c r="Q7" s="64">
        <v>0.39500000000000002</v>
      </c>
      <c r="R7" s="64"/>
      <c r="S7" s="305">
        <v>1</v>
      </c>
      <c r="T7" s="68"/>
      <c r="W7" s="1">
        <v>3</v>
      </c>
      <c r="X7" s="242">
        <v>7.0000000000000007E-2</v>
      </c>
      <c r="Y7" s="1">
        <v>7.9000000000000001E-2</v>
      </c>
      <c r="Z7" s="1">
        <v>1540</v>
      </c>
    </row>
    <row r="8" spans="1:26">
      <c r="A8" s="67" t="s">
        <v>200</v>
      </c>
      <c r="B8" s="38">
        <v>333603</v>
      </c>
      <c r="D8" s="67" t="s">
        <v>200</v>
      </c>
      <c r="E8" s="24">
        <f>IF(ISNA(VLOOKUP($D8,'Audit Values'!$A$2:$DL$374,2,FALSE)), 0, VLOOKUP($D8,'Audit Values'!$A$2:$DL$374,72,FALSE))</f>
        <v>0</v>
      </c>
      <c r="F8" s="24">
        <f>Transportation!G8</f>
        <v>0</v>
      </c>
      <c r="G8" s="24"/>
      <c r="H8" s="24">
        <v>2982557</v>
      </c>
      <c r="I8" s="128">
        <v>22</v>
      </c>
      <c r="J8" s="105"/>
      <c r="K8" s="64" t="str">
        <f>IF(AND(H8&lt;&gt;"",(OR(H8&lt;'2019 Legal Max'!BG8, ('Weighting Factors'!H8-'2019 Legal Max'!BG8)/'2019 Legal Max'!BG8&gt;0.025))), "Confirm!", "")</f>
        <v/>
      </c>
      <c r="L8" s="126">
        <f>IF(ISNA(VLOOKUP($CV8,'Audit Values'!$A$3:$BW$3,2,FALSE)),'Preliminary SO66'!B7,VLOOKUP($CV8,'Audit Values'!$A$3:$BW$3,32,FALSE))</f>
        <v>1</v>
      </c>
      <c r="N8" s="95"/>
      <c r="P8" s="147" t="s">
        <v>838</v>
      </c>
      <c r="Q8" s="128">
        <v>0.185</v>
      </c>
      <c r="R8" s="128"/>
      <c r="S8" s="64" t="s">
        <v>3504</v>
      </c>
      <c r="T8" s="244"/>
      <c r="W8" s="1">
        <v>4</v>
      </c>
      <c r="X8" s="242">
        <v>0.08</v>
      </c>
      <c r="Y8" s="1">
        <v>8.8999999999999996E-2</v>
      </c>
      <c r="Z8" s="1">
        <v>1500</v>
      </c>
    </row>
    <row r="9" spans="1:26">
      <c r="A9" s="67" t="s">
        <v>201</v>
      </c>
      <c r="B9" s="38">
        <v>151342</v>
      </c>
      <c r="D9" s="67" t="s">
        <v>201</v>
      </c>
      <c r="E9" s="24">
        <f>IF(ISNA(VLOOKUP($D9,'Audit Values'!$A$2:$DL$374,2,FALSE)), 0, VLOOKUP($D9,'Audit Values'!$A$2:$DL$374,72,FALSE))</f>
        <v>0</v>
      </c>
      <c r="F9" s="24">
        <f>Transportation!G9</f>
        <v>-49409</v>
      </c>
      <c r="G9" s="24"/>
      <c r="H9" s="24"/>
      <c r="I9" s="128"/>
      <c r="J9" s="105"/>
      <c r="K9" s="64" t="str">
        <f>IF(AND(H9&lt;&gt;"",(OR(H9&lt;'2019 Legal Max'!BG9, ('Weighting Factors'!H9-'2019 Legal Max'!BG9)/'2019 Legal Max'!BG9&gt;0.025))), "Confirm!", "")</f>
        <v/>
      </c>
      <c r="L9" s="126">
        <f>IF(ISNA(VLOOKUP($CV9,'Audit Values'!$A$3:$BW$3,2,FALSE)),'Preliminary SO66'!B8,VLOOKUP($CV9,'Audit Values'!$A$3:$BW$3,32,FALSE))</f>
        <v>1</v>
      </c>
      <c r="N9" s="95"/>
      <c r="P9" s="147" t="s">
        <v>841</v>
      </c>
      <c r="Q9" s="64">
        <v>0.48399999999999999</v>
      </c>
      <c r="R9" s="64"/>
      <c r="S9" s="64"/>
      <c r="T9" s="68"/>
      <c r="W9" s="1">
        <v>5</v>
      </c>
      <c r="X9" s="242">
        <v>0.09</v>
      </c>
      <c r="Y9" s="1">
        <v>9.9000000000000005E-2</v>
      </c>
      <c r="Z9" s="1">
        <v>1480</v>
      </c>
    </row>
    <row r="10" spans="1:26">
      <c r="A10" s="67" t="s">
        <v>202</v>
      </c>
      <c r="B10" s="140">
        <f>267171+56043</f>
        <v>323214</v>
      </c>
      <c r="D10" s="67" t="s">
        <v>202</v>
      </c>
      <c r="E10" s="24">
        <f>IF(ISNA(VLOOKUP($D10,'Audit Values'!$A$2:$DL$374,2,FALSE)), 0, VLOOKUP($D10,'Audit Values'!$A$2:$DL$374,72,FALSE))</f>
        <v>0</v>
      </c>
      <c r="F10" s="24">
        <f>Transportation!G10</f>
        <v>0</v>
      </c>
      <c r="G10" s="24"/>
      <c r="H10" s="24"/>
      <c r="I10" s="128"/>
      <c r="J10" s="105"/>
      <c r="K10" s="64" t="str">
        <f>IF(AND(H10&lt;&gt;"",(OR(H10&lt;'2019 Legal Max'!BG10, ('Weighting Factors'!H10-'2019 Legal Max'!BG10)/'2019 Legal Max'!BG10&gt;0.025))), "Confirm!", "")</f>
        <v/>
      </c>
      <c r="L10" s="126">
        <f>IF(ISNA(VLOOKUP($CV10,'Audit Values'!$A$3:$BW$3,2,FALSE)),'Preliminary SO66'!B9,VLOOKUP($CV10,'Audit Values'!$A$3:$BW$3,32,FALSE))</f>
        <v>1</v>
      </c>
      <c r="N10" s="95"/>
      <c r="P10" s="147" t="s">
        <v>842</v>
      </c>
      <c r="Q10" s="64">
        <v>0.25</v>
      </c>
      <c r="R10" s="64"/>
      <c r="S10" s="64" t="s">
        <v>869</v>
      </c>
      <c r="T10" s="68">
        <v>5000</v>
      </c>
      <c r="W10" s="1">
        <v>6</v>
      </c>
      <c r="X10" s="242">
        <v>0.1</v>
      </c>
      <c r="Y10" s="1">
        <v>0.109</v>
      </c>
      <c r="Z10" s="1">
        <v>1450</v>
      </c>
    </row>
    <row r="11" spans="1:26">
      <c r="A11" s="67" t="s">
        <v>203</v>
      </c>
      <c r="B11" s="38">
        <v>548331</v>
      </c>
      <c r="D11" s="67" t="s">
        <v>203</v>
      </c>
      <c r="E11" s="24">
        <f>IF(ISNA(VLOOKUP($D11,'Audit Values'!$A$2:$DL$374,2,FALSE)), 0, VLOOKUP($D11,'Audit Values'!$A$2:$DL$374,72,FALSE))</f>
        <v>0</v>
      </c>
      <c r="F11" s="24">
        <f>Transportation!G11</f>
        <v>-23674</v>
      </c>
      <c r="G11" s="24"/>
      <c r="H11" s="24"/>
      <c r="I11" s="128"/>
      <c r="J11" s="105"/>
      <c r="K11" s="64" t="str">
        <f>IF(AND(H11&lt;&gt;"",(OR(H11&lt;'2019 Legal Max'!BG11, ('Weighting Factors'!H11-'2019 Legal Max'!BG11)/'2019 Legal Max'!BG11&gt;0.025))), "Confirm!", "")</f>
        <v/>
      </c>
      <c r="L11" s="126">
        <f>IF(ISNA(VLOOKUP($CV11,'Audit Values'!$A$3:$BW$3,2,FALSE)),'Preliminary SO66'!B10,VLOOKUP($CV11,'Audit Values'!$A$3:$BW$3,32,FALSE))</f>
        <v>1</v>
      </c>
      <c r="N11" s="95"/>
      <c r="P11" s="147"/>
      <c r="Q11" s="64"/>
      <c r="R11" s="64"/>
      <c r="S11" s="64" t="s">
        <v>870</v>
      </c>
      <c r="T11" s="68">
        <v>1700</v>
      </c>
      <c r="W11" s="1">
        <v>7</v>
      </c>
      <c r="X11" s="242">
        <v>0.11</v>
      </c>
      <c r="Y11" s="1">
        <v>0.11899999999999999</v>
      </c>
      <c r="Z11" s="1">
        <v>1430</v>
      </c>
    </row>
    <row r="12" spans="1:26">
      <c r="A12" s="67" t="s">
        <v>204</v>
      </c>
      <c r="B12" s="38">
        <v>615260</v>
      </c>
      <c r="D12" s="67" t="s">
        <v>204</v>
      </c>
      <c r="E12" s="24">
        <f>IF(ISNA(VLOOKUP($D12,'Audit Values'!$A$2:$DL$374,2,FALSE)), 0, VLOOKUP($D12,'Audit Values'!$A$2:$DL$374,72,FALSE))</f>
        <v>0</v>
      </c>
      <c r="F12" s="24">
        <f>Transportation!G12</f>
        <v>-44186</v>
      </c>
      <c r="G12" s="24"/>
      <c r="H12" s="24"/>
      <c r="I12" s="128"/>
      <c r="J12" s="105"/>
      <c r="K12" s="64" t="str">
        <f>IF(AND(H12&lt;&gt;"",(OR(H12&lt;'2019 Legal Max'!BG12, ('Weighting Factors'!H12-'2019 Legal Max'!BG12)/'2019 Legal Max'!BG12&gt;0.025))), "Confirm!", "")</f>
        <v/>
      </c>
      <c r="L12" s="126">
        <f>IF(ISNA(VLOOKUP($CV12,'Audit Values'!$A$3:$BW$3,2,FALSE)),'Preliminary SO66'!B11,VLOOKUP($CV12,'Audit Values'!$A$3:$BW$3,32,FALSE))</f>
        <v>1</v>
      </c>
      <c r="N12" s="95"/>
      <c r="P12" s="147" t="s">
        <v>843</v>
      </c>
      <c r="Q12" s="64">
        <v>4490</v>
      </c>
      <c r="R12" s="64"/>
      <c r="S12" s="64" t="s">
        <v>871</v>
      </c>
      <c r="T12" s="68">
        <v>709</v>
      </c>
      <c r="W12" s="1">
        <v>8</v>
      </c>
      <c r="X12" s="242">
        <v>0.12</v>
      </c>
      <c r="Y12" s="1">
        <v>0.129</v>
      </c>
      <c r="Z12" s="1">
        <v>1410</v>
      </c>
    </row>
    <row r="13" spans="1:26">
      <c r="A13" s="67" t="s">
        <v>205</v>
      </c>
      <c r="B13" s="38">
        <v>333931</v>
      </c>
      <c r="D13" s="67" t="s">
        <v>205</v>
      </c>
      <c r="E13" s="24">
        <f>IF(ISNA(VLOOKUP($D13,'Audit Values'!$A$2:$DL$374,2,FALSE)), 0, VLOOKUP($D13,'Audit Values'!$A$2:$DL$374,72,FALSE))</f>
        <v>0</v>
      </c>
      <c r="F13" s="24">
        <f>Transportation!G13</f>
        <v>0</v>
      </c>
      <c r="G13" s="24"/>
      <c r="H13" s="24"/>
      <c r="I13" s="128"/>
      <c r="J13" s="105"/>
      <c r="K13" s="64" t="str">
        <f>IF(AND(H13&lt;&gt;"",(OR(H13&lt;'2019 Legal Max'!BG13, ('Weighting Factors'!H13-'2019 Legal Max'!BG13)/'2019 Legal Max'!BG13&gt;0.025))), "Confirm!", "")</f>
        <v/>
      </c>
      <c r="L13" s="126">
        <f>IF(ISNA(VLOOKUP($CV13,'Audit Values'!$A$3:$BW$3,2,FALSE)),'Preliminary SO66'!B12,VLOOKUP($CV13,'Audit Values'!$A$3:$BW$3,32,FALSE))</f>
        <v>1</v>
      </c>
      <c r="N13" s="95"/>
      <c r="P13" s="67"/>
      <c r="Q13" s="64"/>
      <c r="R13" s="64"/>
      <c r="S13" s="64"/>
      <c r="T13" s="68"/>
      <c r="W13" s="1">
        <v>9</v>
      </c>
      <c r="X13" s="242">
        <v>0.13</v>
      </c>
      <c r="Y13" s="1">
        <v>0.13900000000000001</v>
      </c>
      <c r="Z13" s="1">
        <v>1390</v>
      </c>
    </row>
    <row r="14" spans="1:26" ht="13.5" thickBot="1">
      <c r="A14" s="67" t="s">
        <v>206</v>
      </c>
      <c r="B14" s="140">
        <v>555221</v>
      </c>
      <c r="D14" s="67" t="s">
        <v>206</v>
      </c>
      <c r="E14" s="24">
        <f>IF(ISNA(VLOOKUP($D14,'Audit Values'!$A$2:$DL$374,2,FALSE)), 0, VLOOKUP($D14,'Audit Values'!$A$2:$DL$374,72,FALSE))</f>
        <v>0</v>
      </c>
      <c r="F14" s="24">
        <f>Transportation!G14</f>
        <v>-7728</v>
      </c>
      <c r="G14" s="24"/>
      <c r="H14" s="24"/>
      <c r="I14" s="128"/>
      <c r="J14" s="105"/>
      <c r="K14" s="64" t="str">
        <f>IF(AND(H14&lt;&gt;"",(OR(H14&lt;'2019 Legal Max'!BG14, ('Weighting Factors'!H14-'2019 Legal Max'!BG14)/'2019 Legal Max'!BG14&gt;0.025))), "Confirm!", "")</f>
        <v/>
      </c>
      <c r="L14" s="126">
        <f>IF(ISNA(VLOOKUP($CV14,'Audit Values'!$A$3:$BW$3,2,FALSE)),'Preliminary SO66'!B13,VLOOKUP($CV14,'Audit Values'!$A$3:$BW$3,32,FALSE))</f>
        <v>1</v>
      </c>
      <c r="N14" s="95"/>
      <c r="P14" s="74" t="s">
        <v>3509</v>
      </c>
      <c r="Q14" s="75">
        <v>4165</v>
      </c>
      <c r="R14" s="75"/>
      <c r="S14" s="75"/>
      <c r="T14" s="76"/>
      <c r="W14" s="1">
        <v>10</v>
      </c>
      <c r="X14" s="242">
        <v>0.14000000000000001</v>
      </c>
      <c r="Y14" s="1">
        <v>0.14899999999999999</v>
      </c>
      <c r="Z14" s="1">
        <v>1370</v>
      </c>
    </row>
    <row r="15" spans="1:26" ht="13.5" thickTop="1">
      <c r="A15" s="67" t="s">
        <v>207</v>
      </c>
      <c r="B15" s="140">
        <v>685976</v>
      </c>
      <c r="D15" s="67" t="s">
        <v>207</v>
      </c>
      <c r="E15" s="24">
        <f>IF(ISNA(VLOOKUP($D15,'Audit Values'!$A$2:$DL$374,2,FALSE)), 0, VLOOKUP($D15,'Audit Values'!$A$2:$DL$374,72,FALSE))</f>
        <v>0</v>
      </c>
      <c r="F15" s="24">
        <f>Transportation!G15</f>
        <v>-37485</v>
      </c>
      <c r="G15" s="24"/>
      <c r="H15" s="24"/>
      <c r="I15" s="128"/>
      <c r="J15" s="105"/>
      <c r="K15" s="64" t="str">
        <f>IF(AND(H15&lt;&gt;"",(OR(H15&lt;'2019 Legal Max'!BG15, ('Weighting Factors'!H15-'2019 Legal Max'!BG15)/'2019 Legal Max'!BG15&gt;0.025))), "Confirm!", "")</f>
        <v/>
      </c>
      <c r="L15" s="126">
        <f>IF(ISNA(VLOOKUP($CV15,'Audit Values'!$A$3:$BW$3,2,FALSE)),'Preliminary SO66'!B14,VLOOKUP($CV15,'Audit Values'!$A$3:$BW$3,32,FALSE))</f>
        <v>1</v>
      </c>
      <c r="N15" s="95"/>
      <c r="W15" s="1">
        <v>11</v>
      </c>
      <c r="X15" s="242">
        <v>0.15</v>
      </c>
      <c r="Y15" s="1">
        <v>0.159</v>
      </c>
      <c r="Z15" s="1">
        <v>1350</v>
      </c>
    </row>
    <row r="16" spans="1:26">
      <c r="A16" s="67" t="s">
        <v>208</v>
      </c>
      <c r="B16" s="140">
        <v>1100793</v>
      </c>
      <c r="D16" s="67" t="s">
        <v>208</v>
      </c>
      <c r="E16" s="24">
        <f>IF(ISNA(VLOOKUP($D16,'Audit Values'!$A$2:$DL$374,2,FALSE)), 0, VLOOKUP($D16,'Audit Values'!$A$2:$DL$374,72,FALSE))</f>
        <v>0</v>
      </c>
      <c r="F16" s="24">
        <f>Transportation!G16</f>
        <v>-9419</v>
      </c>
      <c r="G16" s="24"/>
      <c r="H16" s="24"/>
      <c r="I16" s="128"/>
      <c r="J16" s="105"/>
      <c r="K16" s="64" t="str">
        <f>IF(AND(H16&lt;&gt;"",(OR(H16&lt;'2019 Legal Max'!BG16, ('Weighting Factors'!H16-'2019 Legal Max'!BG16)/'2019 Legal Max'!BG16&gt;0.025))), "Confirm!", "")</f>
        <v/>
      </c>
      <c r="L16" s="126">
        <f>IF(ISNA(VLOOKUP($CV16,'Audit Values'!$A$3:$BW$3,2,FALSE)),'Preliminary SO66'!B15,VLOOKUP($CV16,'Audit Values'!$A$3:$BW$3,32,FALSE))</f>
        <v>1</v>
      </c>
      <c r="N16" s="95"/>
      <c r="W16" s="1">
        <v>12</v>
      </c>
      <c r="X16" s="242">
        <v>0.16</v>
      </c>
      <c r="Y16" s="1">
        <v>0.16900000000000001</v>
      </c>
      <c r="Z16" s="1">
        <v>1340</v>
      </c>
    </row>
    <row r="17" spans="1:26">
      <c r="A17" s="67" t="s">
        <v>209</v>
      </c>
      <c r="B17" s="140">
        <v>631555</v>
      </c>
      <c r="D17" s="67" t="s">
        <v>209</v>
      </c>
      <c r="E17" s="24">
        <f>IF(ISNA(VLOOKUP($D17,'Audit Values'!$A$2:$DL$374,2,FALSE)), 0, VLOOKUP($D17,'Audit Values'!$A$2:$DL$374,72,FALSE))</f>
        <v>-1418</v>
      </c>
      <c r="F17" s="24">
        <f>Transportation!G17</f>
        <v>-49816</v>
      </c>
      <c r="G17" s="24"/>
      <c r="H17" s="24"/>
      <c r="I17" s="128"/>
      <c r="J17" s="105"/>
      <c r="K17" s="64" t="str">
        <f>IF(AND(H17&lt;&gt;"",(OR(H17&lt;'2019 Legal Max'!BG17, ('Weighting Factors'!H17-'2019 Legal Max'!BG17)/'2019 Legal Max'!BG17&gt;0.025))), "Confirm!", "")</f>
        <v/>
      </c>
      <c r="L17" s="126">
        <f>IF(ISNA(VLOOKUP($CV17,'Audit Values'!$A$3:$BW$3,2,FALSE)),'Preliminary SO66'!B16,VLOOKUP($CV17,'Audit Values'!$A$3:$BW$3,32,FALSE))</f>
        <v>1</v>
      </c>
      <c r="N17" s="95"/>
      <c r="W17" s="1">
        <v>13</v>
      </c>
      <c r="X17" s="242">
        <v>0.17</v>
      </c>
      <c r="Y17" s="1">
        <v>0.17899999999999999</v>
      </c>
      <c r="Z17" s="1">
        <v>1320</v>
      </c>
    </row>
    <row r="18" spans="1:26">
      <c r="A18" s="67" t="s">
        <v>210</v>
      </c>
      <c r="B18" s="140">
        <v>577233</v>
      </c>
      <c r="D18" s="67" t="s">
        <v>210</v>
      </c>
      <c r="E18" s="24">
        <f>IF(ISNA(VLOOKUP($D18,'Audit Values'!$A$2:$DL$374,2,FALSE)), 0, VLOOKUP($D18,'Audit Values'!$A$2:$DL$374,72,FALSE))</f>
        <v>0</v>
      </c>
      <c r="F18" s="24">
        <f>Transportation!G18</f>
        <v>0</v>
      </c>
      <c r="G18" s="24"/>
      <c r="H18" s="24"/>
      <c r="I18" s="128"/>
      <c r="J18" s="105"/>
      <c r="K18" s="64" t="str">
        <f>IF(AND(H18&lt;&gt;"",(OR(H18&lt;'2019 Legal Max'!BG18, ('Weighting Factors'!H18-'2019 Legal Max'!BG18)/'2019 Legal Max'!BG18&gt;0.025))), "Confirm!", "")</f>
        <v/>
      </c>
      <c r="L18" s="126">
        <f>IF(ISNA(VLOOKUP($CV18,'Audit Values'!$A$3:$BW$3,2,FALSE)),'Preliminary SO66'!B17,VLOOKUP($CV18,'Audit Values'!$A$3:$BW$3,32,FALSE))</f>
        <v>1</v>
      </c>
      <c r="N18" s="95"/>
      <c r="W18" s="1">
        <v>14</v>
      </c>
      <c r="X18" s="242">
        <v>0.18</v>
      </c>
      <c r="Y18" s="1">
        <v>0.19900000000000001</v>
      </c>
      <c r="Z18" s="1">
        <v>1300</v>
      </c>
    </row>
    <row r="19" spans="1:26">
      <c r="A19" s="67" t="s">
        <v>211</v>
      </c>
      <c r="B19" s="38">
        <v>165851</v>
      </c>
      <c r="D19" s="67" t="s">
        <v>211</v>
      </c>
      <c r="E19" s="24">
        <f>IF(ISNA(VLOOKUP($D19,'Audit Values'!$A$2:$DL$374,2,FALSE)), 0, VLOOKUP($D19,'Audit Values'!$A$2:$DL$374,72,FALSE))</f>
        <v>0</v>
      </c>
      <c r="F19" s="24">
        <f>Transportation!G19</f>
        <v>0</v>
      </c>
      <c r="G19" s="24"/>
      <c r="H19" s="24"/>
      <c r="I19" s="128"/>
      <c r="J19" s="105"/>
      <c r="K19" s="64" t="str">
        <f>IF(AND(H19&lt;&gt;"",(OR(H19&lt;'2019 Legal Max'!BG19, ('Weighting Factors'!H19-'2019 Legal Max'!BG19)/'2019 Legal Max'!BG19&gt;0.025))), "Confirm!", "")</f>
        <v/>
      </c>
      <c r="L19" s="126">
        <f>IF(ISNA(VLOOKUP($CV19,'Audit Values'!$A$3:$BW$3,2,FALSE)),'Preliminary SO66'!B18,VLOOKUP($CV19,'Audit Values'!$A$3:$BW$3,32,FALSE))</f>
        <v>1</v>
      </c>
      <c r="N19" s="95"/>
      <c r="W19" s="1">
        <v>15</v>
      </c>
      <c r="X19" s="242">
        <v>0.2</v>
      </c>
      <c r="Y19" s="1">
        <v>0.20899999999999999</v>
      </c>
      <c r="Z19" s="1">
        <v>1290</v>
      </c>
    </row>
    <row r="20" spans="1:26">
      <c r="A20" s="67" t="s">
        <v>212</v>
      </c>
      <c r="B20" s="38">
        <v>3234002</v>
      </c>
      <c r="D20" s="67" t="s">
        <v>212</v>
      </c>
      <c r="E20" s="24">
        <f>IF(ISNA(VLOOKUP($D20,'Audit Values'!$A$2:$DL$374,2,FALSE)), 0, VLOOKUP($D20,'Audit Values'!$A$2:$DL$374,72,FALSE))</f>
        <v>-3545</v>
      </c>
      <c r="F20" s="24">
        <f>Transportation!G20</f>
        <v>0</v>
      </c>
      <c r="G20" s="24"/>
      <c r="H20" s="24"/>
      <c r="I20" s="128"/>
      <c r="J20" s="105"/>
      <c r="K20" s="64" t="str">
        <f>IF(AND(H20&lt;&gt;"",(OR(H20&lt;'2019 Legal Max'!BG20, ('Weighting Factors'!H20-'2019 Legal Max'!BG20)/'2019 Legal Max'!BG20&gt;0.025))), "Confirm!", "")</f>
        <v/>
      </c>
      <c r="L20" s="126">
        <f>IF(ISNA(VLOOKUP($CV20,'Audit Values'!$A$3:$BW$3,2,FALSE)),'Preliminary SO66'!B19,VLOOKUP($CV20,'Audit Values'!$A$3:$BW$3,32,FALSE))</f>
        <v>1</v>
      </c>
      <c r="N20" s="95"/>
      <c r="W20" s="1">
        <v>16</v>
      </c>
      <c r="X20" s="242">
        <v>0.21</v>
      </c>
      <c r="Y20" s="1">
        <v>0.219</v>
      </c>
      <c r="Z20" s="1">
        <v>1270</v>
      </c>
    </row>
    <row r="21" spans="1:26">
      <c r="A21" s="67" t="s">
        <v>213</v>
      </c>
      <c r="B21" s="38">
        <v>1285790</v>
      </c>
      <c r="D21" s="67" t="s">
        <v>213</v>
      </c>
      <c r="E21" s="24">
        <f>IF(ISNA(VLOOKUP($D21,'Audit Values'!$A$2:$DL$374,2,FALSE)), 0, VLOOKUP($D21,'Audit Values'!$A$2:$DL$374,72,FALSE))</f>
        <v>0</v>
      </c>
      <c r="F21" s="24">
        <f>Transportation!G21</f>
        <v>0</v>
      </c>
      <c r="G21" s="24"/>
      <c r="H21" s="24"/>
      <c r="I21" s="128"/>
      <c r="J21" s="105"/>
      <c r="K21" s="64" t="str">
        <f>IF(AND(H21&lt;&gt;"",(OR(H21&lt;'2019 Legal Max'!BG21, ('Weighting Factors'!H21-'2019 Legal Max'!BG21)/'2019 Legal Max'!BG21&gt;0.025))), "Confirm!", "")</f>
        <v/>
      </c>
      <c r="L21" s="126">
        <f>IF(ISNA(VLOOKUP($CV21,'Audit Values'!$A$3:$BW$3,2,FALSE)),'Preliminary SO66'!B20,VLOOKUP($CV21,'Audit Values'!$A$3:$BW$3,32,FALSE))</f>
        <v>1</v>
      </c>
      <c r="N21" s="95"/>
      <c r="W21" s="1">
        <v>17</v>
      </c>
      <c r="X21" s="242">
        <v>0.22</v>
      </c>
      <c r="Y21" s="1">
        <v>0.23899999999999999</v>
      </c>
      <c r="Z21" s="1">
        <v>1250</v>
      </c>
    </row>
    <row r="22" spans="1:26">
      <c r="A22" s="67" t="s">
        <v>214</v>
      </c>
      <c r="B22" s="38">
        <v>2016420</v>
      </c>
      <c r="D22" s="67" t="s">
        <v>214</v>
      </c>
      <c r="E22" s="24">
        <f>IF(ISNA(VLOOKUP($D22,'Audit Values'!$A$2:$DL$374,2,FALSE)), 0, VLOOKUP($D22,'Audit Values'!$A$2:$DL$374,72,FALSE))</f>
        <v>0</v>
      </c>
      <c r="F22" s="24">
        <f>Transportation!G22</f>
        <v>-70956</v>
      </c>
      <c r="G22" s="24"/>
      <c r="H22" s="24"/>
      <c r="I22" s="128"/>
      <c r="J22" s="105"/>
      <c r="K22" s="64" t="str">
        <f>IF(AND(H22&lt;&gt;"",(OR(H22&lt;'2019 Legal Max'!BG22, ('Weighting Factors'!H22-'2019 Legal Max'!BG22)/'2019 Legal Max'!BG22&gt;0.025))), "Confirm!", "")</f>
        <v/>
      </c>
      <c r="L22" s="126">
        <f>IF(ISNA(VLOOKUP($CV22,'Audit Values'!$A$3:$BW$3,2,FALSE)),'Preliminary SO66'!B21,VLOOKUP($CV22,'Audit Values'!$A$3:$BW$3,32,FALSE))</f>
        <v>1</v>
      </c>
      <c r="N22" s="95"/>
      <c r="W22" s="1">
        <v>18</v>
      </c>
      <c r="X22" s="242">
        <v>0.24</v>
      </c>
      <c r="Y22" s="1">
        <v>0.26900000000000002</v>
      </c>
      <c r="Z22" s="1">
        <v>1230</v>
      </c>
    </row>
    <row r="23" spans="1:26">
      <c r="A23" s="67" t="s">
        <v>215</v>
      </c>
      <c r="B23" s="38">
        <v>606474</v>
      </c>
      <c r="D23" s="67" t="s">
        <v>215</v>
      </c>
      <c r="E23" s="24">
        <f>IF(ISNA(VLOOKUP($D23,'Audit Values'!$A$2:$DL$374,2,FALSE)), 0, VLOOKUP($D23,'Audit Values'!$A$2:$DL$374,72,FALSE))</f>
        <v>0</v>
      </c>
      <c r="F23" s="24">
        <f>Transportation!G23</f>
        <v>-76373</v>
      </c>
      <c r="G23" s="24"/>
      <c r="H23" s="24"/>
      <c r="I23" s="128"/>
      <c r="J23" s="105"/>
      <c r="K23" s="64" t="str">
        <f>IF(AND(H23&lt;&gt;"",(OR(H23&lt;'2019 Legal Max'!BG23, ('Weighting Factors'!H23-'2019 Legal Max'!BG23)/'2019 Legal Max'!BG23&gt;0.025))), "Confirm!", "")</f>
        <v/>
      </c>
      <c r="L23" s="126">
        <f>IF(ISNA(VLOOKUP($CV23,'Audit Values'!$A$3:$BW$3,2,FALSE)),'Preliminary SO66'!B22,VLOOKUP($CV23,'Audit Values'!$A$3:$BW$3,32,FALSE))</f>
        <v>1</v>
      </c>
      <c r="N23" s="95"/>
      <c r="W23" s="1">
        <v>19</v>
      </c>
      <c r="X23" s="242">
        <v>0.27</v>
      </c>
      <c r="Y23" s="1">
        <v>0.28899999999999998</v>
      </c>
      <c r="Z23" s="1">
        <v>1210</v>
      </c>
    </row>
    <row r="24" spans="1:26">
      <c r="A24" s="67" t="s">
        <v>216</v>
      </c>
      <c r="B24" s="38">
        <v>531708</v>
      </c>
      <c r="D24" s="67" t="s">
        <v>216</v>
      </c>
      <c r="E24" s="24">
        <f>IF(ISNA(VLOOKUP($D24,'Audit Values'!$A$2:$DL$374,2,FALSE)), 0, VLOOKUP($D24,'Audit Values'!$A$2:$DL$374,72,FALSE))</f>
        <v>0</v>
      </c>
      <c r="F24" s="24">
        <f>Transportation!G24</f>
        <v>-105620</v>
      </c>
      <c r="G24" s="24"/>
      <c r="H24" s="24"/>
      <c r="I24" s="128"/>
      <c r="J24" s="105"/>
      <c r="K24" s="64" t="str">
        <f>IF(AND(H24&lt;&gt;"",(OR(H24&lt;'2019 Legal Max'!BG24, ('Weighting Factors'!H24-'2019 Legal Max'!BG24)/'2019 Legal Max'!BG24&gt;0.025))), "Confirm!", "")</f>
        <v/>
      </c>
      <c r="L24" s="126">
        <f>IF(ISNA(VLOOKUP($CV24,'Audit Values'!$A$3:$BW$3,2,FALSE)),'Preliminary SO66'!B23,VLOOKUP($CV24,'Audit Values'!$A$3:$BW$3,32,FALSE))</f>
        <v>1</v>
      </c>
      <c r="N24" s="95"/>
      <c r="W24" s="1">
        <v>20</v>
      </c>
      <c r="X24" s="242">
        <v>0.28999999999999998</v>
      </c>
      <c r="Y24" s="1">
        <v>0.31900000000000001</v>
      </c>
      <c r="Z24" s="1">
        <v>1190</v>
      </c>
    </row>
    <row r="25" spans="1:26">
      <c r="A25" s="67" t="s">
        <v>217</v>
      </c>
      <c r="B25" s="38">
        <v>1239600</v>
      </c>
      <c r="D25" s="67" t="s">
        <v>217</v>
      </c>
      <c r="E25" s="24">
        <f>IF(ISNA(VLOOKUP($D25,'Audit Values'!$A$2:$DL$374,2,FALSE)), 0, VLOOKUP($D25,'Audit Values'!$A$2:$DL$374,72,FALSE))</f>
        <v>0</v>
      </c>
      <c r="F25" s="24">
        <f>Transportation!G25</f>
        <v>0</v>
      </c>
      <c r="G25" s="24"/>
      <c r="H25" s="24"/>
      <c r="I25" s="128"/>
      <c r="J25" s="105"/>
      <c r="K25" s="64" t="str">
        <f>IF(AND(H25&lt;&gt;"",(OR(H25&lt;'2019 Legal Max'!BG25, ('Weighting Factors'!H25-'2019 Legal Max'!BG25)/'2019 Legal Max'!BG25&gt;0.025))), "Confirm!", "")</f>
        <v/>
      </c>
      <c r="L25" s="126">
        <f>IF(ISNA(VLOOKUP($CV25,'Audit Values'!$A$3:$BW$3,2,FALSE)),'Preliminary SO66'!B24,VLOOKUP($CV25,'Audit Values'!$A$3:$BW$3,32,FALSE))</f>
        <v>1</v>
      </c>
      <c r="N25" s="95"/>
      <c r="W25" s="1">
        <v>21</v>
      </c>
      <c r="X25" s="242">
        <v>0.32</v>
      </c>
      <c r="Y25" s="1">
        <v>0.34899999999999998</v>
      </c>
      <c r="Z25" s="1">
        <v>1170</v>
      </c>
    </row>
    <row r="26" spans="1:26">
      <c r="A26" s="67" t="s">
        <v>218</v>
      </c>
      <c r="B26" s="38">
        <v>509998</v>
      </c>
      <c r="D26" s="67" t="s">
        <v>218</v>
      </c>
      <c r="E26" s="24">
        <f>IF(ISNA(VLOOKUP($D26,'Audit Values'!$A$2:$DL$374,2,FALSE)), 0, VLOOKUP($D26,'Audit Values'!$A$2:$DL$374,72,FALSE))</f>
        <v>0</v>
      </c>
      <c r="F26" s="24">
        <f>Transportation!G26</f>
        <v>0</v>
      </c>
      <c r="G26" s="24"/>
      <c r="H26" s="24"/>
      <c r="I26" s="128"/>
      <c r="J26" s="105"/>
      <c r="K26" s="64" t="str">
        <f>IF(AND(H26&lt;&gt;"",(OR(H26&lt;'2019 Legal Max'!BG26, ('Weighting Factors'!H26-'2019 Legal Max'!BG26)/'2019 Legal Max'!BG26&gt;0.025))), "Confirm!", "")</f>
        <v/>
      </c>
      <c r="L26" s="126">
        <f>IF(ISNA(VLOOKUP($CV26,'Audit Values'!$A$3:$BW$3,2,FALSE)),'Preliminary SO66'!B25,VLOOKUP($CV26,'Audit Values'!$A$3:$BW$3,32,FALSE))</f>
        <v>1</v>
      </c>
      <c r="N26" s="95"/>
      <c r="W26" s="1">
        <v>22</v>
      </c>
      <c r="X26" s="242">
        <v>0.35</v>
      </c>
      <c r="Y26" s="1">
        <v>0.38900000000000001</v>
      </c>
      <c r="Z26" s="1">
        <v>1150</v>
      </c>
    </row>
    <row r="27" spans="1:26">
      <c r="A27" s="67" t="s">
        <v>219</v>
      </c>
      <c r="B27" s="38">
        <v>138161</v>
      </c>
      <c r="D27" s="67" t="s">
        <v>219</v>
      </c>
      <c r="E27" s="24">
        <f>IF(ISNA(VLOOKUP($D27,'Audit Values'!$A$2:$DL$374,2,FALSE)), 0, VLOOKUP($D27,'Audit Values'!$A$2:$DL$374,72,FALSE))</f>
        <v>0</v>
      </c>
      <c r="F27" s="24">
        <f>Transportation!G27</f>
        <v>0</v>
      </c>
      <c r="G27" s="24"/>
      <c r="H27" s="24"/>
      <c r="I27" s="128"/>
      <c r="J27" s="105"/>
      <c r="K27" s="64" t="str">
        <f>IF(AND(H27&lt;&gt;"",(OR(H27&lt;'2019 Legal Max'!BG27, ('Weighting Factors'!H27-'2019 Legal Max'!BG27)/'2019 Legal Max'!BG27&gt;0.025))), "Confirm!", "")</f>
        <v/>
      </c>
      <c r="L27" s="126">
        <f>IF(ISNA(VLOOKUP($CV27,'Audit Values'!$A$3:$BW$3,2,FALSE)),'Preliminary SO66'!B26,VLOOKUP($CV27,'Audit Values'!$A$3:$BW$3,32,FALSE))</f>
        <v>1</v>
      </c>
      <c r="N27" s="95"/>
      <c r="W27" s="1">
        <v>23</v>
      </c>
      <c r="X27" s="242">
        <v>0.39</v>
      </c>
      <c r="Y27" s="1">
        <v>0.42899999999999999</v>
      </c>
      <c r="Z27" s="1">
        <v>1130</v>
      </c>
    </row>
    <row r="28" spans="1:26">
      <c r="A28" s="67" t="s">
        <v>220</v>
      </c>
      <c r="B28" s="38">
        <v>622779</v>
      </c>
      <c r="D28" s="67" t="s">
        <v>220</v>
      </c>
      <c r="E28" s="24">
        <f>IF(ISNA(VLOOKUP($D28,'Audit Values'!$A$2:$DL$374,2,FALSE)), 0, VLOOKUP($D28,'Audit Values'!$A$2:$DL$374,72,FALSE))</f>
        <v>0</v>
      </c>
      <c r="F28" s="24">
        <f>Transportation!G28</f>
        <v>0</v>
      </c>
      <c r="G28" s="24"/>
      <c r="H28" s="24"/>
      <c r="I28" s="128"/>
      <c r="J28" s="105"/>
      <c r="K28" s="64" t="str">
        <f>IF(AND(H28&lt;&gt;"",(OR(H28&lt;'2019 Legal Max'!BG28, ('Weighting Factors'!H28-'2019 Legal Max'!BG28)/'2019 Legal Max'!BG28&gt;0.025))), "Confirm!", "")</f>
        <v/>
      </c>
      <c r="L28" s="126">
        <f>IF(ISNA(VLOOKUP($CV28,'Audit Values'!$A$3:$BW$3,2,FALSE)),'Preliminary SO66'!B27,VLOOKUP($CV28,'Audit Values'!$A$3:$BW$3,32,FALSE))</f>
        <v>1</v>
      </c>
      <c r="N28" s="95"/>
      <c r="W28" s="1">
        <v>24</v>
      </c>
      <c r="X28" s="242">
        <v>0.43</v>
      </c>
      <c r="Y28" s="1">
        <v>0.46899999999999997</v>
      </c>
      <c r="Z28" s="1">
        <v>1110</v>
      </c>
    </row>
    <row r="29" spans="1:26">
      <c r="A29" s="69" t="s">
        <v>221</v>
      </c>
      <c r="B29" s="140">
        <v>866534</v>
      </c>
      <c r="D29" s="69" t="s">
        <v>221</v>
      </c>
      <c r="E29" s="24">
        <f>IF(ISNA(VLOOKUP($D29,'Audit Values'!$A$2:$DL$374,2,FALSE)), 0, VLOOKUP($D29,'Audit Values'!$A$2:$DL$374,72,FALSE))</f>
        <v>0</v>
      </c>
      <c r="F29" s="24">
        <f>Transportation!G29</f>
        <v>0</v>
      </c>
      <c r="G29" s="24"/>
      <c r="H29" s="24"/>
      <c r="I29" s="128"/>
      <c r="J29" s="105"/>
      <c r="K29" s="64" t="str">
        <f>IF(AND(H29&lt;&gt;"",(OR(H29&lt;'2019 Legal Max'!BG29, ('Weighting Factors'!H29-'2019 Legal Max'!BG29)/'2019 Legal Max'!BG29&gt;0.025))), "Confirm!", "")</f>
        <v/>
      </c>
      <c r="L29" s="126">
        <f>IF(ISNA(VLOOKUP($CV29,'Audit Values'!$A$3:$BW$3,2,FALSE)),'Preliminary SO66'!B28,VLOOKUP($CV29,'Audit Values'!$A$3:$BW$3,32,FALSE))</f>
        <v>1</v>
      </c>
      <c r="N29" s="95"/>
      <c r="W29" s="1">
        <v>25</v>
      </c>
      <c r="X29" s="242">
        <v>0.47</v>
      </c>
      <c r="Y29" s="1">
        <v>0.51900000000000002</v>
      </c>
      <c r="Z29" s="1">
        <v>1090</v>
      </c>
    </row>
    <row r="30" spans="1:26">
      <c r="A30" s="67" t="s">
        <v>222</v>
      </c>
      <c r="B30" s="38">
        <v>247100</v>
      </c>
      <c r="D30" s="67" t="s">
        <v>222</v>
      </c>
      <c r="E30" s="24">
        <f>IF(ISNA(VLOOKUP($D30,'Audit Values'!$A$2:$DL$374,2,FALSE)), 0, VLOOKUP($D30,'Audit Values'!$A$2:$DL$374,72,FALSE))</f>
        <v>-2127</v>
      </c>
      <c r="F30" s="24">
        <f>Transportation!G30</f>
        <v>-3988</v>
      </c>
      <c r="G30" s="24"/>
      <c r="H30" s="24"/>
      <c r="I30" s="128"/>
      <c r="J30" s="105"/>
      <c r="K30" s="64" t="str">
        <f>IF(AND(H30&lt;&gt;"",(OR(H30&lt;'2019 Legal Max'!BG30, ('Weighting Factors'!H30-'2019 Legal Max'!BG30)/'2019 Legal Max'!BG30&gt;0.025))), "Confirm!", "")</f>
        <v/>
      </c>
      <c r="L30" s="126">
        <f>IF(ISNA(VLOOKUP($CV30,'Audit Values'!$A$3:$BW$3,2,FALSE)),'Preliminary SO66'!B29,VLOOKUP($CV30,'Audit Values'!$A$3:$BW$3,32,FALSE))</f>
        <v>1</v>
      </c>
      <c r="N30" s="95"/>
      <c r="W30" s="1">
        <v>26</v>
      </c>
      <c r="X30" s="242">
        <v>0.52</v>
      </c>
      <c r="Y30" s="1">
        <v>0.57899999999999996</v>
      </c>
      <c r="Z30" s="1">
        <v>1070</v>
      </c>
    </row>
    <row r="31" spans="1:26">
      <c r="A31" s="67" t="s">
        <v>223</v>
      </c>
      <c r="B31" s="38">
        <v>994230</v>
      </c>
      <c r="D31" s="67" t="s">
        <v>223</v>
      </c>
      <c r="E31" s="24">
        <f>IF(ISNA(VLOOKUP($D31,'Audit Values'!$A$2:$DL$374,2,FALSE)), 0, VLOOKUP($D31,'Audit Values'!$A$2:$DL$374,72,FALSE))</f>
        <v>0</v>
      </c>
      <c r="F31" s="24">
        <f>Transportation!G31</f>
        <v>0</v>
      </c>
      <c r="G31" s="24"/>
      <c r="H31" s="24"/>
      <c r="I31" s="128"/>
      <c r="J31" s="105"/>
      <c r="K31" s="64" t="str">
        <f>IF(AND(H31&lt;&gt;"",(OR(H31&lt;'2019 Legal Max'!BG31, ('Weighting Factors'!H31-'2019 Legal Max'!BG31)/'2019 Legal Max'!BG31&gt;0.025))), "Confirm!", "")</f>
        <v/>
      </c>
      <c r="L31" s="126">
        <f>IF(ISNA(VLOOKUP($CV31,'Audit Values'!$A$3:$BW$3,2,FALSE)),'Preliminary SO66'!B30,VLOOKUP($CV31,'Audit Values'!$A$3:$BW$3,32,FALSE))</f>
        <v>1</v>
      </c>
      <c r="N31" s="95"/>
      <c r="W31" s="1">
        <v>27</v>
      </c>
      <c r="X31" s="242">
        <v>0.57999999999999996</v>
      </c>
      <c r="Y31" s="1">
        <v>0.63900000000000001</v>
      </c>
      <c r="Z31" s="1">
        <v>1050</v>
      </c>
    </row>
    <row r="32" spans="1:26">
      <c r="A32" s="67" t="s">
        <v>224</v>
      </c>
      <c r="B32" s="38">
        <v>396551</v>
      </c>
      <c r="D32" s="67" t="s">
        <v>224</v>
      </c>
      <c r="E32" s="24">
        <f>IF(ISNA(VLOOKUP($D32,'Audit Values'!$A$2:$DL$374,2,FALSE)), 0, VLOOKUP($D32,'Audit Values'!$A$2:$DL$374,72,FALSE))</f>
        <v>-3191</v>
      </c>
      <c r="F32" s="24">
        <f>Transportation!G32</f>
        <v>0</v>
      </c>
      <c r="G32" s="24"/>
      <c r="H32" s="24"/>
      <c r="I32" s="128"/>
      <c r="J32" s="105"/>
      <c r="K32" s="64" t="str">
        <f>IF(AND(H32&lt;&gt;"",(OR(H32&lt;'2019 Legal Max'!BG32, ('Weighting Factors'!H32-'2019 Legal Max'!BG32)/'2019 Legal Max'!BG32&gt;0.025))), "Confirm!", "")</f>
        <v/>
      </c>
      <c r="L32" s="126">
        <f>IF(ISNA(VLOOKUP($CV32,'Audit Values'!$A$3:$BW$3,2,FALSE)),'Preliminary SO66'!B31,VLOOKUP($CV32,'Audit Values'!$A$3:$BW$3,32,FALSE))</f>
        <v>1</v>
      </c>
      <c r="N32" s="95"/>
      <c r="W32" s="1">
        <v>28</v>
      </c>
      <c r="X32" s="242">
        <v>0.64</v>
      </c>
      <c r="Y32" s="1">
        <v>0.70899999999999996</v>
      </c>
      <c r="Z32" s="1">
        <v>1030</v>
      </c>
    </row>
    <row r="33" spans="1:26">
      <c r="A33" s="67" t="s">
        <v>225</v>
      </c>
      <c r="B33" s="38">
        <v>205889</v>
      </c>
      <c r="D33" s="67" t="s">
        <v>225</v>
      </c>
      <c r="E33" s="24">
        <f>IF(ISNA(VLOOKUP($D33,'Audit Values'!$A$2:$DL$374,2,FALSE)), 0, VLOOKUP($D33,'Audit Values'!$A$2:$DL$374,72,FALSE))</f>
        <v>0</v>
      </c>
      <c r="F33" s="24">
        <f>Transportation!G33</f>
        <v>0</v>
      </c>
      <c r="G33" s="24"/>
      <c r="H33" s="24"/>
      <c r="I33" s="128"/>
      <c r="J33" s="105"/>
      <c r="K33" s="64" t="str">
        <f>IF(AND(H33&lt;&gt;"",(OR(H33&lt;'2019 Legal Max'!BG33, ('Weighting Factors'!H33-'2019 Legal Max'!BG33)/'2019 Legal Max'!BG33&gt;0.025))), "Confirm!", "")</f>
        <v/>
      </c>
      <c r="L33" s="126">
        <f>IF(ISNA(VLOOKUP($CV33,'Audit Values'!$A$3:$BW$3,2,FALSE)),'Preliminary SO66'!B32,VLOOKUP($CV33,'Audit Values'!$A$3:$BW$3,32,FALSE))</f>
        <v>1</v>
      </c>
      <c r="N33" s="95"/>
      <c r="W33" s="1">
        <v>29</v>
      </c>
      <c r="X33" s="242">
        <v>0.71</v>
      </c>
      <c r="Y33" s="1">
        <v>0.78900000000000003</v>
      </c>
      <c r="Z33" s="1">
        <v>1010</v>
      </c>
    </row>
    <row r="34" spans="1:26">
      <c r="A34" s="67" t="s">
        <v>226</v>
      </c>
      <c r="B34" s="38">
        <v>146340</v>
      </c>
      <c r="D34" s="67" t="s">
        <v>226</v>
      </c>
      <c r="E34" s="24">
        <f>IF(ISNA(VLOOKUP($D34,'Audit Values'!$A$2:$DL$374,2,FALSE)), 0, VLOOKUP($D34,'Audit Values'!$A$2:$DL$374,72,FALSE))</f>
        <v>0</v>
      </c>
      <c r="F34" s="24">
        <f>Transportation!G34</f>
        <v>-2672</v>
      </c>
      <c r="G34" s="24"/>
      <c r="H34" s="24"/>
      <c r="I34" s="128"/>
      <c r="J34" s="105"/>
      <c r="K34" s="64" t="str">
        <f>IF(AND(H34&lt;&gt;"",(OR(H34&lt;'2019 Legal Max'!BG34, ('Weighting Factors'!H34-'2019 Legal Max'!BG34)/'2019 Legal Max'!BG34&gt;0.025))), "Confirm!", "")</f>
        <v/>
      </c>
      <c r="L34" s="126">
        <f>IF(ISNA(VLOOKUP($CV34,'Audit Values'!$A$3:$BW$3,2,FALSE)),'Preliminary SO66'!B33,VLOOKUP($CV34,'Audit Values'!$A$3:$BW$3,32,FALSE))</f>
        <v>1</v>
      </c>
      <c r="N34" s="95"/>
      <c r="W34" s="1">
        <v>30</v>
      </c>
      <c r="X34" s="242">
        <v>0.79</v>
      </c>
      <c r="Y34" s="1">
        <v>0.879</v>
      </c>
      <c r="Z34" s="1">
        <v>990</v>
      </c>
    </row>
    <row r="35" spans="1:26">
      <c r="A35" s="67" t="s">
        <v>227</v>
      </c>
      <c r="B35" s="38">
        <v>390789</v>
      </c>
      <c r="D35" s="67" t="s">
        <v>227</v>
      </c>
      <c r="E35" s="24">
        <f>IF(ISNA(VLOOKUP($D35,'Audit Values'!$A$2:$DL$374,2,FALSE)), 0, VLOOKUP($D35,'Audit Values'!$A$2:$DL$374,72,FALSE))</f>
        <v>-355</v>
      </c>
      <c r="F35" s="24">
        <f>Transportation!G35</f>
        <v>0</v>
      </c>
      <c r="G35" s="24"/>
      <c r="H35" s="24"/>
      <c r="I35" s="128"/>
      <c r="J35" s="105"/>
      <c r="K35" s="64" t="str">
        <f>IF(AND(H35&lt;&gt;"",(OR(H35&lt;'2019 Legal Max'!BG35, ('Weighting Factors'!H35-'2019 Legal Max'!BG35)/'2019 Legal Max'!BG35&gt;0.025))), "Confirm!", "")</f>
        <v/>
      </c>
      <c r="L35" s="126">
        <f>IF(ISNA(VLOOKUP($CV35,'Audit Values'!$A$3:$BW$3,2,FALSE)),'Preliminary SO66'!B34,VLOOKUP($CV35,'Audit Values'!$A$3:$BW$3,32,FALSE))</f>
        <v>1</v>
      </c>
      <c r="N35" s="95"/>
      <c r="W35" s="1">
        <v>31</v>
      </c>
      <c r="X35" s="242">
        <v>0.88</v>
      </c>
      <c r="Y35" s="1">
        <v>0.98899999999999999</v>
      </c>
      <c r="Z35" s="1">
        <v>970</v>
      </c>
    </row>
    <row r="36" spans="1:26">
      <c r="A36" s="67" t="s">
        <v>228</v>
      </c>
      <c r="B36" s="38">
        <v>247823</v>
      </c>
      <c r="D36" s="67" t="s">
        <v>228</v>
      </c>
      <c r="E36" s="24">
        <f>IF(ISNA(VLOOKUP($D36,'Audit Values'!$A$2:$DL$374,2,FALSE)), 0, VLOOKUP($D36,'Audit Values'!$A$2:$DL$374,72,FALSE))</f>
        <v>0</v>
      </c>
      <c r="F36" s="24">
        <f>Transportation!G36</f>
        <v>0</v>
      </c>
      <c r="G36" s="24"/>
      <c r="H36" s="24"/>
      <c r="I36" s="128"/>
      <c r="J36" s="105"/>
      <c r="K36" s="64" t="str">
        <f>IF(AND(H36&lt;&gt;"",(OR(H36&lt;'2019 Legal Max'!BG36, ('Weighting Factors'!H36-'2019 Legal Max'!BG36)/'2019 Legal Max'!BG36&gt;0.025))), "Confirm!", "")</f>
        <v/>
      </c>
      <c r="L36" s="126">
        <f>IF(ISNA(VLOOKUP($CV36,'Audit Values'!$A$3:$BW$3,2,FALSE)),'Preliminary SO66'!B35,VLOOKUP($CV36,'Audit Values'!$A$3:$BW$3,32,FALSE))</f>
        <v>1</v>
      </c>
      <c r="N36" s="95"/>
      <c r="W36" s="1">
        <v>32</v>
      </c>
      <c r="X36" s="242">
        <v>0.99</v>
      </c>
      <c r="Y36" s="1">
        <v>1.109</v>
      </c>
      <c r="Z36" s="1">
        <v>950</v>
      </c>
    </row>
    <row r="37" spans="1:26">
      <c r="A37" s="67" t="s">
        <v>229</v>
      </c>
      <c r="B37" s="38">
        <v>198681</v>
      </c>
      <c r="D37" s="67" t="s">
        <v>229</v>
      </c>
      <c r="E37" s="24">
        <f>IF(ISNA(VLOOKUP($D37,'Audit Values'!$A$2:$DL$374,2,FALSE)), 0, VLOOKUP($D37,'Audit Values'!$A$2:$DL$374,72,FALSE))</f>
        <v>0</v>
      </c>
      <c r="F37" s="24">
        <f>Transportation!G37</f>
        <v>0</v>
      </c>
      <c r="G37" s="24"/>
      <c r="H37" s="24"/>
      <c r="I37" s="128"/>
      <c r="J37" s="105"/>
      <c r="K37" s="64" t="str">
        <f>IF(AND(H37&lt;&gt;"",(OR(H37&lt;'2019 Legal Max'!BG37, ('Weighting Factors'!H37-'2019 Legal Max'!BG37)/'2019 Legal Max'!BG37&gt;0.025))), "Confirm!", "")</f>
        <v/>
      </c>
      <c r="L37" s="126">
        <f>IF(ISNA(VLOOKUP($CV37,'Audit Values'!$A$3:$BW$3,2,FALSE)),'Preliminary SO66'!B36,VLOOKUP($CV37,'Audit Values'!$A$3:$BW$3,32,FALSE))</f>
        <v>1</v>
      </c>
      <c r="N37" s="95"/>
      <c r="W37" s="1">
        <v>33</v>
      </c>
      <c r="X37" s="242">
        <v>1.1100000000000001</v>
      </c>
      <c r="Y37" s="1">
        <v>1.2490000000000001</v>
      </c>
      <c r="Z37" s="1">
        <v>930</v>
      </c>
    </row>
    <row r="38" spans="1:26">
      <c r="A38" s="67" t="s">
        <v>230</v>
      </c>
      <c r="B38" s="38">
        <v>427159</v>
      </c>
      <c r="D38" s="67" t="s">
        <v>230</v>
      </c>
      <c r="E38" s="24">
        <f>IF(ISNA(VLOOKUP($D38,'Audit Values'!$A$2:$DL$374,2,FALSE)), 0, VLOOKUP($D38,'Audit Values'!$A$2:$DL$374,72,FALSE))</f>
        <v>0</v>
      </c>
      <c r="F38" s="24">
        <f>Transportation!G38</f>
        <v>0</v>
      </c>
      <c r="G38" s="24"/>
      <c r="H38" s="24"/>
      <c r="I38" s="128"/>
      <c r="J38" s="105"/>
      <c r="K38" s="64" t="str">
        <f>IF(AND(H38&lt;&gt;"",(OR(H38&lt;'2019 Legal Max'!BG38, ('Weighting Factors'!H38-'2019 Legal Max'!BG38)/'2019 Legal Max'!BG38&gt;0.025))), "Confirm!", "")</f>
        <v/>
      </c>
      <c r="L38" s="126">
        <f>IF(ISNA(VLOOKUP($CV38,'Audit Values'!$A$3:$BW$3,2,FALSE)),'Preliminary SO66'!B37,VLOOKUP($CV38,'Audit Values'!$A$3:$BW$3,32,FALSE))</f>
        <v>1</v>
      </c>
      <c r="N38" s="95"/>
      <c r="W38" s="1">
        <v>34</v>
      </c>
      <c r="X38" s="242">
        <v>1.25</v>
      </c>
      <c r="Y38" s="1">
        <v>1.399</v>
      </c>
      <c r="Z38" s="1">
        <v>910</v>
      </c>
    </row>
    <row r="39" spans="1:26">
      <c r="A39" s="67" t="s">
        <v>231</v>
      </c>
      <c r="B39" s="38">
        <v>347858</v>
      </c>
      <c r="D39" s="67" t="s">
        <v>231</v>
      </c>
      <c r="E39" s="24">
        <f>IF(ISNA(VLOOKUP($D39,'Audit Values'!$A$2:$DL$374,2,FALSE)), 0, VLOOKUP($D39,'Audit Values'!$A$2:$DL$374,72,FALSE))</f>
        <v>0</v>
      </c>
      <c r="F39" s="24">
        <f>Transportation!G39</f>
        <v>0</v>
      </c>
      <c r="G39" s="24"/>
      <c r="H39" s="24"/>
      <c r="I39" s="128"/>
      <c r="J39" s="105"/>
      <c r="K39" s="64" t="str">
        <f>IF(AND(H39&lt;&gt;"",(OR(H39&lt;'2019 Legal Max'!BG39, ('Weighting Factors'!H39-'2019 Legal Max'!BG39)/'2019 Legal Max'!BG39&gt;0.025))), "Confirm!", "")</f>
        <v/>
      </c>
      <c r="L39" s="126">
        <f>IF(ISNA(VLOOKUP($CV39,'Audit Values'!$A$3:$BW$3,2,FALSE)),'Preliminary SO66'!B38,VLOOKUP($CV39,'Audit Values'!$A$3:$BW$3,32,FALSE))</f>
        <v>1</v>
      </c>
      <c r="N39" s="95"/>
      <c r="W39" s="1">
        <v>35</v>
      </c>
      <c r="X39" s="242">
        <v>1.4</v>
      </c>
      <c r="Y39" s="1">
        <v>1.589</v>
      </c>
      <c r="Z39" s="1">
        <v>890</v>
      </c>
    </row>
    <row r="40" spans="1:26">
      <c r="A40" s="67" t="s">
        <v>232</v>
      </c>
      <c r="B40" s="38">
        <v>152787</v>
      </c>
      <c r="D40" s="67" t="s">
        <v>232</v>
      </c>
      <c r="E40" s="24">
        <f>IF(ISNA(VLOOKUP($D40,'Audit Values'!$A$2:$DL$374,2,FALSE)), 0, VLOOKUP($D40,'Audit Values'!$A$2:$DL$374,72,FALSE))</f>
        <v>0</v>
      </c>
      <c r="F40" s="24">
        <f>Transportation!G40</f>
        <v>-21324</v>
      </c>
      <c r="G40" s="24"/>
      <c r="H40" s="24">
        <v>1485656</v>
      </c>
      <c r="I40" s="128"/>
      <c r="J40" s="105"/>
      <c r="K40" s="64" t="str">
        <f>IF(AND(H40&lt;&gt;"",(OR(H40&lt;'2019 Legal Max'!BG40, ('Weighting Factors'!H40-'2019 Legal Max'!BG40)/'2019 Legal Max'!BG40&gt;0.025))), "Confirm!", "")</f>
        <v/>
      </c>
      <c r="L40" s="126">
        <f>IF(ISNA(VLOOKUP($CV40,'Audit Values'!$A$3:$BW$3,2,FALSE)),'Preliminary SO66'!B39,VLOOKUP($CV40,'Audit Values'!$A$3:$BW$3,32,FALSE))</f>
        <v>1</v>
      </c>
      <c r="N40" s="95"/>
      <c r="W40" s="1">
        <v>36</v>
      </c>
      <c r="X40" s="242">
        <v>1.59</v>
      </c>
      <c r="Y40" s="1">
        <v>1.7989999999999999</v>
      </c>
      <c r="Z40" s="1">
        <v>870</v>
      </c>
    </row>
    <row r="41" spans="1:26">
      <c r="A41" s="67" t="s">
        <v>233</v>
      </c>
      <c r="B41" s="38">
        <v>393594</v>
      </c>
      <c r="D41" s="67" t="s">
        <v>233</v>
      </c>
      <c r="E41" s="24">
        <f>IF(ISNA(VLOOKUP($D41,'Audit Values'!$A$2:$DL$374,2,FALSE)), 0, VLOOKUP($D41,'Audit Values'!$A$2:$DL$374,72,FALSE))</f>
        <v>0</v>
      </c>
      <c r="F41" s="24">
        <f>Transportation!G41</f>
        <v>-24056</v>
      </c>
      <c r="G41" s="24"/>
      <c r="H41" s="24">
        <v>3353242</v>
      </c>
      <c r="I41" s="128">
        <v>22</v>
      </c>
      <c r="J41" s="105"/>
      <c r="K41" s="64" t="str">
        <f>IF(AND(H41&lt;&gt;"",(OR(H41&lt;'2019 Legal Max'!BG41, ('Weighting Factors'!H41-'2019 Legal Max'!BG41)/'2019 Legal Max'!BG41&gt;0.025))), "Confirm!", "")</f>
        <v/>
      </c>
      <c r="L41" s="126">
        <f>IF(ISNA(VLOOKUP($CV41,'Audit Values'!$A$3:$BW$3,2,FALSE)),'Preliminary SO66'!B40,VLOOKUP($CV41,'Audit Values'!$A$3:$BW$3,32,FALSE))</f>
        <v>1</v>
      </c>
      <c r="N41" s="95"/>
      <c r="W41" s="1">
        <v>37</v>
      </c>
      <c r="X41" s="242">
        <v>1.8</v>
      </c>
      <c r="Y41" s="1">
        <v>2.0390000000000001</v>
      </c>
      <c r="Z41" s="1">
        <v>850</v>
      </c>
    </row>
    <row r="42" spans="1:26">
      <c r="A42" s="67" t="s">
        <v>234</v>
      </c>
      <c r="B42" s="140">
        <v>320652</v>
      </c>
      <c r="D42" s="67" t="s">
        <v>234</v>
      </c>
      <c r="E42" s="24">
        <f>IF(ISNA(VLOOKUP($D42,'Audit Values'!$A$2:$DL$374,2,FALSE)), 0, VLOOKUP($D42,'Audit Values'!$A$2:$DL$374,72,FALSE))</f>
        <v>0</v>
      </c>
      <c r="F42" s="24">
        <f>Transportation!G42</f>
        <v>0</v>
      </c>
      <c r="G42" s="24"/>
      <c r="H42" s="24"/>
      <c r="I42" s="128"/>
      <c r="J42" s="105"/>
      <c r="K42" s="128" t="str">
        <f>IF(AND(H42&lt;&gt;"",(OR(H42&lt;'2019 Legal Max'!BG42, ('Weighting Factors'!H42-'2019 Legal Max'!BG42)/'2019 Legal Max'!BG42&gt;0.025))), "Confirm!", "")</f>
        <v/>
      </c>
      <c r="L42" s="126">
        <f>IF(ISNA(VLOOKUP($CV42,'Audit Values'!$A$3:$BW$3,2,FALSE)),'Preliminary SO66'!B41,VLOOKUP($CV42,'Audit Values'!$A$3:$BW$3,32,FALSE))</f>
        <v>1</v>
      </c>
      <c r="N42" s="95"/>
      <c r="W42" s="1">
        <v>38</v>
      </c>
      <c r="X42" s="242">
        <v>2.04</v>
      </c>
      <c r="Y42" s="1">
        <v>2.319</v>
      </c>
      <c r="Z42" s="1">
        <v>830</v>
      </c>
    </row>
    <row r="43" spans="1:26">
      <c r="A43" s="67" t="s">
        <v>235</v>
      </c>
      <c r="B43" s="38">
        <v>19935033</v>
      </c>
      <c r="D43" s="67" t="s">
        <v>235</v>
      </c>
      <c r="E43" s="24">
        <f>IF(ISNA(VLOOKUP($D43,'Audit Values'!$A$2:$DL$374,2,FALSE)), 0, VLOOKUP($D43,'Audit Values'!$A$2:$DL$374,72,FALSE))</f>
        <v>0</v>
      </c>
      <c r="F43" s="24">
        <f>Transportation!G43</f>
        <v>-216311</v>
      </c>
      <c r="G43" s="24"/>
      <c r="H43" s="24"/>
      <c r="I43" s="128"/>
      <c r="J43" s="105"/>
      <c r="K43" s="128" t="str">
        <f>IF(AND(H43&lt;&gt;"",(OR(H43&lt;'2019 Legal Max'!BG43, ('Weighting Factors'!H43-'2019 Legal Max'!BG43)/'2019 Legal Max'!BG43&gt;0.025))), "Confirm!", "")</f>
        <v/>
      </c>
      <c r="L43" s="126">
        <f>IF(ISNA(VLOOKUP($CV43,'Audit Values'!$A$3:$BW$3,2,FALSE)),'Preliminary SO66'!B42,VLOOKUP($CV43,'Audit Values'!$A$3:$BW$3,32,FALSE))</f>
        <v>1</v>
      </c>
      <c r="N43" s="95"/>
      <c r="W43" s="1">
        <v>39</v>
      </c>
      <c r="X43" s="242">
        <v>2.3199999999999998</v>
      </c>
      <c r="Y43" s="1">
        <v>2.6589999999999998</v>
      </c>
      <c r="Z43" s="1">
        <v>810</v>
      </c>
    </row>
    <row r="44" spans="1:26">
      <c r="A44" s="67" t="s">
        <v>236</v>
      </c>
      <c r="B44" s="38">
        <v>1621297</v>
      </c>
      <c r="D44" s="67" t="s">
        <v>236</v>
      </c>
      <c r="E44" s="24">
        <f>IF(ISNA(VLOOKUP($D44,'Audit Values'!$A$2:$DL$374,2,FALSE)), 0, VLOOKUP($D44,'Audit Values'!$A$2:$DL$374,72,FALSE))</f>
        <v>-5318</v>
      </c>
      <c r="F44" s="24">
        <f>Transportation!G44</f>
        <v>0</v>
      </c>
      <c r="G44" s="24"/>
      <c r="H44" s="24"/>
      <c r="I44" s="128"/>
      <c r="J44" s="105"/>
      <c r="K44" s="128" t="str">
        <f>IF(AND(H44&lt;&gt;"",(OR(H44&lt;'2019 Legal Max'!BG44, ('Weighting Factors'!H44-'2019 Legal Max'!BG44)/'2019 Legal Max'!BG44&gt;0.025))), "Confirm!", "")</f>
        <v/>
      </c>
      <c r="L44" s="126">
        <f>IF(ISNA(VLOOKUP($CV44,'Audit Values'!$A$3:$BW$3,2,FALSE)),'Preliminary SO66'!B43,VLOOKUP($CV44,'Audit Values'!$A$3:$BW$3,32,FALSE))</f>
        <v>1</v>
      </c>
      <c r="N44" s="95"/>
      <c r="W44" s="1">
        <v>40</v>
      </c>
      <c r="X44" s="242">
        <v>2.66</v>
      </c>
      <c r="Y44" s="1">
        <v>3.0489999999999999</v>
      </c>
      <c r="Z44" s="1">
        <v>790</v>
      </c>
    </row>
    <row r="45" spans="1:26">
      <c r="A45" s="67" t="s">
        <v>237</v>
      </c>
      <c r="B45" s="38">
        <v>4523118</v>
      </c>
      <c r="D45" s="67" t="s">
        <v>237</v>
      </c>
      <c r="E45" s="24">
        <f>IF(ISNA(VLOOKUP($D45,'Audit Values'!$A$2:$DL$374,2,FALSE)), 0, VLOOKUP($D45,'Audit Values'!$A$2:$DL$374,72,FALSE))</f>
        <v>0</v>
      </c>
      <c r="F45" s="24">
        <f>Transportation!G45</f>
        <v>0</v>
      </c>
      <c r="G45" s="24"/>
      <c r="H45" s="24"/>
      <c r="I45" s="128"/>
      <c r="J45" s="105"/>
      <c r="K45" s="128" t="str">
        <f>IF(AND(H45&lt;&gt;"",(OR(H45&lt;'2019 Legal Max'!BG45, ('Weighting Factors'!H45-'2019 Legal Max'!BG45)/'2019 Legal Max'!BG45&gt;0.025))), "Confirm!", "")</f>
        <v/>
      </c>
      <c r="L45" s="126">
        <f>IF(ISNA(VLOOKUP($CV45,'Audit Values'!$A$3:$BW$3,2,FALSE)),'Preliminary SO66'!B44,VLOOKUP($CV45,'Audit Values'!$A$3:$BW$3,32,FALSE))</f>
        <v>1</v>
      </c>
      <c r="N45" s="95"/>
      <c r="W45" s="1">
        <v>41</v>
      </c>
      <c r="X45" s="242">
        <v>3.05</v>
      </c>
      <c r="Y45" s="1">
        <v>3.5089999999999999</v>
      </c>
      <c r="Z45" s="1">
        <v>770</v>
      </c>
    </row>
    <row r="46" spans="1:26">
      <c r="A46" s="67" t="s">
        <v>238</v>
      </c>
      <c r="B46" s="38">
        <v>4437654</v>
      </c>
      <c r="D46" s="67" t="s">
        <v>238</v>
      </c>
      <c r="E46" s="24">
        <f>IF(ISNA(VLOOKUP($D46,'Audit Values'!$A$2:$DL$374,2,FALSE)), 0, VLOOKUP($D46,'Audit Values'!$A$2:$DL$374,72,FALSE))</f>
        <v>0</v>
      </c>
      <c r="F46" s="24">
        <f>Transportation!G46</f>
        <v>0</v>
      </c>
      <c r="G46" s="24"/>
      <c r="H46" s="24"/>
      <c r="I46" s="128"/>
      <c r="J46" s="105"/>
      <c r="K46" s="128" t="str">
        <f>IF(AND(H46&lt;&gt;"",(OR(H46&lt;'2019 Legal Max'!BG46, ('Weighting Factors'!H46-'2019 Legal Max'!BG46)/'2019 Legal Max'!BG46&gt;0.025))), "Confirm!", "")</f>
        <v/>
      </c>
      <c r="L46" s="126">
        <f>IF(ISNA(VLOOKUP($CV46,'Audit Values'!$A$3:$BW$3,2,FALSE)),'Preliminary SO66'!B45,VLOOKUP($CV46,'Audit Values'!$A$3:$BW$3,32,FALSE))</f>
        <v>1</v>
      </c>
      <c r="N46" s="95"/>
      <c r="W46" s="1">
        <v>42</v>
      </c>
      <c r="X46" s="242">
        <v>3.51</v>
      </c>
      <c r="Y46" s="1">
        <v>4.0490000000000004</v>
      </c>
      <c r="Z46" s="1">
        <v>750</v>
      </c>
    </row>
    <row r="47" spans="1:26">
      <c r="A47" s="67" t="s">
        <v>239</v>
      </c>
      <c r="B47" s="38">
        <v>27522172</v>
      </c>
      <c r="D47" s="67" t="s">
        <v>239</v>
      </c>
      <c r="E47" s="24">
        <f>IF(ISNA(VLOOKUP($D47,'Audit Values'!$A$2:$DL$374,2,FALSE)), 0, VLOOKUP($D47,'Audit Values'!$A$2:$DL$374,72,FALSE))</f>
        <v>0</v>
      </c>
      <c r="F47" s="24">
        <f>Transportation!G47</f>
        <v>0</v>
      </c>
      <c r="G47" s="24"/>
      <c r="H47" s="24"/>
      <c r="I47" s="128"/>
      <c r="J47" s="105"/>
      <c r="K47" s="128" t="str">
        <f>IF(AND(H47&lt;&gt;"",(OR(H47&lt;'2019 Legal Max'!BG47, ('Weighting Factors'!H47-'2019 Legal Max'!BG47)/'2019 Legal Max'!BG47&gt;0.025))), "Confirm!", "")</f>
        <v/>
      </c>
      <c r="L47" s="126">
        <f>IF(ISNA(VLOOKUP($CV47,'Audit Values'!$A$3:$BW$3,2,FALSE)),'Preliminary SO66'!B46,VLOOKUP($CV47,'Audit Values'!$A$3:$BW$3,32,FALSE))</f>
        <v>1</v>
      </c>
      <c r="N47" s="95"/>
      <c r="W47" s="1">
        <v>43</v>
      </c>
      <c r="X47" s="242">
        <v>4.05</v>
      </c>
      <c r="Y47" s="1">
        <v>4.6989999999999998</v>
      </c>
      <c r="Z47" s="1">
        <v>730</v>
      </c>
    </row>
    <row r="48" spans="1:26">
      <c r="A48" s="67" t="s">
        <v>240</v>
      </c>
      <c r="B48" s="38">
        <v>1149929</v>
      </c>
      <c r="D48" s="67" t="s">
        <v>240</v>
      </c>
      <c r="E48" s="24">
        <f>IF(ISNA(VLOOKUP($D48,'Audit Values'!$A$2:$DL$374,2,FALSE)), 0, VLOOKUP($D48,'Audit Values'!$A$2:$DL$374,72,FALSE))</f>
        <v>0</v>
      </c>
      <c r="F48" s="24">
        <f>Transportation!G48</f>
        <v>0</v>
      </c>
      <c r="G48" s="24"/>
      <c r="H48" s="24"/>
      <c r="I48" s="128"/>
      <c r="J48" s="105"/>
      <c r="K48" s="128" t="str">
        <f>IF(AND(H48&lt;&gt;"",(OR(H48&lt;'2019 Legal Max'!BG48, ('Weighting Factors'!H48-'2019 Legal Max'!BG48)/'2019 Legal Max'!BG48&gt;0.025))), "Confirm!", "")</f>
        <v/>
      </c>
      <c r="L48" s="126">
        <f>IF(ISNA(VLOOKUP($CV48,'Audit Values'!$A$3:$BW$3,2,FALSE)),'Preliminary SO66'!B47,VLOOKUP($CV48,'Audit Values'!$A$3:$BW$3,32,FALSE))</f>
        <v>1</v>
      </c>
      <c r="N48" s="95"/>
      <c r="W48" s="1">
        <v>44</v>
      </c>
      <c r="X48" s="242">
        <v>4.7</v>
      </c>
      <c r="Y48" s="1">
        <v>5.4690000000000003</v>
      </c>
      <c r="Z48" s="1">
        <v>710</v>
      </c>
    </row>
    <row r="49" spans="1:26">
      <c r="A49" s="67" t="s">
        <v>241</v>
      </c>
      <c r="B49" s="38">
        <v>371669</v>
      </c>
      <c r="D49" s="67" t="s">
        <v>241</v>
      </c>
      <c r="E49" s="24">
        <f>IF(ISNA(VLOOKUP($D49,'Audit Values'!$A$2:$DL$374,2,FALSE)), 0, VLOOKUP($D49,'Audit Values'!$A$2:$DL$374,72,FALSE))</f>
        <v>0</v>
      </c>
      <c r="F49" s="24">
        <f>Transportation!G49</f>
        <v>-62670</v>
      </c>
      <c r="G49" s="24"/>
      <c r="H49" s="24"/>
      <c r="I49" s="128"/>
      <c r="J49" s="105"/>
      <c r="K49" s="128" t="str">
        <f>IF(AND(H49&lt;&gt;"",(OR(H49&lt;'2019 Legal Max'!BG49, ('Weighting Factors'!H49-'2019 Legal Max'!BG49)/'2019 Legal Max'!BG49&gt;0.025))), "Confirm!", "")</f>
        <v/>
      </c>
      <c r="L49" s="126">
        <f>IF(ISNA(VLOOKUP($CV49,'Audit Values'!$A$3:$BW$3,2,FALSE)),'Preliminary SO66'!B48,VLOOKUP($CV49,'Audit Values'!$A$3:$BW$3,32,FALSE))</f>
        <v>1</v>
      </c>
      <c r="N49" s="95"/>
      <c r="W49" s="1">
        <v>45</v>
      </c>
      <c r="X49" s="242">
        <v>5.47</v>
      </c>
      <c r="Y49" s="1">
        <v>6.399</v>
      </c>
      <c r="Z49" s="1">
        <v>690</v>
      </c>
    </row>
    <row r="50" spans="1:26">
      <c r="A50" s="67" t="s">
        <v>242</v>
      </c>
      <c r="B50" s="38">
        <v>586035</v>
      </c>
      <c r="D50" s="67" t="s">
        <v>242</v>
      </c>
      <c r="E50" s="24">
        <f>IF(ISNA(VLOOKUP($D50,'Audit Values'!$A$2:$DL$374,2,FALSE)), 0, VLOOKUP($D50,'Audit Values'!$A$2:$DL$374,72,FALSE))</f>
        <v>0</v>
      </c>
      <c r="F50" s="24">
        <f>Transportation!G50</f>
        <v>-19845</v>
      </c>
      <c r="G50" s="24"/>
      <c r="H50" s="24"/>
      <c r="I50" s="128"/>
      <c r="J50" s="105"/>
      <c r="K50" s="128" t="str">
        <f>IF(AND(H50&lt;&gt;"",(OR(H50&lt;'2019 Legal Max'!BG50, ('Weighting Factors'!H50-'2019 Legal Max'!BG50)/'2019 Legal Max'!BG50&gt;0.025))), "Confirm!", "")</f>
        <v/>
      </c>
      <c r="L50" s="126">
        <f>IF(ISNA(VLOOKUP($CV50,'Audit Values'!$A$3:$BW$3,2,FALSE)),'Preliminary SO66'!B49,VLOOKUP($CV50,'Audit Values'!$A$3:$BW$3,32,FALSE))</f>
        <v>1</v>
      </c>
      <c r="N50" s="95"/>
      <c r="W50" s="1">
        <v>46</v>
      </c>
      <c r="X50" s="242">
        <v>6.4</v>
      </c>
      <c r="Y50" s="1">
        <v>7.5190000000000001</v>
      </c>
      <c r="Z50" s="1">
        <v>670</v>
      </c>
    </row>
    <row r="51" spans="1:26">
      <c r="A51" s="67" t="s">
        <v>243</v>
      </c>
      <c r="B51" s="38">
        <v>614442</v>
      </c>
      <c r="D51" s="67" t="s">
        <v>243</v>
      </c>
      <c r="E51" s="24">
        <f>IF(ISNA(VLOOKUP($D51,'Audit Values'!$A$2:$DL$374,2,FALSE)), 0, VLOOKUP($D51,'Audit Values'!$A$2:$DL$374,72,FALSE))</f>
        <v>0</v>
      </c>
      <c r="F51" s="24">
        <f>Transportation!G51</f>
        <v>0</v>
      </c>
      <c r="G51" s="24"/>
      <c r="H51" s="24"/>
      <c r="I51" s="128"/>
      <c r="J51" s="105"/>
      <c r="K51" s="128" t="str">
        <f>IF(AND(H51&lt;&gt;"",(OR(H51&lt;'2019 Legal Max'!BG51, ('Weighting Factors'!H51-'2019 Legal Max'!BG51)/'2019 Legal Max'!BG51&gt;0.025))), "Confirm!", "")</f>
        <v/>
      </c>
      <c r="L51" s="126">
        <f>IF(ISNA(VLOOKUP($CV51,'Audit Values'!$A$3:$BW$3,2,FALSE)),'Preliminary SO66'!B50,VLOOKUP($CV51,'Audit Values'!$A$3:$BW$3,32,FALSE))</f>
        <v>1</v>
      </c>
      <c r="N51" s="95"/>
      <c r="W51" s="1">
        <v>47</v>
      </c>
      <c r="X51" s="242">
        <v>7.52</v>
      </c>
      <c r="Y51" s="1">
        <v>8.8789999999999996</v>
      </c>
      <c r="Z51" s="1">
        <v>650</v>
      </c>
    </row>
    <row r="52" spans="1:26">
      <c r="A52" s="67" t="s">
        <v>244</v>
      </c>
      <c r="B52" s="38">
        <v>594084</v>
      </c>
      <c r="D52" s="67" t="s">
        <v>244</v>
      </c>
      <c r="E52" s="24">
        <f>IF(ISNA(VLOOKUP($D52,'Audit Values'!$A$2:$DL$374,2,FALSE)), 0, VLOOKUP($D52,'Audit Values'!$A$2:$DL$374,72,FALSE))</f>
        <v>0</v>
      </c>
      <c r="F52" s="24">
        <f>Transportation!G52</f>
        <v>0</v>
      </c>
      <c r="G52" s="24"/>
      <c r="H52" s="24">
        <v>4847644</v>
      </c>
      <c r="I52" s="128">
        <v>22</v>
      </c>
      <c r="J52" s="105"/>
      <c r="K52" s="128" t="str">
        <f>IF(AND(H52&lt;&gt;"",(OR(H52&lt;'2019 Legal Max'!BG52, ('Weighting Factors'!H52-'2019 Legal Max'!BG52)/'2019 Legal Max'!BG52&gt;0.025))), "Confirm!", "")</f>
        <v/>
      </c>
      <c r="L52" s="126">
        <f>IF(ISNA(VLOOKUP($CV52,'Audit Values'!$A$3:$BW$3,2,FALSE)),'Preliminary SO66'!B51,VLOOKUP($CV52,'Audit Values'!$A$3:$BW$3,32,FALSE))</f>
        <v>1</v>
      </c>
      <c r="N52" s="95"/>
      <c r="W52" s="1">
        <v>48</v>
      </c>
      <c r="X52" s="242">
        <v>8.8800000000000008</v>
      </c>
      <c r="Y52" s="1">
        <v>10.548999999999999</v>
      </c>
      <c r="Z52" s="1">
        <v>630</v>
      </c>
    </row>
    <row r="53" spans="1:26">
      <c r="A53" s="67" t="s">
        <v>245</v>
      </c>
      <c r="B53" s="38">
        <v>156774</v>
      </c>
      <c r="D53" s="67" t="s">
        <v>245</v>
      </c>
      <c r="E53" s="24">
        <f>IF(ISNA(VLOOKUP($D53,'Audit Values'!$A$2:$DL$374,2,FALSE)), 0, VLOOKUP($D53,'Audit Values'!$A$2:$DL$374,72,FALSE))</f>
        <v>0</v>
      </c>
      <c r="F53" s="24">
        <f>Transportation!G53</f>
        <v>-15913</v>
      </c>
      <c r="G53" s="24"/>
      <c r="H53" s="24"/>
      <c r="I53" s="128"/>
      <c r="J53" s="105"/>
      <c r="K53" s="128" t="str">
        <f>IF(AND(H53&lt;&gt;"",(OR(H53&lt;'2019 Legal Max'!BG53, ('Weighting Factors'!H53-'2019 Legal Max'!BG53)/'2019 Legal Max'!BG53&gt;0.025))), "Confirm!", "")</f>
        <v/>
      </c>
      <c r="L53" s="126">
        <f>IF(ISNA(VLOOKUP($CV53,'Audit Values'!$A$3:$BW$3,2,FALSE)),'Preliminary SO66'!B52,VLOOKUP($CV53,'Audit Values'!$A$3:$BW$3,32,FALSE))</f>
        <v>1</v>
      </c>
      <c r="N53" s="95"/>
      <c r="W53" s="1">
        <v>49</v>
      </c>
      <c r="X53" s="242">
        <v>10.55</v>
      </c>
      <c r="Y53" s="1">
        <v>12.589</v>
      </c>
      <c r="Z53" s="1">
        <v>610</v>
      </c>
    </row>
    <row r="54" spans="1:26">
      <c r="A54" s="67" t="s">
        <v>246</v>
      </c>
      <c r="B54" s="38">
        <v>98257</v>
      </c>
      <c r="D54" s="67" t="s">
        <v>246</v>
      </c>
      <c r="E54" s="24">
        <f>IF(ISNA(VLOOKUP($D54,'Audit Values'!$A$2:$DL$374,2,FALSE)), 0, VLOOKUP($D54,'Audit Values'!$A$2:$DL$374,72,FALSE))</f>
        <v>0</v>
      </c>
      <c r="F54" s="24">
        <f>Transportation!G54</f>
        <v>-17394</v>
      </c>
      <c r="G54" s="24"/>
      <c r="H54" s="24"/>
      <c r="I54" s="128"/>
      <c r="J54" s="105"/>
      <c r="K54" s="128" t="str">
        <f>IF(AND(H54&lt;&gt;"",(OR(H54&lt;'2019 Legal Max'!BG54, ('Weighting Factors'!H54-'2019 Legal Max'!BG54)/'2019 Legal Max'!BG54&gt;0.025))), "Confirm!", "")</f>
        <v/>
      </c>
      <c r="L54" s="126">
        <f>IF(ISNA(VLOOKUP($CV54,'Audit Values'!$A$3:$BW$3,2,FALSE)),'Preliminary SO66'!B53,VLOOKUP($CV54,'Audit Values'!$A$3:$BW$3,32,FALSE))</f>
        <v>1</v>
      </c>
      <c r="N54" s="95"/>
      <c r="W54" s="1">
        <v>50</v>
      </c>
      <c r="X54" s="242">
        <v>12.59</v>
      </c>
      <c r="Y54" s="1">
        <v>15.129</v>
      </c>
      <c r="Z54" s="1">
        <v>590</v>
      </c>
    </row>
    <row r="55" spans="1:26">
      <c r="A55" s="67" t="s">
        <v>247</v>
      </c>
      <c r="B55" s="140">
        <v>440826</v>
      </c>
      <c r="D55" s="67" t="s">
        <v>247</v>
      </c>
      <c r="E55" s="24">
        <f>IF(ISNA(VLOOKUP($D55,'Audit Values'!$A$2:$DL$374,2,FALSE)), 0, VLOOKUP($D55,'Audit Values'!$A$2:$DL$374,72,FALSE))</f>
        <v>0</v>
      </c>
      <c r="F55" s="24">
        <f>Transportation!G55</f>
        <v>0</v>
      </c>
      <c r="G55" s="24"/>
      <c r="H55" s="24"/>
      <c r="I55" s="128"/>
      <c r="J55" s="105"/>
      <c r="K55" s="128" t="str">
        <f>IF(AND(H55&lt;&gt;"",(OR(H55&lt;'2019 Legal Max'!BG55, ('Weighting Factors'!H55-'2019 Legal Max'!BG55)/'2019 Legal Max'!BG55&gt;0.025))), "Confirm!", "")</f>
        <v/>
      </c>
      <c r="L55" s="126">
        <f>IF(ISNA(VLOOKUP($CV55,'Audit Values'!$A$3:$BW$3,2,FALSE)),'Preliminary SO66'!B54,VLOOKUP($CV55,'Audit Values'!$A$3:$BW$3,32,FALSE))</f>
        <v>1</v>
      </c>
      <c r="N55" s="95"/>
      <c r="W55" s="1">
        <v>51</v>
      </c>
      <c r="X55" s="242">
        <v>15.13</v>
      </c>
      <c r="Y55" s="1">
        <v>18.289000000000001</v>
      </c>
      <c r="Z55" s="1">
        <v>570</v>
      </c>
    </row>
    <row r="56" spans="1:26">
      <c r="A56" s="67" t="s">
        <v>248</v>
      </c>
      <c r="B56" s="38">
        <v>1300350</v>
      </c>
      <c r="D56" s="67" t="s">
        <v>248</v>
      </c>
      <c r="E56" s="24">
        <f>IF(ISNA(VLOOKUP($D56,'Audit Values'!$A$2:$DL$374,2,FALSE)), 0, VLOOKUP($D56,'Audit Values'!$A$2:$DL$374,72,FALSE))</f>
        <v>0</v>
      </c>
      <c r="F56" s="24">
        <f>Transportation!G56</f>
        <v>0</v>
      </c>
      <c r="G56" s="24"/>
      <c r="H56" s="24"/>
      <c r="I56" s="128"/>
      <c r="J56" s="105"/>
      <c r="K56" s="128" t="str">
        <f>IF(AND(H56&lt;&gt;"",(OR(H56&lt;'2019 Legal Max'!BG56, ('Weighting Factors'!H56-'2019 Legal Max'!BG56)/'2019 Legal Max'!BG56&gt;0.025))), "Confirm!", "")</f>
        <v/>
      </c>
      <c r="L56" s="126">
        <f>IF(ISNA(VLOOKUP($CV56,'Audit Values'!$A$3:$BW$3,2,FALSE)),'Preliminary SO66'!B55,VLOOKUP($CV56,'Audit Values'!$A$3:$BW$3,32,FALSE))</f>
        <v>1</v>
      </c>
      <c r="N56" s="95"/>
      <c r="W56" s="1">
        <v>52</v>
      </c>
      <c r="X56" s="242">
        <v>18.29</v>
      </c>
      <c r="Z56" s="1">
        <v>550</v>
      </c>
    </row>
    <row r="57" spans="1:26">
      <c r="A57" s="67" t="s">
        <v>249</v>
      </c>
      <c r="B57" s="38">
        <v>300551</v>
      </c>
      <c r="D57" s="67" t="s">
        <v>249</v>
      </c>
      <c r="E57" s="24">
        <f>IF(ISNA(VLOOKUP($D57,'Audit Values'!$A$2:$DL$374,2,FALSE)), 0, VLOOKUP($D57,'Audit Values'!$A$2:$DL$374,72,FALSE))</f>
        <v>0</v>
      </c>
      <c r="F57" s="24">
        <f>Transportation!G57</f>
        <v>0</v>
      </c>
      <c r="G57" s="24"/>
      <c r="H57" s="24"/>
      <c r="I57" s="128"/>
      <c r="J57" s="105"/>
      <c r="K57" s="128" t="str">
        <f>IF(AND(H57&lt;&gt;"",(OR(H57&lt;'2019 Legal Max'!BG57, ('Weighting Factors'!H57-'2019 Legal Max'!BG57)/'2019 Legal Max'!BG57&gt;0.025))), "Confirm!", "")</f>
        <v/>
      </c>
      <c r="L57" s="126">
        <f>IF(ISNA(VLOOKUP($CV57,'Audit Values'!$A$3:$BW$3,2,FALSE)),'Preliminary SO66'!B56,VLOOKUP($CV57,'Audit Values'!$A$3:$BW$3,32,FALSE))</f>
        <v>1</v>
      </c>
      <c r="N57" s="95"/>
    </row>
    <row r="58" spans="1:26">
      <c r="A58" s="67" t="s">
        <v>250</v>
      </c>
      <c r="B58" s="38">
        <v>520996</v>
      </c>
      <c r="D58" s="67" t="s">
        <v>250</v>
      </c>
      <c r="E58" s="24">
        <f>IF(ISNA(VLOOKUP($D58,'Audit Values'!$A$2:$DL$374,2,FALSE)), 0, VLOOKUP($D58,'Audit Values'!$A$2:$DL$374,72,FALSE))</f>
        <v>0</v>
      </c>
      <c r="F58" s="24">
        <f>Transportation!G58</f>
        <v>0</v>
      </c>
      <c r="G58" s="24"/>
      <c r="H58" s="24"/>
      <c r="I58" s="128"/>
      <c r="J58" s="105"/>
      <c r="K58" s="128" t="str">
        <f>IF(AND(H58&lt;&gt;"",(OR(H58&lt;'2019 Legal Max'!BG58, ('Weighting Factors'!H58-'2019 Legal Max'!BG58)/'2019 Legal Max'!BG58&gt;0.025))), "Confirm!", "")</f>
        <v/>
      </c>
      <c r="L58" s="126">
        <f>IF(ISNA(VLOOKUP($CV58,'Audit Values'!$A$3:$BW$3,2,FALSE)),'Preliminary SO66'!B57,VLOOKUP($CV58,'Audit Values'!$A$3:$BW$3,32,FALSE))</f>
        <v>1</v>
      </c>
      <c r="N58" s="95"/>
    </row>
    <row r="59" spans="1:26">
      <c r="A59" s="67" t="s">
        <v>251</v>
      </c>
      <c r="B59" s="38">
        <v>656640</v>
      </c>
      <c r="D59" s="67" t="s">
        <v>251</v>
      </c>
      <c r="E59" s="24">
        <f>IF(ISNA(VLOOKUP($D59,'Audit Values'!$A$2:$DL$374,2,FALSE)), 0, VLOOKUP($D59,'Audit Values'!$A$2:$DL$374,72,FALSE))</f>
        <v>0</v>
      </c>
      <c r="F59" s="24">
        <f>Transportation!G59</f>
        <v>0</v>
      </c>
      <c r="G59" s="24"/>
      <c r="H59" s="24"/>
      <c r="I59" s="128"/>
      <c r="J59" s="105"/>
      <c r="K59" s="128" t="str">
        <f>IF(AND(H59&lt;&gt;"",(OR(H59&lt;'2019 Legal Max'!BG59, ('Weighting Factors'!H59-'2019 Legal Max'!BG59)/'2019 Legal Max'!BG59&gt;0.025))), "Confirm!", "")</f>
        <v/>
      </c>
      <c r="L59" s="126">
        <f>IF(ISNA(VLOOKUP($CV59,'Audit Values'!$A$3:$BW$3,2,FALSE)),'Preliminary SO66'!B58,VLOOKUP($CV59,'Audit Values'!$A$3:$BW$3,32,FALSE))</f>
        <v>1</v>
      </c>
      <c r="N59" s="95"/>
    </row>
    <row r="60" spans="1:26">
      <c r="A60" s="67" t="s">
        <v>252</v>
      </c>
      <c r="B60" s="38">
        <v>846550</v>
      </c>
      <c r="D60" s="67" t="s">
        <v>252</v>
      </c>
      <c r="E60" s="24">
        <f>IF(ISNA(VLOOKUP($D60,'Audit Values'!$A$2:$DL$374,2,FALSE)), 0, VLOOKUP($D60,'Audit Values'!$A$2:$DL$374,72,FALSE))</f>
        <v>0</v>
      </c>
      <c r="F60" s="24">
        <f>Transportation!G60</f>
        <v>0</v>
      </c>
      <c r="G60" s="24"/>
      <c r="H60" s="24"/>
      <c r="I60" s="128"/>
      <c r="J60" s="105"/>
      <c r="K60" s="128" t="str">
        <f>IF(AND(H60&lt;&gt;"",(OR(H60&lt;'2019 Legal Max'!BG60, ('Weighting Factors'!H60-'2019 Legal Max'!BG60)/'2019 Legal Max'!BG60&gt;0.025))), "Confirm!", "")</f>
        <v/>
      </c>
      <c r="L60" s="126">
        <f>IF(ISNA(VLOOKUP($CV60,'Audit Values'!$A$3:$BW$3,2,FALSE)),'Preliminary SO66'!B59,VLOOKUP($CV60,'Audit Values'!$A$3:$BW$3,32,FALSE))</f>
        <v>1</v>
      </c>
      <c r="N60" s="95"/>
    </row>
    <row r="61" spans="1:26">
      <c r="A61" s="67" t="s">
        <v>253</v>
      </c>
      <c r="B61" s="38">
        <v>643130</v>
      </c>
      <c r="D61" s="67" t="s">
        <v>253</v>
      </c>
      <c r="E61" s="24">
        <f>IF(ISNA(VLOOKUP($D61,'Audit Values'!$A$2:$DL$374,2,FALSE)), 0, VLOOKUP($D61,'Audit Values'!$A$2:$DL$374,72,FALSE))</f>
        <v>-355</v>
      </c>
      <c r="F61" s="24">
        <f>Transportation!G61</f>
        <v>0</v>
      </c>
      <c r="G61" s="24"/>
      <c r="H61" s="24"/>
      <c r="I61" s="128"/>
      <c r="J61" s="105"/>
      <c r="K61" s="128" t="str">
        <f>IF(AND(H61&lt;&gt;"",(OR(H61&lt;'2019 Legal Max'!BG61, ('Weighting Factors'!H61-'2019 Legal Max'!BG61)/'2019 Legal Max'!BG61&gt;0.025))), "Confirm!", "")</f>
        <v/>
      </c>
      <c r="L61" s="126">
        <f>IF(ISNA(VLOOKUP($CV61,'Audit Values'!$A$3:$BW$3,2,FALSE)),'Preliminary SO66'!B60,VLOOKUP($CV61,'Audit Values'!$A$3:$BW$3,32,FALSE))</f>
        <v>1</v>
      </c>
      <c r="N61" s="95"/>
    </row>
    <row r="62" spans="1:26">
      <c r="A62" s="67" t="s">
        <v>254</v>
      </c>
      <c r="B62" s="38">
        <v>2265391</v>
      </c>
      <c r="D62" s="67" t="s">
        <v>254</v>
      </c>
      <c r="E62" s="24">
        <f>IF(ISNA(VLOOKUP($D62,'Audit Values'!$A$2:$DL$374,2,FALSE)), 0, VLOOKUP($D62,'Audit Values'!$A$2:$DL$374,72,FALSE))</f>
        <v>0</v>
      </c>
      <c r="F62" s="24">
        <f>Transportation!G62</f>
        <v>0</v>
      </c>
      <c r="G62" s="24"/>
      <c r="H62" s="24"/>
      <c r="I62" s="128"/>
      <c r="J62" s="105"/>
      <c r="K62" s="128" t="str">
        <f>IF(AND(H62&lt;&gt;"",(OR(H62&lt;'2019 Legal Max'!BG62, ('Weighting Factors'!H62-'2019 Legal Max'!BG62)/'2019 Legal Max'!BG62&gt;0.025))), "Confirm!", "")</f>
        <v/>
      </c>
      <c r="L62" s="126">
        <f>IF(ISNA(VLOOKUP($CV62,'Audit Values'!$A$3:$BW$3,2,FALSE)),'Preliminary SO66'!B61,VLOOKUP($CV62,'Audit Values'!$A$3:$BW$3,32,FALSE))</f>
        <v>1</v>
      </c>
      <c r="N62" s="95"/>
    </row>
    <row r="63" spans="1:26">
      <c r="A63" s="67" t="s">
        <v>255</v>
      </c>
      <c r="B63" s="38">
        <v>442086</v>
      </c>
      <c r="D63" s="67" t="s">
        <v>255</v>
      </c>
      <c r="E63" s="24">
        <f>IF(ISNA(VLOOKUP($D63,'Audit Values'!$A$2:$DL$374,2,FALSE)), 0, VLOOKUP($D63,'Audit Values'!$A$2:$DL$374,72,FALSE))</f>
        <v>0</v>
      </c>
      <c r="F63" s="24">
        <f>Transportation!G63</f>
        <v>0</v>
      </c>
      <c r="G63" s="24"/>
      <c r="H63" s="24"/>
      <c r="I63" s="128"/>
      <c r="J63" s="105"/>
      <c r="K63" s="128" t="str">
        <f>IF(AND(H63&lt;&gt;"",(OR(H63&lt;'2019 Legal Max'!BG63, ('Weighting Factors'!H63-'2019 Legal Max'!BG63)/'2019 Legal Max'!BG63&gt;0.025))), "Confirm!", "")</f>
        <v/>
      </c>
      <c r="L63" s="126">
        <f>IF(ISNA(VLOOKUP($CV63,'Audit Values'!$A$3:$BW$3,2,FALSE)),'Preliminary SO66'!B62,VLOOKUP($CV63,'Audit Values'!$A$3:$BW$3,32,FALSE))</f>
        <v>1</v>
      </c>
      <c r="N63" s="95"/>
    </row>
    <row r="64" spans="1:26">
      <c r="A64" s="67" t="s">
        <v>256</v>
      </c>
      <c r="B64" s="38">
        <v>481383</v>
      </c>
      <c r="D64" s="67" t="s">
        <v>256</v>
      </c>
      <c r="E64" s="24">
        <f>IF(ISNA(VLOOKUP($D64,'Audit Values'!$A$2:$DL$374,2,FALSE)), 0, VLOOKUP($D64,'Audit Values'!$A$2:$DL$374,72,FALSE))</f>
        <v>0</v>
      </c>
      <c r="F64" s="24">
        <f>Transportation!G64</f>
        <v>0</v>
      </c>
      <c r="G64" s="24"/>
      <c r="H64" s="24"/>
      <c r="I64" s="128"/>
      <c r="J64" s="105"/>
      <c r="K64" s="128" t="str">
        <f>IF(AND(H64&lt;&gt;"",(OR(H64&lt;'2019 Legal Max'!BG64, ('Weighting Factors'!H64-'2019 Legal Max'!BG64)/'2019 Legal Max'!BG64&gt;0.025))), "Confirm!", "")</f>
        <v/>
      </c>
      <c r="L64" s="126">
        <f>IF(ISNA(VLOOKUP($CV64,'Audit Values'!$A$3:$BW$3,2,FALSE)),'Preliminary SO66'!B63,VLOOKUP($CV64,'Audit Values'!$A$3:$BW$3,32,FALSE))</f>
        <v>1</v>
      </c>
      <c r="N64" s="95"/>
    </row>
    <row r="65" spans="1:14">
      <c r="A65" s="67" t="s">
        <v>257</v>
      </c>
      <c r="B65" s="38">
        <v>3107792</v>
      </c>
      <c r="D65" s="67" t="s">
        <v>257</v>
      </c>
      <c r="E65" s="24">
        <f>IF(ISNA(VLOOKUP($D65,'Audit Values'!$A$2:$DL$374,2,FALSE)), 0, VLOOKUP($D65,'Audit Values'!$A$2:$DL$374,72,FALSE))</f>
        <v>0</v>
      </c>
      <c r="F65" s="24">
        <f>Transportation!G65</f>
        <v>0</v>
      </c>
      <c r="G65" s="24"/>
      <c r="H65" s="24"/>
      <c r="I65" s="128"/>
      <c r="J65" s="105"/>
      <c r="K65" s="128" t="str">
        <f>IF(AND(H65&lt;&gt;"",(OR(H65&lt;'2019 Legal Max'!BG65, ('Weighting Factors'!H65-'2019 Legal Max'!BG65)/'2019 Legal Max'!BG65&gt;0.025))), "Confirm!", "")</f>
        <v/>
      </c>
      <c r="L65" s="126">
        <f>IF(ISNA(VLOOKUP($CV65,'Audit Values'!$A$3:$BW$3,2,FALSE)),'Preliminary SO66'!B64,VLOOKUP($CV65,'Audit Values'!$A$3:$BW$3,32,FALSE))</f>
        <v>1</v>
      </c>
      <c r="N65" s="95"/>
    </row>
    <row r="66" spans="1:14">
      <c r="A66" s="67" t="s">
        <v>258</v>
      </c>
      <c r="B66" s="38">
        <v>586690</v>
      </c>
      <c r="D66" s="67" t="s">
        <v>258</v>
      </c>
      <c r="E66" s="24">
        <f>IF(ISNA(VLOOKUP($D66,'Audit Values'!$A$2:$DL$374,2,FALSE)), 0, VLOOKUP($D66,'Audit Values'!$A$2:$DL$374,72,FALSE))</f>
        <v>0</v>
      </c>
      <c r="F66" s="24">
        <f>Transportation!G66</f>
        <v>0</v>
      </c>
      <c r="G66" s="24"/>
      <c r="H66" s="24"/>
      <c r="I66" s="128"/>
      <c r="J66" s="105"/>
      <c r="K66" s="128" t="str">
        <f>IF(AND(H66&lt;&gt;"",(OR(H66&lt;'2019 Legal Max'!BG66, ('Weighting Factors'!H66-'2019 Legal Max'!BG66)/'2019 Legal Max'!BG66&gt;0.025))), "Confirm!", "")</f>
        <v/>
      </c>
      <c r="L66" s="126">
        <f>IF(ISNA(VLOOKUP($CV66,'Audit Values'!$A$3:$BW$3,2,FALSE)),'Preliminary SO66'!B65,VLOOKUP($CV66,'Audit Values'!$A$3:$BW$3,32,FALSE))</f>
        <v>1</v>
      </c>
      <c r="N66" s="95"/>
    </row>
    <row r="67" spans="1:14">
      <c r="A67" s="67" t="s">
        <v>259</v>
      </c>
      <c r="B67" s="38">
        <v>254322</v>
      </c>
      <c r="D67" s="67" t="s">
        <v>259</v>
      </c>
      <c r="E67" s="24">
        <f>IF(ISNA(VLOOKUP($D67,'Audit Values'!$A$2:$DL$374,2,FALSE)), 0, VLOOKUP($D67,'Audit Values'!$A$2:$DL$374,72,FALSE))</f>
        <v>0</v>
      </c>
      <c r="F67" s="24">
        <f>Transportation!G67</f>
        <v>0</v>
      </c>
      <c r="G67" s="24"/>
      <c r="H67" s="24"/>
      <c r="I67" s="128"/>
      <c r="J67" s="105"/>
      <c r="K67" s="128" t="str">
        <f>IF(AND(H67&lt;&gt;"",(OR(H67&lt;'2019 Legal Max'!BG67, ('Weighting Factors'!H67-'2019 Legal Max'!BG67)/'2019 Legal Max'!BG67&gt;0.025))), "Confirm!", "")</f>
        <v/>
      </c>
      <c r="L67" s="126">
        <f>IF(ISNA(VLOOKUP($CV67,'Audit Values'!$A$3:$BW$3,2,FALSE)),'Preliminary SO66'!B66,VLOOKUP($CV67,'Audit Values'!$A$3:$BW$3,32,FALSE))</f>
        <v>1</v>
      </c>
      <c r="N67" s="95"/>
    </row>
    <row r="68" spans="1:14">
      <c r="A68" s="67" t="s">
        <v>260</v>
      </c>
      <c r="B68" s="38">
        <v>442688</v>
      </c>
      <c r="D68" s="67" t="s">
        <v>260</v>
      </c>
      <c r="E68" s="24">
        <f>IF(ISNA(VLOOKUP($D68,'Audit Values'!$A$2:$DL$374,2,FALSE)), 0, VLOOKUP($D68,'Audit Values'!$A$2:$DL$374,72,FALSE))</f>
        <v>0</v>
      </c>
      <c r="F68" s="24">
        <f>Transportation!G68</f>
        <v>0</v>
      </c>
      <c r="G68" s="24"/>
      <c r="H68" s="24"/>
      <c r="I68" s="128"/>
      <c r="J68" s="105"/>
      <c r="K68" s="128" t="str">
        <f>IF(AND(H68&lt;&gt;"",(OR(H68&lt;'2019 Legal Max'!BG68, ('Weighting Factors'!H68-'2019 Legal Max'!BG68)/'2019 Legal Max'!BG68&gt;0.025))), "Confirm!", "")</f>
        <v/>
      </c>
      <c r="L68" s="126">
        <f>IF(ISNA(VLOOKUP($CV68,'Audit Values'!$A$3:$BW$3,2,FALSE)),'Preliminary SO66'!B67,VLOOKUP($CV68,'Audit Values'!$A$3:$BW$3,32,FALSE))</f>
        <v>1</v>
      </c>
      <c r="N68" s="95"/>
    </row>
    <row r="69" spans="1:14">
      <c r="A69" s="67" t="s">
        <v>261</v>
      </c>
      <c r="B69" s="38">
        <v>1748337</v>
      </c>
      <c r="D69" s="67" t="s">
        <v>261</v>
      </c>
      <c r="E69" s="24">
        <f>IF(ISNA(VLOOKUP($D69,'Audit Values'!$A$2:$DL$374,2,FALSE)), 0, VLOOKUP($D69,'Audit Values'!$A$2:$DL$374,72,FALSE))</f>
        <v>-1418</v>
      </c>
      <c r="F69" s="24">
        <f>Transportation!G69</f>
        <v>0</v>
      </c>
      <c r="G69" s="24"/>
      <c r="H69" s="24"/>
      <c r="I69" s="128"/>
      <c r="J69" s="105"/>
      <c r="K69" s="128" t="str">
        <f>IF(AND(H69&lt;&gt;"",(OR(H69&lt;'2019 Legal Max'!BG69, ('Weighting Factors'!H69-'2019 Legal Max'!BG69)/'2019 Legal Max'!BG69&gt;0.025))), "Confirm!", "")</f>
        <v/>
      </c>
      <c r="L69" s="126">
        <f>IF(ISNA(VLOOKUP($CV69,'Audit Values'!$A$3:$BW$3,2,FALSE)),'Preliminary SO66'!B68,VLOOKUP($CV69,'Audit Values'!$A$3:$BW$3,32,FALSE))</f>
        <v>1</v>
      </c>
      <c r="N69" s="95"/>
    </row>
    <row r="70" spans="1:14">
      <c r="A70" s="67" t="s">
        <v>262</v>
      </c>
      <c r="B70" s="38">
        <v>610724</v>
      </c>
      <c r="D70" s="67" t="s">
        <v>262</v>
      </c>
      <c r="E70" s="24">
        <f>IF(ISNA(VLOOKUP($D70,'Audit Values'!$A$2:$DL$374,2,FALSE)), 0, VLOOKUP($D70,'Audit Values'!$A$2:$DL$374,72,FALSE))</f>
        <v>-3191</v>
      </c>
      <c r="F70" s="24">
        <f>Transportation!G70</f>
        <v>0</v>
      </c>
      <c r="G70" s="24"/>
      <c r="H70" s="24">
        <v>5699321</v>
      </c>
      <c r="I70" s="128">
        <v>28</v>
      </c>
      <c r="J70" s="105"/>
      <c r="K70" s="128" t="str">
        <f>IF(AND(H70&lt;&gt;"",(OR(H70&lt;'2019 Legal Max'!BG70, ('Weighting Factors'!H70-'2019 Legal Max'!BG70)/'2019 Legal Max'!BG70&gt;0.025))), "Confirm!", "")</f>
        <v/>
      </c>
      <c r="L70" s="126">
        <f>IF(ISNA(VLOOKUP($CV70,'Audit Values'!$A$3:$BW$3,2,FALSE)),'Preliminary SO66'!B69,VLOOKUP($CV70,'Audit Values'!$A$3:$BW$3,32,FALSE))</f>
        <v>1</v>
      </c>
      <c r="N70" s="95"/>
    </row>
    <row r="71" spans="1:14">
      <c r="A71" s="67" t="s">
        <v>263</v>
      </c>
      <c r="B71" s="38">
        <v>39142041</v>
      </c>
      <c r="D71" s="67" t="s">
        <v>263</v>
      </c>
      <c r="E71" s="24">
        <f>IF(ISNA(VLOOKUP($D71,'Audit Values'!$A$2:$DL$374,2,FALSE)), 0, VLOOKUP($D71,'Audit Values'!$A$2:$DL$374,72,FALSE))</f>
        <v>0</v>
      </c>
      <c r="F71" s="24">
        <f>Transportation!G71</f>
        <v>0</v>
      </c>
      <c r="G71" s="24"/>
      <c r="H71" s="24"/>
      <c r="I71" s="128"/>
      <c r="J71" s="105"/>
      <c r="K71" s="128" t="str">
        <f>IF(AND(H71&lt;&gt;"",(OR(H71&lt;'2019 Legal Max'!BG71, ('Weighting Factors'!H71-'2019 Legal Max'!BG71)/'2019 Legal Max'!BG71&gt;0.025))), "Confirm!", "")</f>
        <v/>
      </c>
      <c r="L71" s="126">
        <f>IF(ISNA(VLOOKUP($CV71,'Audit Values'!$A$3:$BW$3,2,FALSE)),'Preliminary SO66'!B70,VLOOKUP($CV71,'Audit Values'!$A$3:$BW$3,32,FALSE))</f>
        <v>1</v>
      </c>
      <c r="N71" s="95"/>
    </row>
    <row r="72" spans="1:14">
      <c r="A72" s="67" t="s">
        <v>264</v>
      </c>
      <c r="B72" s="38">
        <v>5092269</v>
      </c>
      <c r="D72" s="67" t="s">
        <v>264</v>
      </c>
      <c r="E72" s="24">
        <f>IF(ISNA(VLOOKUP($D72,'Audit Values'!$A$2:$DL$374,2,FALSE)), 0, VLOOKUP($D72,'Audit Values'!$A$2:$DL$374,72,FALSE))</f>
        <v>0</v>
      </c>
      <c r="F72" s="24">
        <f>Transportation!G72</f>
        <v>0</v>
      </c>
      <c r="G72" s="24"/>
      <c r="H72" s="24"/>
      <c r="I72" s="128"/>
      <c r="J72" s="105"/>
      <c r="K72" s="128" t="str">
        <f>IF(AND(H72&lt;&gt;"",(OR(H72&lt;'2019 Legal Max'!BG72, ('Weighting Factors'!H72-'2019 Legal Max'!BG72)/'2019 Legal Max'!BG72&gt;0.025))), "Confirm!", "")</f>
        <v/>
      </c>
      <c r="L72" s="126">
        <f>IF(ISNA(VLOOKUP($CV72,'Audit Values'!$A$3:$BW$3,2,FALSE)),'Preliminary SO66'!B71,VLOOKUP($CV72,'Audit Values'!$A$3:$BW$3,32,FALSE))</f>
        <v>1</v>
      </c>
      <c r="N72" s="95"/>
    </row>
    <row r="73" spans="1:14">
      <c r="A73" s="67" t="s">
        <v>265</v>
      </c>
      <c r="B73" s="38">
        <v>4441727</v>
      </c>
      <c r="D73" s="67" t="s">
        <v>265</v>
      </c>
      <c r="E73" s="24">
        <f>IF(ISNA(VLOOKUP($D73,'Audit Values'!$A$2:$DL$374,2,FALSE)), 0, VLOOKUP($D73,'Audit Values'!$A$2:$DL$374,72,FALSE))</f>
        <v>0</v>
      </c>
      <c r="F73" s="24">
        <f>Transportation!G73</f>
        <v>0</v>
      </c>
      <c r="G73" s="24"/>
      <c r="H73" s="24"/>
      <c r="I73" s="128"/>
      <c r="J73" s="105"/>
      <c r="K73" s="128" t="str">
        <f>IF(AND(H73&lt;&gt;"",(OR(H73&lt;'2019 Legal Max'!BG73, ('Weighting Factors'!H73-'2019 Legal Max'!BG73)/'2019 Legal Max'!BG73&gt;0.025))), "Confirm!", "")</f>
        <v/>
      </c>
      <c r="L73" s="126">
        <f>IF(ISNA(VLOOKUP($CV73,'Audit Values'!$A$3:$BW$3,2,FALSE)),'Preliminary SO66'!B72,VLOOKUP($CV73,'Audit Values'!$A$3:$BW$3,32,FALSE))</f>
        <v>1</v>
      </c>
      <c r="N73" s="95"/>
    </row>
    <row r="74" spans="1:14">
      <c r="A74" s="67" t="s">
        <v>266</v>
      </c>
      <c r="B74" s="38">
        <v>2337803</v>
      </c>
      <c r="D74" s="67" t="s">
        <v>266</v>
      </c>
      <c r="E74" s="24">
        <f>IF(ISNA(VLOOKUP($D74,'Audit Values'!$A$2:$DL$374,2,FALSE)), 0, VLOOKUP($D74,'Audit Values'!$A$2:$DL$374,72,FALSE))</f>
        <v>0</v>
      </c>
      <c r="F74" s="24">
        <f>Transportation!G74</f>
        <v>0</v>
      </c>
      <c r="G74" s="24"/>
      <c r="H74" s="24"/>
      <c r="I74" s="128"/>
      <c r="J74" s="105"/>
      <c r="K74" s="128" t="str">
        <f>IF(AND(H74&lt;&gt;"",(OR(H74&lt;'2019 Legal Max'!BG74, ('Weighting Factors'!H74-'2019 Legal Max'!BG74)/'2019 Legal Max'!BG74&gt;0.025))), "Confirm!", "")</f>
        <v/>
      </c>
      <c r="L74" s="126">
        <f>IF(ISNA(VLOOKUP($CV74,'Audit Values'!$A$3:$BW$3,2,FALSE)),'Preliminary SO66'!B73,VLOOKUP($CV74,'Audit Values'!$A$3:$BW$3,32,FALSE))</f>
        <v>1</v>
      </c>
      <c r="N74" s="95"/>
    </row>
    <row r="75" spans="1:14">
      <c r="A75" s="67" t="s">
        <v>267</v>
      </c>
      <c r="B75" s="38">
        <v>1238221</v>
      </c>
      <c r="D75" s="67" t="s">
        <v>267</v>
      </c>
      <c r="E75" s="24">
        <f>IF(ISNA(VLOOKUP($D75,'Audit Values'!$A$2:$DL$374,2,FALSE)), 0, VLOOKUP($D75,'Audit Values'!$A$2:$DL$374,72,FALSE))</f>
        <v>0</v>
      </c>
      <c r="F75" s="24">
        <f>Transportation!G75</f>
        <v>0</v>
      </c>
      <c r="G75" s="24"/>
      <c r="H75" s="24"/>
      <c r="I75" s="128"/>
      <c r="J75" s="105"/>
      <c r="K75" s="128" t="str">
        <f>IF(AND(H75&lt;&gt;"",(OR(H75&lt;'2019 Legal Max'!BG75, ('Weighting Factors'!H75-'2019 Legal Max'!BG75)/'2019 Legal Max'!BG75&gt;0.025))), "Confirm!", "")</f>
        <v/>
      </c>
      <c r="L75" s="126">
        <f>IF(ISNA(VLOOKUP($CV75,'Audit Values'!$A$3:$BW$3,2,FALSE)),'Preliminary SO66'!B74,VLOOKUP($CV75,'Audit Values'!$A$3:$BW$3,32,FALSE))</f>
        <v>1</v>
      </c>
      <c r="N75" s="95"/>
    </row>
    <row r="76" spans="1:14">
      <c r="A76" s="67" t="s">
        <v>268</v>
      </c>
      <c r="B76" s="38">
        <v>1100218</v>
      </c>
      <c r="D76" s="67" t="s">
        <v>268</v>
      </c>
      <c r="E76" s="24">
        <f>IF(ISNA(VLOOKUP($D76,'Audit Values'!$A$2:$DL$374,2,FALSE)), 0, VLOOKUP($D76,'Audit Values'!$A$2:$DL$374,72,FALSE))</f>
        <v>0</v>
      </c>
      <c r="F76" s="24">
        <f>Transportation!G76</f>
        <v>-43590</v>
      </c>
      <c r="G76" s="24"/>
      <c r="H76" s="24"/>
      <c r="I76" s="128"/>
      <c r="J76" s="105"/>
      <c r="K76" s="128" t="str">
        <f>IF(AND(H76&lt;&gt;"",(OR(H76&lt;'2019 Legal Max'!BG76, ('Weighting Factors'!H76-'2019 Legal Max'!BG76)/'2019 Legal Max'!BG76&gt;0.025))), "Confirm!", "")</f>
        <v/>
      </c>
      <c r="L76" s="126">
        <f>IF(ISNA(VLOOKUP($CV76,'Audit Values'!$A$3:$BW$3,2,FALSE)),'Preliminary SO66'!B75,VLOOKUP($CV76,'Audit Values'!$A$3:$BW$3,32,FALSE))</f>
        <v>1</v>
      </c>
      <c r="N76" s="95"/>
    </row>
    <row r="77" spans="1:14">
      <c r="A77" s="67" t="s">
        <v>269</v>
      </c>
      <c r="B77" s="38">
        <v>3914158</v>
      </c>
      <c r="D77" s="67" t="s">
        <v>269</v>
      </c>
      <c r="E77" s="24">
        <f>IF(ISNA(VLOOKUP($D77,'Audit Values'!$A$2:$DL$374,2,FALSE)), 0, VLOOKUP($D77,'Audit Values'!$A$2:$DL$374,72,FALSE))</f>
        <v>-4609</v>
      </c>
      <c r="F77" s="24">
        <f>Transportation!G77</f>
        <v>0</v>
      </c>
      <c r="G77" s="24"/>
      <c r="H77" s="24">
        <v>35770000</v>
      </c>
      <c r="I77" s="128">
        <v>19</v>
      </c>
      <c r="J77" s="105"/>
      <c r="K77" s="128" t="str">
        <f>IF(AND(H77&lt;&gt;"",(OR(H77&lt;'2019 Legal Max'!BG77, ('Weighting Factors'!H77-'2019 Legal Max'!BG77)/'2019 Legal Max'!BG77&gt;0.025))), "Confirm!", "")</f>
        <v>Confirm!</v>
      </c>
      <c r="L77" s="126">
        <f>IF(ISNA(VLOOKUP($CV77,'Audit Values'!$A$3:$BW$3,2,FALSE)),'Preliminary SO66'!B76,VLOOKUP($CV77,'Audit Values'!$A$3:$BW$3,32,FALSE))</f>
        <v>1</v>
      </c>
      <c r="N77" s="95"/>
    </row>
    <row r="78" spans="1:14">
      <c r="A78" s="67" t="s">
        <v>270</v>
      </c>
      <c r="B78" s="38">
        <v>5269645</v>
      </c>
      <c r="D78" s="67" t="s">
        <v>270</v>
      </c>
      <c r="E78" s="24">
        <f>IF(ISNA(VLOOKUP($D78,'Audit Values'!$A$2:$DL$374,2,FALSE)), 0, VLOOKUP($D78,'Audit Values'!$A$2:$DL$374,72,FALSE))</f>
        <v>0</v>
      </c>
      <c r="F78" s="24">
        <f>Transportation!G78</f>
        <v>0</v>
      </c>
      <c r="G78" s="24"/>
      <c r="H78" s="24"/>
      <c r="I78" s="128"/>
      <c r="J78" s="105"/>
      <c r="K78" s="128" t="str">
        <f>IF(AND(H78&lt;&gt;"",(OR(H78&lt;'2019 Legal Max'!BG78, ('Weighting Factors'!H78-'2019 Legal Max'!BG78)/'2019 Legal Max'!BG78&gt;0.025))), "Confirm!", "")</f>
        <v/>
      </c>
      <c r="L78" s="126">
        <f>IF(ISNA(VLOOKUP($CV78,'Audit Values'!$A$3:$BW$3,2,FALSE)),'Preliminary SO66'!B77,VLOOKUP($CV78,'Audit Values'!$A$3:$BW$3,32,FALSE))</f>
        <v>1</v>
      </c>
      <c r="N78" s="95"/>
    </row>
    <row r="79" spans="1:14">
      <c r="A79" s="67" t="s">
        <v>271</v>
      </c>
      <c r="B79" s="38">
        <v>1668975</v>
      </c>
      <c r="D79" s="67" t="s">
        <v>271</v>
      </c>
      <c r="E79" s="24">
        <f>IF(ISNA(VLOOKUP($D79,'Audit Values'!$A$2:$DL$374,2,FALSE)), 0, VLOOKUP($D79,'Audit Values'!$A$2:$DL$374,72,FALSE))</f>
        <v>0</v>
      </c>
      <c r="F79" s="24">
        <f>Transportation!G79</f>
        <v>0</v>
      </c>
      <c r="G79" s="24"/>
      <c r="H79" s="24"/>
      <c r="I79" s="128"/>
      <c r="J79" s="105"/>
      <c r="K79" s="128" t="str">
        <f>IF(AND(H79&lt;&gt;"",(OR(H79&lt;'2019 Legal Max'!BG79, ('Weighting Factors'!H79-'2019 Legal Max'!BG79)/'2019 Legal Max'!BG79&gt;0.025))), "Confirm!", "")</f>
        <v/>
      </c>
      <c r="L79" s="126">
        <f>IF(ISNA(VLOOKUP($CV79,'Audit Values'!$A$3:$BW$3,2,FALSE)),'Preliminary SO66'!B78,VLOOKUP($CV79,'Audit Values'!$A$3:$BW$3,32,FALSE))</f>
        <v>1</v>
      </c>
      <c r="N79" s="95"/>
    </row>
    <row r="80" spans="1:14">
      <c r="A80" s="67" t="s">
        <v>272</v>
      </c>
      <c r="B80" s="38">
        <v>640416</v>
      </c>
      <c r="D80" s="67" t="s">
        <v>272</v>
      </c>
      <c r="E80" s="24">
        <f>IF(ISNA(VLOOKUP($D80,'Audit Values'!$A$2:$DL$374,2,FALSE)), 0, VLOOKUP($D80,'Audit Values'!$A$2:$DL$374,72,FALSE))</f>
        <v>0</v>
      </c>
      <c r="F80" s="24">
        <f>Transportation!G80</f>
        <v>0</v>
      </c>
      <c r="G80" s="24"/>
      <c r="H80" s="24"/>
      <c r="I80" s="128"/>
      <c r="J80" s="105"/>
      <c r="K80" s="128" t="str">
        <f>IF(AND(H80&lt;&gt;"",(OR(H80&lt;'2019 Legal Max'!BG80, ('Weighting Factors'!H80-'2019 Legal Max'!BG80)/'2019 Legal Max'!BG80&gt;0.025))), "Confirm!", "")</f>
        <v/>
      </c>
      <c r="L80" s="126">
        <f>IF(ISNA(VLOOKUP($CV80,'Audit Values'!$A$3:$BW$3,2,FALSE)),'Preliminary SO66'!B79,VLOOKUP($CV80,'Audit Values'!$A$3:$BW$3,32,FALSE))</f>
        <v>1</v>
      </c>
      <c r="N80" s="95"/>
    </row>
    <row r="81" spans="1:14">
      <c r="A81" s="67" t="s">
        <v>273</v>
      </c>
      <c r="B81" s="38">
        <v>218610</v>
      </c>
      <c r="D81" s="67" t="s">
        <v>273</v>
      </c>
      <c r="E81" s="24">
        <f>IF(ISNA(VLOOKUP($D81,'Audit Values'!$A$2:$DL$374,2,FALSE)), 0, VLOOKUP($D81,'Audit Values'!$A$2:$DL$374,72,FALSE))</f>
        <v>0</v>
      </c>
      <c r="F81" s="24">
        <f>Transportation!G81</f>
        <v>-2281</v>
      </c>
      <c r="G81" s="24"/>
      <c r="H81" s="24"/>
      <c r="I81" s="128"/>
      <c r="J81" s="105"/>
      <c r="K81" s="128" t="str">
        <f>IF(AND(H81&lt;&gt;"",(OR(H81&lt;'2019 Legal Max'!BG81, ('Weighting Factors'!H81-'2019 Legal Max'!BG81)/'2019 Legal Max'!BG81&gt;0.025))), "Confirm!", "")</f>
        <v/>
      </c>
      <c r="L81" s="126">
        <f>IF(ISNA(VLOOKUP($CV81,'Audit Values'!$A$3:$BW$3,2,FALSE)),'Preliminary SO66'!B80,VLOOKUP($CV81,'Audit Values'!$A$3:$BW$3,32,FALSE))</f>
        <v>1</v>
      </c>
      <c r="N81" s="95"/>
    </row>
    <row r="82" spans="1:14">
      <c r="A82" s="67" t="s">
        <v>274</v>
      </c>
      <c r="B82" s="38">
        <v>444500</v>
      </c>
      <c r="D82" s="67" t="s">
        <v>274</v>
      </c>
      <c r="E82" s="24">
        <f>IF(ISNA(VLOOKUP($D82,'Audit Values'!$A$2:$DL$374,2,FALSE)), 0, VLOOKUP($D82,'Audit Values'!$A$2:$DL$374,72,FALSE))</f>
        <v>0</v>
      </c>
      <c r="F82" s="24">
        <f>Transportation!G82</f>
        <v>0</v>
      </c>
      <c r="G82" s="24"/>
      <c r="H82" s="24"/>
      <c r="I82" s="128"/>
      <c r="J82" s="105"/>
      <c r="K82" s="128" t="str">
        <f>IF(AND(H82&lt;&gt;"",(OR(H82&lt;'2019 Legal Max'!BG82, ('Weighting Factors'!H82-'2019 Legal Max'!BG82)/'2019 Legal Max'!BG82&gt;0.025))), "Confirm!", "")</f>
        <v/>
      </c>
      <c r="L82" s="126">
        <f>IF(ISNA(VLOOKUP($CV82,'Audit Values'!$A$3:$BW$3,2,FALSE)),'Preliminary SO66'!B81,VLOOKUP($CV82,'Audit Values'!$A$3:$BW$3,32,FALSE))</f>
        <v>1</v>
      </c>
      <c r="N82" s="95"/>
    </row>
    <row r="83" spans="1:14">
      <c r="A83" s="67" t="s">
        <v>275</v>
      </c>
      <c r="B83" s="38">
        <v>372425</v>
      </c>
      <c r="D83" s="67" t="s">
        <v>275</v>
      </c>
      <c r="E83" s="24">
        <f>IF(ISNA(VLOOKUP($D83,'Audit Values'!$A$2:$DL$374,2,FALSE)), 0, VLOOKUP($D83,'Audit Values'!$A$2:$DL$374,72,FALSE))</f>
        <v>0</v>
      </c>
      <c r="F83" s="24">
        <f>Transportation!G83</f>
        <v>-12778</v>
      </c>
      <c r="G83" s="24"/>
      <c r="H83" s="24"/>
      <c r="I83" s="128"/>
      <c r="J83" s="105"/>
      <c r="K83" s="128" t="str">
        <f>IF(AND(H83&lt;&gt;"",(OR(H83&lt;'2019 Legal Max'!BG83, ('Weighting Factors'!H83-'2019 Legal Max'!BG83)/'2019 Legal Max'!BG83&gt;0.025))), "Confirm!", "")</f>
        <v/>
      </c>
      <c r="L83" s="126">
        <f>IF(ISNA(VLOOKUP($CV83,'Audit Values'!$A$3:$BW$3,2,FALSE)),'Preliminary SO66'!B82,VLOOKUP($CV83,'Audit Values'!$A$3:$BW$3,32,FALSE))</f>
        <v>1</v>
      </c>
      <c r="N83" s="95"/>
    </row>
    <row r="84" spans="1:14">
      <c r="A84" s="67" t="s">
        <v>276</v>
      </c>
      <c r="B84" s="38">
        <v>373480</v>
      </c>
      <c r="D84" s="67" t="s">
        <v>276</v>
      </c>
      <c r="E84" s="24">
        <f>IF(ISNA(VLOOKUP($D84,'Audit Values'!$A$2:$DL$374,2,FALSE)), 0, VLOOKUP($D84,'Audit Values'!$A$2:$DL$374,72,FALSE))</f>
        <v>0</v>
      </c>
      <c r="F84" s="24">
        <f>Transportation!G84</f>
        <v>-48555</v>
      </c>
      <c r="G84" s="24"/>
      <c r="H84" s="24">
        <v>2772641</v>
      </c>
      <c r="I84" s="128">
        <v>22</v>
      </c>
      <c r="J84" s="105"/>
      <c r="K84" s="128" t="str">
        <f>IF(AND(H84&lt;&gt;"",(OR(H84&lt;'2019 Legal Max'!BG84, ('Weighting Factors'!H84-'2019 Legal Max'!BG84)/'2019 Legal Max'!BG84&gt;0.025))), "Confirm!", "")</f>
        <v>Confirm!</v>
      </c>
      <c r="L84" s="126">
        <f>IF(ISNA(VLOOKUP($CV84,'Audit Values'!$A$3:$BW$3,2,FALSE)),'Preliminary SO66'!B83,VLOOKUP($CV84,'Audit Values'!$A$3:$BW$3,32,FALSE))</f>
        <v>1</v>
      </c>
      <c r="N84" s="95"/>
    </row>
    <row r="85" spans="1:14">
      <c r="A85" s="67" t="s">
        <v>277</v>
      </c>
      <c r="B85" s="140">
        <f>764106+60713</f>
        <v>824819</v>
      </c>
      <c r="D85" s="67" t="s">
        <v>277</v>
      </c>
      <c r="E85" s="24">
        <f>IF(ISNA(VLOOKUP($D85,'Audit Values'!$A$2:$DL$374,2,FALSE)), 0, VLOOKUP($D85,'Audit Values'!$A$2:$DL$374,72,FALSE))</f>
        <v>0</v>
      </c>
      <c r="F85" s="24">
        <f>Transportation!G85</f>
        <v>0</v>
      </c>
      <c r="G85" s="24"/>
      <c r="H85" s="24"/>
      <c r="I85" s="128"/>
      <c r="J85" s="105"/>
      <c r="K85" s="128" t="str">
        <f>IF(AND(H85&lt;&gt;"",(OR(H85&lt;'2019 Legal Max'!BG85, ('Weighting Factors'!H85-'2019 Legal Max'!BG85)/'2019 Legal Max'!BG85&gt;0.025))), "Confirm!", "")</f>
        <v/>
      </c>
      <c r="L85" s="126">
        <f>IF(ISNA(VLOOKUP($CV85,'Audit Values'!$A$3:$BW$3,2,FALSE)),'Preliminary SO66'!B84,VLOOKUP($CV85,'Audit Values'!$A$3:$BW$3,32,FALSE))</f>
        <v>1</v>
      </c>
      <c r="N85" s="95"/>
    </row>
    <row r="86" spans="1:14">
      <c r="A86" s="67" t="s">
        <v>278</v>
      </c>
      <c r="B86" s="38">
        <v>508174</v>
      </c>
      <c r="D86" s="67" t="s">
        <v>278</v>
      </c>
      <c r="E86" s="24">
        <f>IF(ISNA(VLOOKUP($D86,'Audit Values'!$A$2:$DL$374,2,FALSE)), 0, VLOOKUP($D86,'Audit Values'!$A$2:$DL$374,72,FALSE))</f>
        <v>-2836</v>
      </c>
      <c r="F86" s="24">
        <f>Transportation!G86</f>
        <v>-24324</v>
      </c>
      <c r="G86" s="24"/>
      <c r="H86" s="24"/>
      <c r="I86" s="128"/>
      <c r="J86" s="105"/>
      <c r="K86" s="128" t="str">
        <f>IF(AND(H86&lt;&gt;"",(OR(H86&lt;'2019 Legal Max'!BG86, ('Weighting Factors'!H86-'2019 Legal Max'!BG86)/'2019 Legal Max'!BG86&gt;0.025))), "Confirm!", "")</f>
        <v/>
      </c>
      <c r="L86" s="126">
        <f>IF(ISNA(VLOOKUP($CV86,'Audit Values'!$A$3:$BW$3,2,FALSE)),'Preliminary SO66'!B85,VLOOKUP($CV86,'Audit Values'!$A$3:$BW$3,32,FALSE))</f>
        <v>1</v>
      </c>
      <c r="N86" s="95"/>
    </row>
    <row r="87" spans="1:14">
      <c r="A87" s="67" t="s">
        <v>279</v>
      </c>
      <c r="B87" s="38">
        <v>121926</v>
      </c>
      <c r="D87" s="67" t="s">
        <v>279</v>
      </c>
      <c r="E87" s="24">
        <f>IF(ISNA(VLOOKUP($D87,'Audit Values'!$A$2:$DL$374,2,FALSE)), 0, VLOOKUP($D87,'Audit Values'!$A$2:$DL$374,72,FALSE))</f>
        <v>0</v>
      </c>
      <c r="F87" s="24">
        <f>Transportation!G87</f>
        <v>-40</v>
      </c>
      <c r="G87" s="24"/>
      <c r="H87" s="24"/>
      <c r="I87" s="128"/>
      <c r="J87" s="105"/>
      <c r="K87" s="128" t="str">
        <f>IF(AND(H87&lt;&gt;"",(OR(H87&lt;'2019 Legal Max'!BG87, ('Weighting Factors'!H87-'2019 Legal Max'!BG87)/'2019 Legal Max'!BG87&gt;0.025))), "Confirm!", "")</f>
        <v/>
      </c>
      <c r="L87" s="126">
        <f>IF(ISNA(VLOOKUP($CV87,'Audit Values'!$A$3:$BW$3,2,FALSE)),'Preliminary SO66'!B86,VLOOKUP($CV87,'Audit Values'!$A$3:$BW$3,32,FALSE))</f>
        <v>1</v>
      </c>
      <c r="N87" s="95"/>
    </row>
    <row r="88" spans="1:14">
      <c r="A88" s="67" t="s">
        <v>280</v>
      </c>
      <c r="B88" s="38">
        <v>452779</v>
      </c>
      <c r="D88" s="67" t="s">
        <v>280</v>
      </c>
      <c r="E88" s="24">
        <f>IF(ISNA(VLOOKUP($D88,'Audit Values'!$A$2:$DL$374,2,FALSE)), 0, VLOOKUP($D88,'Audit Values'!$A$2:$DL$374,72,FALSE))</f>
        <v>0</v>
      </c>
      <c r="F88" s="24">
        <f>Transportation!G88</f>
        <v>0</v>
      </c>
      <c r="G88" s="24"/>
      <c r="H88" s="24"/>
      <c r="I88" s="128"/>
      <c r="J88" s="105"/>
      <c r="K88" s="128" t="str">
        <f>IF(AND(H88&lt;&gt;"",(OR(H88&lt;'2019 Legal Max'!BG88, ('Weighting Factors'!H88-'2019 Legal Max'!BG88)/'2019 Legal Max'!BG88&gt;0.025))), "Confirm!", "")</f>
        <v/>
      </c>
      <c r="L88" s="126">
        <f>IF(ISNA(VLOOKUP($CV88,'Audit Values'!$A$3:$BW$3,2,FALSE)),'Preliminary SO66'!B87,VLOOKUP($CV88,'Audit Values'!$A$3:$BW$3,32,FALSE))</f>
        <v>1</v>
      </c>
      <c r="N88" s="95"/>
    </row>
    <row r="89" spans="1:14">
      <c r="A89" s="67" t="s">
        <v>281</v>
      </c>
      <c r="B89" s="38">
        <v>544334</v>
      </c>
      <c r="D89" s="67" t="s">
        <v>281</v>
      </c>
      <c r="E89" s="24">
        <f>IF(ISNA(VLOOKUP($D89,'Audit Values'!$A$2:$DL$374,2,FALSE)), 0, VLOOKUP($D89,'Audit Values'!$A$2:$DL$374,72,FALSE))</f>
        <v>0</v>
      </c>
      <c r="F89" s="24">
        <f>Transportation!G89</f>
        <v>0</v>
      </c>
      <c r="G89" s="24"/>
      <c r="H89" s="24"/>
      <c r="I89" s="128"/>
      <c r="J89" s="105"/>
      <c r="K89" s="128" t="str">
        <f>IF(AND(H89&lt;&gt;"",(OR(H89&lt;'2019 Legal Max'!BG89, ('Weighting Factors'!H89-'2019 Legal Max'!BG89)/'2019 Legal Max'!BG89&gt;0.025))), "Confirm!", "")</f>
        <v/>
      </c>
      <c r="L89" s="126">
        <f>IF(ISNA(VLOOKUP($CV89,'Audit Values'!$A$3:$BW$3,2,FALSE)),'Preliminary SO66'!B88,VLOOKUP($CV89,'Audit Values'!$A$3:$BW$3,32,FALSE))</f>
        <v>1</v>
      </c>
      <c r="N89" s="95"/>
    </row>
    <row r="90" spans="1:14">
      <c r="A90" s="67" t="s">
        <v>282</v>
      </c>
      <c r="B90" s="38">
        <v>299912</v>
      </c>
      <c r="D90" s="67" t="s">
        <v>282</v>
      </c>
      <c r="E90" s="24">
        <f>IF(ISNA(VLOOKUP($D90,'Audit Values'!$A$2:$DL$374,2,FALSE)), 0, VLOOKUP($D90,'Audit Values'!$A$2:$DL$374,72,FALSE))</f>
        <v>0</v>
      </c>
      <c r="F90" s="24">
        <f>Transportation!G90</f>
        <v>0</v>
      </c>
      <c r="G90" s="24"/>
      <c r="H90" s="24"/>
      <c r="I90" s="128"/>
      <c r="J90" s="105"/>
      <c r="K90" s="128" t="str">
        <f>IF(AND(H90&lt;&gt;"",(OR(H90&lt;'2019 Legal Max'!BG90, ('Weighting Factors'!H90-'2019 Legal Max'!BG90)/'2019 Legal Max'!BG90&gt;0.025))), "Confirm!", "")</f>
        <v/>
      </c>
      <c r="L90" s="126">
        <f>IF(ISNA(VLOOKUP($CV90,'Audit Values'!$A$3:$BW$3,2,FALSE)),'Preliminary SO66'!B89,VLOOKUP($CV90,'Audit Values'!$A$3:$BW$3,32,FALSE))</f>
        <v>1</v>
      </c>
      <c r="N90" s="95"/>
    </row>
    <row r="91" spans="1:14">
      <c r="A91" s="67" t="s">
        <v>283</v>
      </c>
      <c r="B91" s="38">
        <v>443057</v>
      </c>
      <c r="D91" s="67" t="s">
        <v>283</v>
      </c>
      <c r="E91" s="24">
        <f>IF(ISNA(VLOOKUP($D91,'Audit Values'!$A$2:$DL$374,2,FALSE)), 0, VLOOKUP($D91,'Audit Values'!$A$2:$DL$374,72,FALSE))</f>
        <v>0</v>
      </c>
      <c r="F91" s="24">
        <f>Transportation!G91</f>
        <v>0</v>
      </c>
      <c r="G91" s="24"/>
      <c r="H91" s="24">
        <v>2940074</v>
      </c>
      <c r="I91" s="128"/>
      <c r="J91" s="105"/>
      <c r="K91" s="128" t="str">
        <f>IF(AND(H91&lt;&gt;"",(OR(H91&lt;'2019 Legal Max'!BG91, ('Weighting Factors'!H91-'2019 Legal Max'!BG91)/'2019 Legal Max'!BG91&gt;0.025))), "Confirm!", "")</f>
        <v/>
      </c>
      <c r="L91" s="126">
        <f>IF(ISNA(VLOOKUP($CV91,'Audit Values'!$A$3:$BW$3,2,FALSE)),'Preliminary SO66'!B90,VLOOKUP($CV91,'Audit Values'!$A$3:$BW$3,32,FALSE))</f>
        <v>1</v>
      </c>
      <c r="N91" s="95"/>
    </row>
    <row r="92" spans="1:14">
      <c r="A92" s="67" t="s">
        <v>284</v>
      </c>
      <c r="B92" s="38">
        <v>122186</v>
      </c>
      <c r="D92" s="67" t="s">
        <v>284</v>
      </c>
      <c r="E92" s="24">
        <f>IF(ISNA(VLOOKUP($D92,'Audit Values'!$A$2:$DL$374,2,FALSE)), 0, VLOOKUP($D92,'Audit Values'!$A$2:$DL$374,72,FALSE))</f>
        <v>0</v>
      </c>
      <c r="F92" s="24">
        <f>Transportation!G92</f>
        <v>-12482</v>
      </c>
      <c r="G92" s="24"/>
      <c r="H92" s="24"/>
      <c r="I92" s="128"/>
      <c r="J92" s="105"/>
      <c r="K92" s="128" t="str">
        <f>IF(AND(H92&lt;&gt;"",(OR(H92&lt;'2019 Legal Max'!BG92, ('Weighting Factors'!H92-'2019 Legal Max'!BG92)/'2019 Legal Max'!BG92&gt;0.025))), "Confirm!", "")</f>
        <v/>
      </c>
      <c r="L92" s="126">
        <f>IF(ISNA(VLOOKUP($CV92,'Audit Values'!$A$3:$BW$3,2,FALSE)),'Preliminary SO66'!B91,VLOOKUP($CV92,'Audit Values'!$A$3:$BW$3,32,FALSE))</f>
        <v>1</v>
      </c>
      <c r="N92" s="95"/>
    </row>
    <row r="93" spans="1:14">
      <c r="A93" s="67" t="s">
        <v>285</v>
      </c>
      <c r="B93" s="38">
        <v>503240</v>
      </c>
      <c r="D93" s="67" t="s">
        <v>285</v>
      </c>
      <c r="E93" s="24">
        <f>IF(ISNA(VLOOKUP($D93,'Audit Values'!$A$2:$DL$374,2,FALSE)), 0, VLOOKUP($D93,'Audit Values'!$A$2:$DL$374,72,FALSE))</f>
        <v>0</v>
      </c>
      <c r="F93" s="24">
        <f>Transportation!G93</f>
        <v>0</v>
      </c>
      <c r="G93" s="24"/>
      <c r="H93" s="24"/>
      <c r="I93" s="128"/>
      <c r="J93" s="105"/>
      <c r="K93" s="128" t="str">
        <f>IF(AND(H93&lt;&gt;"",(OR(H93&lt;'2019 Legal Max'!BG93, ('Weighting Factors'!H93-'2019 Legal Max'!BG93)/'2019 Legal Max'!BG93&gt;0.025))), "Confirm!", "")</f>
        <v/>
      </c>
      <c r="L93" s="126">
        <f>IF(ISNA(VLOOKUP($CV93,'Audit Values'!$A$3:$BW$3,2,FALSE)),'Preliminary SO66'!B92,VLOOKUP($CV93,'Audit Values'!$A$3:$BW$3,32,FALSE))</f>
        <v>1</v>
      </c>
      <c r="N93" s="95"/>
    </row>
    <row r="94" spans="1:14">
      <c r="A94" s="67" t="s">
        <v>286</v>
      </c>
      <c r="B94" s="38">
        <v>928124</v>
      </c>
      <c r="D94" s="67" t="s">
        <v>286</v>
      </c>
      <c r="E94" s="24">
        <f>IF(ISNA(VLOOKUP($D94,'Audit Values'!$A$2:$DL$374,2,FALSE)), 0, VLOOKUP($D94,'Audit Values'!$A$2:$DL$374,72,FALSE))</f>
        <v>0</v>
      </c>
      <c r="F94" s="24">
        <f>Transportation!G94</f>
        <v>-33750</v>
      </c>
      <c r="G94" s="24"/>
      <c r="H94" s="24"/>
      <c r="I94" s="128"/>
      <c r="J94" s="105"/>
      <c r="K94" s="128" t="str">
        <f>IF(AND(H94&lt;&gt;"",(OR(H94&lt;'2019 Legal Max'!BG94, ('Weighting Factors'!H94-'2019 Legal Max'!BG94)/'2019 Legal Max'!BG94&gt;0.025))), "Confirm!", "")</f>
        <v/>
      </c>
      <c r="L94" s="126">
        <f>IF(ISNA(VLOOKUP($CV94,'Audit Values'!$A$3:$BW$3,2,FALSE)),'Preliminary SO66'!B93,VLOOKUP($CV94,'Audit Values'!$A$3:$BW$3,32,FALSE))</f>
        <v>1</v>
      </c>
      <c r="N94" s="95"/>
    </row>
    <row r="95" spans="1:14">
      <c r="A95" s="67" t="s">
        <v>287</v>
      </c>
      <c r="B95" s="38">
        <v>479646</v>
      </c>
      <c r="D95" s="67" t="s">
        <v>287</v>
      </c>
      <c r="E95" s="24">
        <f>IF(ISNA(VLOOKUP($D95,'Audit Values'!$A$2:$DL$374,2,FALSE)), 0, VLOOKUP($D95,'Audit Values'!$A$2:$DL$374,72,FALSE))</f>
        <v>0</v>
      </c>
      <c r="F95" s="24">
        <f>Transportation!G95</f>
        <v>0</v>
      </c>
      <c r="G95" s="24"/>
      <c r="H95" s="24"/>
      <c r="I95" s="128"/>
      <c r="J95" s="105"/>
      <c r="K95" s="128" t="str">
        <f>IF(AND(H95&lt;&gt;"",(OR(H95&lt;'2019 Legal Max'!BG95, ('Weighting Factors'!H95-'2019 Legal Max'!BG95)/'2019 Legal Max'!BG95&gt;0.025))), "Confirm!", "")</f>
        <v/>
      </c>
      <c r="L95" s="126">
        <f>IF(ISNA(VLOOKUP($CV95,'Audit Values'!$A$3:$BW$3,2,FALSE)),'Preliminary SO66'!B94,VLOOKUP($CV95,'Audit Values'!$A$3:$BW$3,32,FALSE))</f>
        <v>1</v>
      </c>
      <c r="N95" s="95"/>
    </row>
    <row r="96" spans="1:14">
      <c r="A96" s="67" t="s">
        <v>288</v>
      </c>
      <c r="B96" s="38">
        <v>787622</v>
      </c>
      <c r="D96" s="67" t="s">
        <v>288</v>
      </c>
      <c r="E96" s="24">
        <f>IF(ISNA(VLOOKUP($D96,'Audit Values'!$A$2:$DL$374,2,FALSE)), 0, VLOOKUP($D96,'Audit Values'!$A$2:$DL$374,72,FALSE))</f>
        <v>0</v>
      </c>
      <c r="F96" s="24">
        <f>Transportation!G96</f>
        <v>0</v>
      </c>
      <c r="G96" s="24"/>
      <c r="H96" s="24"/>
      <c r="I96" s="128"/>
      <c r="J96" s="105"/>
      <c r="K96" s="128" t="str">
        <f>IF(AND(H96&lt;&gt;"",(OR(H96&lt;'2019 Legal Max'!BG96, ('Weighting Factors'!H96-'2019 Legal Max'!BG96)/'2019 Legal Max'!BG96&gt;0.025))), "Confirm!", "")</f>
        <v/>
      </c>
      <c r="L96" s="126">
        <f>IF(ISNA(VLOOKUP($CV96,'Audit Values'!$A$3:$BW$3,2,FALSE)),'Preliminary SO66'!B95,VLOOKUP($CV96,'Audit Values'!$A$3:$BW$3,32,FALSE))</f>
        <v>1</v>
      </c>
      <c r="N96" s="95"/>
    </row>
    <row r="97" spans="1:14">
      <c r="A97" s="67" t="s">
        <v>289</v>
      </c>
      <c r="B97" s="38">
        <v>1820815</v>
      </c>
      <c r="D97" s="67" t="s">
        <v>289</v>
      </c>
      <c r="E97" s="24">
        <f>IF(ISNA(VLOOKUP($D97,'Audit Values'!$A$2:$DL$374,2,FALSE)), 0, VLOOKUP($D97,'Audit Values'!$A$2:$DL$374,72,FALSE))</f>
        <v>0</v>
      </c>
      <c r="F97" s="24">
        <f>Transportation!G97</f>
        <v>-36184</v>
      </c>
      <c r="G97" s="24"/>
      <c r="H97" s="24"/>
      <c r="I97" s="128"/>
      <c r="J97" s="105"/>
      <c r="K97" s="128" t="str">
        <f>IF(AND(H97&lt;&gt;"",(OR(H97&lt;'2019 Legal Max'!BG97, ('Weighting Factors'!H97-'2019 Legal Max'!BG97)/'2019 Legal Max'!BG97&gt;0.025))), "Confirm!", "")</f>
        <v/>
      </c>
      <c r="L97" s="126">
        <f>IF(ISNA(VLOOKUP($CV97,'Audit Values'!$A$3:$BW$3,2,FALSE)),'Preliminary SO66'!B96,VLOOKUP($CV97,'Audit Values'!$A$3:$BW$3,32,FALSE))</f>
        <v>1</v>
      </c>
      <c r="N97" s="95"/>
    </row>
    <row r="98" spans="1:14">
      <c r="A98" s="67" t="s">
        <v>290</v>
      </c>
      <c r="B98" s="38">
        <v>85263</v>
      </c>
      <c r="D98" s="67" t="s">
        <v>290</v>
      </c>
      <c r="E98" s="24">
        <f>IF(ISNA(VLOOKUP($D98,'Audit Values'!$A$2:$DL$374,2,FALSE)), 0, VLOOKUP($D98,'Audit Values'!$A$2:$DL$374,72,FALSE))</f>
        <v>0</v>
      </c>
      <c r="F98" s="24">
        <f>Transportation!G98</f>
        <v>0</v>
      </c>
      <c r="G98" s="24"/>
      <c r="H98" s="24">
        <v>917133</v>
      </c>
      <c r="I98" s="128">
        <v>26</v>
      </c>
      <c r="J98" s="105"/>
      <c r="K98" s="128" t="str">
        <f>IF(AND(H98&lt;&gt;"",(OR(H98&lt;'2019 Legal Max'!BG98, ('Weighting Factors'!H98-'2019 Legal Max'!BG98)/'2019 Legal Max'!BG98&gt;0.025))), "Confirm!", "")</f>
        <v/>
      </c>
      <c r="L98" s="126">
        <f>IF(ISNA(VLOOKUP($CV98,'Audit Values'!$A$3:$BW$3,2,FALSE)),'Preliminary SO66'!B97,VLOOKUP($CV98,'Audit Values'!$A$3:$BW$3,32,FALSE))</f>
        <v>1</v>
      </c>
      <c r="N98" s="95"/>
    </row>
    <row r="99" spans="1:14">
      <c r="A99" s="67" t="s">
        <v>291</v>
      </c>
      <c r="B99" s="38">
        <v>197465</v>
      </c>
      <c r="D99" s="67" t="s">
        <v>291</v>
      </c>
      <c r="E99" s="24">
        <f>IF(ISNA(VLOOKUP($D99,'Audit Values'!$A$2:$DL$374,2,FALSE)), 0, VLOOKUP($D99,'Audit Values'!$A$2:$DL$374,72,FALSE))</f>
        <v>0</v>
      </c>
      <c r="F99" s="24">
        <f>Transportation!G99</f>
        <v>-14457</v>
      </c>
      <c r="G99" s="24"/>
      <c r="H99" s="24">
        <v>1279072</v>
      </c>
      <c r="I99" s="128">
        <v>26</v>
      </c>
      <c r="J99" s="105"/>
      <c r="K99" s="128" t="str">
        <f>IF(AND(H99&lt;&gt;"",(OR(H99&lt;'2019 Legal Max'!BG99, ('Weighting Factors'!H99-'2019 Legal Max'!BG99)/'2019 Legal Max'!BG99&gt;0.025))), "Confirm!", "")</f>
        <v/>
      </c>
      <c r="L99" s="126">
        <f>IF(ISNA(VLOOKUP($CV99,'Audit Values'!$A$3:$BW$3,2,FALSE)),'Preliminary SO66'!B98,VLOOKUP($CV99,'Audit Values'!$A$3:$BW$3,32,FALSE))</f>
        <v>1</v>
      </c>
      <c r="N99" s="95"/>
    </row>
    <row r="100" spans="1:14">
      <c r="A100" s="67" t="s">
        <v>292</v>
      </c>
      <c r="B100" s="38">
        <v>368645</v>
      </c>
      <c r="D100" s="67" t="s">
        <v>292</v>
      </c>
      <c r="E100" s="24">
        <f>IF(ISNA(VLOOKUP($D100,'Audit Values'!$A$2:$DL$374,2,FALSE)), 0, VLOOKUP($D100,'Audit Values'!$A$2:$DL$374,72,FALSE))</f>
        <v>0</v>
      </c>
      <c r="F100" s="24">
        <f>Transportation!G100</f>
        <v>0</v>
      </c>
      <c r="G100" s="24"/>
      <c r="H100" s="24"/>
      <c r="I100" s="128"/>
      <c r="J100" s="105"/>
      <c r="K100" s="128" t="str">
        <f>IF(AND(H100&lt;&gt;"",(OR(H100&lt;'2019 Legal Max'!BG100, ('Weighting Factors'!H100-'2019 Legal Max'!BG100)/'2019 Legal Max'!BG100&gt;0.025))), "Confirm!", "")</f>
        <v/>
      </c>
      <c r="L100" s="126">
        <f>IF(ISNA(VLOOKUP($CV100,'Audit Values'!$A$3:$BW$3,2,FALSE)),'Preliminary SO66'!B99,VLOOKUP($CV100,'Audit Values'!$A$3:$BW$3,32,FALSE))</f>
        <v>1</v>
      </c>
      <c r="N100" s="95"/>
    </row>
    <row r="101" spans="1:14">
      <c r="A101" s="67" t="s">
        <v>293</v>
      </c>
      <c r="B101" s="38">
        <v>336024</v>
      </c>
      <c r="D101" s="67" t="s">
        <v>293</v>
      </c>
      <c r="E101" s="24">
        <f>IF(ISNA(VLOOKUP($D101,'Audit Values'!$A$2:$DL$374,2,FALSE)), 0, VLOOKUP($D101,'Audit Values'!$A$2:$DL$374,72,FALSE))</f>
        <v>0</v>
      </c>
      <c r="F101" s="24">
        <f>Transportation!G101</f>
        <v>0</v>
      </c>
      <c r="G101" s="24"/>
      <c r="H101" s="24"/>
      <c r="I101" s="128"/>
      <c r="J101" s="105"/>
      <c r="K101" s="128" t="str">
        <f>IF(AND(H101&lt;&gt;"",(OR(H101&lt;'2019 Legal Max'!BG101, ('Weighting Factors'!H101-'2019 Legal Max'!BG101)/'2019 Legal Max'!BG101&gt;0.025))), "Confirm!", "")</f>
        <v/>
      </c>
      <c r="L101" s="126">
        <f>IF(ISNA(VLOOKUP($CV101,'Audit Values'!$A$3:$BW$3,2,FALSE)),'Preliminary SO66'!B100,VLOOKUP($CV101,'Audit Values'!$A$3:$BW$3,32,FALSE))</f>
        <v>1</v>
      </c>
      <c r="N101" s="95"/>
    </row>
    <row r="102" spans="1:14">
      <c r="A102" s="67" t="s">
        <v>294</v>
      </c>
      <c r="B102" s="38">
        <v>211022</v>
      </c>
      <c r="D102" s="67" t="s">
        <v>294</v>
      </c>
      <c r="E102" s="24">
        <f>IF(ISNA(VLOOKUP($D102,'Audit Values'!$A$2:$DL$374,2,FALSE)), 0, VLOOKUP($D102,'Audit Values'!$A$2:$DL$374,72,FALSE))</f>
        <v>0</v>
      </c>
      <c r="F102" s="24">
        <f>Transportation!G102</f>
        <v>0</v>
      </c>
      <c r="G102" s="24"/>
      <c r="H102" s="24"/>
      <c r="I102" s="128"/>
      <c r="J102" s="105"/>
      <c r="K102" s="128" t="str">
        <f>IF(AND(H102&lt;&gt;"",(OR(H102&lt;'2019 Legal Max'!BG102, ('Weighting Factors'!H102-'2019 Legal Max'!BG102)/'2019 Legal Max'!BG102&gt;0.025))), "Confirm!", "")</f>
        <v/>
      </c>
      <c r="L102" s="126">
        <f>IF(ISNA(VLOOKUP($CV102,'Audit Values'!$A$3:$BW$3,2,FALSE)),'Preliminary SO66'!B101,VLOOKUP($CV102,'Audit Values'!$A$3:$BW$3,32,FALSE))</f>
        <v>1</v>
      </c>
      <c r="N102" s="95"/>
    </row>
    <row r="103" spans="1:14">
      <c r="A103" s="67" t="s">
        <v>295</v>
      </c>
      <c r="B103" s="38">
        <v>375477</v>
      </c>
      <c r="D103" s="67" t="s">
        <v>295</v>
      </c>
      <c r="E103" s="24">
        <f>IF(ISNA(VLOOKUP($D103,'Audit Values'!$A$2:$DL$374,2,FALSE)), 0, VLOOKUP($D103,'Audit Values'!$A$2:$DL$374,72,FALSE))</f>
        <v>0</v>
      </c>
      <c r="F103" s="24">
        <f>Transportation!G103</f>
        <v>0</v>
      </c>
      <c r="G103" s="24"/>
      <c r="H103" s="24"/>
      <c r="I103" s="128"/>
      <c r="J103" s="105"/>
      <c r="K103" s="128" t="str">
        <f>IF(AND(H103&lt;&gt;"",(OR(H103&lt;'2019 Legal Max'!BG103, ('Weighting Factors'!H103-'2019 Legal Max'!BG103)/'2019 Legal Max'!BG103&gt;0.025))), "Confirm!", "")</f>
        <v/>
      </c>
      <c r="L103" s="126">
        <f>IF(ISNA(VLOOKUP($CV103,'Audit Values'!$A$3:$BW$3,2,FALSE)),'Preliminary SO66'!B102,VLOOKUP($CV103,'Audit Values'!$A$3:$BW$3,32,FALSE))</f>
        <v>1</v>
      </c>
      <c r="N103" s="95"/>
    </row>
    <row r="104" spans="1:14">
      <c r="A104" s="67" t="s">
        <v>296</v>
      </c>
      <c r="B104" s="38">
        <v>152613</v>
      </c>
      <c r="D104" s="67" t="s">
        <v>296</v>
      </c>
      <c r="E104" s="24">
        <f>IF(ISNA(VLOOKUP($D104,'Audit Values'!$A$2:$DL$374,2,FALSE)), 0, VLOOKUP($D104,'Audit Values'!$A$2:$DL$374,72,FALSE))</f>
        <v>0</v>
      </c>
      <c r="F104" s="24">
        <f>Transportation!G104</f>
        <v>-15905</v>
      </c>
      <c r="G104" s="24"/>
      <c r="H104" s="24"/>
      <c r="I104" s="128"/>
      <c r="J104" s="105"/>
      <c r="K104" s="128" t="str">
        <f>IF(AND(H104&lt;&gt;"",(OR(H104&lt;'2019 Legal Max'!BG104, ('Weighting Factors'!H104-'2019 Legal Max'!BG104)/'2019 Legal Max'!BG104&gt;0.025))), "Confirm!", "")</f>
        <v/>
      </c>
      <c r="L104" s="126">
        <f>IF(ISNA(VLOOKUP($CV104,'Audit Values'!$A$3:$BW$3,2,FALSE)),'Preliminary SO66'!B103,VLOOKUP($CV104,'Audit Values'!$A$3:$BW$3,32,FALSE))</f>
        <v>1</v>
      </c>
      <c r="N104" s="95"/>
    </row>
    <row r="105" spans="1:14">
      <c r="A105" s="67" t="s">
        <v>297</v>
      </c>
      <c r="B105" s="38">
        <v>356029</v>
      </c>
      <c r="D105" s="67" t="s">
        <v>297</v>
      </c>
      <c r="E105" s="24">
        <f>IF(ISNA(VLOOKUP($D105,'Audit Values'!$A$2:$DL$374,2,FALSE)), 0, VLOOKUP($D105,'Audit Values'!$A$2:$DL$374,72,FALSE))</f>
        <v>0</v>
      </c>
      <c r="F105" s="24">
        <f>Transportation!G105</f>
        <v>0</v>
      </c>
      <c r="G105" s="24"/>
      <c r="H105" s="24"/>
      <c r="I105" s="128"/>
      <c r="J105" s="105"/>
      <c r="K105" s="128" t="str">
        <f>IF(AND(H105&lt;&gt;"",(OR(H105&lt;'2019 Legal Max'!BG105, ('Weighting Factors'!H105-'2019 Legal Max'!BG105)/'2019 Legal Max'!BG105&gt;0.025))), "Confirm!", "")</f>
        <v/>
      </c>
      <c r="L105" s="126">
        <f>IF(ISNA(VLOOKUP($CV105,'Audit Values'!$A$3:$BW$3,2,FALSE)),'Preliminary SO66'!B104,VLOOKUP($CV105,'Audit Values'!$A$3:$BW$3,32,FALSE))</f>
        <v>1</v>
      </c>
      <c r="N105" s="95"/>
    </row>
    <row r="106" spans="1:14">
      <c r="A106" s="67" t="s">
        <v>298</v>
      </c>
      <c r="B106" s="38">
        <v>229741</v>
      </c>
      <c r="D106" s="67" t="s">
        <v>298</v>
      </c>
      <c r="E106" s="24">
        <f>IF(ISNA(VLOOKUP($D106,'Audit Values'!$A$2:$DL$374,2,FALSE)), 0, VLOOKUP($D106,'Audit Values'!$A$2:$DL$374,72,FALSE))</f>
        <v>0</v>
      </c>
      <c r="F106" s="24">
        <f>Transportation!G106</f>
        <v>0</v>
      </c>
      <c r="G106" s="24"/>
      <c r="H106" s="24"/>
      <c r="I106" s="128"/>
      <c r="J106" s="105"/>
      <c r="K106" s="128" t="str">
        <f>IF(AND(H106&lt;&gt;"",(OR(H106&lt;'2019 Legal Max'!BG106, ('Weighting Factors'!H106-'2019 Legal Max'!BG106)/'2019 Legal Max'!BG106&gt;0.025))), "Confirm!", "")</f>
        <v/>
      </c>
      <c r="L106" s="126">
        <f>IF(ISNA(VLOOKUP($CV106,'Audit Values'!$A$3:$BW$3,2,FALSE)),'Preliminary SO66'!B105,VLOOKUP($CV106,'Audit Values'!$A$3:$BW$3,32,FALSE))</f>
        <v>1</v>
      </c>
      <c r="N106" s="95"/>
    </row>
    <row r="107" spans="1:14">
      <c r="A107" s="67" t="s">
        <v>299</v>
      </c>
      <c r="B107" s="38">
        <v>6968955</v>
      </c>
      <c r="D107" s="67" t="s">
        <v>299</v>
      </c>
      <c r="E107" s="24">
        <f>IF(ISNA(VLOOKUP($D107,'Audit Values'!$A$2:$DL$374,2,FALSE)), 0, VLOOKUP($D107,'Audit Values'!$A$2:$DL$374,72,FALSE))</f>
        <v>0</v>
      </c>
      <c r="F107" s="24">
        <f>Transportation!G107</f>
        <v>0</v>
      </c>
      <c r="G107" s="24"/>
      <c r="H107" s="24"/>
      <c r="I107" s="128"/>
      <c r="J107" s="105"/>
      <c r="K107" s="128" t="str">
        <f>IF(AND(H107&lt;&gt;"",(OR(H107&lt;'2019 Legal Max'!BG107, ('Weighting Factors'!H107-'2019 Legal Max'!BG107)/'2019 Legal Max'!BG107&gt;0.025))), "Confirm!", "")</f>
        <v/>
      </c>
      <c r="L107" s="126">
        <f>IF(ISNA(VLOOKUP($CV107,'Audit Values'!$A$3:$BW$3,2,FALSE)),'Preliminary SO66'!B106,VLOOKUP($CV107,'Audit Values'!$A$3:$BW$3,32,FALSE))</f>
        <v>1</v>
      </c>
      <c r="N107" s="95"/>
    </row>
    <row r="108" spans="1:14">
      <c r="A108" s="67" t="s">
        <v>300</v>
      </c>
      <c r="B108" s="38">
        <v>603783</v>
      </c>
      <c r="D108" s="67" t="s">
        <v>300</v>
      </c>
      <c r="E108" s="24">
        <f>IF(ISNA(VLOOKUP($D108,'Audit Values'!$A$2:$DL$374,2,FALSE)), 0, VLOOKUP($D108,'Audit Values'!$A$2:$DL$374,72,FALSE))</f>
        <v>0</v>
      </c>
      <c r="F108" s="24">
        <f>Transportation!G108</f>
        <v>-2709</v>
      </c>
      <c r="G108" s="24"/>
      <c r="H108" s="24">
        <v>5354108</v>
      </c>
      <c r="I108" s="128">
        <v>29</v>
      </c>
      <c r="J108" s="105"/>
      <c r="K108" s="128" t="str">
        <f>IF(AND(H108&lt;&gt;"",(OR(H108&lt;'2019 Legal Max'!BG108, ('Weighting Factors'!H108-'2019 Legal Max'!BG108)/'2019 Legal Max'!BG108&gt;0.025))), "Confirm!", "")</f>
        <v/>
      </c>
      <c r="L108" s="126">
        <f>IF(ISNA(VLOOKUP($CV108,'Audit Values'!$A$3:$BW$3,2,FALSE)),'Preliminary SO66'!B107,VLOOKUP($CV108,'Audit Values'!$A$3:$BW$3,32,FALSE))</f>
        <v>1</v>
      </c>
      <c r="N108" s="95"/>
    </row>
    <row r="109" spans="1:14">
      <c r="A109" s="67" t="s">
        <v>301</v>
      </c>
      <c r="B109" s="38">
        <v>410156</v>
      </c>
      <c r="D109" s="67" t="s">
        <v>301</v>
      </c>
      <c r="E109" s="24">
        <f>IF(ISNA(VLOOKUP($D109,'Audit Values'!$A$2:$DL$374,2,FALSE)), 0, VLOOKUP($D109,'Audit Values'!$A$2:$DL$374,72,FALSE))</f>
        <v>0</v>
      </c>
      <c r="F109" s="24">
        <f>Transportation!G109</f>
        <v>-16616</v>
      </c>
      <c r="G109" s="24"/>
      <c r="H109" s="24"/>
      <c r="I109" s="128"/>
      <c r="J109" s="105"/>
      <c r="K109" s="128" t="str">
        <f>IF(AND(H109&lt;&gt;"",(OR(H109&lt;'2019 Legal Max'!BG109, ('Weighting Factors'!H109-'2019 Legal Max'!BG109)/'2019 Legal Max'!BG109&gt;0.025))), "Confirm!", "")</f>
        <v/>
      </c>
      <c r="L109" s="126">
        <f>IF(ISNA(VLOOKUP($CV109,'Audit Values'!$A$3:$BW$3,2,FALSE)),'Preliminary SO66'!B108,VLOOKUP($CV109,'Audit Values'!$A$3:$BW$3,32,FALSE))</f>
        <v>1</v>
      </c>
      <c r="N109" s="95"/>
    </row>
    <row r="110" spans="1:14">
      <c r="A110" s="67" t="s">
        <v>302</v>
      </c>
      <c r="B110" s="38">
        <v>3778404</v>
      </c>
      <c r="D110" s="67" t="s">
        <v>302</v>
      </c>
      <c r="E110" s="24">
        <f>IF(ISNA(VLOOKUP($D110,'Audit Values'!$A$2:$DL$374,2,FALSE)), 0, VLOOKUP($D110,'Audit Values'!$A$2:$DL$374,72,FALSE))</f>
        <v>-709</v>
      </c>
      <c r="F110" s="24">
        <f>Transportation!G110</f>
        <v>0</v>
      </c>
      <c r="G110" s="24"/>
      <c r="H110" s="24"/>
      <c r="I110" s="128"/>
      <c r="J110" s="105"/>
      <c r="K110" s="128" t="str">
        <f>IF(AND(H110&lt;&gt;"",(OR(H110&lt;'2019 Legal Max'!BG110, ('Weighting Factors'!H110-'2019 Legal Max'!BG110)/'2019 Legal Max'!BG110&gt;0.025))), "Confirm!", "")</f>
        <v/>
      </c>
      <c r="L110" s="126">
        <f>IF(ISNA(VLOOKUP($CV110,'Audit Values'!$A$3:$BW$3,2,FALSE)),'Preliminary SO66'!B109,VLOOKUP($CV110,'Audit Values'!$A$3:$BW$3,32,FALSE))</f>
        <v>1</v>
      </c>
      <c r="N110" s="95"/>
    </row>
    <row r="111" spans="1:14">
      <c r="A111" s="67" t="s">
        <v>303</v>
      </c>
      <c r="B111" s="38">
        <v>1185157</v>
      </c>
      <c r="D111" s="67" t="s">
        <v>303</v>
      </c>
      <c r="E111" s="24">
        <f>IF(ISNA(VLOOKUP($D111,'Audit Values'!$A$2:$DL$374,2,FALSE)), 0, VLOOKUP($D111,'Audit Values'!$A$2:$DL$374,72,FALSE))</f>
        <v>0</v>
      </c>
      <c r="F111" s="24">
        <f>Transportation!G111</f>
        <v>0</v>
      </c>
      <c r="G111" s="24"/>
      <c r="H111" s="24"/>
      <c r="I111" s="128"/>
      <c r="J111" s="105"/>
      <c r="K111" s="128" t="str">
        <f>IF(AND(H111&lt;&gt;"",(OR(H111&lt;'2019 Legal Max'!BG111, ('Weighting Factors'!H111-'2019 Legal Max'!BG111)/'2019 Legal Max'!BG111&gt;0.025))), "Confirm!", "")</f>
        <v/>
      </c>
      <c r="L111" s="126">
        <f>IF(ISNA(VLOOKUP($CV111,'Audit Values'!$A$3:$BW$3,2,FALSE)),'Preliminary SO66'!B110,VLOOKUP($CV111,'Audit Values'!$A$3:$BW$3,32,FALSE))</f>
        <v>1</v>
      </c>
      <c r="N111" s="95"/>
    </row>
    <row r="112" spans="1:14">
      <c r="A112" s="67" t="s">
        <v>304</v>
      </c>
      <c r="B112" s="38">
        <v>385012</v>
      </c>
      <c r="D112" s="67" t="s">
        <v>304</v>
      </c>
      <c r="E112" s="24">
        <f>IF(ISNA(VLOOKUP($D112,'Audit Values'!$A$2:$DL$374,2,FALSE)), 0, VLOOKUP($D112,'Audit Values'!$A$2:$DL$374,72,FALSE))</f>
        <v>0</v>
      </c>
      <c r="F112" s="24">
        <f>Transportation!G112</f>
        <v>0</v>
      </c>
      <c r="G112" s="24"/>
      <c r="H112" s="24"/>
      <c r="I112" s="128"/>
      <c r="J112" s="105"/>
      <c r="K112" s="128" t="str">
        <f>IF(AND(H112&lt;&gt;"",(OR(H112&lt;'2019 Legal Max'!BG112, ('Weighting Factors'!H112-'2019 Legal Max'!BG112)/'2019 Legal Max'!BG112&gt;0.025))), "Confirm!", "")</f>
        <v/>
      </c>
      <c r="L112" s="126">
        <f>IF(ISNA(VLOOKUP($CV112,'Audit Values'!$A$3:$BW$3,2,FALSE)),'Preliminary SO66'!B111,VLOOKUP($CV112,'Audit Values'!$A$3:$BW$3,32,FALSE))</f>
        <v>1</v>
      </c>
      <c r="N112" s="95"/>
    </row>
    <row r="113" spans="1:14">
      <c r="A113" s="67" t="s">
        <v>305</v>
      </c>
      <c r="B113" s="38">
        <v>255358</v>
      </c>
      <c r="D113" s="67" t="s">
        <v>305</v>
      </c>
      <c r="E113" s="24">
        <f>IF(ISNA(VLOOKUP($D113,'Audit Values'!$A$2:$DL$374,2,FALSE)), 0, VLOOKUP($D113,'Audit Values'!$A$2:$DL$374,72,FALSE))</f>
        <v>0</v>
      </c>
      <c r="F113" s="24">
        <f>Transportation!G113</f>
        <v>0</v>
      </c>
      <c r="G113" s="24"/>
      <c r="H113" s="24"/>
      <c r="I113" s="128"/>
      <c r="J113" s="105"/>
      <c r="K113" s="128" t="str">
        <f>IF(AND(H113&lt;&gt;"",(OR(H113&lt;'2019 Legal Max'!BG113, ('Weighting Factors'!H113-'2019 Legal Max'!BG113)/'2019 Legal Max'!BG113&gt;0.025))), "Confirm!", "")</f>
        <v/>
      </c>
      <c r="L113" s="126">
        <f>IF(ISNA(VLOOKUP($CV113,'Audit Values'!$A$3:$BW$3,2,FALSE)),'Preliminary SO66'!B112,VLOOKUP($CV113,'Audit Values'!$A$3:$BW$3,32,FALSE))</f>
        <v>1</v>
      </c>
      <c r="N113" s="95"/>
    </row>
    <row r="114" spans="1:14">
      <c r="A114" s="67" t="s">
        <v>306</v>
      </c>
      <c r="B114" s="38">
        <v>984291</v>
      </c>
      <c r="D114" s="67" t="s">
        <v>306</v>
      </c>
      <c r="E114" s="24">
        <f>IF(ISNA(VLOOKUP($D114,'Audit Values'!$A$2:$DL$374,2,FALSE)), 0, VLOOKUP($D114,'Audit Values'!$A$2:$DL$374,72,FALSE))</f>
        <v>0</v>
      </c>
      <c r="F114" s="24">
        <f>Transportation!G114</f>
        <v>-161468</v>
      </c>
      <c r="G114" s="24"/>
      <c r="H114" s="24"/>
      <c r="I114" s="128"/>
      <c r="J114" s="105"/>
      <c r="K114" s="128" t="str">
        <f>IF(AND(H114&lt;&gt;"",(OR(H114&lt;'2019 Legal Max'!BG114, ('Weighting Factors'!H114-'2019 Legal Max'!BG114)/'2019 Legal Max'!BG114&gt;0.025))), "Confirm!", "")</f>
        <v/>
      </c>
      <c r="L114" s="126">
        <f>IF(ISNA(VLOOKUP($CV114,'Audit Values'!$A$3:$BW$3,2,FALSE)),'Preliminary SO66'!B113,VLOOKUP($CV114,'Audit Values'!$A$3:$BW$3,32,FALSE))</f>
        <v>1</v>
      </c>
      <c r="N114" s="95"/>
    </row>
    <row r="115" spans="1:14">
      <c r="A115" s="67" t="s">
        <v>307</v>
      </c>
      <c r="B115" s="38">
        <v>2427444</v>
      </c>
      <c r="D115" s="67" t="s">
        <v>307</v>
      </c>
      <c r="E115" s="24">
        <f>IF(ISNA(VLOOKUP($D115,'Audit Values'!$A$2:$DL$374,2,FALSE)), 0, VLOOKUP($D115,'Audit Values'!$A$2:$DL$374,72,FALSE))</f>
        <v>0</v>
      </c>
      <c r="F115" s="24">
        <f>Transportation!G115</f>
        <v>0</v>
      </c>
      <c r="G115" s="24"/>
      <c r="H115" s="24">
        <v>15000000</v>
      </c>
      <c r="I115" s="128">
        <v>26</v>
      </c>
      <c r="J115" s="105"/>
      <c r="K115" s="128" t="str">
        <f>IF(AND(H115&lt;&gt;"",(OR(H115&lt;'2019 Legal Max'!BG115, ('Weighting Factors'!H115-'2019 Legal Max'!BG115)/'2019 Legal Max'!BG115&gt;0.025))), "Confirm!", "")</f>
        <v>Confirm!</v>
      </c>
      <c r="L115" s="126">
        <f>IF(ISNA(VLOOKUP($CV115,'Audit Values'!$A$3:$BW$3,2,FALSE)),'Preliminary SO66'!B114,VLOOKUP($CV115,'Audit Values'!$A$3:$BW$3,32,FALSE))</f>
        <v>1</v>
      </c>
      <c r="N115" s="95"/>
    </row>
    <row r="116" spans="1:14">
      <c r="A116" s="67" t="s">
        <v>308</v>
      </c>
      <c r="B116" s="38">
        <v>117129</v>
      </c>
      <c r="D116" s="67" t="s">
        <v>308</v>
      </c>
      <c r="E116" s="24">
        <f>IF(ISNA(VLOOKUP($D116,'Audit Values'!$A$2:$DL$374,2,FALSE)), 0, VLOOKUP($D116,'Audit Values'!$A$2:$DL$374,72,FALSE))</f>
        <v>0</v>
      </c>
      <c r="F116" s="24">
        <f>Transportation!G116</f>
        <v>-3162</v>
      </c>
      <c r="G116" s="24"/>
      <c r="H116" s="24"/>
      <c r="I116" s="128"/>
      <c r="J116" s="105"/>
      <c r="K116" s="128" t="str">
        <f>IF(AND(H116&lt;&gt;"",(OR(H116&lt;'2019 Legal Max'!BG116, ('Weighting Factors'!H116-'2019 Legal Max'!BG116)/'2019 Legal Max'!BG116&gt;0.025))), "Confirm!", "")</f>
        <v/>
      </c>
      <c r="L116" s="126">
        <f>IF(ISNA(VLOOKUP($CV116,'Audit Values'!$A$3:$BW$3,2,FALSE)),'Preliminary SO66'!B115,VLOOKUP($CV116,'Audit Values'!$A$3:$BW$3,32,FALSE))</f>
        <v>1</v>
      </c>
      <c r="N116" s="95"/>
    </row>
    <row r="117" spans="1:14">
      <c r="A117" s="67" t="s">
        <v>309</v>
      </c>
      <c r="B117" s="38">
        <v>1046262</v>
      </c>
      <c r="D117" s="67" t="s">
        <v>309</v>
      </c>
      <c r="E117" s="24">
        <f>IF(ISNA(VLOOKUP($D117,'Audit Values'!$A$2:$DL$374,2,FALSE)), 0, VLOOKUP($D117,'Audit Values'!$A$2:$DL$374,72,FALSE))</f>
        <v>-1773</v>
      </c>
      <c r="F117" s="24">
        <f>Transportation!G117</f>
        <v>-38724</v>
      </c>
      <c r="G117" s="24"/>
      <c r="H117" s="24">
        <v>6438063</v>
      </c>
      <c r="I117" s="128">
        <v>22</v>
      </c>
      <c r="J117" s="105"/>
      <c r="K117" s="128" t="str">
        <f>IF(AND(H117&lt;&gt;"",(OR(H117&lt;'2019 Legal Max'!BG117, ('Weighting Factors'!H117-'2019 Legal Max'!BG117)/'2019 Legal Max'!BG117&gt;0.025))), "Confirm!", "")</f>
        <v/>
      </c>
      <c r="L117" s="126">
        <f>IF(ISNA(VLOOKUP($CV117,'Audit Values'!$A$3:$BW$3,2,FALSE)),'Preliminary SO66'!B116,VLOOKUP($CV117,'Audit Values'!$A$3:$BW$3,32,FALSE))</f>
        <v>1</v>
      </c>
      <c r="N117" s="95"/>
    </row>
    <row r="118" spans="1:14">
      <c r="A118" s="67" t="s">
        <v>310</v>
      </c>
      <c r="B118" s="38">
        <v>341861</v>
      </c>
      <c r="D118" s="67" t="s">
        <v>310</v>
      </c>
      <c r="E118" s="24">
        <f>IF(ISNA(VLOOKUP($D118,'Audit Values'!$A$2:$DL$374,2,FALSE)), 0, VLOOKUP($D118,'Audit Values'!$A$2:$DL$374,72,FALSE))</f>
        <v>0</v>
      </c>
      <c r="F118" s="24">
        <f>Transportation!G118</f>
        <v>0</v>
      </c>
      <c r="G118" s="24"/>
      <c r="H118" s="24"/>
      <c r="I118" s="128"/>
      <c r="J118" s="105"/>
      <c r="K118" s="128" t="str">
        <f>IF(AND(H118&lt;&gt;"",(OR(H118&lt;'2019 Legal Max'!BG118, ('Weighting Factors'!H118-'2019 Legal Max'!BG118)/'2019 Legal Max'!BG118&gt;0.025))), "Confirm!", "")</f>
        <v/>
      </c>
      <c r="L118" s="126">
        <f>IF(ISNA(VLOOKUP($CV118,'Audit Values'!$A$3:$BW$3,2,FALSE)),'Preliminary SO66'!B117,VLOOKUP($CV118,'Audit Values'!$A$3:$BW$3,32,FALSE))</f>
        <v>1</v>
      </c>
      <c r="N118" s="95"/>
    </row>
    <row r="119" spans="1:14">
      <c r="A119" s="67" t="s">
        <v>311</v>
      </c>
      <c r="B119" s="38">
        <v>1364892</v>
      </c>
      <c r="D119" s="67" t="s">
        <v>311</v>
      </c>
      <c r="E119" s="24">
        <f>IF(ISNA(VLOOKUP($D119,'Audit Values'!$A$2:$DL$374,2,FALSE)), 0, VLOOKUP($D119,'Audit Values'!$A$2:$DL$374,72,FALSE))</f>
        <v>-355</v>
      </c>
      <c r="F119" s="24">
        <f>Transportation!G119</f>
        <v>0</v>
      </c>
      <c r="G119" s="24"/>
      <c r="H119" s="24"/>
      <c r="I119" s="128"/>
      <c r="J119" s="105"/>
      <c r="K119" s="128" t="str">
        <f>IF(AND(H119&lt;&gt;"",(OR(H119&lt;'2019 Legal Max'!BG119, ('Weighting Factors'!H119-'2019 Legal Max'!BG119)/'2019 Legal Max'!BG119&gt;0.025))), "Confirm!", "")</f>
        <v/>
      </c>
      <c r="L119" s="126">
        <f>IF(ISNA(VLOOKUP($CV119,'Audit Values'!$A$3:$BW$3,2,FALSE)),'Preliminary SO66'!B118,VLOOKUP($CV119,'Audit Values'!$A$3:$BW$3,32,FALSE))</f>
        <v>1</v>
      </c>
      <c r="N119" s="95"/>
    </row>
    <row r="120" spans="1:14">
      <c r="A120" s="67" t="s">
        <v>312</v>
      </c>
      <c r="B120" s="38">
        <v>1389894</v>
      </c>
      <c r="D120" s="67" t="s">
        <v>312</v>
      </c>
      <c r="E120" s="24">
        <f>IF(ISNA(VLOOKUP($D120,'Audit Values'!$A$2:$DL$374,2,FALSE)), 0, VLOOKUP($D120,'Audit Values'!$A$2:$DL$374,72,FALSE))</f>
        <v>0</v>
      </c>
      <c r="F120" s="24">
        <f>Transportation!G120</f>
        <v>-240679</v>
      </c>
      <c r="G120" s="24"/>
      <c r="H120" s="24"/>
      <c r="I120" s="128"/>
      <c r="J120" s="105"/>
      <c r="K120" s="128" t="str">
        <f>IF(AND(H120&lt;&gt;"",(OR(H120&lt;'2019 Legal Max'!BG120, ('Weighting Factors'!H120-'2019 Legal Max'!BG120)/'2019 Legal Max'!BG120&gt;0.025))), "Confirm!", "")</f>
        <v/>
      </c>
      <c r="L120" s="126">
        <f>IF(ISNA(VLOOKUP($CV120,'Audit Values'!$A$3:$BW$3,2,FALSE)),'Preliminary SO66'!B119,VLOOKUP($CV120,'Audit Values'!$A$3:$BW$3,32,FALSE))</f>
        <v>1</v>
      </c>
      <c r="N120" s="95"/>
    </row>
    <row r="121" spans="1:14">
      <c r="A121" s="67" t="s">
        <v>313</v>
      </c>
      <c r="B121" s="38">
        <v>278544</v>
      </c>
      <c r="D121" s="67" t="s">
        <v>313</v>
      </c>
      <c r="E121" s="24">
        <f>IF(ISNA(VLOOKUP($D121,'Audit Values'!$A$2:$DL$374,2,FALSE)), 0, VLOOKUP($D121,'Audit Values'!$A$2:$DL$374,72,FALSE))</f>
        <v>0</v>
      </c>
      <c r="F121" s="24">
        <f>Transportation!G121</f>
        <v>-11521</v>
      </c>
      <c r="G121" s="24"/>
      <c r="H121" s="24"/>
      <c r="I121" s="128"/>
      <c r="J121" s="105"/>
      <c r="K121" s="128" t="str">
        <f>IF(AND(H121&lt;&gt;"",(OR(H121&lt;'2019 Legal Max'!BG121, ('Weighting Factors'!H121-'2019 Legal Max'!BG121)/'2019 Legal Max'!BG121&gt;0.025))), "Confirm!", "")</f>
        <v/>
      </c>
      <c r="L121" s="126">
        <f>IF(ISNA(VLOOKUP($CV121,'Audit Values'!$A$3:$BW$3,2,FALSE)),'Preliminary SO66'!B120,VLOOKUP($CV121,'Audit Values'!$A$3:$BW$3,32,FALSE))</f>
        <v>1</v>
      </c>
      <c r="N121" s="95"/>
    </row>
    <row r="122" spans="1:14">
      <c r="A122" s="67" t="s">
        <v>314</v>
      </c>
      <c r="B122" s="38">
        <v>889996</v>
      </c>
      <c r="D122" s="67" t="s">
        <v>314</v>
      </c>
      <c r="E122" s="24">
        <f>IF(ISNA(VLOOKUP($D122,'Audit Values'!$A$2:$DL$374,2,FALSE)), 0, VLOOKUP($D122,'Audit Values'!$A$2:$DL$374,72,FALSE))</f>
        <v>0</v>
      </c>
      <c r="F122" s="24">
        <f>Transportation!G122</f>
        <v>-45</v>
      </c>
      <c r="G122" s="24"/>
      <c r="H122" s="24"/>
      <c r="I122" s="128"/>
      <c r="J122" s="105"/>
      <c r="K122" s="128" t="str">
        <f>IF(AND(H122&lt;&gt;"",(OR(H122&lt;'2019 Legal Max'!BG122, ('Weighting Factors'!H122-'2019 Legal Max'!BG122)/'2019 Legal Max'!BG122&gt;0.025))), "Confirm!", "")</f>
        <v/>
      </c>
      <c r="L122" s="126">
        <f>IF(ISNA(VLOOKUP($CV122,'Audit Values'!$A$3:$BW$3,2,FALSE)),'Preliminary SO66'!B121,VLOOKUP($CV122,'Audit Values'!$A$3:$BW$3,32,FALSE))</f>
        <v>1</v>
      </c>
      <c r="N122" s="95"/>
    </row>
    <row r="123" spans="1:14">
      <c r="A123" s="67" t="s">
        <v>315</v>
      </c>
      <c r="B123" s="38">
        <v>757039</v>
      </c>
      <c r="D123" s="67" t="s">
        <v>315</v>
      </c>
      <c r="E123" s="24">
        <f>IF(ISNA(VLOOKUP($D123,'Audit Values'!$A$2:$DL$374,2,FALSE)), 0, VLOOKUP($D123,'Audit Values'!$A$2:$DL$374,72,FALSE))</f>
        <v>0</v>
      </c>
      <c r="F123" s="24">
        <f>Transportation!G123</f>
        <v>0</v>
      </c>
      <c r="G123" s="24"/>
      <c r="H123" s="24"/>
      <c r="I123" s="128"/>
      <c r="J123" s="105"/>
      <c r="K123" s="128" t="str">
        <f>IF(AND(H123&lt;&gt;"",(OR(H123&lt;'2019 Legal Max'!BG123, ('Weighting Factors'!H123-'2019 Legal Max'!BG123)/'2019 Legal Max'!BG123&gt;0.025))), "Confirm!", "")</f>
        <v/>
      </c>
      <c r="L123" s="126">
        <f>IF(ISNA(VLOOKUP($CV123,'Audit Values'!$A$3:$BW$3,2,FALSE)),'Preliminary SO66'!B122,VLOOKUP($CV123,'Audit Values'!$A$3:$BW$3,32,FALSE))</f>
        <v>1</v>
      </c>
      <c r="N123" s="95"/>
    </row>
    <row r="124" spans="1:14">
      <c r="A124" s="67" t="s">
        <v>316</v>
      </c>
      <c r="B124" s="38">
        <v>216525</v>
      </c>
      <c r="D124" s="67" t="s">
        <v>316</v>
      </c>
      <c r="E124" s="24">
        <f>IF(ISNA(VLOOKUP($D124,'Audit Values'!$A$2:$DL$374,2,FALSE)), 0, VLOOKUP($D124,'Audit Values'!$A$2:$DL$374,72,FALSE))</f>
        <v>0</v>
      </c>
      <c r="F124" s="24">
        <f>Transportation!G124</f>
        <v>-28502</v>
      </c>
      <c r="G124" s="24"/>
      <c r="H124" s="24"/>
      <c r="I124" s="128"/>
      <c r="J124" s="105"/>
      <c r="K124" s="128" t="str">
        <f>IF(AND(H124&lt;&gt;"",(OR(H124&lt;'2019 Legal Max'!BG124, ('Weighting Factors'!H124-'2019 Legal Max'!BG124)/'2019 Legal Max'!BG124&gt;0.025))), "Confirm!", "")</f>
        <v/>
      </c>
      <c r="L124" s="126">
        <f>IF(ISNA(VLOOKUP($CV124,'Audit Values'!$A$3:$BW$3,2,FALSE)),'Preliminary SO66'!B123,VLOOKUP($CV124,'Audit Values'!$A$3:$BW$3,32,FALSE))</f>
        <v>1</v>
      </c>
      <c r="N124" s="95"/>
    </row>
    <row r="125" spans="1:14">
      <c r="A125" s="67" t="s">
        <v>317</v>
      </c>
      <c r="B125" s="38">
        <v>519523</v>
      </c>
      <c r="D125" s="67" t="s">
        <v>317</v>
      </c>
      <c r="E125" s="24">
        <f>IF(ISNA(VLOOKUP($D125,'Audit Values'!$A$2:$DL$374,2,FALSE)), 0, VLOOKUP($D125,'Audit Values'!$A$2:$DL$374,72,FALSE))</f>
        <v>0</v>
      </c>
      <c r="F125" s="24">
        <f>Transportation!G125</f>
        <v>-85848</v>
      </c>
      <c r="G125" s="24"/>
      <c r="H125" s="24"/>
      <c r="I125" s="128"/>
      <c r="J125" s="105"/>
      <c r="K125" s="128" t="str">
        <f>IF(AND(H125&lt;&gt;"",(OR(H125&lt;'2019 Legal Max'!BG125, ('Weighting Factors'!H125-'2019 Legal Max'!BG125)/'2019 Legal Max'!BG125&gt;0.025))), "Confirm!", "")</f>
        <v/>
      </c>
      <c r="L125" s="126">
        <f>IF(ISNA(VLOOKUP($CV125,'Audit Values'!$A$3:$BW$3,2,FALSE)),'Preliminary SO66'!B124,VLOOKUP($CV125,'Audit Values'!$A$3:$BW$3,32,FALSE))</f>
        <v>1</v>
      </c>
      <c r="N125" s="95"/>
    </row>
    <row r="126" spans="1:14">
      <c r="A126" s="67" t="s">
        <v>318</v>
      </c>
      <c r="B126" s="38">
        <v>536962</v>
      </c>
      <c r="D126" s="67" t="s">
        <v>318</v>
      </c>
      <c r="E126" s="24">
        <f>IF(ISNA(VLOOKUP($D126,'Audit Values'!$A$2:$DL$374,2,FALSE)), 0, VLOOKUP($D126,'Audit Values'!$A$2:$DL$374,72,FALSE))</f>
        <v>0</v>
      </c>
      <c r="F126" s="24">
        <f>Transportation!G126</f>
        <v>-51913</v>
      </c>
      <c r="G126" s="24"/>
      <c r="H126" s="24"/>
      <c r="I126" s="128"/>
      <c r="J126" s="105"/>
      <c r="K126" s="128" t="str">
        <f>IF(AND(H126&lt;&gt;"",(OR(H126&lt;'2019 Legal Max'!BG126, ('Weighting Factors'!H126-'2019 Legal Max'!BG126)/'2019 Legal Max'!BG126&gt;0.025))), "Confirm!", "")</f>
        <v/>
      </c>
      <c r="L126" s="126">
        <f>IF(ISNA(VLOOKUP($CV126,'Audit Values'!$A$3:$BW$3,2,FALSE)),'Preliminary SO66'!B125,VLOOKUP($CV126,'Audit Values'!$A$3:$BW$3,32,FALSE))</f>
        <v>1</v>
      </c>
      <c r="N126" s="95"/>
    </row>
    <row r="127" spans="1:14">
      <c r="A127" s="67" t="s">
        <v>319</v>
      </c>
      <c r="B127" s="38">
        <v>659639</v>
      </c>
      <c r="D127" s="67" t="s">
        <v>319</v>
      </c>
      <c r="E127" s="24">
        <f>IF(ISNA(VLOOKUP($D127,'Audit Values'!$A$2:$DL$374,2,FALSE)), 0, VLOOKUP($D127,'Audit Values'!$A$2:$DL$374,72,FALSE))</f>
        <v>0</v>
      </c>
      <c r="F127" s="24">
        <f>Transportation!G127</f>
        <v>-39782</v>
      </c>
      <c r="G127" s="24"/>
      <c r="H127" s="24"/>
      <c r="I127" s="128"/>
      <c r="J127" s="105"/>
      <c r="K127" s="128" t="str">
        <f>IF(AND(H127&lt;&gt;"",(OR(H127&lt;'2019 Legal Max'!BG127, ('Weighting Factors'!H127-'2019 Legal Max'!BG127)/'2019 Legal Max'!BG127&gt;0.025))), "Confirm!", "")</f>
        <v/>
      </c>
      <c r="L127" s="126">
        <f>IF(ISNA(VLOOKUP($CV127,'Audit Values'!$A$3:$BW$3,2,FALSE)),'Preliminary SO66'!B126,VLOOKUP($CV127,'Audit Values'!$A$3:$BW$3,32,FALSE))</f>
        <v>1</v>
      </c>
      <c r="N127" s="95"/>
    </row>
    <row r="128" spans="1:14">
      <c r="A128" s="67" t="s">
        <v>320</v>
      </c>
      <c r="B128" s="38">
        <v>1192582</v>
      </c>
      <c r="D128" s="67" t="s">
        <v>320</v>
      </c>
      <c r="E128" s="24">
        <f>IF(ISNA(VLOOKUP($D128,'Audit Values'!$A$2:$DL$374,2,FALSE)), 0, VLOOKUP($D128,'Audit Values'!$A$2:$DL$374,72,FALSE))</f>
        <v>-2127</v>
      </c>
      <c r="F128" s="24">
        <f>Transportation!G128</f>
        <v>0</v>
      </c>
      <c r="G128" s="24"/>
      <c r="H128" s="24"/>
      <c r="I128" s="128"/>
      <c r="J128" s="105"/>
      <c r="K128" s="128" t="str">
        <f>IF(AND(H128&lt;&gt;"",(OR(H128&lt;'2019 Legal Max'!BG128, ('Weighting Factors'!H128-'2019 Legal Max'!BG128)/'2019 Legal Max'!BG128&gt;0.025))), "Confirm!", "")</f>
        <v/>
      </c>
      <c r="L128" s="126">
        <f>IF(ISNA(VLOOKUP($CV128,'Audit Values'!$A$3:$BW$3,2,FALSE)),'Preliminary SO66'!B127,VLOOKUP($CV128,'Audit Values'!$A$3:$BW$3,32,FALSE))</f>
        <v>1</v>
      </c>
      <c r="N128" s="95"/>
    </row>
    <row r="129" spans="1:14">
      <c r="A129" s="67" t="s">
        <v>321</v>
      </c>
      <c r="B129" s="38">
        <v>242816</v>
      </c>
      <c r="D129" s="67" t="s">
        <v>321</v>
      </c>
      <c r="E129" s="24">
        <f>IF(ISNA(VLOOKUP($D129,'Audit Values'!$A$2:$DL$374,2,FALSE)), 0, VLOOKUP($D129,'Audit Values'!$A$2:$DL$374,72,FALSE))</f>
        <v>0</v>
      </c>
      <c r="F129" s="24">
        <f>Transportation!G129</f>
        <v>0</v>
      </c>
      <c r="G129" s="24"/>
      <c r="H129" s="24"/>
      <c r="I129" s="128"/>
      <c r="J129" s="105"/>
      <c r="K129" s="128" t="str">
        <f>IF(AND(H129&lt;&gt;"",(OR(H129&lt;'2019 Legal Max'!BG129, ('Weighting Factors'!H129-'2019 Legal Max'!BG129)/'2019 Legal Max'!BG129&gt;0.025))), "Confirm!", "")</f>
        <v/>
      </c>
      <c r="L129" s="126">
        <f>IF(ISNA(VLOOKUP($CV129,'Audit Values'!$A$3:$BW$3,2,FALSE)),'Preliminary SO66'!B128,VLOOKUP($CV129,'Audit Values'!$A$3:$BW$3,32,FALSE))</f>
        <v>1</v>
      </c>
      <c r="N129" s="95"/>
    </row>
    <row r="130" spans="1:14">
      <c r="A130" s="67" t="s">
        <v>322</v>
      </c>
      <c r="B130" s="38">
        <v>1174790</v>
      </c>
      <c r="D130" s="67" t="s">
        <v>322</v>
      </c>
      <c r="E130" s="24">
        <f>IF(ISNA(VLOOKUP($D130,'Audit Values'!$A$2:$DL$374,2,FALSE)), 0, VLOOKUP($D130,'Audit Values'!$A$2:$DL$374,72,FALSE))</f>
        <v>0</v>
      </c>
      <c r="F130" s="24">
        <f>Transportation!G130</f>
        <v>0</v>
      </c>
      <c r="G130" s="24"/>
      <c r="H130" s="24"/>
      <c r="I130" s="128"/>
      <c r="J130" s="105"/>
      <c r="K130" s="128" t="str">
        <f>IF(AND(H130&lt;&gt;"",(OR(H130&lt;'2019 Legal Max'!BG130, ('Weighting Factors'!H130-'2019 Legal Max'!BG130)/'2019 Legal Max'!BG130&gt;0.025))), "Confirm!", "")</f>
        <v/>
      </c>
      <c r="L130" s="126">
        <f>IF(ISNA(VLOOKUP($CV130,'Audit Values'!$A$3:$BW$3,2,FALSE)),'Preliminary SO66'!B129,VLOOKUP($CV130,'Audit Values'!$A$3:$BW$3,32,FALSE))</f>
        <v>1</v>
      </c>
      <c r="N130" s="95"/>
    </row>
    <row r="131" spans="1:14">
      <c r="A131" s="67" t="s">
        <v>323</v>
      </c>
      <c r="B131" s="38">
        <v>322301</v>
      </c>
      <c r="D131" s="67" t="s">
        <v>323</v>
      </c>
      <c r="E131" s="24">
        <f>IF(ISNA(VLOOKUP($D131,'Audit Values'!$A$2:$DL$374,2,FALSE)), 0, VLOOKUP($D131,'Audit Values'!$A$2:$DL$374,72,FALSE))</f>
        <v>-2127</v>
      </c>
      <c r="F131" s="24">
        <f>Transportation!G131</f>
        <v>0</v>
      </c>
      <c r="G131" s="24"/>
      <c r="H131" s="24"/>
      <c r="I131" s="128"/>
      <c r="J131" s="105"/>
      <c r="K131" s="128" t="str">
        <f>IF(AND(H131&lt;&gt;"",(OR(H131&lt;'2019 Legal Max'!BG131, ('Weighting Factors'!H131-'2019 Legal Max'!BG131)/'2019 Legal Max'!BG131&gt;0.025))), "Confirm!", "")</f>
        <v/>
      </c>
      <c r="L131" s="126">
        <f>IF(ISNA(VLOOKUP($CV131,'Audit Values'!$A$3:$BW$3,2,FALSE)),'Preliminary SO66'!B130,VLOOKUP($CV131,'Audit Values'!$A$3:$BW$3,32,FALSE))</f>
        <v>1</v>
      </c>
      <c r="N131" s="95"/>
    </row>
    <row r="132" spans="1:14">
      <c r="A132" s="67" t="s">
        <v>324</v>
      </c>
      <c r="B132" s="38">
        <v>300689</v>
      </c>
      <c r="D132" s="67" t="s">
        <v>324</v>
      </c>
      <c r="E132" s="24">
        <f>IF(ISNA(VLOOKUP($D132,'Audit Values'!$A$2:$DL$374,2,FALSE)), 0, VLOOKUP($D132,'Audit Values'!$A$2:$DL$374,72,FALSE))</f>
        <v>0</v>
      </c>
      <c r="F132" s="24">
        <f>Transportation!G132</f>
        <v>0</v>
      </c>
      <c r="G132" s="24"/>
      <c r="H132" s="24"/>
      <c r="I132" s="128"/>
      <c r="J132" s="105"/>
      <c r="K132" s="128" t="str">
        <f>IF(AND(H132&lt;&gt;"",(OR(H132&lt;'2019 Legal Max'!BG132, ('Weighting Factors'!H132-'2019 Legal Max'!BG132)/'2019 Legal Max'!BG132&gt;0.025))), "Confirm!", "")</f>
        <v/>
      </c>
      <c r="L132" s="126">
        <f>IF(ISNA(VLOOKUP($CV132,'Audit Values'!$A$3:$BW$3,2,FALSE)),'Preliminary SO66'!B131,VLOOKUP($CV132,'Audit Values'!$A$3:$BW$3,32,FALSE))</f>
        <v>1</v>
      </c>
      <c r="N132" s="95"/>
    </row>
    <row r="133" spans="1:14">
      <c r="A133" s="67" t="s">
        <v>325</v>
      </c>
      <c r="B133" s="38">
        <v>991198</v>
      </c>
      <c r="D133" s="67" t="s">
        <v>325</v>
      </c>
      <c r="E133" s="24">
        <f>IF(ISNA(VLOOKUP($D133,'Audit Values'!$A$2:$DL$374,2,FALSE)), 0, VLOOKUP($D133,'Audit Values'!$A$2:$DL$374,72,FALSE))</f>
        <v>-355</v>
      </c>
      <c r="F133" s="24">
        <f>Transportation!G133</f>
        <v>0</v>
      </c>
      <c r="G133" s="24"/>
      <c r="H133" s="24"/>
      <c r="I133" s="128"/>
      <c r="J133" s="105"/>
      <c r="K133" s="128" t="str">
        <f>IF(AND(H133&lt;&gt;"",(OR(H133&lt;'2019 Legal Max'!BG133, ('Weighting Factors'!H133-'2019 Legal Max'!BG133)/'2019 Legal Max'!BG133&gt;0.025))), "Confirm!", "")</f>
        <v/>
      </c>
      <c r="L133" s="126">
        <f>IF(ISNA(VLOOKUP($CV133,'Audit Values'!$A$3:$BW$3,2,FALSE)),'Preliminary SO66'!B132,VLOOKUP($CV133,'Audit Values'!$A$3:$BW$3,32,FALSE))</f>
        <v>1</v>
      </c>
      <c r="N133" s="95"/>
    </row>
    <row r="134" spans="1:14">
      <c r="A134" s="67" t="s">
        <v>326</v>
      </c>
      <c r="B134" s="38">
        <v>943887</v>
      </c>
      <c r="D134" s="67" t="s">
        <v>326</v>
      </c>
      <c r="E134" s="24">
        <f>IF(ISNA(VLOOKUP($D134,'Audit Values'!$A$2:$DL$374,2,FALSE)), 0, VLOOKUP($D134,'Audit Values'!$A$2:$DL$374,72,FALSE))</f>
        <v>0</v>
      </c>
      <c r="F134" s="24">
        <f>Transportation!G134</f>
        <v>-2897</v>
      </c>
      <c r="G134" s="24"/>
      <c r="H134" s="24"/>
      <c r="I134" s="128"/>
      <c r="J134" s="105"/>
      <c r="K134" s="128" t="str">
        <f>IF(AND(H134&lt;&gt;"",(OR(H134&lt;'2019 Legal Max'!BG134, ('Weighting Factors'!H134-'2019 Legal Max'!BG134)/'2019 Legal Max'!BG134&gt;0.025))), "Confirm!", "")</f>
        <v/>
      </c>
      <c r="L134" s="126">
        <f>IF(ISNA(VLOOKUP($CV134,'Audit Values'!$A$3:$BW$3,2,FALSE)),'Preliminary SO66'!B133,VLOOKUP($CV134,'Audit Values'!$A$3:$BW$3,32,FALSE))</f>
        <v>1</v>
      </c>
      <c r="N134" s="95"/>
    </row>
    <row r="135" spans="1:14">
      <c r="A135" s="67" t="s">
        <v>327</v>
      </c>
      <c r="B135" s="38">
        <v>430778</v>
      </c>
      <c r="D135" s="67" t="s">
        <v>327</v>
      </c>
      <c r="E135" s="24">
        <f>IF(ISNA(VLOOKUP($D135,'Audit Values'!$A$2:$DL$374,2,FALSE)), 0, VLOOKUP($D135,'Audit Values'!$A$2:$DL$374,72,FALSE))</f>
        <v>0</v>
      </c>
      <c r="F135" s="24">
        <f>Transportation!G135</f>
        <v>0</v>
      </c>
      <c r="G135" s="24"/>
      <c r="H135" s="24"/>
      <c r="I135" s="128"/>
      <c r="J135" s="105"/>
      <c r="K135" s="128" t="str">
        <f>IF(AND(H135&lt;&gt;"",(OR(H135&lt;'2019 Legal Max'!BG135, ('Weighting Factors'!H135-'2019 Legal Max'!BG135)/'2019 Legal Max'!BG135&gt;0.025))), "Confirm!", "")</f>
        <v/>
      </c>
      <c r="L135" s="126">
        <f>IF(ISNA(VLOOKUP($CV135,'Audit Values'!$A$3:$BW$3,2,FALSE)),'Preliminary SO66'!B134,VLOOKUP($CV135,'Audit Values'!$A$3:$BW$3,32,FALSE))</f>
        <v>1</v>
      </c>
      <c r="N135" s="95"/>
    </row>
    <row r="136" spans="1:14">
      <c r="A136" s="67" t="s">
        <v>328</v>
      </c>
      <c r="B136" s="38">
        <v>513194</v>
      </c>
      <c r="D136" s="67" t="s">
        <v>328</v>
      </c>
      <c r="E136" s="24">
        <f>IF(ISNA(VLOOKUP($D136,'Audit Values'!$A$2:$DL$374,2,FALSE)), 0, VLOOKUP($D136,'Audit Values'!$A$2:$DL$374,72,FALSE))</f>
        <v>0</v>
      </c>
      <c r="F136" s="24">
        <f>Transportation!G136</f>
        <v>0</v>
      </c>
      <c r="G136" s="24"/>
      <c r="H136" s="24"/>
      <c r="I136" s="128"/>
      <c r="J136" s="105"/>
      <c r="K136" s="128" t="str">
        <f>IF(AND(H136&lt;&gt;"",(OR(H136&lt;'2019 Legal Max'!BG136, ('Weighting Factors'!H136-'2019 Legal Max'!BG136)/'2019 Legal Max'!BG136&gt;0.025))), "Confirm!", "")</f>
        <v/>
      </c>
      <c r="L136" s="126">
        <f>IF(ISNA(VLOOKUP($CV136,'Audit Values'!$A$3:$BW$3,2,FALSE)),'Preliminary SO66'!B135,VLOOKUP($CV136,'Audit Values'!$A$3:$BW$3,32,FALSE))</f>
        <v>1</v>
      </c>
      <c r="N136" s="95"/>
    </row>
    <row r="137" spans="1:14">
      <c r="A137" s="67" t="s">
        <v>329</v>
      </c>
      <c r="B137" s="38">
        <v>949082</v>
      </c>
      <c r="D137" s="67" t="s">
        <v>329</v>
      </c>
      <c r="E137" s="24">
        <f>IF(ISNA(VLOOKUP($D137,'Audit Values'!$A$2:$DL$374,2,FALSE)), 0, VLOOKUP($D137,'Audit Values'!$A$2:$DL$374,72,FALSE))</f>
        <v>0</v>
      </c>
      <c r="F137" s="24">
        <f>Transportation!G137</f>
        <v>0</v>
      </c>
      <c r="G137" s="24"/>
      <c r="H137" s="24"/>
      <c r="I137" s="128"/>
      <c r="J137" s="105"/>
      <c r="K137" s="128" t="str">
        <f>IF(AND(H137&lt;&gt;"",(OR(H137&lt;'2019 Legal Max'!BG137, ('Weighting Factors'!H137-'2019 Legal Max'!BG137)/'2019 Legal Max'!BG137&gt;0.025))), "Confirm!", "")</f>
        <v/>
      </c>
      <c r="L137" s="126">
        <f>IF(ISNA(VLOOKUP($CV137,'Audit Values'!$A$3:$BW$3,2,FALSE)),'Preliminary SO66'!B136,VLOOKUP($CV137,'Audit Values'!$A$3:$BW$3,32,FALSE))</f>
        <v>1</v>
      </c>
      <c r="N137" s="95"/>
    </row>
    <row r="138" spans="1:14">
      <c r="A138" s="67" t="s">
        <v>330</v>
      </c>
      <c r="B138" s="38">
        <v>778649</v>
      </c>
      <c r="D138" s="67" t="s">
        <v>330</v>
      </c>
      <c r="E138" s="24">
        <f>IF(ISNA(VLOOKUP($D138,'Audit Values'!$A$2:$DL$374,2,FALSE)), 0, VLOOKUP($D138,'Audit Values'!$A$2:$DL$374,72,FALSE))</f>
        <v>0</v>
      </c>
      <c r="F138" s="24">
        <f>Transportation!G138</f>
        <v>0</v>
      </c>
      <c r="G138" s="24"/>
      <c r="H138" s="24"/>
      <c r="I138" s="128"/>
      <c r="J138" s="105"/>
      <c r="K138" s="128" t="str">
        <f>IF(AND(H138&lt;&gt;"",(OR(H138&lt;'2019 Legal Max'!BG138, ('Weighting Factors'!H138-'2019 Legal Max'!BG138)/'2019 Legal Max'!BG138&gt;0.025))), "Confirm!", "")</f>
        <v/>
      </c>
      <c r="L138" s="126">
        <f>IF(ISNA(VLOOKUP($CV138,'Audit Values'!$A$3:$BW$3,2,FALSE)),'Preliminary SO66'!B137,VLOOKUP($CV138,'Audit Values'!$A$3:$BW$3,32,FALSE))</f>
        <v>1</v>
      </c>
      <c r="N138" s="95"/>
    </row>
    <row r="139" spans="1:14">
      <c r="A139" s="67" t="s">
        <v>331</v>
      </c>
      <c r="B139" s="38">
        <v>653028</v>
      </c>
      <c r="D139" s="67" t="s">
        <v>331</v>
      </c>
      <c r="E139" s="24">
        <f>IF(ISNA(VLOOKUP($D139,'Audit Values'!$A$2:$DL$374,2,FALSE)), 0, VLOOKUP($D139,'Audit Values'!$A$2:$DL$374,72,FALSE))</f>
        <v>0</v>
      </c>
      <c r="F139" s="24">
        <f>Transportation!G139</f>
        <v>0</v>
      </c>
      <c r="G139" s="24"/>
      <c r="H139" s="24"/>
      <c r="I139" s="128"/>
      <c r="J139" s="105"/>
      <c r="K139" s="128" t="str">
        <f>IF(AND(H139&lt;&gt;"",(OR(H139&lt;'2019 Legal Max'!BG139, ('Weighting Factors'!H139-'2019 Legal Max'!BG139)/'2019 Legal Max'!BG139&gt;0.025))), "Confirm!", "")</f>
        <v/>
      </c>
      <c r="L139" s="126">
        <f>IF(ISNA(VLOOKUP($CV139,'Audit Values'!$A$3:$BW$3,2,FALSE)),'Preliminary SO66'!B138,VLOOKUP($CV139,'Audit Values'!$A$3:$BW$3,32,FALSE))</f>
        <v>1</v>
      </c>
      <c r="N139" s="95"/>
    </row>
    <row r="140" spans="1:14">
      <c r="A140" s="67" t="s">
        <v>332</v>
      </c>
      <c r="B140" s="38">
        <v>979752</v>
      </c>
      <c r="D140" s="67" t="s">
        <v>332</v>
      </c>
      <c r="E140" s="24">
        <f>IF(ISNA(VLOOKUP($D140,'Audit Values'!$A$2:$DL$374,2,FALSE)), 0, VLOOKUP($D140,'Audit Values'!$A$2:$DL$374,72,FALSE))</f>
        <v>0</v>
      </c>
      <c r="F140" s="24">
        <f>Transportation!G140</f>
        <v>-34596</v>
      </c>
      <c r="G140" s="24"/>
      <c r="H140" s="24"/>
      <c r="I140" s="128"/>
      <c r="J140" s="105"/>
      <c r="K140" s="128" t="str">
        <f>IF(AND(H140&lt;&gt;"",(OR(H140&lt;'2019 Legal Max'!BG140, ('Weighting Factors'!H140-'2019 Legal Max'!BG140)/'2019 Legal Max'!BG140&gt;0.025))), "Confirm!", "")</f>
        <v/>
      </c>
      <c r="L140" s="126">
        <f>IF(ISNA(VLOOKUP($CV140,'Audit Values'!$A$3:$BW$3,2,FALSE)),'Preliminary SO66'!B139,VLOOKUP($CV140,'Audit Values'!$A$3:$BW$3,32,FALSE))</f>
        <v>1</v>
      </c>
      <c r="N140" s="95"/>
    </row>
    <row r="141" spans="1:14">
      <c r="A141" s="67" t="s">
        <v>333</v>
      </c>
      <c r="B141" s="38">
        <v>215399</v>
      </c>
      <c r="D141" s="67" t="s">
        <v>333</v>
      </c>
      <c r="E141" s="24">
        <f>IF(ISNA(VLOOKUP($D141,'Audit Values'!$A$2:$DL$374,2,FALSE)), 0, VLOOKUP($D141,'Audit Values'!$A$2:$DL$374,72,FALSE))</f>
        <v>0</v>
      </c>
      <c r="F141" s="24">
        <f>Transportation!G141</f>
        <v>-18967</v>
      </c>
      <c r="G141" s="24"/>
      <c r="H141" s="24"/>
      <c r="I141" s="128"/>
      <c r="J141" s="105"/>
      <c r="K141" s="128" t="str">
        <f>IF(AND(H141&lt;&gt;"",(OR(H141&lt;'2019 Legal Max'!BG141, ('Weighting Factors'!H141-'2019 Legal Max'!BG141)/'2019 Legal Max'!BG141&gt;0.025))), "Confirm!", "")</f>
        <v/>
      </c>
      <c r="L141" s="126">
        <f>IF(ISNA(VLOOKUP($CV141,'Audit Values'!$A$3:$BW$3,2,FALSE)),'Preliminary SO66'!B140,VLOOKUP($CV141,'Audit Values'!$A$3:$BW$3,32,FALSE))</f>
        <v>1</v>
      </c>
      <c r="N141" s="95"/>
    </row>
    <row r="142" spans="1:14">
      <c r="A142" s="67" t="s">
        <v>334</v>
      </c>
      <c r="B142" s="38">
        <v>3447701</v>
      </c>
      <c r="D142" s="67" t="s">
        <v>334</v>
      </c>
      <c r="E142" s="24">
        <f>IF(ISNA(VLOOKUP($D142,'Audit Values'!$A$2:$DL$374,2,FALSE)), 0, VLOOKUP($D142,'Audit Values'!$A$2:$DL$374,72,FALSE))</f>
        <v>0</v>
      </c>
      <c r="F142" s="24">
        <f>Transportation!G142</f>
        <v>0</v>
      </c>
      <c r="G142" s="24"/>
      <c r="H142" s="24"/>
      <c r="I142" s="128"/>
      <c r="J142" s="105"/>
      <c r="K142" s="128" t="str">
        <f>IF(AND(H142&lt;&gt;"",(OR(H142&lt;'2019 Legal Max'!BG142, ('Weighting Factors'!H142-'2019 Legal Max'!BG142)/'2019 Legal Max'!BG142&gt;0.025))), "Confirm!", "")</f>
        <v/>
      </c>
      <c r="L142" s="126">
        <f>IF(ISNA(VLOOKUP($CV142,'Audit Values'!$A$3:$BW$3,2,FALSE)),'Preliminary SO66'!B141,VLOOKUP($CV142,'Audit Values'!$A$3:$BW$3,32,FALSE))</f>
        <v>1</v>
      </c>
      <c r="N142" s="95"/>
    </row>
    <row r="143" spans="1:14">
      <c r="A143" s="67" t="s">
        <v>335</v>
      </c>
      <c r="B143" s="38">
        <v>487029</v>
      </c>
      <c r="D143" s="67" t="s">
        <v>335</v>
      </c>
      <c r="E143" s="24">
        <f>IF(ISNA(VLOOKUP($D143,'Audit Values'!$A$2:$DL$374,2,FALSE)), 0, VLOOKUP($D143,'Audit Values'!$A$2:$DL$374,72,FALSE))</f>
        <v>0</v>
      </c>
      <c r="F143" s="24">
        <f>Transportation!G143</f>
        <v>0</v>
      </c>
      <c r="G143" s="24"/>
      <c r="H143" s="24"/>
      <c r="I143" s="128"/>
      <c r="J143" s="105"/>
      <c r="K143" s="128" t="str">
        <f>IF(AND(H143&lt;&gt;"",(OR(H143&lt;'2019 Legal Max'!BG143, ('Weighting Factors'!H143-'2019 Legal Max'!BG143)/'2019 Legal Max'!BG143&gt;0.025))), "Confirm!", "")</f>
        <v/>
      </c>
      <c r="L143" s="126">
        <f>IF(ISNA(VLOOKUP($CV143,'Audit Values'!$A$3:$BW$3,2,FALSE)),'Preliminary SO66'!B142,VLOOKUP($CV143,'Audit Values'!$A$3:$BW$3,32,FALSE))</f>
        <v>1</v>
      </c>
      <c r="N143" s="95"/>
    </row>
    <row r="144" spans="1:14">
      <c r="A144" s="67" t="s">
        <v>336</v>
      </c>
      <c r="B144" s="38">
        <v>388779</v>
      </c>
      <c r="D144" s="67" t="s">
        <v>336</v>
      </c>
      <c r="E144" s="24">
        <f>IF(ISNA(VLOOKUP($D144,'Audit Values'!$A$2:$DL$374,2,FALSE)), 0, VLOOKUP($D144,'Audit Values'!$A$2:$DL$374,72,FALSE))</f>
        <v>0</v>
      </c>
      <c r="F144" s="24">
        <f>Transportation!G144</f>
        <v>-12510</v>
      </c>
      <c r="G144" s="24"/>
      <c r="H144" s="24"/>
      <c r="I144" s="128"/>
      <c r="J144" s="105"/>
      <c r="K144" s="128" t="str">
        <f>IF(AND(H144&lt;&gt;"",(OR(H144&lt;'2019 Legal Max'!BG144, ('Weighting Factors'!H144-'2019 Legal Max'!BG144)/'2019 Legal Max'!BG144&gt;0.025))), "Confirm!", "")</f>
        <v/>
      </c>
      <c r="L144" s="126">
        <f>IF(ISNA(VLOOKUP($CV144,'Audit Values'!$A$3:$BW$3,2,FALSE)),'Preliminary SO66'!B143,VLOOKUP($CV144,'Audit Values'!$A$3:$BW$3,32,FALSE))</f>
        <v>1</v>
      </c>
      <c r="N144" s="95"/>
    </row>
    <row r="145" spans="1:14">
      <c r="A145" s="67" t="s">
        <v>337</v>
      </c>
      <c r="B145" s="38">
        <v>1163351</v>
      </c>
      <c r="D145" s="67" t="s">
        <v>337</v>
      </c>
      <c r="E145" s="24">
        <f>IF(ISNA(VLOOKUP($D145,'Audit Values'!$A$2:$DL$374,2,FALSE)), 0, VLOOKUP($D145,'Audit Values'!$A$2:$DL$374,72,FALSE))</f>
        <v>-1064</v>
      </c>
      <c r="F145" s="24">
        <f>Transportation!G145</f>
        <v>0</v>
      </c>
      <c r="G145" s="24"/>
      <c r="H145" s="24"/>
      <c r="I145" s="128"/>
      <c r="J145" s="105"/>
      <c r="K145" s="128" t="str">
        <f>IF(AND(H145&lt;&gt;"",(OR(H145&lt;'2019 Legal Max'!BG145, ('Weighting Factors'!H145-'2019 Legal Max'!BG145)/'2019 Legal Max'!BG145&gt;0.025))), "Confirm!", "")</f>
        <v/>
      </c>
      <c r="L145" s="126">
        <f>IF(ISNA(VLOOKUP($CV145,'Audit Values'!$A$3:$BW$3,2,FALSE)),'Preliminary SO66'!B144,VLOOKUP($CV145,'Audit Values'!$A$3:$BW$3,32,FALSE))</f>
        <v>1</v>
      </c>
      <c r="N145" s="95"/>
    </row>
    <row r="146" spans="1:14">
      <c r="A146" s="67" t="s">
        <v>338</v>
      </c>
      <c r="B146" s="38">
        <v>271072</v>
      </c>
      <c r="D146" s="67" t="s">
        <v>338</v>
      </c>
      <c r="E146" s="24">
        <f>IF(ISNA(VLOOKUP($D146,'Audit Values'!$A$2:$DL$374,2,FALSE)), 0, VLOOKUP($D146,'Audit Values'!$A$2:$DL$374,72,FALSE))</f>
        <v>0</v>
      </c>
      <c r="F146" s="24">
        <f>Transportation!G146</f>
        <v>-31158</v>
      </c>
      <c r="G146" s="24"/>
      <c r="H146" s="24"/>
      <c r="I146" s="128"/>
      <c r="J146" s="105"/>
      <c r="K146" s="128" t="str">
        <f>IF(AND(H146&lt;&gt;"",(OR(H146&lt;'2019 Legal Max'!BG146, ('Weighting Factors'!H146-'2019 Legal Max'!BG146)/'2019 Legal Max'!BG146&gt;0.025))), "Confirm!", "")</f>
        <v/>
      </c>
      <c r="L146" s="126">
        <f>IF(ISNA(VLOOKUP($CV146,'Audit Values'!$A$3:$BW$3,2,FALSE)),'Preliminary SO66'!B145,VLOOKUP($CV146,'Audit Values'!$A$3:$BW$3,32,FALSE))</f>
        <v>1</v>
      </c>
      <c r="N146" s="95"/>
    </row>
    <row r="147" spans="1:14">
      <c r="A147" s="67" t="s">
        <v>339</v>
      </c>
      <c r="B147" s="38">
        <v>393541</v>
      </c>
      <c r="D147" s="67" t="s">
        <v>339</v>
      </c>
      <c r="E147" s="24">
        <f>IF(ISNA(VLOOKUP($D147,'Audit Values'!$A$2:$DL$374,2,FALSE)), 0, VLOOKUP($D147,'Audit Values'!$A$2:$DL$374,72,FALSE))</f>
        <v>0</v>
      </c>
      <c r="F147" s="24">
        <f>Transportation!G147</f>
        <v>0</v>
      </c>
      <c r="G147" s="24"/>
      <c r="H147" s="24"/>
      <c r="I147" s="128"/>
      <c r="J147" s="105"/>
      <c r="K147" s="128" t="str">
        <f>IF(AND(H147&lt;&gt;"",(OR(H147&lt;'2019 Legal Max'!BG147, ('Weighting Factors'!H147-'2019 Legal Max'!BG147)/'2019 Legal Max'!BG147&gt;0.025))), "Confirm!", "")</f>
        <v/>
      </c>
      <c r="L147" s="126">
        <f>IF(ISNA(VLOOKUP($CV147,'Audit Values'!$A$3:$BW$3,2,FALSE)),'Preliminary SO66'!B146,VLOOKUP($CV147,'Audit Values'!$A$3:$BW$3,32,FALSE))</f>
        <v>1</v>
      </c>
      <c r="N147" s="95"/>
    </row>
    <row r="148" spans="1:14">
      <c r="A148" s="67" t="s">
        <v>340</v>
      </c>
      <c r="B148" s="38">
        <v>308335</v>
      </c>
      <c r="D148" s="67" t="s">
        <v>340</v>
      </c>
      <c r="E148" s="24">
        <f>IF(ISNA(VLOOKUP($D148,'Audit Values'!$A$2:$DL$374,2,FALSE)), 0, VLOOKUP($D148,'Audit Values'!$A$2:$DL$374,72,FALSE))</f>
        <v>0</v>
      </c>
      <c r="F148" s="24">
        <f>Transportation!G148</f>
        <v>0</v>
      </c>
      <c r="G148" s="24"/>
      <c r="H148" s="24"/>
      <c r="I148" s="128"/>
      <c r="J148" s="105"/>
      <c r="K148" s="128" t="str">
        <f>IF(AND(H148&lt;&gt;"",(OR(H148&lt;'2019 Legal Max'!BG148, ('Weighting Factors'!H148-'2019 Legal Max'!BG148)/'2019 Legal Max'!BG148&gt;0.025))), "Confirm!", "")</f>
        <v/>
      </c>
      <c r="L148" s="126">
        <f>IF(ISNA(VLOOKUP($CV148,'Audit Values'!$A$3:$BW$3,2,FALSE)),'Preliminary SO66'!B147,VLOOKUP($CV148,'Audit Values'!$A$3:$BW$3,32,FALSE))</f>
        <v>1</v>
      </c>
      <c r="N148" s="95"/>
    </row>
    <row r="149" spans="1:14">
      <c r="A149" s="67" t="s">
        <v>341</v>
      </c>
      <c r="B149" s="38">
        <v>840606</v>
      </c>
      <c r="D149" s="67" t="s">
        <v>341</v>
      </c>
      <c r="E149" s="24">
        <f>IF(ISNA(VLOOKUP($D149,'Audit Values'!$A$2:$DL$374,2,FALSE)), 0, VLOOKUP($D149,'Audit Values'!$A$2:$DL$374,72,FALSE))</f>
        <v>-3191</v>
      </c>
      <c r="F149" s="24">
        <f>Transportation!G149</f>
        <v>-51709</v>
      </c>
      <c r="G149" s="24"/>
      <c r="H149" s="24"/>
      <c r="I149" s="128"/>
      <c r="J149" s="105"/>
      <c r="K149" s="128" t="str">
        <f>IF(AND(H149&lt;&gt;"",(OR(H149&lt;'2019 Legal Max'!BG149, ('Weighting Factors'!H149-'2019 Legal Max'!BG149)/'2019 Legal Max'!BG149&gt;0.025))), "Confirm!", "")</f>
        <v/>
      </c>
      <c r="L149" s="126">
        <f>IF(ISNA(VLOOKUP($CV149,'Audit Values'!$A$3:$BW$3,2,FALSE)),'Preliminary SO66'!B148,VLOOKUP($CV149,'Audit Values'!$A$3:$BW$3,32,FALSE))</f>
        <v>1</v>
      </c>
      <c r="N149" s="95"/>
    </row>
    <row r="150" spans="1:14">
      <c r="A150" s="67" t="s">
        <v>342</v>
      </c>
      <c r="B150" s="38">
        <v>1855849</v>
      </c>
      <c r="D150" s="67" t="s">
        <v>342</v>
      </c>
      <c r="E150" s="24">
        <f>IF(ISNA(VLOOKUP($D150,'Audit Values'!$A$2:$DL$374,2,FALSE)), 0, VLOOKUP($D150,'Audit Values'!$A$2:$DL$374,72,FALSE))</f>
        <v>0</v>
      </c>
      <c r="F150" s="24">
        <f>Transportation!G150</f>
        <v>0</v>
      </c>
      <c r="G150" s="24"/>
      <c r="H150" s="24"/>
      <c r="I150" s="128"/>
      <c r="J150" s="105"/>
      <c r="K150" s="128" t="str">
        <f>IF(AND(H150&lt;&gt;"",(OR(H150&lt;'2019 Legal Max'!BG150, ('Weighting Factors'!H150-'2019 Legal Max'!BG150)/'2019 Legal Max'!BG150&gt;0.025))), "Confirm!", "")</f>
        <v/>
      </c>
      <c r="L150" s="126">
        <f>IF(ISNA(VLOOKUP($CV150,'Audit Values'!$A$3:$BW$3,2,FALSE)),'Preliminary SO66'!B149,VLOOKUP($CV150,'Audit Values'!$A$3:$BW$3,32,FALSE))</f>
        <v>1</v>
      </c>
      <c r="N150" s="95"/>
    </row>
    <row r="151" spans="1:14">
      <c r="A151" s="67" t="s">
        <v>343</v>
      </c>
      <c r="B151" s="38">
        <v>443078</v>
      </c>
      <c r="D151" s="67" t="s">
        <v>343</v>
      </c>
      <c r="E151" s="24">
        <f>IF(ISNA(VLOOKUP($D151,'Audit Values'!$A$2:$DL$374,2,FALSE)), 0, VLOOKUP($D151,'Audit Values'!$A$2:$DL$374,72,FALSE))</f>
        <v>0</v>
      </c>
      <c r="F151" s="24">
        <f>Transportation!G151</f>
        <v>0</v>
      </c>
      <c r="G151" s="24"/>
      <c r="H151" s="24"/>
      <c r="I151" s="128"/>
      <c r="J151" s="105"/>
      <c r="K151" s="128" t="str">
        <f>IF(AND(H151&lt;&gt;"",(OR(H151&lt;'2019 Legal Max'!BG151, ('Weighting Factors'!H151-'2019 Legal Max'!BG151)/'2019 Legal Max'!BG151&gt;0.025))), "Confirm!", "")</f>
        <v/>
      </c>
      <c r="L151" s="126">
        <f>IF(ISNA(VLOOKUP($CV151,'Audit Values'!$A$3:$BW$3,2,FALSE)),'Preliminary SO66'!B150,VLOOKUP($CV151,'Audit Values'!$A$3:$BW$3,32,FALSE))</f>
        <v>1</v>
      </c>
      <c r="N151" s="95"/>
    </row>
    <row r="152" spans="1:14">
      <c r="A152" s="67" t="s">
        <v>344</v>
      </c>
      <c r="B152" s="38">
        <v>511282</v>
      </c>
      <c r="D152" s="67" t="s">
        <v>344</v>
      </c>
      <c r="E152" s="24">
        <f>IF(ISNA(VLOOKUP($D152,'Audit Values'!$A$2:$DL$374,2,FALSE)), 0, VLOOKUP($D152,'Audit Values'!$A$2:$DL$374,72,FALSE))</f>
        <v>0</v>
      </c>
      <c r="F152" s="24">
        <f>Transportation!G152</f>
        <v>-94550</v>
      </c>
      <c r="G152" s="24"/>
      <c r="H152" s="24"/>
      <c r="I152" s="128"/>
      <c r="J152" s="105"/>
      <c r="K152" s="128" t="str">
        <f>IF(AND(H152&lt;&gt;"",(OR(H152&lt;'2019 Legal Max'!BG152, ('Weighting Factors'!H152-'2019 Legal Max'!BG152)/'2019 Legal Max'!BG152&gt;0.025))), "Confirm!", "")</f>
        <v/>
      </c>
      <c r="L152" s="126">
        <f>IF(ISNA(VLOOKUP($CV152,'Audit Values'!$A$3:$BW$3,2,FALSE)),'Preliminary SO66'!B151,VLOOKUP($CV152,'Audit Values'!$A$3:$BW$3,32,FALSE))</f>
        <v>1</v>
      </c>
      <c r="N152" s="95"/>
    </row>
    <row r="153" spans="1:14">
      <c r="A153" s="67" t="s">
        <v>345</v>
      </c>
      <c r="B153" s="38">
        <v>945653</v>
      </c>
      <c r="D153" s="67" t="s">
        <v>345</v>
      </c>
      <c r="E153" s="24">
        <f>IF(ISNA(VLOOKUP($D153,'Audit Values'!$A$2:$DL$374,2,FALSE)), 0, VLOOKUP($D153,'Audit Values'!$A$2:$DL$374,72,FALSE))</f>
        <v>0</v>
      </c>
      <c r="F153" s="24">
        <f>Transportation!G153</f>
        <v>0</v>
      </c>
      <c r="G153" s="24"/>
      <c r="H153" s="24"/>
      <c r="I153" s="128"/>
      <c r="J153" s="105"/>
      <c r="K153" s="128" t="str">
        <f>IF(AND(H153&lt;&gt;"",(OR(H153&lt;'2019 Legal Max'!BG153, ('Weighting Factors'!H153-'2019 Legal Max'!BG153)/'2019 Legal Max'!BG153&gt;0.025))), "Confirm!", "")</f>
        <v/>
      </c>
      <c r="L153" s="126">
        <f>IF(ISNA(VLOOKUP($CV153,'Audit Values'!$A$3:$BW$3,2,FALSE)),'Preliminary SO66'!B152,VLOOKUP($CV153,'Audit Values'!$A$3:$BW$3,32,FALSE))</f>
        <v>1</v>
      </c>
      <c r="N153" s="95"/>
    </row>
    <row r="154" spans="1:14">
      <c r="A154" s="67" t="s">
        <v>346</v>
      </c>
      <c r="B154" s="38">
        <v>489876</v>
      </c>
      <c r="D154" s="67" t="s">
        <v>346</v>
      </c>
      <c r="E154" s="24">
        <f>IF(ISNA(VLOOKUP($D154,'Audit Values'!$A$2:$DL$374,2,FALSE)), 0, VLOOKUP($D154,'Audit Values'!$A$2:$DL$374,72,FALSE))</f>
        <v>0</v>
      </c>
      <c r="F154" s="24">
        <f>Transportation!G154</f>
        <v>0</v>
      </c>
      <c r="G154" s="24"/>
      <c r="H154" s="24"/>
      <c r="I154" s="128"/>
      <c r="J154" s="105"/>
      <c r="K154" s="128" t="str">
        <f>IF(AND(H154&lt;&gt;"",(OR(H154&lt;'2019 Legal Max'!BG154, ('Weighting Factors'!H154-'2019 Legal Max'!BG154)/'2019 Legal Max'!BG154&gt;0.025))), "Confirm!", "")</f>
        <v/>
      </c>
      <c r="L154" s="126">
        <f>IF(ISNA(VLOOKUP($CV154,'Audit Values'!$A$3:$BW$3,2,FALSE)),'Preliminary SO66'!B153,VLOOKUP($CV154,'Audit Values'!$A$3:$BW$3,32,FALSE))</f>
        <v>1</v>
      </c>
      <c r="N154" s="95"/>
    </row>
    <row r="155" spans="1:14">
      <c r="A155" s="67" t="s">
        <v>347</v>
      </c>
      <c r="B155" s="38">
        <v>242767</v>
      </c>
      <c r="D155" s="67" t="s">
        <v>347</v>
      </c>
      <c r="E155" s="24">
        <f>IF(ISNA(VLOOKUP($D155,'Audit Values'!$A$2:$DL$374,2,FALSE)), 0, VLOOKUP($D155,'Audit Values'!$A$2:$DL$374,72,FALSE))</f>
        <v>0</v>
      </c>
      <c r="F155" s="24">
        <f>Transportation!G155</f>
        <v>0</v>
      </c>
      <c r="G155" s="24"/>
      <c r="H155" s="24"/>
      <c r="I155" s="128"/>
      <c r="J155" s="105"/>
      <c r="K155" s="128" t="str">
        <f>IF(AND(H155&lt;&gt;"",(OR(H155&lt;'2019 Legal Max'!BG155, ('Weighting Factors'!H155-'2019 Legal Max'!BG155)/'2019 Legal Max'!BG155&gt;0.025))), "Confirm!", "")</f>
        <v/>
      </c>
      <c r="L155" s="126">
        <f>IF(ISNA(VLOOKUP($CV155,'Audit Values'!$A$3:$BW$3,2,FALSE)),'Preliminary SO66'!B154,VLOOKUP($CV155,'Audit Values'!$A$3:$BW$3,32,FALSE))</f>
        <v>1</v>
      </c>
      <c r="N155" s="95"/>
    </row>
    <row r="156" spans="1:14">
      <c r="A156" s="67" t="s">
        <v>348</v>
      </c>
      <c r="B156" s="38">
        <v>317974</v>
      </c>
      <c r="D156" s="67" t="s">
        <v>348</v>
      </c>
      <c r="E156" s="24">
        <f>IF(ISNA(VLOOKUP($D156,'Audit Values'!$A$2:$DL$374,2,FALSE)), 0, VLOOKUP($D156,'Audit Values'!$A$2:$DL$374,72,FALSE))</f>
        <v>0</v>
      </c>
      <c r="F156" s="24">
        <f>Transportation!G156</f>
        <v>0</v>
      </c>
      <c r="G156" s="24"/>
      <c r="H156" s="24"/>
      <c r="I156" s="128"/>
      <c r="J156" s="105"/>
      <c r="K156" s="128" t="str">
        <f>IF(AND(H156&lt;&gt;"",(OR(H156&lt;'2019 Legal Max'!BG156, ('Weighting Factors'!H156-'2019 Legal Max'!BG156)/'2019 Legal Max'!BG156&gt;0.025))), "Confirm!", "")</f>
        <v/>
      </c>
      <c r="L156" s="126">
        <f>IF(ISNA(VLOOKUP($CV156,'Audit Values'!$A$3:$BW$3,2,FALSE)),'Preliminary SO66'!B155,VLOOKUP($CV156,'Audit Values'!$A$3:$BW$3,32,FALSE))</f>
        <v>1</v>
      </c>
      <c r="N156" s="95"/>
    </row>
    <row r="157" spans="1:14">
      <c r="A157" s="67" t="s">
        <v>349</v>
      </c>
      <c r="B157" s="38">
        <v>953494</v>
      </c>
      <c r="D157" s="67" t="s">
        <v>349</v>
      </c>
      <c r="E157" s="24">
        <f>IF(ISNA(VLOOKUP($D157,'Audit Values'!$A$2:$DL$374,2,FALSE)), 0, VLOOKUP($D157,'Audit Values'!$A$2:$DL$374,72,FALSE))</f>
        <v>-2836</v>
      </c>
      <c r="F157" s="24">
        <f>Transportation!G157</f>
        <v>0</v>
      </c>
      <c r="G157" s="24"/>
      <c r="H157" s="24"/>
      <c r="I157" s="128"/>
      <c r="J157" s="105"/>
      <c r="K157" s="128" t="str">
        <f>IF(AND(H157&lt;&gt;"",(OR(H157&lt;'2019 Legal Max'!BG157, ('Weighting Factors'!H157-'2019 Legal Max'!BG157)/'2019 Legal Max'!BG157&gt;0.025))), "Confirm!", "")</f>
        <v/>
      </c>
      <c r="L157" s="126">
        <f>IF(ISNA(VLOOKUP($CV157,'Audit Values'!$A$3:$BW$3,2,FALSE)),'Preliminary SO66'!B156,VLOOKUP($CV157,'Audit Values'!$A$3:$BW$3,32,FALSE))</f>
        <v>1</v>
      </c>
      <c r="N157" s="95"/>
    </row>
    <row r="158" spans="1:14">
      <c r="A158" s="67" t="s">
        <v>350</v>
      </c>
      <c r="B158" s="38">
        <v>1412645</v>
      </c>
      <c r="D158" s="67" t="s">
        <v>350</v>
      </c>
      <c r="E158" s="24">
        <f>IF(ISNA(VLOOKUP($D158,'Audit Values'!$A$2:$DL$374,2,FALSE)), 0, VLOOKUP($D158,'Audit Values'!$A$2:$DL$374,72,FALSE))</f>
        <v>0</v>
      </c>
      <c r="F158" s="24">
        <f>Transportation!G158</f>
        <v>-123059</v>
      </c>
      <c r="G158" s="24"/>
      <c r="H158" s="24"/>
      <c r="I158" s="128"/>
      <c r="J158" s="105"/>
      <c r="K158" s="128" t="str">
        <f>IF(AND(H158&lt;&gt;"",(OR(H158&lt;'2019 Legal Max'!BG158, ('Weighting Factors'!H158-'2019 Legal Max'!BG158)/'2019 Legal Max'!BG158&gt;0.025))), "Confirm!", "")</f>
        <v/>
      </c>
      <c r="L158" s="126">
        <f>IF(ISNA(VLOOKUP($CV158,'Audit Values'!$A$3:$BW$3,2,FALSE)),'Preliminary SO66'!B157,VLOOKUP($CV158,'Audit Values'!$A$3:$BW$3,32,FALSE))</f>
        <v>1</v>
      </c>
      <c r="N158" s="95"/>
    </row>
    <row r="159" spans="1:14">
      <c r="A159" s="67" t="s">
        <v>351</v>
      </c>
      <c r="B159" s="38">
        <v>529925</v>
      </c>
      <c r="D159" s="67" t="s">
        <v>351</v>
      </c>
      <c r="E159" s="24">
        <f>IF(ISNA(VLOOKUP($D159,'Audit Values'!$A$2:$DL$374,2,FALSE)), 0, VLOOKUP($D159,'Audit Values'!$A$2:$DL$374,72,FALSE))</f>
        <v>0</v>
      </c>
      <c r="F159" s="24">
        <f>Transportation!G159</f>
        <v>0</v>
      </c>
      <c r="G159" s="24"/>
      <c r="H159" s="24"/>
      <c r="I159" s="128"/>
      <c r="J159" s="105"/>
      <c r="K159" s="128" t="str">
        <f>IF(AND(H159&lt;&gt;"",(OR(H159&lt;'2019 Legal Max'!BG159, ('Weighting Factors'!H159-'2019 Legal Max'!BG159)/'2019 Legal Max'!BG159&gt;0.025))), "Confirm!", "")</f>
        <v/>
      </c>
      <c r="L159" s="126">
        <f>IF(ISNA(VLOOKUP($CV159,'Audit Values'!$A$3:$BW$3,2,FALSE)),'Preliminary SO66'!B158,VLOOKUP($CV159,'Audit Values'!$A$3:$BW$3,32,FALSE))</f>
        <v>1</v>
      </c>
      <c r="N159" s="95"/>
    </row>
    <row r="160" spans="1:14">
      <c r="A160" s="67" t="s">
        <v>352</v>
      </c>
      <c r="B160" s="38">
        <v>863551</v>
      </c>
      <c r="D160" s="67" t="s">
        <v>352</v>
      </c>
      <c r="E160" s="24">
        <f>IF(ISNA(VLOOKUP($D160,'Audit Values'!$A$2:$DL$374,2,FALSE)), 0, VLOOKUP($D160,'Audit Values'!$A$2:$DL$374,72,FALSE))</f>
        <v>0</v>
      </c>
      <c r="F160" s="24">
        <f>Transportation!G160</f>
        <v>-29958</v>
      </c>
      <c r="G160" s="24"/>
      <c r="H160" s="24"/>
      <c r="I160" s="128"/>
      <c r="J160" s="105"/>
      <c r="K160" s="128" t="str">
        <f>IF(AND(H160&lt;&gt;"",(OR(H160&lt;'2019 Legal Max'!BG160, ('Weighting Factors'!H160-'2019 Legal Max'!BG160)/'2019 Legal Max'!BG160&gt;0.025))), "Confirm!", "")</f>
        <v/>
      </c>
      <c r="L160" s="126">
        <f>IF(ISNA(VLOOKUP($CV160,'Audit Values'!$A$3:$BW$3,2,FALSE)),'Preliminary SO66'!B159,VLOOKUP($CV160,'Audit Values'!$A$3:$BW$3,32,FALSE))</f>
        <v>1</v>
      </c>
      <c r="N160" s="95"/>
    </row>
    <row r="161" spans="1:14">
      <c r="A161" s="67" t="s">
        <v>353</v>
      </c>
      <c r="B161" s="38">
        <v>918984</v>
      </c>
      <c r="D161" s="67" t="s">
        <v>353</v>
      </c>
      <c r="E161" s="24">
        <f>IF(ISNA(VLOOKUP($D161,'Audit Values'!$A$2:$DL$374,2,FALSE)), 0, VLOOKUP($D161,'Audit Values'!$A$2:$DL$374,72,FALSE))</f>
        <v>0</v>
      </c>
      <c r="F161" s="24">
        <f>Transportation!G161</f>
        <v>0</v>
      </c>
      <c r="G161" s="24"/>
      <c r="H161" s="24">
        <v>7477801</v>
      </c>
      <c r="I161" s="128">
        <v>26</v>
      </c>
      <c r="J161" s="105"/>
      <c r="K161" s="128" t="str">
        <f>IF(AND(H161&lt;&gt;"",(OR(H161&lt;'2019 Legal Max'!BG161, ('Weighting Factors'!H161-'2019 Legal Max'!BG161)/'2019 Legal Max'!BG161&gt;0.025))), "Confirm!", "")</f>
        <v/>
      </c>
      <c r="L161" s="126">
        <f>IF(ISNA(VLOOKUP($CV161,'Audit Values'!$A$3:$BW$3,2,FALSE)),'Preliminary SO66'!B160,VLOOKUP($CV161,'Audit Values'!$A$3:$BW$3,32,FALSE))</f>
        <v>1</v>
      </c>
      <c r="N161" s="95"/>
    </row>
    <row r="162" spans="1:14">
      <c r="A162" s="67" t="s">
        <v>354</v>
      </c>
      <c r="B162" s="38">
        <v>550054</v>
      </c>
      <c r="D162" s="67" t="s">
        <v>354</v>
      </c>
      <c r="E162" s="24">
        <f>IF(ISNA(VLOOKUP($D162,'Audit Values'!$A$2:$DL$374,2,FALSE)), 0, VLOOKUP($D162,'Audit Values'!$A$2:$DL$374,72,FALSE))</f>
        <v>0</v>
      </c>
      <c r="F162" s="24">
        <f>Transportation!G162</f>
        <v>-7057</v>
      </c>
      <c r="G162" s="24"/>
      <c r="H162" s="24"/>
      <c r="I162" s="128"/>
      <c r="J162" s="105"/>
      <c r="K162" s="128" t="str">
        <f>IF(AND(H162&lt;&gt;"",(OR(H162&lt;'2019 Legal Max'!BG162, ('Weighting Factors'!H162-'2019 Legal Max'!BG162)/'2019 Legal Max'!BG162&gt;0.025))), "Confirm!", "")</f>
        <v/>
      </c>
      <c r="L162" s="126">
        <f>IF(ISNA(VLOOKUP($CV162,'Audit Values'!$A$3:$BW$3,2,FALSE)),'Preliminary SO66'!B161,VLOOKUP($CV162,'Audit Values'!$A$3:$BW$3,32,FALSE))</f>
        <v>1</v>
      </c>
      <c r="N162" s="95"/>
    </row>
    <row r="163" spans="1:14">
      <c r="A163" s="67" t="s">
        <v>355</v>
      </c>
      <c r="B163" s="38">
        <v>1467129</v>
      </c>
      <c r="D163" s="67" t="s">
        <v>355</v>
      </c>
      <c r="E163" s="24">
        <f>IF(ISNA(VLOOKUP($D163,'Audit Values'!$A$2:$DL$374,2,FALSE)), 0, VLOOKUP($D163,'Audit Values'!$A$2:$DL$374,72,FALSE))</f>
        <v>0</v>
      </c>
      <c r="F163" s="24">
        <f>Transportation!G163</f>
        <v>0</v>
      </c>
      <c r="G163" s="24"/>
      <c r="H163" s="24"/>
      <c r="I163" s="128"/>
      <c r="J163" s="105"/>
      <c r="K163" s="128" t="str">
        <f>IF(AND(H163&lt;&gt;"",(OR(H163&lt;'2019 Legal Max'!BG163, ('Weighting Factors'!H163-'2019 Legal Max'!BG163)/'2019 Legal Max'!BG163&gt;0.025))), "Confirm!", "")</f>
        <v/>
      </c>
      <c r="L163" s="126">
        <f>IF(ISNA(VLOOKUP($CV163,'Audit Values'!$A$3:$BW$3,2,FALSE)),'Preliminary SO66'!B162,VLOOKUP($CV163,'Audit Values'!$A$3:$BW$3,32,FALSE))</f>
        <v>1</v>
      </c>
      <c r="N163" s="95"/>
    </row>
    <row r="164" spans="1:14">
      <c r="A164" s="67" t="s">
        <v>356</v>
      </c>
      <c r="B164" s="38">
        <v>1671914</v>
      </c>
      <c r="D164" s="67" t="s">
        <v>356</v>
      </c>
      <c r="E164" s="24">
        <f>IF(ISNA(VLOOKUP($D164,'Audit Values'!$A$2:$DL$374,2,FALSE)), 0, VLOOKUP($D164,'Audit Values'!$A$2:$DL$374,72,FALSE))</f>
        <v>0</v>
      </c>
      <c r="F164" s="24">
        <f>Transportation!G164</f>
        <v>0</v>
      </c>
      <c r="G164" s="24"/>
      <c r="H164" s="24"/>
      <c r="I164" s="128"/>
      <c r="J164" s="105"/>
      <c r="K164" s="128" t="str">
        <f>IF(AND(H164&lt;&gt;"",(OR(H164&lt;'2019 Legal Max'!BG164, ('Weighting Factors'!H164-'2019 Legal Max'!BG164)/'2019 Legal Max'!BG164&gt;0.025))), "Confirm!", "")</f>
        <v/>
      </c>
      <c r="L164" s="126">
        <f>IF(ISNA(VLOOKUP($CV164,'Audit Values'!$A$3:$BW$3,2,FALSE)),'Preliminary SO66'!B163,VLOOKUP($CV164,'Audit Values'!$A$3:$BW$3,32,FALSE))</f>
        <v>1</v>
      </c>
      <c r="N164" s="95"/>
    </row>
    <row r="165" spans="1:14">
      <c r="A165" s="67" t="s">
        <v>357</v>
      </c>
      <c r="B165" s="38">
        <v>209309</v>
      </c>
      <c r="D165" s="67" t="s">
        <v>357</v>
      </c>
      <c r="E165" s="24">
        <f>IF(ISNA(VLOOKUP($D165,'Audit Values'!$A$2:$DL$374,2,FALSE)), 0, VLOOKUP($D165,'Audit Values'!$A$2:$DL$374,72,FALSE))</f>
        <v>0</v>
      </c>
      <c r="F165" s="24">
        <f>Transportation!G165</f>
        <v>0</v>
      </c>
      <c r="G165" s="24"/>
      <c r="H165" s="24"/>
      <c r="I165" s="128"/>
      <c r="J165" s="105"/>
      <c r="K165" s="128" t="str">
        <f>IF(AND(H165&lt;&gt;"",(OR(H165&lt;'2019 Legal Max'!BG165, ('Weighting Factors'!H165-'2019 Legal Max'!BG165)/'2019 Legal Max'!BG165&gt;0.025))), "Confirm!", "")</f>
        <v/>
      </c>
      <c r="L165" s="126">
        <f>IF(ISNA(VLOOKUP($CV165,'Audit Values'!$A$3:$BW$3,2,FALSE)),'Preliminary SO66'!B164,VLOOKUP($CV165,'Audit Values'!$A$3:$BW$3,32,FALSE))</f>
        <v>1</v>
      </c>
      <c r="N165" s="95"/>
    </row>
    <row r="166" spans="1:14">
      <c r="A166" s="67" t="s">
        <v>358</v>
      </c>
      <c r="B166" s="38">
        <v>157284</v>
      </c>
      <c r="D166" s="67" t="s">
        <v>358</v>
      </c>
      <c r="E166" s="24">
        <f>IF(ISNA(VLOOKUP($D166,'Audit Values'!$A$2:$DL$374,2,FALSE)), 0, VLOOKUP($D166,'Audit Values'!$A$2:$DL$374,72,FALSE))</f>
        <v>0</v>
      </c>
      <c r="F166" s="24">
        <f>Transportation!G166</f>
        <v>0</v>
      </c>
      <c r="G166" s="24"/>
      <c r="H166" s="24"/>
      <c r="I166" s="128"/>
      <c r="J166" s="105"/>
      <c r="K166" s="128" t="str">
        <f>IF(AND(H166&lt;&gt;"",(OR(H166&lt;'2019 Legal Max'!BG166, ('Weighting Factors'!H166-'2019 Legal Max'!BG166)/'2019 Legal Max'!BG166&gt;0.025))), "Confirm!", "")</f>
        <v/>
      </c>
      <c r="L166" s="126">
        <f>IF(ISNA(VLOOKUP($CV166,'Audit Values'!$A$3:$BW$3,2,FALSE)),'Preliminary SO66'!B165,VLOOKUP($CV166,'Audit Values'!$A$3:$BW$3,32,FALSE))</f>
        <v>1</v>
      </c>
      <c r="N166" s="95"/>
    </row>
    <row r="167" spans="1:14">
      <c r="A167" s="67" t="s">
        <v>359</v>
      </c>
      <c r="B167" s="38">
        <v>620221</v>
      </c>
      <c r="D167" s="67" t="s">
        <v>359</v>
      </c>
      <c r="E167" s="24">
        <f>IF(ISNA(VLOOKUP($D167,'Audit Values'!$A$2:$DL$374,2,FALSE)), 0, VLOOKUP($D167,'Audit Values'!$A$2:$DL$374,72,FALSE))</f>
        <v>0</v>
      </c>
      <c r="F167" s="24">
        <f>Transportation!G167</f>
        <v>-55948</v>
      </c>
      <c r="G167" s="24"/>
      <c r="H167" s="24"/>
      <c r="I167" s="128"/>
      <c r="J167" s="105"/>
      <c r="K167" s="128" t="str">
        <f>IF(AND(H167&lt;&gt;"",(OR(H167&lt;'2019 Legal Max'!BG167, ('Weighting Factors'!H167-'2019 Legal Max'!BG167)/'2019 Legal Max'!BG167&gt;0.025))), "Confirm!", "")</f>
        <v/>
      </c>
      <c r="L167" s="126">
        <f>IF(ISNA(VLOOKUP($CV167,'Audit Values'!$A$3:$BW$3,2,FALSE)),'Preliminary SO66'!B166,VLOOKUP($CV167,'Audit Values'!$A$3:$BW$3,32,FALSE))</f>
        <v>1</v>
      </c>
      <c r="N167" s="95"/>
    </row>
    <row r="168" spans="1:14">
      <c r="A168" s="67" t="s">
        <v>360</v>
      </c>
      <c r="B168" s="38">
        <v>3030773</v>
      </c>
      <c r="D168" s="67" t="s">
        <v>360</v>
      </c>
      <c r="E168" s="24">
        <f>IF(ISNA(VLOOKUP($D168,'Audit Values'!$A$2:$DL$374,2,FALSE)), 0, VLOOKUP($D168,'Audit Values'!$A$2:$DL$374,72,FALSE))</f>
        <v>0</v>
      </c>
      <c r="F168" s="24">
        <f>Transportation!G168</f>
        <v>-108927</v>
      </c>
      <c r="G168" s="24"/>
      <c r="H168" s="24">
        <v>22134204</v>
      </c>
      <c r="I168" s="128">
        <v>19</v>
      </c>
      <c r="J168" s="105"/>
      <c r="K168" s="128" t="str">
        <f>IF(AND(H168&lt;&gt;"",(OR(H168&lt;'2019 Legal Max'!BG168, ('Weighting Factors'!H168-'2019 Legal Max'!BG168)/'2019 Legal Max'!BG168&gt;0.025))), "Confirm!", "")</f>
        <v/>
      </c>
      <c r="L168" s="126">
        <f>IF(ISNA(VLOOKUP($CV168,'Audit Values'!$A$3:$BW$3,2,FALSE)),'Preliminary SO66'!B167,VLOOKUP($CV168,'Audit Values'!$A$3:$BW$3,32,FALSE))</f>
        <v>1</v>
      </c>
      <c r="N168" s="95"/>
    </row>
    <row r="169" spans="1:14">
      <c r="A169" s="67" t="s">
        <v>361</v>
      </c>
      <c r="B169" s="38">
        <v>311042</v>
      </c>
      <c r="D169" s="67" t="s">
        <v>361</v>
      </c>
      <c r="E169" s="24">
        <f>IF(ISNA(VLOOKUP($D169,'Audit Values'!$A$2:$DL$374,2,FALSE)), 0, VLOOKUP($D169,'Audit Values'!$A$2:$DL$374,72,FALSE))</f>
        <v>-355</v>
      </c>
      <c r="F169" s="24">
        <f>Transportation!G169</f>
        <v>0</v>
      </c>
      <c r="G169" s="24"/>
      <c r="H169" s="24"/>
      <c r="I169" s="128"/>
      <c r="J169" s="105"/>
      <c r="K169" s="128" t="str">
        <f>IF(AND(H169&lt;&gt;"",(OR(H169&lt;'2019 Legal Max'!BG169, ('Weighting Factors'!H169-'2019 Legal Max'!BG169)/'2019 Legal Max'!BG169&gt;0.025))), "Confirm!", "")</f>
        <v/>
      </c>
      <c r="L169" s="126">
        <f>IF(ISNA(VLOOKUP($CV169,'Audit Values'!$A$3:$BW$3,2,FALSE)),'Preliminary SO66'!B168,VLOOKUP($CV169,'Audit Values'!$A$3:$BW$3,32,FALSE))</f>
        <v>1</v>
      </c>
      <c r="N169" s="95"/>
    </row>
    <row r="170" spans="1:14">
      <c r="A170" s="67" t="s">
        <v>362</v>
      </c>
      <c r="B170" s="38">
        <v>1237181</v>
      </c>
      <c r="D170" s="67" t="s">
        <v>362</v>
      </c>
      <c r="E170" s="24">
        <f>IF(ISNA(VLOOKUP($D170,'Audit Values'!$A$2:$DL$374,2,FALSE)), 0, VLOOKUP($D170,'Audit Values'!$A$2:$DL$374,72,FALSE))</f>
        <v>-1418</v>
      </c>
      <c r="F170" s="24">
        <f>Transportation!G170</f>
        <v>-134482</v>
      </c>
      <c r="G170" s="24"/>
      <c r="H170" s="24"/>
      <c r="I170" s="128"/>
      <c r="J170" s="105"/>
      <c r="K170" s="128" t="str">
        <f>IF(AND(H170&lt;&gt;"",(OR(H170&lt;'2019 Legal Max'!BG170, ('Weighting Factors'!H170-'2019 Legal Max'!BG170)/'2019 Legal Max'!BG170&gt;0.025))), "Confirm!", "")</f>
        <v/>
      </c>
      <c r="L170" s="126">
        <f>IF(ISNA(VLOOKUP($CV170,'Audit Values'!$A$3:$BW$3,2,FALSE)),'Preliminary SO66'!B169,VLOOKUP($CV170,'Audit Values'!$A$3:$BW$3,32,FALSE))</f>
        <v>1</v>
      </c>
      <c r="N170" s="95"/>
    </row>
    <row r="171" spans="1:14">
      <c r="A171" s="67" t="s">
        <v>363</v>
      </c>
      <c r="B171" s="38">
        <v>610570</v>
      </c>
      <c r="D171" s="67" t="s">
        <v>363</v>
      </c>
      <c r="E171" s="24">
        <f>IF(ISNA(VLOOKUP($D171,'Audit Values'!$A$2:$DL$374,2,FALSE)), 0, VLOOKUP($D171,'Audit Values'!$A$2:$DL$374,72,FALSE))</f>
        <v>0</v>
      </c>
      <c r="F171" s="24">
        <f>Transportation!G171</f>
        <v>-32066</v>
      </c>
      <c r="G171" s="24"/>
      <c r="H171" s="24"/>
      <c r="I171" s="128"/>
      <c r="J171" s="105"/>
      <c r="K171" s="128" t="str">
        <f>IF(AND(H171&lt;&gt;"",(OR(H171&lt;'2019 Legal Max'!BG171, ('Weighting Factors'!H171-'2019 Legal Max'!BG171)/'2019 Legal Max'!BG171&gt;0.025))), "Confirm!", "")</f>
        <v/>
      </c>
      <c r="L171" s="126">
        <f>IF(ISNA(VLOOKUP($CV171,'Audit Values'!$A$3:$BW$3,2,FALSE)),'Preliminary SO66'!B170,VLOOKUP($CV171,'Audit Values'!$A$3:$BW$3,32,FALSE))</f>
        <v>1</v>
      </c>
      <c r="N171" s="95"/>
    </row>
    <row r="172" spans="1:14">
      <c r="A172" s="67" t="s">
        <v>364</v>
      </c>
      <c r="B172" s="38">
        <v>870652</v>
      </c>
      <c r="D172" s="67" t="s">
        <v>364</v>
      </c>
      <c r="E172" s="24">
        <f>IF(ISNA(VLOOKUP($D172,'Audit Values'!$A$2:$DL$374,2,FALSE)), 0, VLOOKUP($D172,'Audit Values'!$A$2:$DL$374,72,FALSE))</f>
        <v>0</v>
      </c>
      <c r="F172" s="24">
        <f>Transportation!G172</f>
        <v>0</v>
      </c>
      <c r="G172" s="24"/>
      <c r="H172" s="24"/>
      <c r="I172" s="128"/>
      <c r="J172" s="105"/>
      <c r="K172" s="128" t="str">
        <f>IF(AND(H172&lt;&gt;"",(OR(H172&lt;'2019 Legal Max'!BG172, ('Weighting Factors'!H172-'2019 Legal Max'!BG172)/'2019 Legal Max'!BG172&gt;0.025))), "Confirm!", "")</f>
        <v/>
      </c>
      <c r="L172" s="126">
        <f>IF(ISNA(VLOOKUP($CV172,'Audit Values'!$A$3:$BW$3,2,FALSE)),'Preliminary SO66'!B171,VLOOKUP($CV172,'Audit Values'!$A$3:$BW$3,32,FALSE))</f>
        <v>1</v>
      </c>
      <c r="N172" s="95"/>
    </row>
    <row r="173" spans="1:14">
      <c r="A173" s="67" t="s">
        <v>365</v>
      </c>
      <c r="B173" s="38">
        <v>682551</v>
      </c>
      <c r="D173" s="67" t="s">
        <v>365</v>
      </c>
      <c r="E173" s="24">
        <f>IF(ISNA(VLOOKUP($D173,'Audit Values'!$A$2:$DL$374,2,FALSE)), 0, VLOOKUP($D173,'Audit Values'!$A$2:$DL$374,72,FALSE))</f>
        <v>0</v>
      </c>
      <c r="F173" s="24">
        <f>Transportation!G173</f>
        <v>0</v>
      </c>
      <c r="G173" s="24"/>
      <c r="H173" s="24"/>
      <c r="I173" s="128"/>
      <c r="J173" s="105"/>
      <c r="K173" s="128" t="str">
        <f>IF(AND(H173&lt;&gt;"",(OR(H173&lt;'2019 Legal Max'!BG173, ('Weighting Factors'!H173-'2019 Legal Max'!BG173)/'2019 Legal Max'!BG173&gt;0.025))), "Confirm!", "")</f>
        <v/>
      </c>
      <c r="L173" s="126">
        <f>IF(ISNA(VLOOKUP($CV173,'Audit Values'!$A$3:$BW$3,2,FALSE)),'Preliminary SO66'!B172,VLOOKUP($CV173,'Audit Values'!$A$3:$BW$3,32,FALSE))</f>
        <v>1</v>
      </c>
      <c r="N173" s="95"/>
    </row>
    <row r="174" spans="1:14">
      <c r="A174" s="67" t="s">
        <v>366</v>
      </c>
      <c r="B174" s="38">
        <v>1199396</v>
      </c>
      <c r="D174" s="67" t="s">
        <v>366</v>
      </c>
      <c r="E174" s="24">
        <f>IF(ISNA(VLOOKUP($D174,'Audit Values'!$A$2:$DL$374,2,FALSE)), 0, VLOOKUP($D174,'Audit Values'!$A$2:$DL$374,72,FALSE))</f>
        <v>-355</v>
      </c>
      <c r="F174" s="24">
        <f>Transportation!G174</f>
        <v>0</v>
      </c>
      <c r="G174" s="24"/>
      <c r="H174" s="24"/>
      <c r="I174" s="128"/>
      <c r="J174" s="105"/>
      <c r="K174" s="128" t="str">
        <f>IF(AND(H174&lt;&gt;"",(OR(H174&lt;'2019 Legal Max'!BG174, ('Weighting Factors'!H174-'2019 Legal Max'!BG174)/'2019 Legal Max'!BG174&gt;0.025))), "Confirm!", "")</f>
        <v/>
      </c>
      <c r="L174" s="126">
        <f>IF(ISNA(VLOOKUP($CV174,'Audit Values'!$A$3:$BW$3,2,FALSE)),'Preliminary SO66'!B173,VLOOKUP($CV174,'Audit Values'!$A$3:$BW$3,32,FALSE))</f>
        <v>1</v>
      </c>
      <c r="N174" s="95"/>
    </row>
    <row r="175" spans="1:14">
      <c r="A175" s="67" t="s">
        <v>367</v>
      </c>
      <c r="B175" s="38">
        <v>381367</v>
      </c>
      <c r="D175" s="67" t="s">
        <v>367</v>
      </c>
      <c r="E175" s="24">
        <f>IF(ISNA(VLOOKUP($D175,'Audit Values'!$A$2:$DL$374,2,FALSE)), 0, VLOOKUP($D175,'Audit Values'!$A$2:$DL$374,72,FALSE))</f>
        <v>0</v>
      </c>
      <c r="F175" s="24">
        <f>Transportation!G175</f>
        <v>0</v>
      </c>
      <c r="G175" s="24"/>
      <c r="H175" s="24"/>
      <c r="I175" s="128"/>
      <c r="J175" s="105"/>
      <c r="K175" s="128" t="str">
        <f>IF(AND(H175&lt;&gt;"",(OR(H175&lt;'2019 Legal Max'!BG175, ('Weighting Factors'!H175-'2019 Legal Max'!BG175)/'2019 Legal Max'!BG175&gt;0.025))), "Confirm!", "")</f>
        <v/>
      </c>
      <c r="L175" s="126">
        <f>IF(ISNA(VLOOKUP($CV175,'Audit Values'!$A$3:$BW$3,2,FALSE)),'Preliminary SO66'!B174,VLOOKUP($CV175,'Audit Values'!$A$3:$BW$3,32,FALSE))</f>
        <v>1</v>
      </c>
      <c r="N175" s="95"/>
    </row>
    <row r="176" spans="1:14">
      <c r="A176" s="67" t="s">
        <v>368</v>
      </c>
      <c r="B176" s="38">
        <v>294126</v>
      </c>
      <c r="D176" s="67" t="s">
        <v>368</v>
      </c>
      <c r="E176" s="24">
        <f>IF(ISNA(VLOOKUP($D176,'Audit Values'!$A$2:$DL$374,2,FALSE)), 0, VLOOKUP($D176,'Audit Values'!$A$2:$DL$374,72,FALSE))</f>
        <v>0</v>
      </c>
      <c r="F176" s="24">
        <f>Transportation!G176</f>
        <v>0</v>
      </c>
      <c r="G176" s="24"/>
      <c r="H176" s="24"/>
      <c r="I176" s="128"/>
      <c r="J176" s="105"/>
      <c r="K176" s="128" t="str">
        <f>IF(AND(H176&lt;&gt;"",(OR(H176&lt;'2019 Legal Max'!BG176, ('Weighting Factors'!H176-'2019 Legal Max'!BG176)/'2019 Legal Max'!BG176&gt;0.025))), "Confirm!", "")</f>
        <v/>
      </c>
      <c r="L176" s="126">
        <f>IF(ISNA(VLOOKUP($CV176,'Audit Values'!$A$3:$BW$3,2,FALSE)),'Preliminary SO66'!B175,VLOOKUP($CV176,'Audit Values'!$A$3:$BW$3,32,FALSE))</f>
        <v>1</v>
      </c>
      <c r="N176" s="95"/>
    </row>
    <row r="177" spans="1:14">
      <c r="A177" s="67" t="s">
        <v>369</v>
      </c>
      <c r="B177" s="38">
        <v>1113369</v>
      </c>
      <c r="D177" s="67" t="s">
        <v>369</v>
      </c>
      <c r="E177" s="24">
        <f>IF(ISNA(VLOOKUP($D177,'Audit Values'!$A$2:$DL$374,2,FALSE)), 0, VLOOKUP($D177,'Audit Values'!$A$2:$DL$374,72,FALSE))</f>
        <v>0</v>
      </c>
      <c r="F177" s="24">
        <f>Transportation!G177</f>
        <v>0</v>
      </c>
      <c r="G177" s="24"/>
      <c r="H177" s="24"/>
      <c r="I177" s="128"/>
      <c r="J177" s="105"/>
      <c r="K177" s="128" t="str">
        <f>IF(AND(H177&lt;&gt;"",(OR(H177&lt;'2019 Legal Max'!BG177, ('Weighting Factors'!H177-'2019 Legal Max'!BG177)/'2019 Legal Max'!BG177&gt;0.025))), "Confirm!", "")</f>
        <v/>
      </c>
      <c r="L177" s="126">
        <f>IF(ISNA(VLOOKUP($CV177,'Audit Values'!$A$3:$BW$3,2,FALSE)),'Preliminary SO66'!B176,VLOOKUP($CV177,'Audit Values'!$A$3:$BW$3,32,FALSE))</f>
        <v>1</v>
      </c>
      <c r="N177" s="95"/>
    </row>
    <row r="178" spans="1:14">
      <c r="A178" s="67" t="s">
        <v>370</v>
      </c>
      <c r="B178" s="38">
        <v>5959414</v>
      </c>
      <c r="D178" s="67" t="s">
        <v>370</v>
      </c>
      <c r="E178" s="24">
        <f>IF(ISNA(VLOOKUP($D178,'Audit Values'!$A$2:$DL$374,2,FALSE)), 0, VLOOKUP($D178,'Audit Values'!$A$2:$DL$374,72,FALSE))</f>
        <v>0</v>
      </c>
      <c r="F178" s="24">
        <f>Transportation!G178</f>
        <v>0</v>
      </c>
      <c r="G178" s="24"/>
      <c r="H178" s="24"/>
      <c r="I178" s="128"/>
      <c r="J178" s="105"/>
      <c r="K178" s="128" t="str">
        <f>IF(AND(H178&lt;&gt;"",(OR(H178&lt;'2019 Legal Max'!BG178, ('Weighting Factors'!H178-'2019 Legal Max'!BG178)/'2019 Legal Max'!BG178&gt;0.025))), "Confirm!", "")</f>
        <v/>
      </c>
      <c r="L178" s="126">
        <f>IF(ISNA(VLOOKUP($CV178,'Audit Values'!$A$3:$BW$3,2,FALSE)),'Preliminary SO66'!B177,VLOOKUP($CV178,'Audit Values'!$A$3:$BW$3,32,FALSE))</f>
        <v>1</v>
      </c>
      <c r="N178" s="95"/>
    </row>
    <row r="179" spans="1:14">
      <c r="A179" s="67" t="s">
        <v>371</v>
      </c>
      <c r="B179" s="38">
        <v>285953</v>
      </c>
      <c r="D179" s="67" t="s">
        <v>371</v>
      </c>
      <c r="E179" s="24">
        <f>IF(ISNA(VLOOKUP($D179,'Audit Values'!$A$2:$DL$374,2,FALSE)), 0, VLOOKUP($D179,'Audit Values'!$A$2:$DL$374,72,FALSE))</f>
        <v>0</v>
      </c>
      <c r="F179" s="24">
        <f>Transportation!G179</f>
        <v>0</v>
      </c>
      <c r="G179" s="24"/>
      <c r="H179" s="24"/>
      <c r="I179" s="128"/>
      <c r="J179" s="105"/>
      <c r="K179" s="128" t="str">
        <f>IF(AND(H179&lt;&gt;"",(OR(H179&lt;'2019 Legal Max'!BG179, ('Weighting Factors'!H179-'2019 Legal Max'!BG179)/'2019 Legal Max'!BG179&gt;0.025))), "Confirm!", "")</f>
        <v/>
      </c>
      <c r="L179" s="126">
        <f>IF(ISNA(VLOOKUP($CV179,'Audit Values'!$A$3:$BW$3,2,FALSE)),'Preliminary SO66'!B178,VLOOKUP($CV179,'Audit Values'!$A$3:$BW$3,32,FALSE))</f>
        <v>1</v>
      </c>
      <c r="N179" s="95"/>
    </row>
    <row r="180" spans="1:14">
      <c r="A180" s="67" t="s">
        <v>372</v>
      </c>
      <c r="B180" s="38">
        <v>3115951</v>
      </c>
      <c r="D180" s="67" t="s">
        <v>372</v>
      </c>
      <c r="E180" s="24">
        <f>IF(ISNA(VLOOKUP($D180,'Audit Values'!$A$2:$DL$374,2,FALSE)), 0, VLOOKUP($D180,'Audit Values'!$A$2:$DL$374,72,FALSE))</f>
        <v>-1773</v>
      </c>
      <c r="F180" s="24">
        <f>Transportation!G180</f>
        <v>0</v>
      </c>
      <c r="G180" s="24"/>
      <c r="H180" s="24"/>
      <c r="I180" s="128"/>
      <c r="J180" s="105"/>
      <c r="K180" s="128" t="str">
        <f>IF(AND(H180&lt;&gt;"",(OR(H180&lt;'2019 Legal Max'!BG180, ('Weighting Factors'!H180-'2019 Legal Max'!BG180)/'2019 Legal Max'!BG180&gt;0.025))), "Confirm!", "")</f>
        <v/>
      </c>
      <c r="L180" s="126">
        <f>IF(ISNA(VLOOKUP($CV180,'Audit Values'!$A$3:$BW$3,2,FALSE)),'Preliminary SO66'!B179,VLOOKUP($CV180,'Audit Values'!$A$3:$BW$3,32,FALSE))</f>
        <v>1</v>
      </c>
      <c r="N180" s="95"/>
    </row>
    <row r="181" spans="1:14">
      <c r="A181" s="67" t="s">
        <v>373</v>
      </c>
      <c r="B181" s="38">
        <v>254392</v>
      </c>
      <c r="D181" s="67" t="s">
        <v>373</v>
      </c>
      <c r="E181" s="24">
        <f>IF(ISNA(VLOOKUP($D181,'Audit Values'!$A$2:$DL$374,2,FALSE)), 0, VLOOKUP($D181,'Audit Values'!$A$2:$DL$374,72,FALSE))</f>
        <v>0</v>
      </c>
      <c r="F181" s="24">
        <f>Transportation!G181</f>
        <v>0</v>
      </c>
      <c r="G181" s="24"/>
      <c r="H181" s="24"/>
      <c r="I181" s="128"/>
      <c r="J181" s="105"/>
      <c r="K181" s="128" t="str">
        <f>IF(AND(H181&lt;&gt;"",(OR(H181&lt;'2019 Legal Max'!BG181, ('Weighting Factors'!H181-'2019 Legal Max'!BG181)/'2019 Legal Max'!BG181&gt;0.025))), "Confirm!", "")</f>
        <v/>
      </c>
      <c r="L181" s="126">
        <f>IF(ISNA(VLOOKUP($CV181,'Audit Values'!$A$3:$BW$3,2,FALSE)),'Preliminary SO66'!B180,VLOOKUP($CV181,'Audit Values'!$A$3:$BW$3,32,FALSE))</f>
        <v>1</v>
      </c>
      <c r="N181" s="95"/>
    </row>
    <row r="182" spans="1:14">
      <c r="A182" s="67" t="s">
        <v>374</v>
      </c>
      <c r="B182" s="38">
        <v>266166</v>
      </c>
      <c r="D182" s="67" t="s">
        <v>374</v>
      </c>
      <c r="E182" s="24">
        <f>IF(ISNA(VLOOKUP($D182,'Audit Values'!$A$2:$DL$374,2,FALSE)), 0, VLOOKUP($D182,'Audit Values'!$A$2:$DL$374,72,FALSE))</f>
        <v>0</v>
      </c>
      <c r="F182" s="24">
        <f>Transportation!G182</f>
        <v>-9605</v>
      </c>
      <c r="G182" s="24"/>
      <c r="H182" s="24">
        <v>1923814</v>
      </c>
      <c r="I182" s="128"/>
      <c r="J182" s="105"/>
      <c r="K182" s="128" t="str">
        <f>IF(AND(H182&lt;&gt;"",(OR(H182&lt;'2019 Legal Max'!BG182, ('Weighting Factors'!H182-'2019 Legal Max'!BG182)/'2019 Legal Max'!BG182&gt;0.025))), "Confirm!", "")</f>
        <v/>
      </c>
      <c r="L182" s="126">
        <f>IF(ISNA(VLOOKUP($CV182,'Audit Values'!$A$3:$BW$3,2,FALSE)),'Preliminary SO66'!B181,VLOOKUP($CV182,'Audit Values'!$A$3:$BW$3,32,FALSE))</f>
        <v>1</v>
      </c>
      <c r="N182" s="95"/>
    </row>
    <row r="183" spans="1:14">
      <c r="A183" s="67" t="s">
        <v>375</v>
      </c>
      <c r="B183" s="38">
        <v>382482</v>
      </c>
      <c r="D183" s="67" t="s">
        <v>375</v>
      </c>
      <c r="E183" s="24">
        <f>IF(ISNA(VLOOKUP($D183,'Audit Values'!$A$2:$DL$374,2,FALSE)), 0, VLOOKUP($D183,'Audit Values'!$A$2:$DL$374,72,FALSE))</f>
        <v>0</v>
      </c>
      <c r="F183" s="24">
        <f>Transportation!G183</f>
        <v>0</v>
      </c>
      <c r="G183" s="24"/>
      <c r="H183" s="24"/>
      <c r="I183" s="128"/>
      <c r="J183" s="105"/>
      <c r="K183" s="128" t="str">
        <f>IF(AND(H183&lt;&gt;"",(OR(H183&lt;'2019 Legal Max'!BG183, ('Weighting Factors'!H183-'2019 Legal Max'!BG183)/'2019 Legal Max'!BG183&gt;0.025))), "Confirm!", "")</f>
        <v/>
      </c>
      <c r="L183" s="126">
        <f>IF(ISNA(VLOOKUP($CV183,'Audit Values'!$A$3:$BW$3,2,FALSE)),'Preliminary SO66'!B182,VLOOKUP($CV183,'Audit Values'!$A$3:$BW$3,32,FALSE))</f>
        <v>1</v>
      </c>
      <c r="N183" s="95"/>
    </row>
    <row r="184" spans="1:14">
      <c r="A184" s="67" t="s">
        <v>376</v>
      </c>
      <c r="B184" s="38">
        <v>562510</v>
      </c>
      <c r="D184" s="67" t="s">
        <v>376</v>
      </c>
      <c r="E184" s="24">
        <f>IF(ISNA(VLOOKUP($D184,'Audit Values'!$A$2:$DL$374,2,FALSE)), 0, VLOOKUP($D184,'Audit Values'!$A$2:$DL$374,72,FALSE))</f>
        <v>0</v>
      </c>
      <c r="F184" s="24">
        <f>Transportation!G184</f>
        <v>0</v>
      </c>
      <c r="G184" s="24"/>
      <c r="H184" s="24"/>
      <c r="I184" s="128"/>
      <c r="J184" s="105"/>
      <c r="K184" s="128" t="str">
        <f>IF(AND(H184&lt;&gt;"",(OR(H184&lt;'2019 Legal Max'!BG184, ('Weighting Factors'!H184-'2019 Legal Max'!BG184)/'2019 Legal Max'!BG184&gt;0.025))), "Confirm!", "")</f>
        <v/>
      </c>
      <c r="L184" s="126">
        <f>IF(ISNA(VLOOKUP($CV184,'Audit Values'!$A$3:$BW$3,2,FALSE)),'Preliminary SO66'!B183,VLOOKUP($CV184,'Audit Values'!$A$3:$BW$3,32,FALSE))</f>
        <v>1</v>
      </c>
      <c r="N184" s="95"/>
    </row>
    <row r="185" spans="1:14">
      <c r="A185" s="67" t="s">
        <v>377</v>
      </c>
      <c r="B185" s="38">
        <v>135051</v>
      </c>
      <c r="D185" s="67" t="s">
        <v>377</v>
      </c>
      <c r="E185" s="24">
        <f>IF(ISNA(VLOOKUP($D185,'Audit Values'!$A$2:$DL$374,2,FALSE)), 0, VLOOKUP($D185,'Audit Values'!$A$2:$DL$374,72,FALSE))</f>
        <v>0</v>
      </c>
      <c r="F185" s="24">
        <f>Transportation!G185</f>
        <v>-6861</v>
      </c>
      <c r="G185" s="24"/>
      <c r="H185" s="24"/>
      <c r="I185" s="128"/>
      <c r="J185" s="105"/>
      <c r="K185" s="128" t="str">
        <f>IF(AND(H185&lt;&gt;"",(OR(H185&lt;'2019 Legal Max'!BG185, ('Weighting Factors'!H185-'2019 Legal Max'!BG185)/'2019 Legal Max'!BG185&gt;0.025))), "Confirm!", "")</f>
        <v/>
      </c>
      <c r="L185" s="126">
        <f>IF(ISNA(VLOOKUP($CV185,'Audit Values'!$A$3:$BW$3,2,FALSE)),'Preliminary SO66'!B184,VLOOKUP($CV185,'Audit Values'!$A$3:$BW$3,32,FALSE))</f>
        <v>1</v>
      </c>
      <c r="N185" s="95"/>
    </row>
    <row r="186" spans="1:14">
      <c r="A186" s="67" t="s">
        <v>378</v>
      </c>
      <c r="B186" s="38">
        <v>395888</v>
      </c>
      <c r="D186" s="67" t="s">
        <v>378</v>
      </c>
      <c r="E186" s="24">
        <f>IF(ISNA(VLOOKUP($D186,'Audit Values'!$A$2:$DL$374,2,FALSE)), 0, VLOOKUP($D186,'Audit Values'!$A$2:$DL$374,72,FALSE))</f>
        <v>0</v>
      </c>
      <c r="F186" s="24">
        <f>Transportation!G186</f>
        <v>0</v>
      </c>
      <c r="G186" s="24"/>
      <c r="H186" s="24"/>
      <c r="I186" s="128"/>
      <c r="J186" s="105"/>
      <c r="K186" s="128" t="str">
        <f>IF(AND(H186&lt;&gt;"",(OR(H186&lt;'2019 Legal Max'!BG186, ('Weighting Factors'!H186-'2019 Legal Max'!BG186)/'2019 Legal Max'!BG186&gt;0.025))), "Confirm!", "")</f>
        <v/>
      </c>
      <c r="L186" s="126">
        <f>IF(ISNA(VLOOKUP($CV186,'Audit Values'!$A$3:$BW$3,2,FALSE)),'Preliminary SO66'!B185,VLOOKUP($CV186,'Audit Values'!$A$3:$BW$3,32,FALSE))</f>
        <v>1</v>
      </c>
      <c r="N186" s="95"/>
    </row>
    <row r="187" spans="1:14">
      <c r="A187" s="67" t="s">
        <v>379</v>
      </c>
      <c r="B187" s="38">
        <v>363948</v>
      </c>
      <c r="D187" s="67" t="s">
        <v>379</v>
      </c>
      <c r="E187" s="24">
        <f>IF(ISNA(VLOOKUP($D187,'Audit Values'!$A$2:$DL$374,2,FALSE)), 0, VLOOKUP($D187,'Audit Values'!$A$2:$DL$374,72,FALSE))</f>
        <v>0</v>
      </c>
      <c r="F187" s="24">
        <f>Transportation!G187</f>
        <v>0</v>
      </c>
      <c r="G187" s="24"/>
      <c r="H187" s="24">
        <v>2798047</v>
      </c>
      <c r="I187" s="128">
        <v>22</v>
      </c>
      <c r="J187" s="105"/>
      <c r="K187" s="128" t="str">
        <f>IF(AND(H187&lt;&gt;"",(OR(H187&lt;'2019 Legal Max'!BG187, ('Weighting Factors'!H187-'2019 Legal Max'!BG187)/'2019 Legal Max'!BG187&gt;0.025))), "Confirm!", "")</f>
        <v/>
      </c>
      <c r="L187" s="126">
        <f>IF(ISNA(VLOOKUP($CV187,'Audit Values'!$A$3:$BW$3,2,FALSE)),'Preliminary SO66'!B186,VLOOKUP($CV187,'Audit Values'!$A$3:$BW$3,32,FALSE))</f>
        <v>1</v>
      </c>
      <c r="N187" s="95"/>
    </row>
    <row r="188" spans="1:14">
      <c r="A188" s="67" t="s">
        <v>380</v>
      </c>
      <c r="B188" s="38">
        <v>1297380</v>
      </c>
      <c r="D188" s="67" t="s">
        <v>380</v>
      </c>
      <c r="E188" s="24">
        <f>IF(ISNA(VLOOKUP($D188,'Audit Values'!$A$2:$DL$374,2,FALSE)), 0, VLOOKUP($D188,'Audit Values'!$A$2:$DL$374,72,FALSE))</f>
        <v>-2127</v>
      </c>
      <c r="F188" s="24">
        <f>Transportation!G188</f>
        <v>-118378</v>
      </c>
      <c r="G188" s="24"/>
      <c r="H188" s="24"/>
      <c r="I188" s="128"/>
      <c r="J188" s="105"/>
      <c r="K188" s="128" t="str">
        <f>IF(AND(H188&lt;&gt;"",(OR(H188&lt;'2019 Legal Max'!BG188, ('Weighting Factors'!H188-'2019 Legal Max'!BG188)/'2019 Legal Max'!BG188&gt;0.025))), "Confirm!", "")</f>
        <v/>
      </c>
      <c r="L188" s="126">
        <f>IF(ISNA(VLOOKUP($CV188,'Audit Values'!$A$3:$BW$3,2,FALSE)),'Preliminary SO66'!B187,VLOOKUP($CV188,'Audit Values'!$A$3:$BW$3,32,FALSE))</f>
        <v>1</v>
      </c>
      <c r="N188" s="95"/>
    </row>
    <row r="189" spans="1:14">
      <c r="A189" s="67" t="s">
        <v>381</v>
      </c>
      <c r="B189" s="38">
        <v>365920</v>
      </c>
      <c r="D189" s="67" t="s">
        <v>381</v>
      </c>
      <c r="E189" s="24">
        <f>IF(ISNA(VLOOKUP($D189,'Audit Values'!$A$2:$DL$374,2,FALSE)), 0, VLOOKUP($D189,'Audit Values'!$A$2:$DL$374,72,FALSE))</f>
        <v>0</v>
      </c>
      <c r="F189" s="24">
        <f>Transportation!G189</f>
        <v>0</v>
      </c>
      <c r="G189" s="24"/>
      <c r="H189" s="24"/>
      <c r="I189" s="128"/>
      <c r="J189" s="105"/>
      <c r="K189" s="128" t="str">
        <f>IF(AND(H189&lt;&gt;"",(OR(H189&lt;'2019 Legal Max'!BG189, ('Weighting Factors'!H189-'2019 Legal Max'!BG189)/'2019 Legal Max'!BG189&gt;0.025))), "Confirm!", "")</f>
        <v/>
      </c>
      <c r="L189" s="126">
        <f>IF(ISNA(VLOOKUP($CV189,'Audit Values'!$A$3:$BW$3,2,FALSE)),'Preliminary SO66'!B188,VLOOKUP($CV189,'Audit Values'!$A$3:$BW$3,32,FALSE))</f>
        <v>1</v>
      </c>
      <c r="N189" s="95"/>
    </row>
    <row r="190" spans="1:14">
      <c r="A190" s="67" t="s">
        <v>382</v>
      </c>
      <c r="B190" s="38">
        <v>745599</v>
      </c>
      <c r="D190" s="67" t="s">
        <v>382</v>
      </c>
      <c r="E190" s="24">
        <f>IF(ISNA(VLOOKUP($D190,'Audit Values'!$A$2:$DL$374,2,FALSE)), 0, VLOOKUP($D190,'Audit Values'!$A$2:$DL$374,72,FALSE))</f>
        <v>-709</v>
      </c>
      <c r="F190" s="24">
        <f>Transportation!G190</f>
        <v>-2899</v>
      </c>
      <c r="G190" s="24"/>
      <c r="H190" s="24"/>
      <c r="I190" s="128"/>
      <c r="J190" s="105"/>
      <c r="K190" s="128" t="str">
        <f>IF(AND(H190&lt;&gt;"",(OR(H190&lt;'2019 Legal Max'!BG190, ('Weighting Factors'!H190-'2019 Legal Max'!BG190)/'2019 Legal Max'!BG190&gt;0.025))), "Confirm!", "")</f>
        <v/>
      </c>
      <c r="L190" s="126">
        <f>IF(ISNA(VLOOKUP($CV190,'Audit Values'!$A$3:$BW$3,2,FALSE)),'Preliminary SO66'!B189,VLOOKUP($CV190,'Audit Values'!$A$3:$BW$3,32,FALSE))</f>
        <v>1</v>
      </c>
      <c r="N190" s="95"/>
    </row>
    <row r="191" spans="1:14">
      <c r="A191" s="67" t="s">
        <v>383</v>
      </c>
      <c r="B191" s="38">
        <v>311503</v>
      </c>
      <c r="D191" s="67" t="s">
        <v>383</v>
      </c>
      <c r="E191" s="24">
        <f>IF(ISNA(VLOOKUP($D191,'Audit Values'!$A$2:$DL$374,2,FALSE)), 0, VLOOKUP($D191,'Audit Values'!$A$2:$DL$374,72,FALSE))</f>
        <v>0</v>
      </c>
      <c r="F191" s="24">
        <f>Transportation!G191</f>
        <v>0</v>
      </c>
      <c r="G191" s="24"/>
      <c r="H191" s="24"/>
      <c r="I191" s="128"/>
      <c r="J191" s="105"/>
      <c r="K191" s="128" t="str">
        <f>IF(AND(H191&lt;&gt;"",(OR(H191&lt;'2019 Legal Max'!BG191, ('Weighting Factors'!H191-'2019 Legal Max'!BG191)/'2019 Legal Max'!BG191&gt;0.025))), "Confirm!", "")</f>
        <v/>
      </c>
      <c r="L191" s="126">
        <f>IF(ISNA(VLOOKUP($CV191,'Audit Values'!$A$3:$BW$3,2,FALSE)),'Preliminary SO66'!B190,VLOOKUP($CV191,'Audit Values'!$A$3:$BW$3,32,FALSE))</f>
        <v>1</v>
      </c>
      <c r="N191" s="95"/>
    </row>
    <row r="192" spans="1:14">
      <c r="A192" s="67" t="s">
        <v>384</v>
      </c>
      <c r="B192" s="38">
        <v>429491</v>
      </c>
      <c r="D192" s="67" t="s">
        <v>384</v>
      </c>
      <c r="E192" s="24">
        <f>IF(ISNA(VLOOKUP($D192,'Audit Values'!$A$2:$DL$374,2,FALSE)), 0, VLOOKUP($D192,'Audit Values'!$A$2:$DL$374,72,FALSE))</f>
        <v>0</v>
      </c>
      <c r="F192" s="24">
        <f>Transportation!G192</f>
        <v>0</v>
      </c>
      <c r="G192" s="24"/>
      <c r="H192" s="24"/>
      <c r="I192" s="128"/>
      <c r="J192" s="105"/>
      <c r="K192" s="128" t="str">
        <f>IF(AND(H192&lt;&gt;"",(OR(H192&lt;'2019 Legal Max'!BG192, ('Weighting Factors'!H192-'2019 Legal Max'!BG192)/'2019 Legal Max'!BG192&gt;0.025))), "Confirm!", "")</f>
        <v/>
      </c>
      <c r="L192" s="126">
        <f>IF(ISNA(VLOOKUP($CV192,'Audit Values'!$A$3:$BW$3,2,FALSE)),'Preliminary SO66'!B191,VLOOKUP($CV192,'Audit Values'!$A$3:$BW$3,32,FALSE))</f>
        <v>1</v>
      </c>
      <c r="N192" s="95"/>
    </row>
    <row r="193" spans="1:14">
      <c r="A193" s="67" t="s">
        <v>385</v>
      </c>
      <c r="B193" s="38">
        <v>173570</v>
      </c>
      <c r="D193" s="67" t="s">
        <v>385</v>
      </c>
      <c r="E193" s="24">
        <f>IF(ISNA(VLOOKUP($D193,'Audit Values'!$A$2:$DL$374,2,FALSE)), 0, VLOOKUP($D193,'Audit Values'!$A$2:$DL$374,72,FALSE))</f>
        <v>0</v>
      </c>
      <c r="F193" s="24">
        <f>Transportation!G193</f>
        <v>0</v>
      </c>
      <c r="G193" s="24"/>
      <c r="H193" s="24"/>
      <c r="I193" s="128"/>
      <c r="J193" s="105"/>
      <c r="K193" s="128" t="str">
        <f>IF(AND(H193&lt;&gt;"",(OR(H193&lt;'2019 Legal Max'!BG193, ('Weighting Factors'!H193-'2019 Legal Max'!BG193)/'2019 Legal Max'!BG193&gt;0.025))), "Confirm!", "")</f>
        <v/>
      </c>
      <c r="L193" s="126">
        <f>IF(ISNA(VLOOKUP($CV193,'Audit Values'!$A$3:$BW$3,2,FALSE)),'Preliminary SO66'!B192,VLOOKUP($CV193,'Audit Values'!$A$3:$BW$3,32,FALSE))</f>
        <v>1</v>
      </c>
      <c r="N193" s="95"/>
    </row>
    <row r="194" spans="1:14">
      <c r="A194" s="67" t="s">
        <v>386</v>
      </c>
      <c r="B194" s="38">
        <v>934526</v>
      </c>
      <c r="D194" s="67" t="s">
        <v>386</v>
      </c>
      <c r="E194" s="24">
        <f>IF(ISNA(VLOOKUP($D194,'Audit Values'!$A$2:$DL$374,2,FALSE)), 0, VLOOKUP($D194,'Audit Values'!$A$2:$DL$374,72,FALSE))</f>
        <v>-2836</v>
      </c>
      <c r="F194" s="24">
        <f>Transportation!G194</f>
        <v>0</v>
      </c>
      <c r="G194" s="24"/>
      <c r="H194" s="24"/>
      <c r="I194" s="128"/>
      <c r="J194" s="105"/>
      <c r="K194" s="128" t="str">
        <f>IF(AND(H194&lt;&gt;"",(OR(H194&lt;'2019 Legal Max'!BG194, ('Weighting Factors'!H194-'2019 Legal Max'!BG194)/'2019 Legal Max'!BG194&gt;0.025))), "Confirm!", "")</f>
        <v/>
      </c>
      <c r="L194" s="126">
        <f>IF(ISNA(VLOOKUP($CV194,'Audit Values'!$A$3:$BW$3,2,FALSE)),'Preliminary SO66'!B193,VLOOKUP($CV194,'Audit Values'!$A$3:$BW$3,32,FALSE))</f>
        <v>1</v>
      </c>
      <c r="N194" s="95"/>
    </row>
    <row r="195" spans="1:14">
      <c r="A195" s="67" t="s">
        <v>387</v>
      </c>
      <c r="B195" s="38">
        <v>145015</v>
      </c>
      <c r="D195" s="67" t="s">
        <v>387</v>
      </c>
      <c r="E195" s="24">
        <f>IF(ISNA(VLOOKUP($D195,'Audit Values'!$A$2:$DL$374,2,FALSE)), 0, VLOOKUP($D195,'Audit Values'!$A$2:$DL$374,72,FALSE))</f>
        <v>0</v>
      </c>
      <c r="F195" s="24">
        <f>Transportation!G195</f>
        <v>-3828</v>
      </c>
      <c r="G195" s="24"/>
      <c r="H195" s="24"/>
      <c r="I195" s="128"/>
      <c r="J195" s="105"/>
      <c r="K195" s="128" t="str">
        <f>IF(AND(H195&lt;&gt;"",(OR(H195&lt;'2019 Legal Max'!BG195, ('Weighting Factors'!H195-'2019 Legal Max'!BG195)/'2019 Legal Max'!BG195&gt;0.025))), "Confirm!", "")</f>
        <v/>
      </c>
      <c r="L195" s="126">
        <f>IF(ISNA(VLOOKUP($CV195,'Audit Values'!$A$3:$BW$3,2,FALSE)),'Preliminary SO66'!B194,VLOOKUP($CV195,'Audit Values'!$A$3:$BW$3,32,FALSE))</f>
        <v>1</v>
      </c>
      <c r="N195" s="95"/>
    </row>
    <row r="196" spans="1:14">
      <c r="A196" s="67" t="s">
        <v>388</v>
      </c>
      <c r="B196" s="38">
        <v>1657128</v>
      </c>
      <c r="D196" s="67" t="s">
        <v>388</v>
      </c>
      <c r="E196" s="24">
        <f>IF(ISNA(VLOOKUP($D196,'Audit Values'!$A$2:$DL$374,2,FALSE)), 0, VLOOKUP($D196,'Audit Values'!$A$2:$DL$374,72,FALSE))</f>
        <v>0</v>
      </c>
      <c r="F196" s="24">
        <f>Transportation!G196</f>
        <v>-20962</v>
      </c>
      <c r="G196" s="24"/>
      <c r="H196" s="24">
        <v>13389644</v>
      </c>
      <c r="I196" s="128">
        <v>22</v>
      </c>
      <c r="J196" s="105"/>
      <c r="K196" s="128" t="str">
        <f>IF(AND(H196&lt;&gt;"",(OR(H196&lt;'2019 Legal Max'!BG196, ('Weighting Factors'!H196-'2019 Legal Max'!BG196)/'2019 Legal Max'!BG196&gt;0.025))), "Confirm!", "")</f>
        <v/>
      </c>
      <c r="L196" s="126">
        <f>IF(ISNA(VLOOKUP($CV196,'Audit Values'!$A$3:$BW$3,2,FALSE)),'Preliminary SO66'!B195,VLOOKUP($CV196,'Audit Values'!$A$3:$BW$3,32,FALSE))</f>
        <v>1</v>
      </c>
      <c r="N196" s="95"/>
    </row>
    <row r="197" spans="1:14">
      <c r="A197" s="67" t="s">
        <v>389</v>
      </c>
      <c r="B197" s="38">
        <v>252027</v>
      </c>
      <c r="D197" s="67" t="s">
        <v>389</v>
      </c>
      <c r="E197" s="24">
        <f>IF(ISNA(VLOOKUP($D197,'Audit Values'!$A$2:$DL$374,2,FALSE)), 0, VLOOKUP($D197,'Audit Values'!$A$2:$DL$374,72,FALSE))</f>
        <v>0</v>
      </c>
      <c r="F197" s="24">
        <f>Transportation!G197</f>
        <v>-4182</v>
      </c>
      <c r="G197" s="24"/>
      <c r="H197" s="24"/>
      <c r="I197" s="128"/>
      <c r="J197" s="105"/>
      <c r="K197" s="128" t="str">
        <f>IF(AND(H197&lt;&gt;"",(OR(H197&lt;'2019 Legal Max'!BG197, ('Weighting Factors'!H197-'2019 Legal Max'!BG197)/'2019 Legal Max'!BG197&gt;0.025))), "Confirm!", "")</f>
        <v/>
      </c>
      <c r="L197" s="126">
        <f>IF(ISNA(VLOOKUP($CV197,'Audit Values'!$A$3:$BW$3,2,FALSE)),'Preliminary SO66'!B196,VLOOKUP($CV197,'Audit Values'!$A$3:$BW$3,32,FALSE))</f>
        <v>1</v>
      </c>
      <c r="N197" s="95"/>
    </row>
    <row r="198" spans="1:14">
      <c r="A198" s="67" t="s">
        <v>390</v>
      </c>
      <c r="B198" s="38">
        <v>675003</v>
      </c>
      <c r="D198" s="67" t="s">
        <v>390</v>
      </c>
      <c r="E198" s="24">
        <f>IF(ISNA(VLOOKUP($D198,'Audit Values'!$A$2:$DL$374,2,FALSE)), 0, VLOOKUP($D198,'Audit Values'!$A$2:$DL$374,72,FALSE))</f>
        <v>0</v>
      </c>
      <c r="F198" s="24">
        <f>Transportation!G198</f>
        <v>0</v>
      </c>
      <c r="G198" s="24"/>
      <c r="H198" s="24">
        <v>5981862</v>
      </c>
      <c r="I198" s="128">
        <v>19</v>
      </c>
      <c r="J198" s="105"/>
      <c r="K198" s="128" t="str">
        <f>IF(AND(H198&lt;&gt;"",(OR(H198&lt;'2019 Legal Max'!BG198, ('Weighting Factors'!H198-'2019 Legal Max'!BG198)/'2019 Legal Max'!BG198&gt;0.025))), "Confirm!", "")</f>
        <v/>
      </c>
      <c r="L198" s="126">
        <f>IF(ISNA(VLOOKUP($CV198,'Audit Values'!$A$3:$BW$3,2,FALSE)),'Preliminary SO66'!B197,VLOOKUP($CV198,'Audit Values'!$A$3:$BW$3,32,FALSE))</f>
        <v>1</v>
      </c>
      <c r="N198" s="95"/>
    </row>
    <row r="199" spans="1:14">
      <c r="A199" s="67" t="s">
        <v>391</v>
      </c>
      <c r="B199" s="38">
        <v>845087</v>
      </c>
      <c r="D199" s="67" t="s">
        <v>391</v>
      </c>
      <c r="E199" s="24">
        <f>IF(ISNA(VLOOKUP($D199,'Audit Values'!$A$2:$DL$374,2,FALSE)), 0, VLOOKUP($D199,'Audit Values'!$A$2:$DL$374,72,FALSE))</f>
        <v>0</v>
      </c>
      <c r="F199" s="24">
        <f>Transportation!G199</f>
        <v>0</v>
      </c>
      <c r="G199" s="24"/>
      <c r="H199" s="24"/>
      <c r="I199" s="128"/>
      <c r="J199" s="105"/>
      <c r="K199" s="128" t="str">
        <f>IF(AND(H199&lt;&gt;"",(OR(H199&lt;'2019 Legal Max'!BG199, ('Weighting Factors'!H199-'2019 Legal Max'!BG199)/'2019 Legal Max'!BG199&gt;0.025))), "Confirm!", "")</f>
        <v/>
      </c>
      <c r="L199" s="126">
        <f>IF(ISNA(VLOOKUP($CV199,'Audit Values'!$A$3:$BW$3,2,FALSE)),'Preliminary SO66'!B198,VLOOKUP($CV199,'Audit Values'!$A$3:$BW$3,32,FALSE))</f>
        <v>1</v>
      </c>
      <c r="N199" s="95"/>
    </row>
    <row r="200" spans="1:14">
      <c r="A200" s="67" t="s">
        <v>392</v>
      </c>
      <c r="B200" s="38">
        <v>833131</v>
      </c>
      <c r="D200" s="67" t="s">
        <v>392</v>
      </c>
      <c r="E200" s="24">
        <f>IF(ISNA(VLOOKUP($D200,'Audit Values'!$A$2:$DL$374,2,FALSE)), 0, VLOOKUP($D200,'Audit Values'!$A$2:$DL$374,72,FALSE))</f>
        <v>0</v>
      </c>
      <c r="F200" s="24">
        <f>Transportation!G200</f>
        <v>0</v>
      </c>
      <c r="G200" s="24"/>
      <c r="H200" s="24"/>
      <c r="I200" s="128"/>
      <c r="J200" s="105"/>
      <c r="K200" s="128" t="str">
        <f>IF(AND(H200&lt;&gt;"",(OR(H200&lt;'2019 Legal Max'!BG200, ('Weighting Factors'!H200-'2019 Legal Max'!BG200)/'2019 Legal Max'!BG200&gt;0.025))), "Confirm!", "")</f>
        <v/>
      </c>
      <c r="L200" s="126">
        <f>IF(ISNA(VLOOKUP($CV200,'Audit Values'!$A$3:$BW$3,2,FALSE)),'Preliminary SO66'!B199,VLOOKUP($CV200,'Audit Values'!$A$3:$BW$3,32,FALSE))</f>
        <v>1</v>
      </c>
      <c r="N200" s="95"/>
    </row>
    <row r="201" spans="1:14">
      <c r="A201" s="67" t="s">
        <v>393</v>
      </c>
      <c r="B201" s="38">
        <v>733262</v>
      </c>
      <c r="D201" s="67" t="s">
        <v>393</v>
      </c>
      <c r="E201" s="24">
        <f>IF(ISNA(VLOOKUP($D201,'Audit Values'!$A$2:$DL$374,2,FALSE)), 0, VLOOKUP($D201,'Audit Values'!$A$2:$DL$374,72,FALSE))</f>
        <v>0</v>
      </c>
      <c r="F201" s="24">
        <f>Transportation!G201</f>
        <v>-106</v>
      </c>
      <c r="G201" s="24"/>
      <c r="H201" s="24"/>
      <c r="I201" s="128"/>
      <c r="J201" s="105"/>
      <c r="K201" s="128" t="str">
        <f>IF(AND(H201&lt;&gt;"",(OR(H201&lt;'2019 Legal Max'!BG201, ('Weighting Factors'!H201-'2019 Legal Max'!BG201)/'2019 Legal Max'!BG201&gt;0.025))), "Confirm!", "")</f>
        <v/>
      </c>
      <c r="L201" s="126">
        <f>IF(ISNA(VLOOKUP($CV201,'Audit Values'!$A$3:$BW$3,2,FALSE)),'Preliminary SO66'!B200,VLOOKUP($CV201,'Audit Values'!$A$3:$BW$3,32,FALSE))</f>
        <v>1</v>
      </c>
      <c r="N201" s="95"/>
    </row>
    <row r="202" spans="1:14">
      <c r="A202" s="67" t="s">
        <v>394</v>
      </c>
      <c r="B202" s="38">
        <v>1734681</v>
      </c>
      <c r="D202" s="67" t="s">
        <v>394</v>
      </c>
      <c r="E202" s="24">
        <f>IF(ISNA(VLOOKUP($D202,'Audit Values'!$A$2:$DL$374,2,FALSE)), 0, VLOOKUP($D202,'Audit Values'!$A$2:$DL$374,72,FALSE))</f>
        <v>0</v>
      </c>
      <c r="F202" s="24">
        <f>Transportation!G202</f>
        <v>0</v>
      </c>
      <c r="G202" s="24"/>
      <c r="H202" s="24"/>
      <c r="I202" s="128"/>
      <c r="J202" s="105"/>
      <c r="K202" s="128" t="str">
        <f>IF(AND(H202&lt;&gt;"",(OR(H202&lt;'2019 Legal Max'!BG202, ('Weighting Factors'!H202-'2019 Legal Max'!BG202)/'2019 Legal Max'!BG202&gt;0.025))), "Confirm!", "")</f>
        <v/>
      </c>
      <c r="L202" s="126">
        <f>IF(ISNA(VLOOKUP($CV202,'Audit Values'!$A$3:$BW$3,2,FALSE)),'Preliminary SO66'!B201,VLOOKUP($CV202,'Audit Values'!$A$3:$BW$3,32,FALSE))</f>
        <v>1</v>
      </c>
      <c r="N202" s="95"/>
    </row>
    <row r="203" spans="1:14">
      <c r="A203" s="67" t="s">
        <v>395</v>
      </c>
      <c r="B203" s="38">
        <v>785523</v>
      </c>
      <c r="D203" s="67" t="s">
        <v>395</v>
      </c>
      <c r="E203" s="24">
        <f>IF(ISNA(VLOOKUP($D203,'Audit Values'!$A$2:$DL$374,2,FALSE)), 0, VLOOKUP($D203,'Audit Values'!$A$2:$DL$374,72,FALSE))</f>
        <v>0</v>
      </c>
      <c r="F203" s="24">
        <f>Transportation!G203</f>
        <v>0</v>
      </c>
      <c r="G203" s="24"/>
      <c r="H203" s="24"/>
      <c r="I203" s="128"/>
      <c r="J203" s="105"/>
      <c r="K203" s="128" t="str">
        <f>IF(AND(H203&lt;&gt;"",(OR(H203&lt;'2019 Legal Max'!BG203, ('Weighting Factors'!H203-'2019 Legal Max'!BG203)/'2019 Legal Max'!BG203&gt;0.025))), "Confirm!", "")</f>
        <v/>
      </c>
      <c r="L203" s="126">
        <f>IF(ISNA(VLOOKUP($CV203,'Audit Values'!$A$3:$BW$3,2,FALSE)),'Preliminary SO66'!B202,VLOOKUP($CV203,'Audit Values'!$A$3:$BW$3,32,FALSE))</f>
        <v>1</v>
      </c>
      <c r="N203" s="95"/>
    </row>
    <row r="204" spans="1:14">
      <c r="A204" s="67" t="s">
        <v>396</v>
      </c>
      <c r="B204" s="38">
        <v>323216</v>
      </c>
      <c r="D204" s="67" t="s">
        <v>396</v>
      </c>
      <c r="E204" s="24">
        <f>IF(ISNA(VLOOKUP($D204,'Audit Values'!$A$2:$DL$374,2,FALSE)), 0, VLOOKUP($D204,'Audit Values'!$A$2:$DL$374,72,FALSE))</f>
        <v>0</v>
      </c>
      <c r="F204" s="24">
        <f>Transportation!G204</f>
        <v>0</v>
      </c>
      <c r="G204" s="24"/>
      <c r="H204" s="24"/>
      <c r="I204" s="128"/>
      <c r="J204" s="105"/>
      <c r="K204" s="128" t="str">
        <f>IF(AND(H204&lt;&gt;"",(OR(H204&lt;'2019 Legal Max'!BG204, ('Weighting Factors'!H204-'2019 Legal Max'!BG204)/'2019 Legal Max'!BG204&gt;0.025))), "Confirm!", "")</f>
        <v/>
      </c>
      <c r="L204" s="126">
        <f>IF(ISNA(VLOOKUP($CV204,'Audit Values'!$A$3:$BW$3,2,FALSE)),'Preliminary SO66'!B203,VLOOKUP($CV204,'Audit Values'!$A$3:$BW$3,32,FALSE))</f>
        <v>1</v>
      </c>
      <c r="N204" s="95"/>
    </row>
    <row r="205" spans="1:14">
      <c r="A205" s="67" t="s">
        <v>397</v>
      </c>
      <c r="B205" s="38">
        <v>373688</v>
      </c>
      <c r="D205" s="67" t="s">
        <v>397</v>
      </c>
      <c r="E205" s="24">
        <f>IF(ISNA(VLOOKUP($D205,'Audit Values'!$A$2:$DL$374,2,FALSE)), 0, VLOOKUP($D205,'Audit Values'!$A$2:$DL$374,72,FALSE))</f>
        <v>0</v>
      </c>
      <c r="F205" s="24">
        <f>Transportation!G205</f>
        <v>0</v>
      </c>
      <c r="G205" s="24"/>
      <c r="H205" s="24"/>
      <c r="I205" s="128"/>
      <c r="J205" s="105"/>
      <c r="K205" s="128" t="str">
        <f>IF(AND(H205&lt;&gt;"",(OR(H205&lt;'2019 Legal Max'!BG205, ('Weighting Factors'!H205-'2019 Legal Max'!BG205)/'2019 Legal Max'!BG205&gt;0.025))), "Confirm!", "")</f>
        <v/>
      </c>
      <c r="L205" s="126">
        <f>IF(ISNA(VLOOKUP($CV205,'Audit Values'!$A$3:$BW$3,2,FALSE)),'Preliminary SO66'!B204,VLOOKUP($CV205,'Audit Values'!$A$3:$BW$3,32,FALSE))</f>
        <v>1</v>
      </c>
      <c r="N205" s="95"/>
    </row>
    <row r="206" spans="1:14">
      <c r="A206" s="67" t="s">
        <v>398</v>
      </c>
      <c r="B206" s="38">
        <v>2137449</v>
      </c>
      <c r="D206" s="67" t="s">
        <v>398</v>
      </c>
      <c r="E206" s="24">
        <f>IF(ISNA(VLOOKUP($D206,'Audit Values'!$A$2:$DL$374,2,FALSE)), 0, VLOOKUP($D206,'Audit Values'!$A$2:$DL$374,72,FALSE))</f>
        <v>-709</v>
      </c>
      <c r="F206" s="24">
        <f>Transportation!G206</f>
        <v>-18885</v>
      </c>
      <c r="G206" s="24"/>
      <c r="H206" s="24">
        <v>13292510</v>
      </c>
      <c r="I206" s="128" t="s">
        <v>826</v>
      </c>
      <c r="J206" s="105"/>
      <c r="K206" s="128" t="str">
        <f>IF(AND(H206&lt;&gt;"",(OR(H206&lt;'2019 Legal Max'!BG206, ('Weighting Factors'!H206-'2019 Legal Max'!BG206)/'2019 Legal Max'!BG206&gt;0.025))), "Confirm!", "")</f>
        <v/>
      </c>
      <c r="L206" s="126">
        <f>IF(ISNA(VLOOKUP($CV206,'Audit Values'!$A$3:$BW$3,2,FALSE)),'Preliminary SO66'!B205,VLOOKUP($CV206,'Audit Values'!$A$3:$BW$3,32,FALSE))</f>
        <v>1</v>
      </c>
      <c r="N206" s="95"/>
    </row>
    <row r="207" spans="1:14">
      <c r="A207" s="67" t="s">
        <v>399</v>
      </c>
      <c r="B207" s="38">
        <v>976775</v>
      </c>
      <c r="D207" s="67" t="s">
        <v>399</v>
      </c>
      <c r="E207" s="24">
        <f>IF(ISNA(VLOOKUP($D207,'Audit Values'!$A$2:$DL$374,2,FALSE)), 0, VLOOKUP($D207,'Audit Values'!$A$2:$DL$374,72,FALSE))</f>
        <v>0</v>
      </c>
      <c r="F207" s="24">
        <f>Transportation!G207</f>
        <v>0</v>
      </c>
      <c r="G207" s="24"/>
      <c r="H207" s="24">
        <v>7204567</v>
      </c>
      <c r="I207" s="128"/>
      <c r="J207" s="105"/>
      <c r="K207" s="128" t="str">
        <f>IF(AND(H207&lt;&gt;"",(OR(H207&lt;'2019 Legal Max'!BG207, ('Weighting Factors'!H207-'2019 Legal Max'!BG207)/'2019 Legal Max'!BG207&gt;0.025))), "Confirm!", "")</f>
        <v/>
      </c>
      <c r="L207" s="126">
        <f>IF(ISNA(VLOOKUP($CV207,'Audit Values'!$A$3:$BW$3,2,FALSE)),'Preliminary SO66'!B206,VLOOKUP($CV207,'Audit Values'!$A$3:$BW$3,32,FALSE))</f>
        <v>1</v>
      </c>
      <c r="N207" s="95"/>
    </row>
    <row r="208" spans="1:14">
      <c r="A208" s="67" t="s">
        <v>400</v>
      </c>
      <c r="B208" s="38">
        <v>1237349</v>
      </c>
      <c r="D208" s="67" t="s">
        <v>400</v>
      </c>
      <c r="E208" s="24">
        <f>IF(ISNA(VLOOKUP($D208,'Audit Values'!$A$2:$DL$374,2,FALSE)), 0, VLOOKUP($D208,'Audit Values'!$A$2:$DL$374,72,FALSE))</f>
        <v>-1418</v>
      </c>
      <c r="F208" s="24">
        <f>Transportation!G208</f>
        <v>-176453</v>
      </c>
      <c r="G208" s="24"/>
      <c r="H208" s="24"/>
      <c r="I208" s="128"/>
      <c r="J208" s="105"/>
      <c r="K208" s="128" t="str">
        <f>IF(AND(H208&lt;&gt;"",(OR(H208&lt;'2019 Legal Max'!BG208, ('Weighting Factors'!H208-'2019 Legal Max'!BG208)/'2019 Legal Max'!BG208&gt;0.025))), "Confirm!", "")</f>
        <v/>
      </c>
      <c r="L208" s="126">
        <f>IF(ISNA(VLOOKUP($CV208,'Audit Values'!$A$3:$BW$3,2,FALSE)),'Preliminary SO66'!B207,VLOOKUP($CV208,'Audit Values'!$A$3:$BW$3,32,FALSE))</f>
        <v>1</v>
      </c>
      <c r="N208" s="95"/>
    </row>
    <row r="209" spans="1:14">
      <c r="A209" s="67" t="s">
        <v>401</v>
      </c>
      <c r="B209" s="38">
        <v>672573</v>
      </c>
      <c r="D209" s="67" t="s">
        <v>401</v>
      </c>
      <c r="E209" s="24">
        <f>IF(ISNA(VLOOKUP($D209,'Audit Values'!$A$2:$DL$374,2,FALSE)), 0, VLOOKUP($D209,'Audit Values'!$A$2:$DL$374,72,FALSE))</f>
        <v>0</v>
      </c>
      <c r="F209" s="24">
        <f>Transportation!G209</f>
        <v>0</v>
      </c>
      <c r="G209" s="24"/>
      <c r="H209" s="24">
        <v>6057160</v>
      </c>
      <c r="I209" s="128">
        <v>29</v>
      </c>
      <c r="J209" s="105"/>
      <c r="K209" s="128" t="str">
        <f>IF(AND(H209&lt;&gt;"",(OR(H209&lt;'2019 Legal Max'!BG209, ('Weighting Factors'!H209-'2019 Legal Max'!BG209)/'2019 Legal Max'!BG209&gt;0.025))), "Confirm!", "")</f>
        <v/>
      </c>
      <c r="L209" s="126">
        <f>IF(ISNA(VLOOKUP($CV209,'Audit Values'!$A$3:$BW$3,2,FALSE)),'Preliminary SO66'!B208,VLOOKUP($CV209,'Audit Values'!$A$3:$BW$3,32,FALSE))</f>
        <v>1</v>
      </c>
      <c r="N209" s="95"/>
    </row>
    <row r="210" spans="1:14">
      <c r="A210" s="67" t="s">
        <v>402</v>
      </c>
      <c r="B210" s="38">
        <v>2296201</v>
      </c>
      <c r="D210" s="67" t="s">
        <v>402</v>
      </c>
      <c r="E210" s="24">
        <f>IF(ISNA(VLOOKUP($D210,'Audit Values'!$A$2:$DL$374,2,FALSE)), 0, VLOOKUP($D210,'Audit Values'!$A$2:$DL$374,72,FALSE))</f>
        <v>0</v>
      </c>
      <c r="F210" s="24">
        <f>Transportation!G210</f>
        <v>0</v>
      </c>
      <c r="G210" s="24"/>
      <c r="H210" s="24"/>
      <c r="I210" s="128"/>
      <c r="J210" s="105"/>
      <c r="K210" s="128" t="str">
        <f>IF(AND(H210&lt;&gt;"",(OR(H210&lt;'2019 Legal Max'!BG210, ('Weighting Factors'!H210-'2019 Legal Max'!BG210)/'2019 Legal Max'!BG210&gt;0.025))), "Confirm!", "")</f>
        <v/>
      </c>
      <c r="L210" s="126">
        <f>IF(ISNA(VLOOKUP($CV210,'Audit Values'!$A$3:$BW$3,2,FALSE)),'Preliminary SO66'!B209,VLOOKUP($CV210,'Audit Values'!$A$3:$BW$3,32,FALSE))</f>
        <v>1</v>
      </c>
      <c r="N210" s="95"/>
    </row>
    <row r="211" spans="1:14">
      <c r="A211" s="67" t="s">
        <v>403</v>
      </c>
      <c r="B211" s="38">
        <v>394917</v>
      </c>
      <c r="D211" s="67" t="s">
        <v>403</v>
      </c>
      <c r="E211" s="24">
        <f>IF(ISNA(VLOOKUP($D211,'Audit Values'!$A$2:$DL$374,2,FALSE)), 0, VLOOKUP($D211,'Audit Values'!$A$2:$DL$374,72,FALSE))</f>
        <v>0</v>
      </c>
      <c r="F211" s="24">
        <f>Transportation!G211</f>
        <v>-55407</v>
      </c>
      <c r="G211" s="24"/>
      <c r="H211" s="24"/>
      <c r="I211" s="128"/>
      <c r="J211" s="105"/>
      <c r="K211" s="128" t="str">
        <f>IF(AND(H211&lt;&gt;"",(OR(H211&lt;'2019 Legal Max'!BG211, ('Weighting Factors'!H211-'2019 Legal Max'!BG211)/'2019 Legal Max'!BG211&gt;0.025))), "Confirm!", "")</f>
        <v/>
      </c>
      <c r="L211" s="126">
        <f>IF(ISNA(VLOOKUP($CV211,'Audit Values'!$A$3:$BW$3,2,FALSE)),'Preliminary SO66'!B210,VLOOKUP($CV211,'Audit Values'!$A$3:$BW$3,32,FALSE))</f>
        <v>1</v>
      </c>
      <c r="N211" s="95"/>
    </row>
    <row r="212" spans="1:14">
      <c r="A212" s="67" t="s">
        <v>404</v>
      </c>
      <c r="B212" s="38">
        <v>822116</v>
      </c>
      <c r="D212" s="67" t="s">
        <v>404</v>
      </c>
      <c r="E212" s="24">
        <f>IF(ISNA(VLOOKUP($D212,'Audit Values'!$A$2:$DL$374,2,FALSE)), 0, VLOOKUP($D212,'Audit Values'!$A$2:$DL$374,72,FALSE))</f>
        <v>-4963</v>
      </c>
      <c r="F212" s="24">
        <f>Transportation!G212</f>
        <v>0</v>
      </c>
      <c r="G212" s="24"/>
      <c r="H212" s="24"/>
      <c r="I212" s="128"/>
      <c r="J212" s="105"/>
      <c r="K212" s="128" t="str">
        <f>IF(AND(H212&lt;&gt;"",(OR(H212&lt;'2019 Legal Max'!BG212, ('Weighting Factors'!H212-'2019 Legal Max'!BG212)/'2019 Legal Max'!BG212&gt;0.025))), "Confirm!", "")</f>
        <v/>
      </c>
      <c r="L212" s="126">
        <f>IF(ISNA(VLOOKUP($CV212,'Audit Values'!$A$3:$BW$3,2,FALSE)),'Preliminary SO66'!B211,VLOOKUP($CV212,'Audit Values'!$A$3:$BW$3,32,FALSE))</f>
        <v>1</v>
      </c>
      <c r="N212" s="95"/>
    </row>
    <row r="213" spans="1:14">
      <c r="A213" s="67" t="s">
        <v>405</v>
      </c>
      <c r="B213" s="38">
        <v>529037</v>
      </c>
      <c r="D213" s="67" t="s">
        <v>405</v>
      </c>
      <c r="E213" s="24">
        <f>IF(ISNA(VLOOKUP($D213,'Audit Values'!$A$2:$DL$374,2,FALSE)), 0, VLOOKUP($D213,'Audit Values'!$A$2:$DL$374,72,FALSE))</f>
        <v>-1418</v>
      </c>
      <c r="F213" s="24">
        <f>Transportation!G213</f>
        <v>0</v>
      </c>
      <c r="G213" s="24"/>
      <c r="H213" s="24"/>
      <c r="I213" s="128"/>
      <c r="J213" s="105"/>
      <c r="K213" s="128" t="str">
        <f>IF(AND(H213&lt;&gt;"",(OR(H213&lt;'2019 Legal Max'!BG213, ('Weighting Factors'!H213-'2019 Legal Max'!BG213)/'2019 Legal Max'!BG213&gt;0.025))), "Confirm!", "")</f>
        <v/>
      </c>
      <c r="L213" s="126">
        <f>IF(ISNA(VLOOKUP($CV213,'Audit Values'!$A$3:$BW$3,2,FALSE)),'Preliminary SO66'!B212,VLOOKUP($CV213,'Audit Values'!$A$3:$BW$3,32,FALSE))</f>
        <v>1</v>
      </c>
      <c r="N213" s="95"/>
    </row>
    <row r="214" spans="1:14">
      <c r="A214" s="67" t="s">
        <v>406</v>
      </c>
      <c r="B214" s="140">
        <v>289543</v>
      </c>
      <c r="D214" s="67" t="s">
        <v>406</v>
      </c>
      <c r="E214" s="24">
        <f>IF(ISNA(VLOOKUP($D214,'Audit Values'!$A$2:$DL$374,2,FALSE)), 0, VLOOKUP($D214,'Audit Values'!$A$2:$DL$374,72,FALSE))</f>
        <v>0</v>
      </c>
      <c r="F214" s="24">
        <f>Transportation!G214</f>
        <v>0</v>
      </c>
      <c r="G214" s="24"/>
      <c r="H214" s="24">
        <v>2960619</v>
      </c>
      <c r="I214" s="128"/>
      <c r="J214" s="105"/>
      <c r="K214" s="128" t="str">
        <f>IF(AND(H214&lt;&gt;"",(OR(H214&lt;'2019 Legal Max'!BG214, ('Weighting Factors'!H214-'2019 Legal Max'!BG214)/'2019 Legal Max'!BG214&gt;0.025))), "Confirm!", "")</f>
        <v/>
      </c>
      <c r="L214" s="126">
        <f>IF(ISNA(VLOOKUP($CV214,'Audit Values'!$A$3:$BW$3,2,FALSE)),'Preliminary SO66'!B213,VLOOKUP($CV214,'Audit Values'!$A$3:$BW$3,32,FALSE))</f>
        <v>1</v>
      </c>
      <c r="N214" s="95"/>
    </row>
    <row r="215" spans="1:14">
      <c r="A215" s="67" t="s">
        <v>407</v>
      </c>
      <c r="B215" s="38">
        <v>412532</v>
      </c>
      <c r="D215" s="67" t="s">
        <v>407</v>
      </c>
      <c r="E215" s="24">
        <f>IF(ISNA(VLOOKUP($D215,'Audit Values'!$A$2:$DL$374,2,FALSE)), 0, VLOOKUP($D215,'Audit Values'!$A$2:$DL$374,72,FALSE))</f>
        <v>0</v>
      </c>
      <c r="F215" s="24">
        <f>Transportation!G215</f>
        <v>0</v>
      </c>
      <c r="G215" s="24"/>
      <c r="H215" s="24"/>
      <c r="I215" s="128"/>
      <c r="J215" s="105"/>
      <c r="K215" s="128" t="str">
        <f>IF(AND(H215&lt;&gt;"",(OR(H215&lt;'2019 Legal Max'!BG215, ('Weighting Factors'!H215-'2019 Legal Max'!BG215)/'2019 Legal Max'!BG215&gt;0.025))), "Confirm!", "")</f>
        <v/>
      </c>
      <c r="L215" s="126">
        <f>IF(ISNA(VLOOKUP($CV215,'Audit Values'!$A$3:$BW$3,2,FALSE)),'Preliminary SO66'!B214,VLOOKUP($CV215,'Audit Values'!$A$3:$BW$3,32,FALSE))</f>
        <v>1</v>
      </c>
      <c r="N215" s="95"/>
    </row>
    <row r="216" spans="1:14">
      <c r="A216" s="67" t="s">
        <v>408</v>
      </c>
      <c r="B216" s="38">
        <v>291358</v>
      </c>
      <c r="D216" s="67" t="s">
        <v>408</v>
      </c>
      <c r="E216" s="24">
        <f>IF(ISNA(VLOOKUP($D216,'Audit Values'!$A$2:$DL$374,2,FALSE)), 0, VLOOKUP($D216,'Audit Values'!$A$2:$DL$374,72,FALSE))</f>
        <v>0</v>
      </c>
      <c r="F216" s="24">
        <f>Transportation!G216</f>
        <v>0</v>
      </c>
      <c r="G216" s="24"/>
      <c r="H216" s="24"/>
      <c r="I216" s="128"/>
      <c r="J216" s="105"/>
      <c r="K216" s="128" t="str">
        <f>IF(AND(H216&lt;&gt;"",(OR(H216&lt;'2019 Legal Max'!BG216, ('Weighting Factors'!H216-'2019 Legal Max'!BG216)/'2019 Legal Max'!BG216&gt;0.025))), "Confirm!", "")</f>
        <v/>
      </c>
      <c r="L216" s="126">
        <f>IF(ISNA(VLOOKUP($CV216,'Audit Values'!$A$3:$BW$3,2,FALSE)),'Preliminary SO66'!B215,VLOOKUP($CV216,'Audit Values'!$A$3:$BW$3,32,FALSE))</f>
        <v>1</v>
      </c>
      <c r="N216" s="95"/>
    </row>
    <row r="217" spans="1:14">
      <c r="A217" s="67" t="s">
        <v>409</v>
      </c>
      <c r="B217" s="38">
        <v>2088537</v>
      </c>
      <c r="D217" s="67" t="s">
        <v>409</v>
      </c>
      <c r="E217" s="24">
        <f>IF(ISNA(VLOOKUP($D217,'Audit Values'!$A$2:$DL$374,2,FALSE)), 0, VLOOKUP($D217,'Audit Values'!$A$2:$DL$374,72,FALSE))</f>
        <v>0</v>
      </c>
      <c r="F217" s="24">
        <f>Transportation!G217</f>
        <v>-117400</v>
      </c>
      <c r="G217" s="24"/>
      <c r="H217" s="24"/>
      <c r="I217" s="128"/>
      <c r="J217" s="105"/>
      <c r="K217" s="128" t="str">
        <f>IF(AND(H217&lt;&gt;"",(OR(H217&lt;'2019 Legal Max'!BG217, ('Weighting Factors'!H217-'2019 Legal Max'!BG217)/'2019 Legal Max'!BG217&gt;0.025))), "Confirm!", "")</f>
        <v/>
      </c>
      <c r="L217" s="126">
        <f>IF(ISNA(VLOOKUP($CV217,'Audit Values'!$A$3:$BW$3,2,FALSE)),'Preliminary SO66'!B216,VLOOKUP($CV217,'Audit Values'!$A$3:$BW$3,32,FALSE))</f>
        <v>1</v>
      </c>
      <c r="N217" s="95"/>
    </row>
    <row r="218" spans="1:14">
      <c r="A218" s="67" t="s">
        <v>410</v>
      </c>
      <c r="B218" s="38">
        <v>338671</v>
      </c>
      <c r="D218" s="67" t="s">
        <v>410</v>
      </c>
      <c r="E218" s="24">
        <f>IF(ISNA(VLOOKUP($D218,'Audit Values'!$A$2:$DL$374,2,FALSE)), 0, VLOOKUP($D218,'Audit Values'!$A$2:$DL$374,72,FALSE))</f>
        <v>0</v>
      </c>
      <c r="F218" s="24">
        <f>Transportation!G218</f>
        <v>0</v>
      </c>
      <c r="G218" s="24"/>
      <c r="H218" s="24"/>
      <c r="I218" s="128"/>
      <c r="J218" s="105"/>
      <c r="K218" s="128" t="str">
        <f>IF(AND(H218&lt;&gt;"",(OR(H218&lt;'2019 Legal Max'!BG218, ('Weighting Factors'!H218-'2019 Legal Max'!BG218)/'2019 Legal Max'!BG218&gt;0.025))), "Confirm!", "")</f>
        <v/>
      </c>
      <c r="L218" s="126">
        <f>IF(ISNA(VLOOKUP($CV218,'Audit Values'!$A$3:$BW$3,2,FALSE)),'Preliminary SO66'!B217,VLOOKUP($CV218,'Audit Values'!$A$3:$BW$3,32,FALSE))</f>
        <v>1</v>
      </c>
      <c r="N218" s="95"/>
    </row>
    <row r="219" spans="1:14">
      <c r="A219" s="67" t="s">
        <v>411</v>
      </c>
      <c r="B219" s="38">
        <v>830393</v>
      </c>
      <c r="D219" s="67" t="s">
        <v>411</v>
      </c>
      <c r="E219" s="24">
        <f>IF(ISNA(VLOOKUP($D219,'Audit Values'!$A$2:$DL$374,2,FALSE)), 0, VLOOKUP($D219,'Audit Values'!$A$2:$DL$374,72,FALSE))</f>
        <v>0</v>
      </c>
      <c r="F219" s="24">
        <f>Transportation!G219</f>
        <v>-91180</v>
      </c>
      <c r="G219" s="24"/>
      <c r="H219" s="24"/>
      <c r="I219" s="128"/>
      <c r="J219" s="105"/>
      <c r="K219" s="128" t="str">
        <f>IF(AND(H219&lt;&gt;"",(OR(H219&lt;'2019 Legal Max'!BG219, ('Weighting Factors'!H219-'2019 Legal Max'!BG219)/'2019 Legal Max'!BG219&gt;0.025))), "Confirm!", "")</f>
        <v/>
      </c>
      <c r="L219" s="126">
        <f>IF(ISNA(VLOOKUP($CV219,'Audit Values'!$A$3:$BW$3,2,FALSE)),'Preliminary SO66'!B218,VLOOKUP($CV219,'Audit Values'!$A$3:$BW$3,32,FALSE))</f>
        <v>1</v>
      </c>
      <c r="N219" s="95"/>
    </row>
    <row r="220" spans="1:14">
      <c r="A220" s="69" t="s">
        <v>412</v>
      </c>
      <c r="B220" s="38">
        <v>573375</v>
      </c>
      <c r="D220" s="69" t="s">
        <v>412</v>
      </c>
      <c r="E220" s="24">
        <f>IF(ISNA(VLOOKUP($D220,'Audit Values'!$A$2:$DL$374,2,FALSE)), 0, VLOOKUP($D220,'Audit Values'!$A$2:$DL$374,72,FALSE))</f>
        <v>0</v>
      </c>
      <c r="F220" s="24">
        <f>Transportation!G220</f>
        <v>0</v>
      </c>
      <c r="G220" s="24"/>
      <c r="H220" s="24"/>
      <c r="I220" s="128"/>
      <c r="J220" s="105"/>
      <c r="K220" s="128" t="str">
        <f>IF(AND(H220&lt;&gt;"",(OR(H220&lt;'2019 Legal Max'!BG220, ('Weighting Factors'!H220-'2019 Legal Max'!BG220)/'2019 Legal Max'!BG220&gt;0.025))), "Confirm!", "")</f>
        <v/>
      </c>
      <c r="L220" s="126">
        <f>IF(ISNA(VLOOKUP($CV220,'Audit Values'!$A$3:$BW$3,2,FALSE)),'Preliminary SO66'!B219,VLOOKUP($CV220,'Audit Values'!$A$3:$BW$3,32,FALSE))</f>
        <v>1</v>
      </c>
      <c r="N220" s="95"/>
    </row>
    <row r="221" spans="1:14">
      <c r="A221" s="67" t="s">
        <v>413</v>
      </c>
      <c r="B221" s="38">
        <v>270667</v>
      </c>
      <c r="D221" s="67" t="s">
        <v>413</v>
      </c>
      <c r="E221" s="24">
        <f>IF(ISNA(VLOOKUP($D221,'Audit Values'!$A$2:$DL$374,2,FALSE)), 0, VLOOKUP($D221,'Audit Values'!$A$2:$DL$374,72,FALSE))</f>
        <v>0</v>
      </c>
      <c r="F221" s="24">
        <f>Transportation!G221</f>
        <v>-52879</v>
      </c>
      <c r="G221" s="24"/>
      <c r="H221" s="24"/>
      <c r="I221" s="128"/>
      <c r="J221" s="105"/>
      <c r="K221" s="128" t="str">
        <f>IF(AND(H221&lt;&gt;"",(OR(H221&lt;'2019 Legal Max'!BG221, ('Weighting Factors'!H221-'2019 Legal Max'!BG221)/'2019 Legal Max'!BG221&gt;0.025))), "Confirm!", "")</f>
        <v/>
      </c>
      <c r="L221" s="126">
        <f>IF(ISNA(VLOOKUP($CV221,'Audit Values'!$A$3:$BW$3,2,FALSE)),'Preliminary SO66'!B220,VLOOKUP($CV221,'Audit Values'!$A$3:$BW$3,32,FALSE))</f>
        <v>1</v>
      </c>
      <c r="N221" s="95"/>
    </row>
    <row r="222" spans="1:14">
      <c r="A222" s="67" t="s">
        <v>414</v>
      </c>
      <c r="B222" s="38">
        <v>1411795</v>
      </c>
      <c r="D222" s="67" t="s">
        <v>414</v>
      </c>
      <c r="E222" s="24">
        <f>IF(ISNA(VLOOKUP($D222,'Audit Values'!$A$2:$DL$374,2,FALSE)), 0, VLOOKUP($D222,'Audit Values'!$A$2:$DL$374,72,FALSE))</f>
        <v>-3545</v>
      </c>
      <c r="F222" s="24">
        <f>Transportation!G222</f>
        <v>0</v>
      </c>
      <c r="G222" s="24"/>
      <c r="H222" s="24"/>
      <c r="I222" s="128"/>
      <c r="J222" s="105"/>
      <c r="K222" s="128" t="str">
        <f>IF(AND(H222&lt;&gt;"",(OR(H222&lt;'2019 Legal Max'!BG222, ('Weighting Factors'!H222-'2019 Legal Max'!BG222)/'2019 Legal Max'!BG222&gt;0.025))), "Confirm!", "")</f>
        <v/>
      </c>
      <c r="L222" s="126">
        <f>IF(ISNA(VLOOKUP($CV222,'Audit Values'!$A$3:$BW$3,2,FALSE)),'Preliminary SO66'!B221,VLOOKUP($CV222,'Audit Values'!$A$3:$BW$3,32,FALSE))</f>
        <v>1</v>
      </c>
      <c r="N222" s="95"/>
    </row>
    <row r="223" spans="1:14">
      <c r="A223" s="67" t="s">
        <v>415</v>
      </c>
      <c r="B223" s="38">
        <v>1393535</v>
      </c>
      <c r="D223" s="67" t="s">
        <v>415</v>
      </c>
      <c r="E223" s="24">
        <f>IF(ISNA(VLOOKUP($D223,'Audit Values'!$A$2:$DL$374,2,FALSE)), 0, VLOOKUP($D223,'Audit Values'!$A$2:$DL$374,72,FALSE))</f>
        <v>-355</v>
      </c>
      <c r="F223" s="24">
        <f>Transportation!G223</f>
        <v>0</v>
      </c>
      <c r="G223" s="24"/>
      <c r="H223" s="24"/>
      <c r="I223" s="128"/>
      <c r="J223" s="105"/>
      <c r="K223" s="128" t="str">
        <f>IF(AND(H223&lt;&gt;"",(OR(H223&lt;'2019 Legal Max'!BG223, ('Weighting Factors'!H223-'2019 Legal Max'!BG223)/'2019 Legal Max'!BG223&gt;0.025))), "Confirm!", "")</f>
        <v/>
      </c>
      <c r="L223" s="126">
        <f>IF(ISNA(VLOOKUP($CV223,'Audit Values'!$A$3:$BW$3,2,FALSE)),'Preliminary SO66'!B222,VLOOKUP($CV223,'Audit Values'!$A$3:$BW$3,32,FALSE))</f>
        <v>1</v>
      </c>
      <c r="N223" s="95"/>
    </row>
    <row r="224" spans="1:14">
      <c r="A224" s="67" t="s">
        <v>416</v>
      </c>
      <c r="B224" s="38">
        <v>526930</v>
      </c>
      <c r="D224" s="67" t="s">
        <v>416</v>
      </c>
      <c r="E224" s="24">
        <f>IF(ISNA(VLOOKUP($D224,'Audit Values'!$A$2:$DL$374,2,FALSE)), 0, VLOOKUP($D224,'Audit Values'!$A$2:$DL$374,72,FALSE))</f>
        <v>-2836</v>
      </c>
      <c r="F224" s="24">
        <f>Transportation!G224</f>
        <v>-88607</v>
      </c>
      <c r="G224" s="24"/>
      <c r="H224" s="24"/>
      <c r="I224" s="128"/>
      <c r="J224" s="105"/>
      <c r="K224" s="128" t="str">
        <f>IF(AND(H224&lt;&gt;"",(OR(H224&lt;'2019 Legal Max'!BG224, ('Weighting Factors'!H224-'2019 Legal Max'!BG224)/'2019 Legal Max'!BG224&gt;0.025))), "Confirm!", "")</f>
        <v/>
      </c>
      <c r="L224" s="126">
        <f>IF(ISNA(VLOOKUP($CV224,'Audit Values'!$A$3:$BW$3,2,FALSE)),'Preliminary SO66'!B223,VLOOKUP($CV224,'Audit Values'!$A$3:$BW$3,32,FALSE))</f>
        <v>1</v>
      </c>
      <c r="N224" s="95"/>
    </row>
    <row r="225" spans="1:14" ht="13.5" customHeight="1">
      <c r="A225" s="67" t="s">
        <v>417</v>
      </c>
      <c r="B225" s="38">
        <v>5497178</v>
      </c>
      <c r="D225" s="67" t="s">
        <v>417</v>
      </c>
      <c r="E225" s="24">
        <f>IF(ISNA(VLOOKUP($D225,'Audit Values'!$A$2:$DL$374,2,FALSE)), 0, VLOOKUP($D225,'Audit Values'!$A$2:$DL$374,72,FALSE))</f>
        <v>0</v>
      </c>
      <c r="F225" s="24">
        <f>Transportation!G225</f>
        <v>-22260</v>
      </c>
      <c r="G225" s="24"/>
      <c r="H225" s="24">
        <v>39394035</v>
      </c>
      <c r="I225" s="128">
        <v>26</v>
      </c>
      <c r="J225" s="105"/>
      <c r="K225" s="128" t="str">
        <f>IF(AND(H225&lt;&gt;"",(OR(H225&lt;'2019 Legal Max'!BG225, ('Weighting Factors'!H225-'2019 Legal Max'!BG225)/'2019 Legal Max'!BG225&gt;0.025))), "Confirm!", "")</f>
        <v/>
      </c>
      <c r="L225" s="126">
        <f>IF(ISNA(VLOOKUP($CV225,'Audit Values'!$A$3:$BW$3,2,FALSE)),'Preliminary SO66'!B224,VLOOKUP($CV225,'Audit Values'!$A$3:$BW$3,32,FALSE))</f>
        <v>1</v>
      </c>
      <c r="N225" s="95"/>
    </row>
    <row r="226" spans="1:14">
      <c r="A226" s="67" t="s">
        <v>418</v>
      </c>
      <c r="B226" s="38">
        <v>415786</v>
      </c>
      <c r="D226" s="67" t="s">
        <v>418</v>
      </c>
      <c r="E226" s="24">
        <f>IF(ISNA(VLOOKUP($D226,'Audit Values'!$A$2:$DL$374,2,FALSE)), 0, VLOOKUP($D226,'Audit Values'!$A$2:$DL$374,72,FALSE))</f>
        <v>0</v>
      </c>
      <c r="F226" s="24">
        <f>Transportation!G226</f>
        <v>0</v>
      </c>
      <c r="G226" s="24"/>
      <c r="H226" s="24"/>
      <c r="I226" s="128"/>
      <c r="J226" s="105"/>
      <c r="K226" s="128" t="str">
        <f>IF(AND(H226&lt;&gt;"",(OR(H226&lt;'2019 Legal Max'!BG226, ('Weighting Factors'!H226-'2019 Legal Max'!BG226)/'2019 Legal Max'!BG226&gt;0.025))), "Confirm!", "")</f>
        <v/>
      </c>
      <c r="L226" s="126">
        <f>IF(ISNA(VLOOKUP($CV226,'Audit Values'!$A$3:$BW$3,2,FALSE)),'Preliminary SO66'!B225,VLOOKUP($CV226,'Audit Values'!$A$3:$BW$3,32,FALSE))</f>
        <v>1</v>
      </c>
      <c r="N226" s="95"/>
    </row>
    <row r="227" spans="1:14">
      <c r="A227" s="67" t="s">
        <v>419</v>
      </c>
      <c r="B227" s="38">
        <v>453550</v>
      </c>
      <c r="D227" s="67" t="s">
        <v>419</v>
      </c>
      <c r="E227" s="24">
        <f>IF(ISNA(VLOOKUP($D227,'Audit Values'!$A$2:$DL$374,2,FALSE)), 0, VLOOKUP($D227,'Audit Values'!$A$2:$DL$374,72,FALSE))</f>
        <v>0</v>
      </c>
      <c r="F227" s="24">
        <f>Transportation!G227</f>
        <v>0</v>
      </c>
      <c r="G227" s="24"/>
      <c r="H227" s="24"/>
      <c r="I227" s="128"/>
      <c r="J227" s="105"/>
      <c r="K227" s="128" t="str">
        <f>IF(AND(H227&lt;&gt;"",(OR(H227&lt;'2019 Legal Max'!BG227, ('Weighting Factors'!H227-'2019 Legal Max'!BG227)/'2019 Legal Max'!BG227&gt;0.025))), "Confirm!", "")</f>
        <v/>
      </c>
      <c r="L227" s="126">
        <f>IF(ISNA(VLOOKUP($CV227,'Audit Values'!$A$3:$BW$3,2,FALSE)),'Preliminary SO66'!B226,VLOOKUP($CV227,'Audit Values'!$A$3:$BW$3,32,FALSE))</f>
        <v>1</v>
      </c>
      <c r="N227" s="95"/>
    </row>
    <row r="228" spans="1:14">
      <c r="A228" s="67" t="s">
        <v>420</v>
      </c>
      <c r="B228" s="38">
        <v>657735</v>
      </c>
      <c r="D228" s="67" t="s">
        <v>420</v>
      </c>
      <c r="E228" s="24">
        <f>IF(ISNA(VLOOKUP($D228,'Audit Values'!$A$2:$DL$374,2,FALSE)), 0, VLOOKUP($D228,'Audit Values'!$A$2:$DL$374,72,FALSE))</f>
        <v>0</v>
      </c>
      <c r="F228" s="24">
        <f>Transportation!G228</f>
        <v>-55187</v>
      </c>
      <c r="G228" s="24"/>
      <c r="H228" s="24"/>
      <c r="I228" s="128"/>
      <c r="J228" s="105"/>
      <c r="K228" s="128" t="str">
        <f>IF(AND(H228&lt;&gt;"",(OR(H228&lt;'2019 Legal Max'!BG228, ('Weighting Factors'!H228-'2019 Legal Max'!BG228)/'2019 Legal Max'!BG228&gt;0.025))), "Confirm!", "")</f>
        <v/>
      </c>
      <c r="L228" s="126">
        <f>IF(ISNA(VLOOKUP($CV228,'Audit Values'!$A$3:$BW$3,2,FALSE)),'Preliminary SO66'!B227,VLOOKUP($CV228,'Audit Values'!$A$3:$BW$3,32,FALSE))</f>
        <v>1</v>
      </c>
      <c r="N228" s="95"/>
    </row>
    <row r="229" spans="1:14">
      <c r="A229" s="67" t="s">
        <v>421</v>
      </c>
      <c r="B229" s="38">
        <v>4812211</v>
      </c>
      <c r="D229" s="67" t="s">
        <v>421</v>
      </c>
      <c r="E229" s="24">
        <f>IF(ISNA(VLOOKUP($D229,'Audit Values'!$A$2:$DL$374,2,FALSE)), 0, VLOOKUP($D229,'Audit Values'!$A$2:$DL$374,72,FALSE))</f>
        <v>0</v>
      </c>
      <c r="F229" s="24">
        <f>Transportation!G229</f>
        <v>-338774</v>
      </c>
      <c r="G229" s="24"/>
      <c r="H229" s="24"/>
      <c r="I229" s="128"/>
      <c r="J229" s="105"/>
      <c r="K229" s="128" t="str">
        <f>IF(AND(H229&lt;&gt;"",(OR(H229&lt;'2019 Legal Max'!BG229, ('Weighting Factors'!H229-'2019 Legal Max'!BG229)/'2019 Legal Max'!BG229&gt;0.025))), "Confirm!", "")</f>
        <v/>
      </c>
      <c r="L229" s="126">
        <f>IF(ISNA(VLOOKUP($CV229,'Audit Values'!$A$3:$BW$3,2,FALSE)),'Preliminary SO66'!B228,VLOOKUP($CV229,'Audit Values'!$A$3:$BW$3,32,FALSE))</f>
        <v>1</v>
      </c>
      <c r="N229" s="95"/>
    </row>
    <row r="230" spans="1:14">
      <c r="A230" s="67" t="s">
        <v>422</v>
      </c>
      <c r="B230" s="38">
        <v>348040</v>
      </c>
      <c r="D230" s="67" t="s">
        <v>422</v>
      </c>
      <c r="E230" s="24">
        <f>IF(ISNA(VLOOKUP($D230,'Audit Values'!$A$2:$DL$374,2,FALSE)), 0, VLOOKUP($D230,'Audit Values'!$A$2:$DL$374,72,FALSE))</f>
        <v>0</v>
      </c>
      <c r="F230" s="24">
        <f>Transportation!G230</f>
        <v>0</v>
      </c>
      <c r="G230" s="24"/>
      <c r="H230" s="24"/>
      <c r="I230" s="128"/>
      <c r="J230" s="105"/>
      <c r="K230" s="128" t="str">
        <f>IF(AND(H230&lt;&gt;"",(OR(H230&lt;'2019 Legal Max'!BG230, ('Weighting Factors'!H230-'2019 Legal Max'!BG230)/'2019 Legal Max'!BG230&gt;0.025))), "Confirm!", "")</f>
        <v/>
      </c>
      <c r="L230" s="126">
        <f>IF(ISNA(VLOOKUP($CV230,'Audit Values'!$A$3:$BW$3,2,FALSE)),'Preliminary SO66'!B229,VLOOKUP($CV230,'Audit Values'!$A$3:$BW$3,32,FALSE))</f>
        <v>1</v>
      </c>
      <c r="N230" s="95"/>
    </row>
    <row r="231" spans="1:14">
      <c r="A231" s="67" t="s">
        <v>423</v>
      </c>
      <c r="B231" s="38">
        <v>1548644</v>
      </c>
      <c r="D231" s="67" t="s">
        <v>423</v>
      </c>
      <c r="E231" s="24">
        <f>IF(ISNA(VLOOKUP($D231,'Audit Values'!$A$2:$DL$374,2,FALSE)), 0, VLOOKUP($D231,'Audit Values'!$A$2:$DL$374,72,FALSE))</f>
        <v>0</v>
      </c>
      <c r="F231" s="24">
        <f>Transportation!G231</f>
        <v>0</v>
      </c>
      <c r="G231" s="24"/>
      <c r="H231" s="24"/>
      <c r="I231" s="128"/>
      <c r="J231" s="105"/>
      <c r="K231" s="128" t="str">
        <f>IF(AND(H231&lt;&gt;"",(OR(H231&lt;'2019 Legal Max'!BG231, ('Weighting Factors'!H231-'2019 Legal Max'!BG231)/'2019 Legal Max'!BG231&gt;0.025))), "Confirm!", "")</f>
        <v/>
      </c>
      <c r="L231" s="126">
        <f>IF(ISNA(VLOOKUP($CV231,'Audit Values'!$A$3:$BW$3,2,FALSE)),'Preliminary SO66'!B230,VLOOKUP($CV231,'Audit Values'!$A$3:$BW$3,32,FALSE))</f>
        <v>1</v>
      </c>
      <c r="N231" s="95"/>
    </row>
    <row r="232" spans="1:14">
      <c r="A232" s="67" t="s">
        <v>424</v>
      </c>
      <c r="B232" s="38">
        <v>1410849</v>
      </c>
      <c r="D232" s="67" t="s">
        <v>424</v>
      </c>
      <c r="E232" s="24">
        <f>IF(ISNA(VLOOKUP($D232,'Audit Values'!$A$2:$DL$374,2,FALSE)), 0, VLOOKUP($D232,'Audit Values'!$A$2:$DL$374,72,FALSE))</f>
        <v>0</v>
      </c>
      <c r="F232" s="24">
        <f>Transportation!G232</f>
        <v>0</v>
      </c>
      <c r="G232" s="24"/>
      <c r="H232" s="24"/>
      <c r="I232" s="128"/>
      <c r="J232" s="105"/>
      <c r="K232" s="128" t="str">
        <f>IF(AND(H232&lt;&gt;"",(OR(H232&lt;'2019 Legal Max'!BG232, ('Weighting Factors'!H232-'2019 Legal Max'!BG232)/'2019 Legal Max'!BG232&gt;0.025))), "Confirm!", "")</f>
        <v/>
      </c>
      <c r="L232" s="126">
        <f>IF(ISNA(VLOOKUP($CV232,'Audit Values'!$A$3:$BW$3,2,FALSE)),'Preliminary SO66'!B231,VLOOKUP($CV232,'Audit Values'!$A$3:$BW$3,32,FALSE))</f>
        <v>1</v>
      </c>
      <c r="N232" s="95"/>
    </row>
    <row r="233" spans="1:14">
      <c r="A233" s="67" t="s">
        <v>425</v>
      </c>
      <c r="B233" s="38">
        <v>609546</v>
      </c>
      <c r="D233" s="67" t="s">
        <v>425</v>
      </c>
      <c r="E233" s="24">
        <f>IF(ISNA(VLOOKUP($D233,'Audit Values'!$A$2:$DL$374,2,FALSE)), 0, VLOOKUP($D233,'Audit Values'!$A$2:$DL$374,72,FALSE))</f>
        <v>0</v>
      </c>
      <c r="F233" s="24">
        <f>Transportation!G233</f>
        <v>0</v>
      </c>
      <c r="G233" s="24"/>
      <c r="H233" s="24"/>
      <c r="I233" s="128"/>
      <c r="J233" s="105"/>
      <c r="K233" s="128" t="str">
        <f>IF(AND(H233&lt;&gt;"",(OR(H233&lt;'2019 Legal Max'!BG233, ('Weighting Factors'!H233-'2019 Legal Max'!BG233)/'2019 Legal Max'!BG233&gt;0.025))), "Confirm!", "")</f>
        <v/>
      </c>
      <c r="L233" s="126">
        <f>IF(ISNA(VLOOKUP($CV233,'Audit Values'!$A$3:$BW$3,2,FALSE)),'Preliminary SO66'!B232,VLOOKUP($CV233,'Audit Values'!$A$3:$BW$3,32,FALSE))</f>
        <v>1</v>
      </c>
      <c r="N233" s="95"/>
    </row>
    <row r="234" spans="1:14">
      <c r="A234" s="67" t="s">
        <v>426</v>
      </c>
      <c r="B234" s="38">
        <v>403182</v>
      </c>
      <c r="D234" s="67" t="s">
        <v>426</v>
      </c>
      <c r="E234" s="24">
        <f>IF(ISNA(VLOOKUP($D234,'Audit Values'!$A$2:$DL$374,2,FALSE)), 0, VLOOKUP($D234,'Audit Values'!$A$2:$DL$374,72,FALSE))</f>
        <v>0</v>
      </c>
      <c r="F234" s="24">
        <f>Transportation!G234</f>
        <v>-13534</v>
      </c>
      <c r="G234" s="24"/>
      <c r="H234" s="24"/>
      <c r="I234" s="128"/>
      <c r="J234" s="105"/>
      <c r="K234" s="128" t="str">
        <f>IF(AND(H234&lt;&gt;"",(OR(H234&lt;'2019 Legal Max'!BG234, ('Weighting Factors'!H234-'2019 Legal Max'!BG234)/'2019 Legal Max'!BG234&gt;0.025))), "Confirm!", "")</f>
        <v/>
      </c>
      <c r="L234" s="126">
        <f>IF(ISNA(VLOOKUP($CV234,'Audit Values'!$A$3:$BW$3,2,FALSE)),'Preliminary SO66'!B233,VLOOKUP($CV234,'Audit Values'!$A$3:$BW$3,32,FALSE))</f>
        <v>1</v>
      </c>
      <c r="N234" s="95"/>
    </row>
    <row r="235" spans="1:14">
      <c r="A235" s="67" t="s">
        <v>427</v>
      </c>
      <c r="B235" s="38">
        <v>742094</v>
      </c>
      <c r="D235" s="67" t="s">
        <v>427</v>
      </c>
      <c r="E235" s="24">
        <f>IF(ISNA(VLOOKUP($D235,'Audit Values'!$A$2:$DL$374,2,FALSE)), 0, VLOOKUP($D235,'Audit Values'!$A$2:$DL$374,72,FALSE))</f>
        <v>0</v>
      </c>
      <c r="F235" s="24">
        <f>Transportation!G235</f>
        <v>0</v>
      </c>
      <c r="G235" s="24"/>
      <c r="H235" s="24"/>
      <c r="I235" s="128"/>
      <c r="J235" s="105"/>
      <c r="K235" s="128" t="str">
        <f>IF(AND(H235&lt;&gt;"",(OR(H235&lt;'2019 Legal Max'!BG235, ('Weighting Factors'!H235-'2019 Legal Max'!BG235)/'2019 Legal Max'!BG235&gt;0.025))), "Confirm!", "")</f>
        <v/>
      </c>
      <c r="L235" s="126">
        <f>IF(ISNA(VLOOKUP($CV235,'Audit Values'!$A$3:$BW$3,2,FALSE)),'Preliminary SO66'!B234,VLOOKUP($CV235,'Audit Values'!$A$3:$BW$3,32,FALSE))</f>
        <v>1</v>
      </c>
      <c r="N235" s="95"/>
    </row>
    <row r="236" spans="1:14">
      <c r="A236" s="67" t="s">
        <v>428</v>
      </c>
      <c r="B236" s="38">
        <v>3011455</v>
      </c>
      <c r="D236" s="67" t="s">
        <v>428</v>
      </c>
      <c r="E236" s="24">
        <f>IF(ISNA(VLOOKUP($D236,'Audit Values'!$A$2:$DL$374,2,FALSE)), 0, VLOOKUP($D236,'Audit Values'!$A$2:$DL$374,72,FALSE))</f>
        <v>0</v>
      </c>
      <c r="F236" s="24">
        <f>Transportation!G236</f>
        <v>0</v>
      </c>
      <c r="G236" s="24"/>
      <c r="H236" s="24"/>
      <c r="I236" s="128"/>
      <c r="J236" s="105"/>
      <c r="K236" s="128" t="str">
        <f>IF(AND(H236&lt;&gt;"",(OR(H236&lt;'2019 Legal Max'!BG236, ('Weighting Factors'!H236-'2019 Legal Max'!BG236)/'2019 Legal Max'!BG236&gt;0.025))), "Confirm!", "")</f>
        <v/>
      </c>
      <c r="L236" s="126">
        <f>IF(ISNA(VLOOKUP($CV236,'Audit Values'!$A$3:$BW$3,2,FALSE)),'Preliminary SO66'!B235,VLOOKUP($CV236,'Audit Values'!$A$3:$BW$3,32,FALSE))</f>
        <v>1</v>
      </c>
      <c r="N236" s="95"/>
    </row>
    <row r="237" spans="1:14">
      <c r="A237" s="67" t="s">
        <v>429</v>
      </c>
      <c r="B237" s="38">
        <v>289235</v>
      </c>
      <c r="D237" s="67" t="s">
        <v>429</v>
      </c>
      <c r="E237" s="24">
        <f>IF(ISNA(VLOOKUP($D237,'Audit Values'!$A$2:$DL$374,2,FALSE)), 0, VLOOKUP($D237,'Audit Values'!$A$2:$DL$374,72,FALSE))</f>
        <v>0</v>
      </c>
      <c r="F237" s="24">
        <f>Transportation!G237</f>
        <v>0</v>
      </c>
      <c r="G237" s="24"/>
      <c r="H237" s="24"/>
      <c r="I237" s="128"/>
      <c r="J237" s="105"/>
      <c r="K237" s="128" t="str">
        <f>IF(AND(H237&lt;&gt;"",(OR(H237&lt;'2019 Legal Max'!BG237, ('Weighting Factors'!H237-'2019 Legal Max'!BG237)/'2019 Legal Max'!BG237&gt;0.025))), "Confirm!", "")</f>
        <v/>
      </c>
      <c r="L237" s="126">
        <f>IF(ISNA(VLOOKUP($CV237,'Audit Values'!$A$3:$BW$3,2,FALSE)),'Preliminary SO66'!B236,VLOOKUP($CV237,'Audit Values'!$A$3:$BW$3,32,FALSE))</f>
        <v>1</v>
      </c>
      <c r="N237" s="95"/>
    </row>
    <row r="238" spans="1:14">
      <c r="A238" s="67" t="s">
        <v>430</v>
      </c>
      <c r="B238" s="38">
        <v>3833833</v>
      </c>
      <c r="D238" s="67" t="s">
        <v>430</v>
      </c>
      <c r="E238" s="24">
        <f>IF(ISNA(VLOOKUP($D238,'Audit Values'!$A$2:$DL$374,2,FALSE)), 0, VLOOKUP($D238,'Audit Values'!$A$2:$DL$374,72,FALSE))</f>
        <v>0</v>
      </c>
      <c r="F238" s="24">
        <f>Transportation!G238</f>
        <v>0</v>
      </c>
      <c r="G238" s="24"/>
      <c r="H238" s="24"/>
      <c r="I238" s="128"/>
      <c r="J238" s="105"/>
      <c r="K238" s="128" t="str">
        <f>IF(AND(H238&lt;&gt;"",(OR(H238&lt;'2019 Legal Max'!BG238, ('Weighting Factors'!H238-'2019 Legal Max'!BG238)/'2019 Legal Max'!BG238&gt;0.025))), "Confirm!", "")</f>
        <v/>
      </c>
      <c r="L238" s="126">
        <f>IF(ISNA(VLOOKUP($CV238,'Audit Values'!$A$3:$BW$3,2,FALSE)),'Preliminary SO66'!B237,VLOOKUP($CV238,'Audit Values'!$A$3:$BW$3,32,FALSE))</f>
        <v>1</v>
      </c>
      <c r="N238" s="95"/>
    </row>
    <row r="239" spans="1:14">
      <c r="A239" s="67" t="s">
        <v>431</v>
      </c>
      <c r="B239" s="38">
        <v>386535</v>
      </c>
      <c r="D239" s="67" t="s">
        <v>431</v>
      </c>
      <c r="E239" s="24">
        <f>IF(ISNA(VLOOKUP($D239,'Audit Values'!$A$2:$DL$374,2,FALSE)), 0, VLOOKUP($D239,'Audit Values'!$A$2:$DL$374,72,FALSE))</f>
        <v>0</v>
      </c>
      <c r="F239" s="24">
        <f>Transportation!G239</f>
        <v>-3000</v>
      </c>
      <c r="G239" s="24"/>
      <c r="H239" s="24"/>
      <c r="I239" s="128"/>
      <c r="J239" s="105"/>
      <c r="K239" s="128" t="str">
        <f>IF(AND(H239&lt;&gt;"",(OR(H239&lt;'2019 Legal Max'!BG239, ('Weighting Factors'!H239-'2019 Legal Max'!BG239)/'2019 Legal Max'!BG239&gt;0.025))), "Confirm!", "")</f>
        <v/>
      </c>
      <c r="L239" s="126">
        <f>IF(ISNA(VLOOKUP($CV239,'Audit Values'!$A$3:$BW$3,2,FALSE)),'Preliminary SO66'!B238,VLOOKUP($CV239,'Audit Values'!$A$3:$BW$3,32,FALSE))</f>
        <v>1</v>
      </c>
      <c r="N239" s="95"/>
    </row>
    <row r="240" spans="1:14">
      <c r="A240" s="67" t="s">
        <v>432</v>
      </c>
      <c r="B240" s="38">
        <v>341448</v>
      </c>
      <c r="D240" s="67" t="s">
        <v>432</v>
      </c>
      <c r="E240" s="24">
        <f>IF(ISNA(VLOOKUP($D240,'Audit Values'!$A$2:$DL$374,2,FALSE)), 0, VLOOKUP($D240,'Audit Values'!$A$2:$DL$374,72,FALSE))</f>
        <v>0</v>
      </c>
      <c r="F240" s="24">
        <f>Transportation!G240</f>
        <v>-48015</v>
      </c>
      <c r="G240" s="24"/>
      <c r="H240" s="24"/>
      <c r="I240" s="128"/>
      <c r="J240" s="105"/>
      <c r="K240" s="128" t="str">
        <f>IF(AND(H240&lt;&gt;"",(OR(H240&lt;'2019 Legal Max'!BG240, ('Weighting Factors'!H240-'2019 Legal Max'!BG240)/'2019 Legal Max'!BG240&gt;0.025))), "Confirm!", "")</f>
        <v/>
      </c>
      <c r="L240" s="126">
        <f>IF(ISNA(VLOOKUP($CV240,'Audit Values'!$A$3:$BW$3,2,FALSE)),'Preliminary SO66'!B239,VLOOKUP($CV240,'Audit Values'!$A$3:$BW$3,32,FALSE))</f>
        <v>1</v>
      </c>
      <c r="N240" s="95"/>
    </row>
    <row r="241" spans="1:14">
      <c r="A241" s="67" t="s">
        <v>433</v>
      </c>
      <c r="B241" s="38">
        <v>5361952</v>
      </c>
      <c r="D241" s="67" t="s">
        <v>433</v>
      </c>
      <c r="E241" s="24">
        <f>IF(ISNA(VLOOKUP($D241,'Audit Values'!$A$2:$DL$374,2,FALSE)), 0, VLOOKUP($D241,'Audit Values'!$A$2:$DL$374,72,FALSE))</f>
        <v>-4963</v>
      </c>
      <c r="F241" s="24">
        <f>Transportation!G241</f>
        <v>0</v>
      </c>
      <c r="G241" s="24"/>
      <c r="H241" s="24"/>
      <c r="I241" s="128"/>
      <c r="J241" s="105"/>
      <c r="K241" s="128" t="str">
        <f>IF(AND(H241&lt;&gt;"",(OR(H241&lt;'2019 Legal Max'!BG241, ('Weighting Factors'!H241-'2019 Legal Max'!BG241)/'2019 Legal Max'!BG241&gt;0.025))), "Confirm!", "")</f>
        <v/>
      </c>
      <c r="L241" s="126">
        <f>IF(ISNA(VLOOKUP($CV241,'Audit Values'!$A$3:$BW$3,2,FALSE)),'Preliminary SO66'!B240,VLOOKUP($CV241,'Audit Values'!$A$3:$BW$3,32,FALSE))</f>
        <v>1</v>
      </c>
      <c r="N241" s="95"/>
    </row>
    <row r="242" spans="1:14">
      <c r="A242" s="67" t="s">
        <v>434</v>
      </c>
      <c r="B242" s="38">
        <v>1552609</v>
      </c>
      <c r="D242" s="67" t="s">
        <v>434</v>
      </c>
      <c r="E242" s="24">
        <f>IF(ISNA(VLOOKUP($D242,'Audit Values'!$A$2:$DL$374,2,FALSE)), 0, VLOOKUP($D242,'Audit Values'!$A$2:$DL$374,72,FALSE))</f>
        <v>-14889</v>
      </c>
      <c r="F242" s="24">
        <f>Transportation!G242</f>
        <v>0</v>
      </c>
      <c r="G242" s="24"/>
      <c r="H242" s="24"/>
      <c r="I242" s="128"/>
      <c r="J242" s="105"/>
      <c r="K242" s="128" t="str">
        <f>IF(AND(H242&lt;&gt;"",(OR(H242&lt;'2019 Legal Max'!BG242, ('Weighting Factors'!H242-'2019 Legal Max'!BG242)/'2019 Legal Max'!BG242&gt;0.025))), "Confirm!", "")</f>
        <v/>
      </c>
      <c r="L242" s="126">
        <f>IF(ISNA(VLOOKUP($CV242,'Audit Values'!$A$3:$BW$3,2,FALSE)),'Preliminary SO66'!B241,VLOOKUP($CV242,'Audit Values'!$A$3:$BW$3,32,FALSE))</f>
        <v>1</v>
      </c>
      <c r="N242" s="95"/>
    </row>
    <row r="243" spans="1:14">
      <c r="A243" s="67" t="s">
        <v>435</v>
      </c>
      <c r="B243" s="38">
        <v>197927</v>
      </c>
      <c r="D243" s="67" t="s">
        <v>435</v>
      </c>
      <c r="E243" s="24">
        <f>IF(ISNA(VLOOKUP($D243,'Audit Values'!$A$2:$DL$374,2,FALSE)), 0, VLOOKUP($D243,'Audit Values'!$A$2:$DL$374,72,FALSE))</f>
        <v>0</v>
      </c>
      <c r="F243" s="24">
        <f>Transportation!G243</f>
        <v>-30242</v>
      </c>
      <c r="G243" s="24"/>
      <c r="H243" s="24"/>
      <c r="I243" s="128"/>
      <c r="J243" s="105"/>
      <c r="K243" s="128" t="str">
        <f>IF(AND(H243&lt;&gt;"",(OR(H243&lt;'2019 Legal Max'!BG243, ('Weighting Factors'!H243-'2019 Legal Max'!BG243)/'2019 Legal Max'!BG243&gt;0.025))), "Confirm!", "")</f>
        <v/>
      </c>
      <c r="L243" s="126">
        <f>IF(ISNA(VLOOKUP($CV243,'Audit Values'!$A$3:$BW$3,2,FALSE)),'Preliminary SO66'!B242,VLOOKUP($CV243,'Audit Values'!$A$3:$BW$3,32,FALSE))</f>
        <v>1</v>
      </c>
      <c r="N243" s="95"/>
    </row>
    <row r="244" spans="1:14">
      <c r="A244" s="67" t="s">
        <v>436</v>
      </c>
      <c r="B244" s="38">
        <v>642823</v>
      </c>
      <c r="D244" s="67" t="s">
        <v>436</v>
      </c>
      <c r="E244" s="24">
        <f>IF(ISNA(VLOOKUP($D244,'Audit Values'!$A$2:$DL$374,2,FALSE)), 0, VLOOKUP($D244,'Audit Values'!$A$2:$DL$374,72,FALSE))</f>
        <v>0</v>
      </c>
      <c r="F244" s="24">
        <f>Transportation!G244</f>
        <v>0</v>
      </c>
      <c r="G244" s="24"/>
      <c r="H244" s="24"/>
      <c r="I244" s="128"/>
      <c r="J244" s="105"/>
      <c r="K244" s="128" t="str">
        <f>IF(AND(H244&lt;&gt;"",(OR(H244&lt;'2019 Legal Max'!BG244, ('Weighting Factors'!H244-'2019 Legal Max'!BG244)/'2019 Legal Max'!BG244&gt;0.025))), "Confirm!", "")</f>
        <v/>
      </c>
      <c r="L244" s="126">
        <f>IF(ISNA(VLOOKUP($CV244,'Audit Values'!$A$3:$BW$3,2,FALSE)),'Preliminary SO66'!B243,VLOOKUP($CV244,'Audit Values'!$A$3:$BW$3,32,FALSE))</f>
        <v>1</v>
      </c>
      <c r="N244" s="95"/>
    </row>
    <row r="245" spans="1:14">
      <c r="A245" s="67" t="s">
        <v>437</v>
      </c>
      <c r="B245" s="38">
        <v>589497</v>
      </c>
      <c r="D245" s="67" t="s">
        <v>437</v>
      </c>
      <c r="E245" s="24">
        <f>IF(ISNA(VLOOKUP($D245,'Audit Values'!$A$2:$DL$374,2,FALSE)), 0, VLOOKUP($D245,'Audit Values'!$A$2:$DL$374,72,FALSE))</f>
        <v>0</v>
      </c>
      <c r="F245" s="24">
        <f>Transportation!G245</f>
        <v>0</v>
      </c>
      <c r="G245" s="24"/>
      <c r="H245" s="24">
        <v>5457816</v>
      </c>
      <c r="I245" s="128">
        <v>22</v>
      </c>
      <c r="J245" s="105"/>
      <c r="K245" s="128" t="str">
        <f>IF(AND(H245&lt;&gt;"",(OR(H245&lt;'2019 Legal Max'!BG245, ('Weighting Factors'!H245-'2019 Legal Max'!BG245)/'2019 Legal Max'!BG245&gt;0.025))), "Confirm!", "")</f>
        <v/>
      </c>
      <c r="L245" s="126">
        <f>IF(ISNA(VLOOKUP($CV245,'Audit Values'!$A$3:$BW$3,2,FALSE)),'Preliminary SO66'!B244,VLOOKUP($CV245,'Audit Values'!$A$3:$BW$3,32,FALSE))</f>
        <v>1</v>
      </c>
      <c r="N245" s="95"/>
    </row>
    <row r="246" spans="1:14">
      <c r="A246" s="67" t="s">
        <v>438</v>
      </c>
      <c r="B246" s="38">
        <v>308722</v>
      </c>
      <c r="D246" s="67" t="s">
        <v>438</v>
      </c>
      <c r="E246" s="24">
        <f>IF(ISNA(VLOOKUP($D246,'Audit Values'!$A$2:$DL$374,2,FALSE)), 0, VLOOKUP($D246,'Audit Values'!$A$2:$DL$374,72,FALSE))</f>
        <v>0</v>
      </c>
      <c r="F246" s="24">
        <f>Transportation!G246</f>
        <v>0</v>
      </c>
      <c r="G246" s="24"/>
      <c r="H246" s="24"/>
      <c r="I246" s="128"/>
      <c r="J246" s="105"/>
      <c r="K246" s="128" t="str">
        <f>IF(AND(H246&lt;&gt;"",(OR(H246&lt;'2019 Legal Max'!BG246, ('Weighting Factors'!H246-'2019 Legal Max'!BG246)/'2019 Legal Max'!BG246&gt;0.025))), "Confirm!", "")</f>
        <v/>
      </c>
      <c r="L246" s="126">
        <f>IF(ISNA(VLOOKUP($CV246,'Audit Values'!$A$3:$BW$3,2,FALSE)),'Preliminary SO66'!B245,VLOOKUP($CV246,'Audit Values'!$A$3:$BW$3,32,FALSE))</f>
        <v>1</v>
      </c>
      <c r="N246" s="95"/>
    </row>
    <row r="247" spans="1:14">
      <c r="A247" s="67" t="s">
        <v>439</v>
      </c>
      <c r="B247" s="38">
        <v>371593</v>
      </c>
      <c r="D247" s="67" t="s">
        <v>439</v>
      </c>
      <c r="E247" s="24">
        <f>IF(ISNA(VLOOKUP($D247,'Audit Values'!$A$2:$DL$374,2,FALSE)), 0, VLOOKUP($D247,'Audit Values'!$A$2:$DL$374,72,FALSE))</f>
        <v>0</v>
      </c>
      <c r="F247" s="24">
        <f>Transportation!G247</f>
        <v>0</v>
      </c>
      <c r="G247" s="24"/>
      <c r="H247" s="24"/>
      <c r="I247" s="128"/>
      <c r="J247" s="105"/>
      <c r="K247" s="128" t="str">
        <f>IF(AND(H247&lt;&gt;"",(OR(H247&lt;'2019 Legal Max'!BG247, ('Weighting Factors'!H247-'2019 Legal Max'!BG247)/'2019 Legal Max'!BG247&gt;0.025))), "Confirm!", "")</f>
        <v/>
      </c>
      <c r="L247" s="126">
        <f>IF(ISNA(VLOOKUP($CV247,'Audit Values'!$A$3:$BW$3,2,FALSE)),'Preliminary SO66'!B246,VLOOKUP($CV247,'Audit Values'!$A$3:$BW$3,32,FALSE))</f>
        <v>1</v>
      </c>
      <c r="N247" s="95"/>
    </row>
    <row r="248" spans="1:14">
      <c r="A248" s="67" t="s">
        <v>440</v>
      </c>
      <c r="B248" s="38">
        <v>1347372</v>
      </c>
      <c r="D248" s="67" t="s">
        <v>440</v>
      </c>
      <c r="E248" s="24">
        <f>IF(ISNA(VLOOKUP($D248,'Audit Values'!$A$2:$DL$374,2,FALSE)), 0, VLOOKUP($D248,'Audit Values'!$A$2:$DL$374,72,FALSE))</f>
        <v>0</v>
      </c>
      <c r="F248" s="24">
        <f>Transportation!G248</f>
        <v>0</v>
      </c>
      <c r="G248" s="24"/>
      <c r="H248" s="24"/>
      <c r="I248" s="128"/>
      <c r="J248" s="105"/>
      <c r="K248" s="128" t="str">
        <f>IF(AND(H248&lt;&gt;"",(OR(H248&lt;'2019 Legal Max'!BG248, ('Weighting Factors'!H248-'2019 Legal Max'!BG248)/'2019 Legal Max'!BG248&gt;0.025))), "Confirm!", "")</f>
        <v/>
      </c>
      <c r="L248" s="126">
        <f>IF(ISNA(VLOOKUP($CV248,'Audit Values'!$A$3:$BW$3,2,FALSE)),'Preliminary SO66'!B247,VLOOKUP($CV248,'Audit Values'!$A$3:$BW$3,32,FALSE))</f>
        <v>1</v>
      </c>
      <c r="N248" s="95"/>
    </row>
    <row r="249" spans="1:14">
      <c r="A249" s="67" t="s">
        <v>441</v>
      </c>
      <c r="B249" s="38">
        <v>2187665</v>
      </c>
      <c r="D249" s="67" t="s">
        <v>441</v>
      </c>
      <c r="E249" s="24">
        <f>IF(ISNA(VLOOKUP($D249,'Audit Values'!$A$2:$DL$374,2,FALSE)), 0, VLOOKUP($D249,'Audit Values'!$A$2:$DL$374,72,FALSE))</f>
        <v>0</v>
      </c>
      <c r="F249" s="24">
        <f>Transportation!G249</f>
        <v>-115054</v>
      </c>
      <c r="G249" s="24"/>
      <c r="H249" s="24">
        <v>15153936</v>
      </c>
      <c r="I249" s="128">
        <v>22</v>
      </c>
      <c r="J249" s="105"/>
      <c r="K249" s="128" t="str">
        <f>IF(AND(H249&lt;&gt;"",(OR(H249&lt;'2019 Legal Max'!BG249, ('Weighting Factors'!H249-'2019 Legal Max'!BG249)/'2019 Legal Max'!BG249&gt;0.025))), "Confirm!", "")</f>
        <v/>
      </c>
      <c r="L249" s="126">
        <f>IF(ISNA(VLOOKUP($CV249,'Audit Values'!$A$3:$BW$3,2,FALSE)),'Preliminary SO66'!B248,VLOOKUP($CV249,'Audit Values'!$A$3:$BW$3,32,FALSE))</f>
        <v>1</v>
      </c>
      <c r="N249" s="95"/>
    </row>
    <row r="250" spans="1:14">
      <c r="A250" s="67" t="s">
        <v>442</v>
      </c>
      <c r="B250" s="38">
        <v>535429</v>
      </c>
      <c r="D250" s="67" t="s">
        <v>442</v>
      </c>
      <c r="E250" s="24">
        <f>IF(ISNA(VLOOKUP($D250,'Audit Values'!$A$2:$DL$374,2,FALSE)), 0, VLOOKUP($D250,'Audit Values'!$A$2:$DL$374,72,FALSE))</f>
        <v>0</v>
      </c>
      <c r="F250" s="24">
        <f>Transportation!G250</f>
        <v>0</v>
      </c>
      <c r="G250" s="24"/>
      <c r="H250" s="24"/>
      <c r="I250" s="128"/>
      <c r="J250" s="105"/>
      <c r="K250" s="128" t="str">
        <f>IF(AND(H250&lt;&gt;"",(OR(H250&lt;'2019 Legal Max'!BG250, ('Weighting Factors'!H250-'2019 Legal Max'!BG250)/'2019 Legal Max'!BG250&gt;0.025))), "Confirm!", "")</f>
        <v/>
      </c>
      <c r="L250" s="126">
        <f>IF(ISNA(VLOOKUP($CV250,'Audit Values'!$A$3:$BW$3,2,FALSE)),'Preliminary SO66'!B249,VLOOKUP($CV250,'Audit Values'!$A$3:$BW$3,32,FALSE))</f>
        <v>1</v>
      </c>
      <c r="N250" s="95"/>
    </row>
    <row r="251" spans="1:14">
      <c r="A251" s="67" t="s">
        <v>443</v>
      </c>
      <c r="B251" s="38">
        <v>278906</v>
      </c>
      <c r="D251" s="67" t="s">
        <v>443</v>
      </c>
      <c r="E251" s="24">
        <f>IF(ISNA(VLOOKUP($D251,'Audit Values'!$A$2:$DL$374,2,FALSE)), 0, VLOOKUP($D251,'Audit Values'!$A$2:$DL$374,72,FALSE))</f>
        <v>0</v>
      </c>
      <c r="F251" s="24">
        <f>Transportation!G251</f>
        <v>-63237</v>
      </c>
      <c r="G251" s="24"/>
      <c r="H251" s="24"/>
      <c r="I251" s="128"/>
      <c r="J251" s="105"/>
      <c r="K251" s="128" t="str">
        <f>IF(AND(H251&lt;&gt;"",(OR(H251&lt;'2019 Legal Max'!BG251, ('Weighting Factors'!H251-'2019 Legal Max'!BG251)/'2019 Legal Max'!BG251&gt;0.025))), "Confirm!", "")</f>
        <v/>
      </c>
      <c r="L251" s="126">
        <f>IF(ISNA(VLOOKUP($CV251,'Audit Values'!$A$3:$BW$3,2,FALSE)),'Preliminary SO66'!B250,VLOOKUP($CV251,'Audit Values'!$A$3:$BW$3,32,FALSE))</f>
        <v>1</v>
      </c>
      <c r="N251" s="95"/>
    </row>
    <row r="252" spans="1:14">
      <c r="A252" s="67" t="s">
        <v>444</v>
      </c>
      <c r="B252" s="38">
        <v>115125</v>
      </c>
      <c r="D252" s="67" t="s">
        <v>444</v>
      </c>
      <c r="E252" s="24">
        <f>IF(ISNA(VLOOKUP($D252,'Audit Values'!$A$2:$DL$374,2,FALSE)), 0, VLOOKUP($D252,'Audit Values'!$A$2:$DL$374,72,FALSE))</f>
        <v>0</v>
      </c>
      <c r="F252" s="24">
        <f>Transportation!G252</f>
        <v>0</v>
      </c>
      <c r="G252" s="24"/>
      <c r="H252" s="24"/>
      <c r="I252" s="128"/>
      <c r="J252" s="105"/>
      <c r="K252" s="128" t="str">
        <f>IF(AND(H252&lt;&gt;"",(OR(H252&lt;'2019 Legal Max'!BG252, ('Weighting Factors'!H252-'2019 Legal Max'!BG252)/'2019 Legal Max'!BG252&gt;0.025))), "Confirm!", "")</f>
        <v/>
      </c>
      <c r="L252" s="126">
        <f>IF(ISNA(VLOOKUP($CV252,'Audit Values'!$A$3:$BW$3,2,FALSE)),'Preliminary SO66'!B251,VLOOKUP($CV252,'Audit Values'!$A$3:$BW$3,32,FALSE))</f>
        <v>1</v>
      </c>
      <c r="N252" s="95"/>
    </row>
    <row r="253" spans="1:14">
      <c r="A253" s="67" t="s">
        <v>445</v>
      </c>
      <c r="B253" s="38">
        <v>1716493</v>
      </c>
      <c r="D253" s="67" t="s">
        <v>445</v>
      </c>
      <c r="E253" s="24">
        <f>IF(ISNA(VLOOKUP($D253,'Audit Values'!$A$2:$DL$374,2,FALSE)), 0, VLOOKUP($D253,'Audit Values'!$A$2:$DL$374,72,FALSE))</f>
        <v>0</v>
      </c>
      <c r="F253" s="24">
        <f>Transportation!G253</f>
        <v>0</v>
      </c>
      <c r="G253" s="24"/>
      <c r="H253" s="24">
        <v>15900000</v>
      </c>
      <c r="I253" s="128"/>
      <c r="J253" s="105"/>
      <c r="K253" s="128" t="str">
        <f>IF(AND(H253&lt;&gt;"",(OR(H253&lt;'2019 Legal Max'!BG253, ('Weighting Factors'!H253-'2019 Legal Max'!BG253)/'2019 Legal Max'!BG253&gt;0.025))), "Confirm!", "")</f>
        <v/>
      </c>
      <c r="L253" s="126">
        <f>IF(ISNA(VLOOKUP($CV253,'Audit Values'!$A$3:$BW$3,2,FALSE)),'Preliminary SO66'!B252,VLOOKUP($CV253,'Audit Values'!$A$3:$BW$3,32,FALSE))</f>
        <v>1</v>
      </c>
      <c r="N253" s="95"/>
    </row>
    <row r="254" spans="1:14">
      <c r="A254" s="67" t="s">
        <v>446</v>
      </c>
      <c r="B254" s="38">
        <v>2403951</v>
      </c>
      <c r="D254" s="67" t="s">
        <v>446</v>
      </c>
      <c r="E254" s="24">
        <f>IF(ISNA(VLOOKUP($D254,'Audit Values'!$A$2:$DL$374,2,FALSE)), 0, VLOOKUP($D254,'Audit Values'!$A$2:$DL$374,72,FALSE))</f>
        <v>0</v>
      </c>
      <c r="F254" s="24">
        <f>Transportation!G254</f>
        <v>0</v>
      </c>
      <c r="G254" s="24"/>
      <c r="H254" s="24"/>
      <c r="I254" s="128"/>
      <c r="J254" s="105"/>
      <c r="K254" s="128" t="str">
        <f>IF(AND(H254&lt;&gt;"",(OR(H254&lt;'2019 Legal Max'!BG254, ('Weighting Factors'!H254-'2019 Legal Max'!BG254)/'2019 Legal Max'!BG254&gt;0.025))), "Confirm!", "")</f>
        <v/>
      </c>
      <c r="L254" s="126">
        <f>IF(ISNA(VLOOKUP($CV254,'Audit Values'!$A$3:$BW$3,2,FALSE)),'Preliminary SO66'!B253,VLOOKUP($CV254,'Audit Values'!$A$3:$BW$3,32,FALSE))</f>
        <v>1</v>
      </c>
      <c r="N254" s="95"/>
    </row>
    <row r="255" spans="1:14">
      <c r="A255" s="67" t="s">
        <v>447</v>
      </c>
      <c r="B255" s="38">
        <v>182014</v>
      </c>
      <c r="D255" s="67" t="s">
        <v>447</v>
      </c>
      <c r="E255" s="24">
        <f>IF(ISNA(VLOOKUP($D255,'Audit Values'!$A$2:$DL$374,2,FALSE)), 0, VLOOKUP($D255,'Audit Values'!$A$2:$DL$374,72,FALSE))</f>
        <v>0</v>
      </c>
      <c r="F255" s="24">
        <f>Transportation!G255</f>
        <v>0</v>
      </c>
      <c r="G255" s="24"/>
      <c r="H255" s="24">
        <v>1745135</v>
      </c>
      <c r="I255" s="128">
        <v>22</v>
      </c>
      <c r="J255" s="105"/>
      <c r="K255" s="128" t="str">
        <f>IF(AND(H255&lt;&gt;"",(OR(H255&lt;'2019 Legal Max'!BG255, ('Weighting Factors'!H255-'2019 Legal Max'!BG255)/'2019 Legal Max'!BG255&gt;0.025))), "Confirm!", "")</f>
        <v/>
      </c>
      <c r="L255" s="126">
        <f>IF(ISNA(VLOOKUP($CV255,'Audit Values'!$A$3:$BW$3,2,FALSE)),'Preliminary SO66'!B254,VLOOKUP($CV255,'Audit Values'!$A$3:$BW$3,32,FALSE))</f>
        <v>1</v>
      </c>
      <c r="N255" s="95"/>
    </row>
    <row r="256" spans="1:14">
      <c r="A256" s="67" t="s">
        <v>448</v>
      </c>
      <c r="B256" s="38">
        <v>852264</v>
      </c>
      <c r="D256" s="67" t="s">
        <v>448</v>
      </c>
      <c r="E256" s="24">
        <f>IF(ISNA(VLOOKUP($D256,'Audit Values'!$A$2:$DL$374,2,FALSE)), 0, VLOOKUP($D256,'Audit Values'!$A$2:$DL$374,72,FALSE))</f>
        <v>0</v>
      </c>
      <c r="F256" s="24">
        <f>Transportation!G256</f>
        <v>0</v>
      </c>
      <c r="G256" s="24"/>
      <c r="H256" s="24"/>
      <c r="I256" s="128"/>
      <c r="J256" s="105"/>
      <c r="K256" s="128" t="str">
        <f>IF(AND(H256&lt;&gt;"",(OR(H256&lt;'2019 Legal Max'!BG256, ('Weighting Factors'!H256-'2019 Legal Max'!BG256)/'2019 Legal Max'!BG256&gt;0.025))), "Confirm!", "")</f>
        <v/>
      </c>
      <c r="L256" s="126">
        <f>IF(ISNA(VLOOKUP($CV256,'Audit Values'!$A$3:$BW$3,2,FALSE)),'Preliminary SO66'!B255,VLOOKUP($CV256,'Audit Values'!$A$3:$BW$3,32,FALSE))</f>
        <v>1</v>
      </c>
      <c r="N256" s="95"/>
    </row>
    <row r="257" spans="1:14">
      <c r="A257" s="67" t="s">
        <v>449</v>
      </c>
      <c r="B257" s="38">
        <v>163745</v>
      </c>
      <c r="D257" s="67" t="s">
        <v>449</v>
      </c>
      <c r="E257" s="24">
        <f>IF(ISNA(VLOOKUP($D257,'Audit Values'!$A$2:$DL$374,2,FALSE)), 0, VLOOKUP($D257,'Audit Values'!$A$2:$DL$374,72,FALSE))</f>
        <v>0</v>
      </c>
      <c r="F257" s="24">
        <f>Transportation!G257</f>
        <v>0</v>
      </c>
      <c r="G257" s="24"/>
      <c r="H257" s="24"/>
      <c r="I257" s="128"/>
      <c r="J257" s="105"/>
      <c r="K257" s="128" t="str">
        <f>IF(AND(H257&lt;&gt;"",(OR(H257&lt;'2019 Legal Max'!BG257, ('Weighting Factors'!H257-'2019 Legal Max'!BG257)/'2019 Legal Max'!BG257&gt;0.025))), "Confirm!", "")</f>
        <v/>
      </c>
      <c r="L257" s="126">
        <f>IF(ISNA(VLOOKUP($CV257,'Audit Values'!$A$3:$BW$3,2,FALSE)),'Preliminary SO66'!B256,VLOOKUP($CV257,'Audit Values'!$A$3:$BW$3,32,FALSE))</f>
        <v>1</v>
      </c>
      <c r="N257" s="95"/>
    </row>
    <row r="258" spans="1:14">
      <c r="A258" s="67" t="s">
        <v>450</v>
      </c>
      <c r="B258" s="38">
        <v>6169799</v>
      </c>
      <c r="D258" s="67" t="s">
        <v>450</v>
      </c>
      <c r="E258" s="24">
        <f>IF(ISNA(VLOOKUP($D258,'Audit Values'!$A$2:$DL$374,2,FALSE)), 0, VLOOKUP($D258,'Audit Values'!$A$2:$DL$374,72,FALSE))</f>
        <v>-12408</v>
      </c>
      <c r="F258" s="24">
        <f>Transportation!G258</f>
        <v>0</v>
      </c>
      <c r="G258" s="24"/>
      <c r="H258" s="24"/>
      <c r="I258" s="128"/>
      <c r="J258" s="105"/>
      <c r="K258" s="128" t="str">
        <f>IF(AND(H258&lt;&gt;"",(OR(H258&lt;'2019 Legal Max'!BG258, ('Weighting Factors'!H258-'2019 Legal Max'!BG258)/'2019 Legal Max'!BG258&gt;0.025))), "Confirm!", "")</f>
        <v/>
      </c>
      <c r="L258" s="126">
        <f>IF(ISNA(VLOOKUP($CV258,'Audit Values'!$A$3:$BW$3,2,FALSE)),'Preliminary SO66'!B257,VLOOKUP($CV258,'Audit Values'!$A$3:$BW$3,32,FALSE))</f>
        <v>1</v>
      </c>
      <c r="N258" s="95"/>
    </row>
    <row r="259" spans="1:14">
      <c r="A259" s="67" t="s">
        <v>451</v>
      </c>
      <c r="B259" s="38">
        <v>102150</v>
      </c>
      <c r="D259" s="67" t="s">
        <v>451</v>
      </c>
      <c r="E259" s="24">
        <f>IF(ISNA(VLOOKUP($D259,'Audit Values'!$A$2:$DL$374,2,FALSE)), 0, VLOOKUP($D259,'Audit Values'!$A$2:$DL$374,72,FALSE))</f>
        <v>0</v>
      </c>
      <c r="F259" s="24">
        <f>Transportation!G259</f>
        <v>0</v>
      </c>
      <c r="G259" s="24"/>
      <c r="H259" s="24"/>
      <c r="I259" s="128"/>
      <c r="J259" s="105"/>
      <c r="K259" s="128" t="str">
        <f>IF(AND(H259&lt;&gt;"",(OR(H259&lt;'2019 Legal Max'!BG259, ('Weighting Factors'!H259-'2019 Legal Max'!BG259)/'2019 Legal Max'!BG259&gt;0.025))), "Confirm!", "")</f>
        <v/>
      </c>
      <c r="L259" s="126">
        <f>IF(ISNA(VLOOKUP($CV259,'Audit Values'!$A$3:$BW$3,2,FALSE)),'Preliminary SO66'!B258,VLOOKUP($CV259,'Audit Values'!$A$3:$BW$3,32,FALSE))</f>
        <v>1</v>
      </c>
      <c r="N259" s="95"/>
    </row>
    <row r="260" spans="1:14">
      <c r="A260" s="67" t="s">
        <v>452</v>
      </c>
      <c r="B260" s="38">
        <v>207959</v>
      </c>
      <c r="D260" s="67" t="s">
        <v>452</v>
      </c>
      <c r="E260" s="24">
        <f>IF(ISNA(VLOOKUP($D260,'Audit Values'!$A$2:$DL$374,2,FALSE)), 0, VLOOKUP($D260,'Audit Values'!$A$2:$DL$374,72,FALSE))</f>
        <v>0</v>
      </c>
      <c r="F260" s="24">
        <f>Transportation!G260</f>
        <v>0</v>
      </c>
      <c r="G260" s="24"/>
      <c r="H260" s="24"/>
      <c r="I260" s="128"/>
      <c r="J260" s="105"/>
      <c r="K260" s="128" t="str">
        <f>IF(AND(H260&lt;&gt;"",(OR(H260&lt;'2019 Legal Max'!BG260, ('Weighting Factors'!H260-'2019 Legal Max'!BG260)/'2019 Legal Max'!BG260&gt;0.025))), "Confirm!", "")</f>
        <v/>
      </c>
      <c r="L260" s="126">
        <f>IF(ISNA(VLOOKUP($CV260,'Audit Values'!$A$3:$BW$3,2,FALSE)),'Preliminary SO66'!B259,VLOOKUP($CV260,'Audit Values'!$A$3:$BW$3,32,FALSE))</f>
        <v>1</v>
      </c>
      <c r="N260" s="95"/>
    </row>
    <row r="261" spans="1:14">
      <c r="A261" s="67" t="s">
        <v>453</v>
      </c>
      <c r="B261" s="38">
        <v>308637</v>
      </c>
      <c r="D261" s="67" t="s">
        <v>453</v>
      </c>
      <c r="E261" s="24">
        <f>IF(ISNA(VLOOKUP($D261,'Audit Values'!$A$2:$DL$374,2,FALSE)), 0, VLOOKUP($D261,'Audit Values'!$A$2:$DL$374,72,FALSE))</f>
        <v>0</v>
      </c>
      <c r="F261" s="24">
        <f>Transportation!G261</f>
        <v>0</v>
      </c>
      <c r="G261" s="24"/>
      <c r="H261" s="24"/>
      <c r="I261" s="128"/>
      <c r="J261" s="105"/>
      <c r="K261" s="128" t="str">
        <f>IF(AND(H261&lt;&gt;"",(OR(H261&lt;'2019 Legal Max'!BG261, ('Weighting Factors'!H261-'2019 Legal Max'!BG261)/'2019 Legal Max'!BG261&gt;0.025))), "Confirm!", "")</f>
        <v/>
      </c>
      <c r="L261" s="126">
        <f>IF(ISNA(VLOOKUP($CV261,'Audit Values'!$A$3:$BW$3,2,FALSE)),'Preliminary SO66'!B260,VLOOKUP($CV261,'Audit Values'!$A$3:$BW$3,32,FALSE))</f>
        <v>1</v>
      </c>
      <c r="N261" s="95"/>
    </row>
    <row r="262" spans="1:14">
      <c r="A262" s="67" t="s">
        <v>454</v>
      </c>
      <c r="B262" s="38">
        <v>2081006</v>
      </c>
      <c r="D262" s="67" t="s">
        <v>454</v>
      </c>
      <c r="E262" s="24">
        <f>IF(ISNA(VLOOKUP($D262,'Audit Values'!$A$2:$DL$374,2,FALSE)), 0, VLOOKUP($D262,'Audit Values'!$A$2:$DL$374,72,FALSE))</f>
        <v>0</v>
      </c>
      <c r="F262" s="24">
        <f>Transportation!G262</f>
        <v>0</v>
      </c>
      <c r="G262" s="24"/>
      <c r="H262" s="24"/>
      <c r="I262" s="128"/>
      <c r="J262" s="105"/>
      <c r="K262" s="128" t="str">
        <f>IF(AND(H262&lt;&gt;"",(OR(H262&lt;'2019 Legal Max'!BG262, ('Weighting Factors'!H262-'2019 Legal Max'!BG262)/'2019 Legal Max'!BG262&gt;0.025))), "Confirm!", "")</f>
        <v/>
      </c>
      <c r="L262" s="126">
        <f>IF(ISNA(VLOOKUP($CV262,'Audit Values'!$A$3:$BW$3,2,FALSE)),'Preliminary SO66'!B261,VLOOKUP($CV262,'Audit Values'!$A$3:$BW$3,32,FALSE))</f>
        <v>1</v>
      </c>
      <c r="N262" s="95"/>
    </row>
    <row r="263" spans="1:14">
      <c r="A263" s="67" t="s">
        <v>455</v>
      </c>
      <c r="B263" s="38">
        <v>401024</v>
      </c>
      <c r="D263" s="67" t="s">
        <v>455</v>
      </c>
      <c r="E263" s="24">
        <f>IF(ISNA(VLOOKUP($D263,'Audit Values'!$A$2:$DL$374,2,FALSE)), 0, VLOOKUP($D263,'Audit Values'!$A$2:$DL$374,72,FALSE))</f>
        <v>0</v>
      </c>
      <c r="F263" s="24">
        <f>Transportation!G263</f>
        <v>0</v>
      </c>
      <c r="G263" s="24"/>
      <c r="H263" s="24">
        <v>2600000</v>
      </c>
      <c r="I263" s="128">
        <v>19</v>
      </c>
      <c r="J263" s="105"/>
      <c r="K263" s="128" t="str">
        <f>IF(AND(H263&lt;&gt;"",(OR(H263&lt;'2019 Legal Max'!BG263, ('Weighting Factors'!H263-'2019 Legal Max'!BG263)/'2019 Legal Max'!BG263&gt;0.025))), "Confirm!", "")</f>
        <v>Confirm!</v>
      </c>
      <c r="L263" s="126">
        <f>IF(ISNA(VLOOKUP($CV263,'Audit Values'!$A$3:$BW$3,2,FALSE)),'Preliminary SO66'!B262,VLOOKUP($CV263,'Audit Values'!$A$3:$BW$3,32,FALSE))</f>
        <v>1</v>
      </c>
      <c r="N263" s="95"/>
    </row>
    <row r="264" spans="1:14">
      <c r="A264" s="67" t="s">
        <v>456</v>
      </c>
      <c r="B264" s="38">
        <v>205278</v>
      </c>
      <c r="D264" s="67" t="s">
        <v>456</v>
      </c>
      <c r="E264" s="24">
        <f>IF(ISNA(VLOOKUP($D264,'Audit Values'!$A$2:$DL$374,2,FALSE)), 0, VLOOKUP($D264,'Audit Values'!$A$2:$DL$374,72,FALSE))</f>
        <v>0</v>
      </c>
      <c r="F264" s="24">
        <f>Transportation!G264</f>
        <v>0</v>
      </c>
      <c r="G264" s="24"/>
      <c r="H264" s="24"/>
      <c r="I264" s="128"/>
      <c r="J264" s="105"/>
      <c r="K264" s="128" t="str">
        <f>IF(AND(H264&lt;&gt;"",(OR(H264&lt;'2019 Legal Max'!BG264, ('Weighting Factors'!H264-'2019 Legal Max'!BG264)/'2019 Legal Max'!BG264&gt;0.025))), "Confirm!", "")</f>
        <v/>
      </c>
      <c r="L264" s="126">
        <f>IF(ISNA(VLOOKUP($CV264,'Audit Values'!$A$3:$BW$3,2,FALSE)),'Preliminary SO66'!B263,VLOOKUP($CV264,'Audit Values'!$A$3:$BW$3,32,FALSE))</f>
        <v>1</v>
      </c>
      <c r="N264" s="95"/>
    </row>
    <row r="265" spans="1:14">
      <c r="A265" s="67" t="s">
        <v>457</v>
      </c>
      <c r="B265" s="38">
        <v>599845</v>
      </c>
      <c r="D265" s="67" t="s">
        <v>457</v>
      </c>
      <c r="E265" s="24">
        <f>IF(ISNA(VLOOKUP($D265,'Audit Values'!$A$2:$DL$374,2,FALSE)), 0, VLOOKUP($D265,'Audit Values'!$A$2:$DL$374,72,FALSE))</f>
        <v>0</v>
      </c>
      <c r="F265" s="24">
        <f>Transportation!G265</f>
        <v>-49057</v>
      </c>
      <c r="G265" s="24"/>
      <c r="H265" s="24"/>
      <c r="I265" s="128"/>
      <c r="J265" s="105"/>
      <c r="K265" s="128" t="str">
        <f>IF(AND(H265&lt;&gt;"",(OR(H265&lt;'2019 Legal Max'!BG265, ('Weighting Factors'!H265-'2019 Legal Max'!BG265)/'2019 Legal Max'!BG265&gt;0.025))), "Confirm!", "")</f>
        <v/>
      </c>
      <c r="L265" s="126">
        <f>IF(ISNA(VLOOKUP($CV265,'Audit Values'!$A$3:$BW$3,2,FALSE)),'Preliminary SO66'!B264,VLOOKUP($CV265,'Audit Values'!$A$3:$BW$3,32,FALSE))</f>
        <v>1</v>
      </c>
      <c r="N265" s="95"/>
    </row>
    <row r="266" spans="1:14">
      <c r="A266" s="67" t="s">
        <v>458</v>
      </c>
      <c r="B266" s="38">
        <v>658732</v>
      </c>
      <c r="D266" s="67" t="s">
        <v>458</v>
      </c>
      <c r="E266" s="24">
        <f>IF(ISNA(VLOOKUP($D266,'Audit Values'!$A$2:$DL$374,2,FALSE)), 0, VLOOKUP($D266,'Audit Values'!$A$2:$DL$374,72,FALSE))</f>
        <v>-355</v>
      </c>
      <c r="F266" s="24">
        <f>Transportation!G266</f>
        <v>0</v>
      </c>
      <c r="G266" s="24"/>
      <c r="H266" s="24"/>
      <c r="I266" s="128"/>
      <c r="J266" s="105"/>
      <c r="K266" s="128" t="str">
        <f>IF(AND(H266&lt;&gt;"",(OR(H266&lt;'2019 Legal Max'!BG266, ('Weighting Factors'!H266-'2019 Legal Max'!BG266)/'2019 Legal Max'!BG266&gt;0.025))), "Confirm!", "")</f>
        <v/>
      </c>
      <c r="L266" s="126">
        <f>IF(ISNA(VLOOKUP($CV266,'Audit Values'!$A$3:$BW$3,2,FALSE)),'Preliminary SO66'!B265,VLOOKUP($CV266,'Audit Values'!$A$3:$BW$3,32,FALSE))</f>
        <v>1</v>
      </c>
      <c r="N266" s="95"/>
    </row>
    <row r="267" spans="1:14">
      <c r="A267" s="67" t="s">
        <v>459</v>
      </c>
      <c r="B267" s="38">
        <v>463854</v>
      </c>
      <c r="D267" s="67" t="s">
        <v>459</v>
      </c>
      <c r="E267" s="24">
        <f>IF(ISNA(VLOOKUP($D267,'Audit Values'!$A$2:$DL$374,2,FALSE)), 0, VLOOKUP($D267,'Audit Values'!$A$2:$DL$374,72,FALSE))</f>
        <v>0</v>
      </c>
      <c r="F267" s="24">
        <f>Transportation!G267</f>
        <v>0</v>
      </c>
      <c r="G267" s="24"/>
      <c r="H267" s="24"/>
      <c r="I267" s="128"/>
      <c r="J267" s="105"/>
      <c r="K267" s="128" t="str">
        <f>IF(AND(H267&lt;&gt;"",(OR(H267&lt;'2019 Legal Max'!BG267, ('Weighting Factors'!H267-'2019 Legal Max'!BG267)/'2019 Legal Max'!BG267&gt;0.025))), "Confirm!", "")</f>
        <v/>
      </c>
      <c r="L267" s="126">
        <f>IF(ISNA(VLOOKUP($CV267,'Audit Values'!$A$3:$BW$3,2,FALSE)),'Preliminary SO66'!B266,VLOOKUP($CV267,'Audit Values'!$A$3:$BW$3,32,FALSE))</f>
        <v>1</v>
      </c>
      <c r="N267" s="95"/>
    </row>
    <row r="268" spans="1:14">
      <c r="A268" s="67" t="s">
        <v>460</v>
      </c>
      <c r="B268" s="38">
        <v>3138412</v>
      </c>
      <c r="D268" s="67" t="s">
        <v>460</v>
      </c>
      <c r="E268" s="24">
        <f>IF(ISNA(VLOOKUP($D268,'Audit Values'!$A$2:$DL$374,2,FALSE)), 0, VLOOKUP($D268,'Audit Values'!$A$2:$DL$374,72,FALSE))</f>
        <v>-886</v>
      </c>
      <c r="F268" s="24">
        <f>Transportation!G268</f>
        <v>0</v>
      </c>
      <c r="G268" s="24"/>
      <c r="H268" s="24">
        <v>19043877</v>
      </c>
      <c r="I268" s="128">
        <v>19</v>
      </c>
      <c r="J268" s="105"/>
      <c r="K268" s="128" t="str">
        <f>IF(AND(H268&lt;&gt;"",(OR(H268&lt;'2019 Legal Max'!BG268, ('Weighting Factors'!H268-'2019 Legal Max'!BG268)/'2019 Legal Max'!BG268&gt;0.025))), "Confirm!", "")</f>
        <v/>
      </c>
      <c r="L268" s="126">
        <f>IF(ISNA(VLOOKUP($CV268,'Audit Values'!$A$3:$BW$3,2,FALSE)),'Preliminary SO66'!B267,VLOOKUP($CV268,'Audit Values'!$A$3:$BW$3,32,FALSE))</f>
        <v>1</v>
      </c>
      <c r="N268" s="95"/>
    </row>
    <row r="269" spans="1:14">
      <c r="A269" s="67" t="s">
        <v>461</v>
      </c>
      <c r="B269" s="38">
        <v>1883402</v>
      </c>
      <c r="D269" s="67" t="s">
        <v>461</v>
      </c>
      <c r="E269" s="24">
        <f>IF(ISNA(VLOOKUP($D269,'Audit Values'!$A$2:$DL$374,2,FALSE)), 0, VLOOKUP($D269,'Audit Values'!$A$2:$DL$374,72,FALSE))</f>
        <v>0</v>
      </c>
      <c r="F269" s="24">
        <f>Transportation!G269</f>
        <v>-128489</v>
      </c>
      <c r="G269" s="24"/>
      <c r="H269" s="24"/>
      <c r="I269" s="128"/>
      <c r="J269" s="105"/>
      <c r="K269" s="128" t="str">
        <f>IF(AND(H269&lt;&gt;"",(OR(H269&lt;'2019 Legal Max'!BG269, ('Weighting Factors'!H269-'2019 Legal Max'!BG269)/'2019 Legal Max'!BG269&gt;0.025))), "Confirm!", "")</f>
        <v/>
      </c>
      <c r="L269" s="126">
        <f>IF(ISNA(VLOOKUP($CV269,'Audit Values'!$A$3:$BW$3,2,FALSE)),'Preliminary SO66'!B268,VLOOKUP($CV269,'Audit Values'!$A$3:$BW$3,32,FALSE))</f>
        <v>1</v>
      </c>
      <c r="N269" s="95"/>
    </row>
    <row r="270" spans="1:14">
      <c r="A270" s="67" t="s">
        <v>462</v>
      </c>
      <c r="B270" s="38">
        <v>1227861</v>
      </c>
      <c r="D270" s="67" t="s">
        <v>462</v>
      </c>
      <c r="E270" s="24">
        <f>IF(ISNA(VLOOKUP($D270,'Audit Values'!$A$2:$DL$374,2,FALSE)), 0, VLOOKUP($D270,'Audit Values'!$A$2:$DL$374,72,FALSE))</f>
        <v>-709</v>
      </c>
      <c r="F270" s="24">
        <f>Transportation!G270</f>
        <v>0</v>
      </c>
      <c r="G270" s="24"/>
      <c r="H270" s="24"/>
      <c r="I270" s="128"/>
      <c r="J270" s="105"/>
      <c r="K270" s="128" t="str">
        <f>IF(AND(H270&lt;&gt;"",(OR(H270&lt;'2019 Legal Max'!BG270, ('Weighting Factors'!H270-'2019 Legal Max'!BG270)/'2019 Legal Max'!BG270&gt;0.025))), "Confirm!", "")</f>
        <v/>
      </c>
      <c r="L270" s="126">
        <f>IF(ISNA(VLOOKUP($CV270,'Audit Values'!$A$3:$BW$3,2,FALSE)),'Preliminary SO66'!B269,VLOOKUP($CV270,'Audit Values'!$A$3:$BW$3,32,FALSE))</f>
        <v>1</v>
      </c>
      <c r="N270" s="95"/>
    </row>
    <row r="271" spans="1:14">
      <c r="A271" s="67" t="s">
        <v>463</v>
      </c>
      <c r="B271" s="38">
        <v>293427</v>
      </c>
      <c r="D271" s="67" t="s">
        <v>463</v>
      </c>
      <c r="E271" s="24">
        <f>IF(ISNA(VLOOKUP($D271,'Audit Values'!$A$2:$DL$374,2,FALSE)), 0, VLOOKUP($D271,'Audit Values'!$A$2:$DL$374,72,FALSE))</f>
        <v>0</v>
      </c>
      <c r="F271" s="24">
        <f>Transportation!G271</f>
        <v>-59854</v>
      </c>
      <c r="G271" s="24"/>
      <c r="H271" s="24"/>
      <c r="I271" s="128"/>
      <c r="J271" s="105"/>
      <c r="K271" s="128" t="str">
        <f>IF(AND(H271&lt;&gt;"",(OR(H271&lt;'2019 Legal Max'!BG271, ('Weighting Factors'!H271-'2019 Legal Max'!BG271)/'2019 Legal Max'!BG271&gt;0.025))), "Confirm!", "")</f>
        <v/>
      </c>
      <c r="L271" s="126">
        <f>IF(ISNA(VLOOKUP($CV271,'Audit Values'!$A$3:$BW$3,2,FALSE)),'Preliminary SO66'!B270,VLOOKUP($CV271,'Audit Values'!$A$3:$BW$3,32,FALSE))</f>
        <v>1</v>
      </c>
      <c r="N271" s="95"/>
    </row>
    <row r="272" spans="1:14">
      <c r="A272" s="67" t="s">
        <v>464</v>
      </c>
      <c r="B272" s="38">
        <v>1047175</v>
      </c>
      <c r="D272" s="67" t="s">
        <v>464</v>
      </c>
      <c r="E272" s="24">
        <f>IF(ISNA(VLOOKUP($D272,'Audit Values'!$A$2:$DL$374,2,FALSE)), 0, VLOOKUP($D272,'Audit Values'!$A$2:$DL$374,72,FALSE))</f>
        <v>0</v>
      </c>
      <c r="F272" s="24">
        <f>Transportation!G272</f>
        <v>0</v>
      </c>
      <c r="G272" s="24"/>
      <c r="H272" s="24"/>
      <c r="I272" s="128"/>
      <c r="J272" s="105"/>
      <c r="K272" s="128" t="str">
        <f>IF(AND(H272&lt;&gt;"",(OR(H272&lt;'2019 Legal Max'!BG272, ('Weighting Factors'!H272-'2019 Legal Max'!BG272)/'2019 Legal Max'!BG272&gt;0.025))), "Confirm!", "")</f>
        <v/>
      </c>
      <c r="L272" s="126">
        <f>IF(ISNA(VLOOKUP($CV272,'Audit Values'!$A$3:$BW$3,2,FALSE)),'Preliminary SO66'!B271,VLOOKUP($CV272,'Audit Values'!$A$3:$BW$3,32,FALSE))</f>
        <v>1</v>
      </c>
      <c r="N272" s="95"/>
    </row>
    <row r="273" spans="1:14">
      <c r="A273" s="67" t="s">
        <v>465</v>
      </c>
      <c r="B273" s="38">
        <v>297844</v>
      </c>
      <c r="D273" s="67" t="s">
        <v>465</v>
      </c>
      <c r="E273" s="24">
        <f>IF(ISNA(VLOOKUP($D273,'Audit Values'!$A$2:$DL$374,2,FALSE)), 0, VLOOKUP($D273,'Audit Values'!$A$2:$DL$374,72,FALSE))</f>
        <v>0</v>
      </c>
      <c r="F273" s="24">
        <f>Transportation!G273</f>
        <v>0</v>
      </c>
      <c r="G273" s="24"/>
      <c r="H273" s="24"/>
      <c r="I273" s="128"/>
      <c r="J273" s="105"/>
      <c r="K273" s="128" t="str">
        <f>IF(AND(H273&lt;&gt;"",(OR(H273&lt;'2019 Legal Max'!BG273, ('Weighting Factors'!H273-'2019 Legal Max'!BG273)/'2019 Legal Max'!BG273&gt;0.025))), "Confirm!", "")</f>
        <v/>
      </c>
      <c r="L273" s="126">
        <f>IF(ISNA(VLOOKUP($CV273,'Audit Values'!$A$3:$BW$3,2,FALSE)),'Preliminary SO66'!B272,VLOOKUP($CV273,'Audit Values'!$A$3:$BW$3,32,FALSE))</f>
        <v>1</v>
      </c>
      <c r="N273" s="95"/>
    </row>
    <row r="274" spans="1:14">
      <c r="A274" s="67" t="s">
        <v>466</v>
      </c>
      <c r="B274" s="38">
        <v>1069591</v>
      </c>
      <c r="D274" s="67" t="s">
        <v>466</v>
      </c>
      <c r="E274" s="24">
        <f>IF(ISNA(VLOOKUP($D274,'Audit Values'!$A$2:$DL$374,2,FALSE)), 0, VLOOKUP($D274,'Audit Values'!$A$2:$DL$374,72,FALSE))</f>
        <v>0</v>
      </c>
      <c r="F274" s="24">
        <f>Transportation!G274</f>
        <v>0</v>
      </c>
      <c r="G274" s="24"/>
      <c r="H274" s="24"/>
      <c r="I274" s="128"/>
      <c r="J274" s="105"/>
      <c r="K274" s="128" t="str">
        <f>IF(AND(H274&lt;&gt;"",(OR(H274&lt;'2019 Legal Max'!BG274, ('Weighting Factors'!H274-'2019 Legal Max'!BG274)/'2019 Legal Max'!BG274&gt;0.025))), "Confirm!", "")</f>
        <v/>
      </c>
      <c r="L274" s="126">
        <f>IF(ISNA(VLOOKUP($CV274,'Audit Values'!$A$3:$BW$3,2,FALSE)),'Preliminary SO66'!B273,VLOOKUP($CV274,'Audit Values'!$A$3:$BW$3,32,FALSE))</f>
        <v>1</v>
      </c>
      <c r="N274" s="95"/>
    </row>
    <row r="275" spans="1:14">
      <c r="A275" s="67" t="s">
        <v>467</v>
      </c>
      <c r="B275" s="38">
        <v>166489</v>
      </c>
      <c r="D275" s="67" t="s">
        <v>467</v>
      </c>
      <c r="E275" s="24">
        <f>IF(ISNA(VLOOKUP($D275,'Audit Values'!$A$2:$DL$374,2,FALSE)), 0, VLOOKUP($D275,'Audit Values'!$A$2:$DL$374,72,FALSE))</f>
        <v>0</v>
      </c>
      <c r="F275" s="24">
        <f>Transportation!G275</f>
        <v>0</v>
      </c>
      <c r="G275" s="24"/>
      <c r="H275" s="24"/>
      <c r="I275" s="128"/>
      <c r="J275" s="105"/>
      <c r="K275" s="128" t="str">
        <f>IF(AND(H275&lt;&gt;"",(OR(H275&lt;'2019 Legal Max'!BG275, ('Weighting Factors'!H275-'2019 Legal Max'!BG275)/'2019 Legal Max'!BG275&gt;0.025))), "Confirm!", "")</f>
        <v/>
      </c>
      <c r="L275" s="126">
        <f>IF(ISNA(VLOOKUP($CV275,'Audit Values'!$A$3:$BW$3,2,FALSE)),'Preliminary SO66'!B274,VLOOKUP($CV275,'Audit Values'!$A$3:$BW$3,32,FALSE))</f>
        <v>1</v>
      </c>
      <c r="N275" s="95"/>
    </row>
    <row r="276" spans="1:14">
      <c r="A276" s="67" t="s">
        <v>468</v>
      </c>
      <c r="B276" s="38">
        <v>10918476</v>
      </c>
      <c r="D276" s="67" t="s">
        <v>468</v>
      </c>
      <c r="E276" s="24">
        <f>IF(ISNA(VLOOKUP($D276,'Audit Values'!$A$2:$DL$374,2,FALSE)), 0, VLOOKUP($D276,'Audit Values'!$A$2:$DL$374,72,FALSE))</f>
        <v>-4963</v>
      </c>
      <c r="F276" s="24">
        <f>Transportation!G276</f>
        <v>0</v>
      </c>
      <c r="G276" s="24"/>
      <c r="H276" s="24"/>
      <c r="I276" s="128"/>
      <c r="J276" s="105"/>
      <c r="K276" s="128" t="str">
        <f>IF(AND(H276&lt;&gt;"",(OR(H276&lt;'2019 Legal Max'!BG276, ('Weighting Factors'!H276-'2019 Legal Max'!BG276)/'2019 Legal Max'!BG276&gt;0.025))), "Confirm!", "")</f>
        <v/>
      </c>
      <c r="L276" s="126">
        <f>IF(ISNA(VLOOKUP($CV276,'Audit Values'!$A$3:$BW$3,2,FALSE)),'Preliminary SO66'!B275,VLOOKUP($CV276,'Audit Values'!$A$3:$BW$3,32,FALSE))</f>
        <v>1</v>
      </c>
      <c r="N276" s="95"/>
    </row>
    <row r="277" spans="1:14">
      <c r="A277" s="67" t="s">
        <v>469</v>
      </c>
      <c r="B277" s="38">
        <v>509154</v>
      </c>
      <c r="D277" s="67" t="s">
        <v>469</v>
      </c>
      <c r="E277" s="24">
        <f>IF(ISNA(VLOOKUP($D277,'Audit Values'!$A$2:$DL$374,2,FALSE)), 0, VLOOKUP($D277,'Audit Values'!$A$2:$DL$374,72,FALSE))</f>
        <v>0</v>
      </c>
      <c r="F277" s="24">
        <f>Transportation!G277</f>
        <v>-55084</v>
      </c>
      <c r="G277" s="24"/>
      <c r="H277" s="24"/>
      <c r="I277" s="128"/>
      <c r="J277" s="105"/>
      <c r="K277" s="128" t="str">
        <f>IF(AND(H277&lt;&gt;"",(OR(H277&lt;'2019 Legal Max'!BG277, ('Weighting Factors'!H277-'2019 Legal Max'!BG277)/'2019 Legal Max'!BG277&gt;0.025))), "Confirm!", "")</f>
        <v/>
      </c>
      <c r="L277" s="126">
        <f>IF(ISNA(VLOOKUP($CV277,'Audit Values'!$A$3:$BW$3,2,FALSE)),'Preliminary SO66'!B276,VLOOKUP($CV277,'Audit Values'!$A$3:$BW$3,32,FALSE))</f>
        <v>1</v>
      </c>
      <c r="N277" s="95"/>
    </row>
    <row r="278" spans="1:14">
      <c r="A278" s="67" t="s">
        <v>470</v>
      </c>
      <c r="B278" s="38">
        <v>577658</v>
      </c>
      <c r="D278" s="67" t="s">
        <v>470</v>
      </c>
      <c r="E278" s="24">
        <f>IF(ISNA(VLOOKUP($D278,'Audit Values'!$A$2:$DL$374,2,FALSE)), 0, VLOOKUP($D278,'Audit Values'!$A$2:$DL$374,72,FALSE))</f>
        <v>-355</v>
      </c>
      <c r="F278" s="24">
        <f>Transportation!G278</f>
        <v>0</v>
      </c>
      <c r="G278" s="24"/>
      <c r="H278" s="24"/>
      <c r="I278" s="128"/>
      <c r="J278" s="105"/>
      <c r="K278" s="128" t="str">
        <f>IF(AND(H278&lt;&gt;"",(OR(H278&lt;'2019 Legal Max'!BG278, ('Weighting Factors'!H278-'2019 Legal Max'!BG278)/'2019 Legal Max'!BG278&gt;0.025))), "Confirm!", "")</f>
        <v/>
      </c>
      <c r="L278" s="126">
        <f>IF(ISNA(VLOOKUP($CV278,'Audit Values'!$A$3:$BW$3,2,FALSE)),'Preliminary SO66'!B277,VLOOKUP($CV278,'Audit Values'!$A$3:$BW$3,32,FALSE))</f>
        <v>1</v>
      </c>
      <c r="N278" s="95"/>
    </row>
    <row r="279" spans="1:14">
      <c r="A279" s="67" t="s">
        <v>471</v>
      </c>
      <c r="B279" s="140">
        <v>14691745</v>
      </c>
      <c r="D279" s="67" t="s">
        <v>471</v>
      </c>
      <c r="E279" s="24">
        <f>IF(ISNA(VLOOKUP($D279,'Audit Values'!$A$2:$DL$374,2,FALSE)), 0, VLOOKUP($D279,'Audit Values'!$A$2:$DL$374,72,FALSE))</f>
        <v>0</v>
      </c>
      <c r="F279" s="24">
        <f>Transportation!G279</f>
        <v>0</v>
      </c>
      <c r="G279" s="24"/>
      <c r="H279" s="24"/>
      <c r="I279" s="128"/>
      <c r="J279" s="105"/>
      <c r="K279" s="128" t="str">
        <f>IF(AND(H279&lt;&gt;"",(OR(H279&lt;'2019 Legal Max'!BG279, ('Weighting Factors'!H279-'2019 Legal Max'!BG279)/'2019 Legal Max'!BG279&gt;0.025))), "Confirm!", "")</f>
        <v/>
      </c>
      <c r="L279" s="126">
        <f>IF(ISNA(VLOOKUP($CV279,'Audit Values'!$A$3:$BW$3,2,FALSE)),'Preliminary SO66'!B278,VLOOKUP($CV279,'Audit Values'!$A$3:$BW$3,32,FALSE))</f>
        <v>1</v>
      </c>
      <c r="N279" s="95"/>
    </row>
    <row r="280" spans="1:14">
      <c r="A280" s="67" t="s">
        <v>472</v>
      </c>
      <c r="B280" s="38">
        <v>14947071</v>
      </c>
      <c r="D280" s="67" t="s">
        <v>472</v>
      </c>
      <c r="E280" s="24">
        <f>IF(ISNA(VLOOKUP($D280,'Audit Values'!$A$2:$DL$374,2,FALSE)), 0, VLOOKUP($D280,'Audit Values'!$A$2:$DL$374,72,FALSE))</f>
        <v>-161120</v>
      </c>
      <c r="F280" s="24">
        <f>Transportation!G280</f>
        <v>0</v>
      </c>
      <c r="G280" s="24"/>
      <c r="H280" s="24"/>
      <c r="I280" s="128"/>
      <c r="J280" s="105"/>
      <c r="K280" s="128" t="str">
        <f>IF(AND(H280&lt;&gt;"",(OR(H280&lt;'2019 Legal Max'!BG280, ('Weighting Factors'!H280-'2019 Legal Max'!BG280)/'2019 Legal Max'!BG280&gt;0.025))), "Confirm!", "")</f>
        <v/>
      </c>
      <c r="L280" s="126">
        <f>IF(ISNA(VLOOKUP($CV280,'Audit Values'!$A$3:$BW$3,2,FALSE)),'Preliminary SO66'!B279,VLOOKUP($CV280,'Audit Values'!$A$3:$BW$3,32,FALSE))</f>
        <v>1</v>
      </c>
      <c r="N280" s="95"/>
    </row>
    <row r="281" spans="1:14">
      <c r="A281" s="67" t="s">
        <v>473</v>
      </c>
      <c r="B281" s="38">
        <v>123427</v>
      </c>
      <c r="D281" s="67" t="s">
        <v>473</v>
      </c>
      <c r="E281" s="24">
        <f>IF(ISNA(VLOOKUP($D281,'Audit Values'!$A$2:$DL$374,2,FALSE)), 0, VLOOKUP($D281,'Audit Values'!$A$2:$DL$374,72,FALSE))</f>
        <v>0</v>
      </c>
      <c r="F281" s="24">
        <f>Transportation!G281</f>
        <v>-17742</v>
      </c>
      <c r="G281" s="24"/>
      <c r="H281" s="24"/>
      <c r="I281" s="128"/>
      <c r="J281" s="105"/>
      <c r="K281" s="128" t="str">
        <f>IF(AND(H281&lt;&gt;"",(OR(H281&lt;'2019 Legal Max'!BG281, ('Weighting Factors'!H281-'2019 Legal Max'!BG281)/'2019 Legal Max'!BG281&gt;0.025))), "Confirm!", "")</f>
        <v/>
      </c>
      <c r="L281" s="126">
        <f>IF(ISNA(VLOOKUP($CV281,'Audit Values'!$A$3:$BW$3,2,FALSE)),'Preliminary SO66'!B280,VLOOKUP($CV281,'Audit Values'!$A$3:$BW$3,32,FALSE))</f>
        <v>1</v>
      </c>
      <c r="N281" s="95"/>
    </row>
    <row r="282" spans="1:14">
      <c r="A282" s="67" t="s">
        <v>474</v>
      </c>
      <c r="B282" s="38">
        <v>1277708</v>
      </c>
      <c r="D282" s="67" t="s">
        <v>474</v>
      </c>
      <c r="E282" s="24">
        <f>IF(ISNA(VLOOKUP($D282,'Audit Values'!$A$2:$DL$374,2,FALSE)), 0, VLOOKUP($D282,'Audit Values'!$A$2:$DL$374,72,FALSE))</f>
        <v>0</v>
      </c>
      <c r="F282" s="24">
        <f>Transportation!G282</f>
        <v>0</v>
      </c>
      <c r="G282" s="24"/>
      <c r="H282" s="24"/>
      <c r="I282" s="128"/>
      <c r="J282" s="105"/>
      <c r="K282" s="128" t="str">
        <f>IF(AND(H282&lt;&gt;"",(OR(H282&lt;'2019 Legal Max'!BG282, ('Weighting Factors'!H282-'2019 Legal Max'!BG282)/'2019 Legal Max'!BG282&gt;0.025))), "Confirm!", "")</f>
        <v/>
      </c>
      <c r="L282" s="126">
        <f>IF(ISNA(VLOOKUP($CV282,'Audit Values'!$A$3:$BW$3,2,FALSE)),'Preliminary SO66'!B281,VLOOKUP($CV282,'Audit Values'!$A$3:$BW$3,32,FALSE))</f>
        <v>1</v>
      </c>
      <c r="N282" s="95"/>
    </row>
    <row r="283" spans="1:14">
      <c r="A283" s="67" t="s">
        <v>475</v>
      </c>
      <c r="B283" s="38">
        <v>421887</v>
      </c>
      <c r="D283" s="67" t="s">
        <v>475</v>
      </c>
      <c r="E283" s="24">
        <f>IF(ISNA(VLOOKUP($D283,'Audit Values'!$A$2:$DL$374,2,FALSE)), 0, VLOOKUP($D283,'Audit Values'!$A$2:$DL$374,72,FALSE))</f>
        <v>0</v>
      </c>
      <c r="F283" s="24">
        <f>Transportation!G283</f>
        <v>0</v>
      </c>
      <c r="G283" s="24"/>
      <c r="H283" s="24"/>
      <c r="I283" s="128"/>
      <c r="J283" s="105"/>
      <c r="K283" s="128" t="str">
        <f>IF(AND(H283&lt;&gt;"",(OR(H283&lt;'2019 Legal Max'!BG283, ('Weighting Factors'!H283-'2019 Legal Max'!BG283)/'2019 Legal Max'!BG283&gt;0.025))), "Confirm!", "")</f>
        <v/>
      </c>
      <c r="L283" s="126">
        <f>IF(ISNA(VLOOKUP($CV283,'Audit Values'!$A$3:$BW$3,2,FALSE)),'Preliminary SO66'!B282,VLOOKUP($CV283,'Audit Values'!$A$3:$BW$3,32,FALSE))</f>
        <v>1</v>
      </c>
      <c r="N283" s="95"/>
    </row>
    <row r="284" spans="1:14">
      <c r="A284" s="67" t="s">
        <v>476</v>
      </c>
      <c r="B284" s="38">
        <v>537677</v>
      </c>
      <c r="D284" s="67" t="s">
        <v>476</v>
      </c>
      <c r="E284" s="24">
        <f>IF(ISNA(VLOOKUP($D284,'Audit Values'!$A$2:$DL$374,2,FALSE)), 0, VLOOKUP($D284,'Audit Values'!$A$2:$DL$374,72,FALSE))</f>
        <v>-1418</v>
      </c>
      <c r="F284" s="24">
        <f>Transportation!G284</f>
        <v>0</v>
      </c>
      <c r="G284" s="24"/>
      <c r="H284" s="24"/>
      <c r="I284" s="128"/>
      <c r="J284" s="105"/>
      <c r="K284" s="128" t="str">
        <f>IF(AND(H284&lt;&gt;"",(OR(H284&lt;'2019 Legal Max'!BG284, ('Weighting Factors'!H284-'2019 Legal Max'!BG284)/'2019 Legal Max'!BG284&gt;0.025))), "Confirm!", "")</f>
        <v/>
      </c>
      <c r="L284" s="126">
        <f>IF(ISNA(VLOOKUP($CV284,'Audit Values'!$A$3:$BW$3,2,FALSE)),'Preliminary SO66'!B283,VLOOKUP($CV284,'Audit Values'!$A$3:$BW$3,32,FALSE))</f>
        <v>1</v>
      </c>
      <c r="N284" s="95"/>
    </row>
    <row r="285" spans="1:14">
      <c r="A285" s="67" t="s">
        <v>477</v>
      </c>
      <c r="B285" s="38">
        <v>1454609</v>
      </c>
      <c r="D285" s="67" t="s">
        <v>477</v>
      </c>
      <c r="E285" s="24">
        <f>IF(ISNA(VLOOKUP($D285,'Audit Values'!$A$2:$DL$374,2,FALSE)), 0, VLOOKUP($D285,'Audit Values'!$A$2:$DL$374,72,FALSE))</f>
        <v>0</v>
      </c>
      <c r="F285" s="24">
        <f>Transportation!G285</f>
        <v>0</v>
      </c>
      <c r="G285" s="24"/>
      <c r="H285" s="24"/>
      <c r="I285" s="128"/>
      <c r="J285" s="105"/>
      <c r="K285" s="128" t="str">
        <f>IF(AND(H285&lt;&gt;"",(OR(H285&lt;'2019 Legal Max'!BG285, ('Weighting Factors'!H285-'2019 Legal Max'!BG285)/'2019 Legal Max'!BG285&gt;0.025))), "Confirm!", "")</f>
        <v/>
      </c>
      <c r="L285" s="126">
        <f>IF(ISNA(VLOOKUP($CV285,'Audit Values'!$A$3:$BW$3,2,FALSE)),'Preliminary SO66'!B284,VLOOKUP($CV285,'Audit Values'!$A$3:$BW$3,32,FALSE))</f>
        <v>1</v>
      </c>
      <c r="N285" s="95"/>
    </row>
    <row r="286" spans="1:14">
      <c r="A286" s="67" t="s">
        <v>478</v>
      </c>
      <c r="B286" s="38">
        <v>226108</v>
      </c>
      <c r="D286" s="67" t="s">
        <v>478</v>
      </c>
      <c r="E286" s="24">
        <f>IF(ISNA(VLOOKUP($D286,'Audit Values'!$A$2:$DL$374,2,FALSE)), 0, VLOOKUP($D286,'Audit Values'!$A$2:$DL$374,72,FALSE))</f>
        <v>0</v>
      </c>
      <c r="F286" s="24">
        <f>Transportation!G286</f>
        <v>0</v>
      </c>
      <c r="G286" s="24"/>
      <c r="H286" s="24"/>
      <c r="I286" s="128"/>
      <c r="J286" s="105"/>
      <c r="K286" s="128" t="str">
        <f>IF(AND(H286&lt;&gt;"",(OR(H286&lt;'2019 Legal Max'!BG286, ('Weighting Factors'!H286-'2019 Legal Max'!BG286)/'2019 Legal Max'!BG286&gt;0.025))), "Confirm!", "")</f>
        <v/>
      </c>
      <c r="L286" s="126">
        <f>IF(ISNA(VLOOKUP($CV286,'Audit Values'!$A$3:$BW$3,2,FALSE)),'Preliminary SO66'!B285,VLOOKUP($CV286,'Audit Values'!$A$3:$BW$3,32,FALSE))</f>
        <v>1</v>
      </c>
      <c r="N286" s="95"/>
    </row>
    <row r="287" spans="1:14">
      <c r="A287" s="67" t="s">
        <v>479</v>
      </c>
      <c r="B287" s="38">
        <v>764175</v>
      </c>
      <c r="D287" s="67" t="s">
        <v>479</v>
      </c>
      <c r="E287" s="24">
        <f>IF(ISNA(VLOOKUP($D287,'Audit Values'!$A$2:$DL$374,2,FALSE)), 0, VLOOKUP($D287,'Audit Values'!$A$2:$DL$374,72,FALSE))</f>
        <v>0</v>
      </c>
      <c r="F287" s="24">
        <f>Transportation!G287</f>
        <v>0</v>
      </c>
      <c r="G287" s="24"/>
      <c r="H287" s="24"/>
      <c r="I287" s="128"/>
      <c r="J287" s="105"/>
      <c r="K287" s="128" t="str">
        <f>IF(AND(H287&lt;&gt;"",(OR(H287&lt;'2019 Legal Max'!BG287, ('Weighting Factors'!H287-'2019 Legal Max'!BG287)/'2019 Legal Max'!BG287&gt;0.025))), "Confirm!", "")</f>
        <v/>
      </c>
      <c r="L287" s="126">
        <f>IF(ISNA(VLOOKUP($CV287,'Audit Values'!$A$3:$BW$3,2,FALSE)),'Preliminary SO66'!B286,VLOOKUP($CV287,'Audit Values'!$A$3:$BW$3,32,FALSE))</f>
        <v>1</v>
      </c>
      <c r="N287" s="95"/>
    </row>
    <row r="288" spans="1:14">
      <c r="A288" s="67" t="s">
        <v>480</v>
      </c>
      <c r="B288" s="38">
        <v>314886</v>
      </c>
      <c r="D288" s="67" t="s">
        <v>480</v>
      </c>
      <c r="E288" s="24">
        <f>IF(ISNA(VLOOKUP($D288,'Audit Values'!$A$2:$DL$374,2,FALSE)), 0, VLOOKUP($D288,'Audit Values'!$A$2:$DL$374,72,FALSE))</f>
        <v>0</v>
      </c>
      <c r="F288" s="24">
        <f>Transportation!G288</f>
        <v>-27881</v>
      </c>
      <c r="G288" s="24"/>
      <c r="H288" s="24"/>
      <c r="I288" s="128"/>
      <c r="J288" s="105"/>
      <c r="K288" s="128" t="str">
        <f>IF(AND(H288&lt;&gt;"",(OR(H288&lt;'2019 Legal Max'!BG288, ('Weighting Factors'!H288-'2019 Legal Max'!BG288)/'2019 Legal Max'!BG288&gt;0.025))), "Confirm!", "")</f>
        <v/>
      </c>
      <c r="L288" s="126">
        <f>IF(ISNA(VLOOKUP($CV288,'Audit Values'!$A$3:$BW$3,2,FALSE)),'Preliminary SO66'!B287,VLOOKUP($CV288,'Audit Values'!$A$3:$BW$3,32,FALSE))</f>
        <v>1</v>
      </c>
      <c r="N288" s="95"/>
    </row>
    <row r="289" spans="1:14">
      <c r="A289" s="67" t="s">
        <v>481</v>
      </c>
      <c r="B289" s="38">
        <v>149260</v>
      </c>
      <c r="D289" s="67" t="s">
        <v>481</v>
      </c>
      <c r="E289" s="24">
        <f>IF(ISNA(VLOOKUP($D289,'Audit Values'!$A$2:$DL$374,2,FALSE)), 0, VLOOKUP($D289,'Audit Values'!$A$2:$DL$374,72,FALSE))</f>
        <v>0</v>
      </c>
      <c r="F289" s="24">
        <f>Transportation!G289</f>
        <v>0</v>
      </c>
      <c r="G289" s="24"/>
      <c r="H289" s="24"/>
      <c r="I289" s="128"/>
      <c r="J289" s="105"/>
      <c r="K289" s="128" t="str">
        <f>IF(AND(H289&lt;&gt;"",(OR(H289&lt;'2019 Legal Max'!BG289, ('Weighting Factors'!H289-'2019 Legal Max'!BG289)/'2019 Legal Max'!BG289&gt;0.025))), "Confirm!", "")</f>
        <v/>
      </c>
      <c r="L289" s="126">
        <f>IF(ISNA(VLOOKUP($CV289,'Audit Values'!$A$3:$BW$3,2,FALSE)),'Preliminary SO66'!B288,VLOOKUP($CV289,'Audit Values'!$A$3:$BW$3,32,FALSE))</f>
        <v>1</v>
      </c>
      <c r="N289" s="95"/>
    </row>
    <row r="290" spans="1:14">
      <c r="A290" s="67" t="s">
        <v>482</v>
      </c>
      <c r="B290" s="38">
        <v>26103306</v>
      </c>
      <c r="D290" s="67" t="s">
        <v>482</v>
      </c>
      <c r="E290" s="24">
        <f>IF(ISNA(VLOOKUP($D290,'Audit Values'!$A$2:$DL$374,2,FALSE)), 0, VLOOKUP($D290,'Audit Values'!$A$2:$DL$374,72,FALSE))</f>
        <v>0</v>
      </c>
      <c r="F290" s="24">
        <f>Transportation!G290</f>
        <v>0</v>
      </c>
      <c r="G290" s="24"/>
      <c r="H290" s="24"/>
      <c r="I290" s="128"/>
      <c r="J290" s="105"/>
      <c r="K290" s="128" t="str">
        <f>IF(AND(H290&lt;&gt;"",(OR(H290&lt;'2019 Legal Max'!BG290, ('Weighting Factors'!H290-'2019 Legal Max'!BG290)/'2019 Legal Max'!BG290&gt;0.025))), "Confirm!", "")</f>
        <v/>
      </c>
      <c r="L290" s="126">
        <f>IF(ISNA(VLOOKUP($CV290,'Audit Values'!$A$3:$BW$3,2,FALSE)),'Preliminary SO66'!B289,VLOOKUP($CV290,'Audit Values'!$A$3:$BW$3,32,FALSE))</f>
        <v>1</v>
      </c>
      <c r="N290" s="95"/>
    </row>
    <row r="291" spans="1:14">
      <c r="E291" s="24">
        <f>SUM(E5:E290)</f>
        <v>-269783</v>
      </c>
      <c r="K291" s="1" t="s">
        <v>830</v>
      </c>
    </row>
    <row r="292" spans="1:14">
      <c r="E292" s="24"/>
    </row>
    <row r="293" spans="1:14">
      <c r="E293" s="24"/>
    </row>
    <row r="294" spans="1:14">
      <c r="E294" s="24"/>
    </row>
    <row r="295" spans="1:14">
      <c r="E295" s="24"/>
    </row>
    <row r="296" spans="1:14">
      <c r="E296" s="24"/>
    </row>
    <row r="297" spans="1:14">
      <c r="E297" s="24"/>
    </row>
    <row r="298" spans="1:14">
      <c r="E298" s="24"/>
    </row>
    <row r="299" spans="1:14">
      <c r="E299" s="24"/>
    </row>
    <row r="300" spans="1:14">
      <c r="E300" s="24"/>
    </row>
    <row r="301" spans="1:14">
      <c r="E301" s="24"/>
    </row>
    <row r="302" spans="1:14">
      <c r="E302" s="24"/>
    </row>
    <row r="303" spans="1:14">
      <c r="E303" s="24"/>
    </row>
    <row r="304" spans="1:14">
      <c r="E304" s="24"/>
    </row>
    <row r="305" spans="5:5">
      <c r="E305" s="24"/>
    </row>
    <row r="306" spans="5:5">
      <c r="E306" s="24"/>
    </row>
    <row r="307" spans="5:5">
      <c r="E307" s="24"/>
    </row>
    <row r="308" spans="5:5">
      <c r="E308" s="24"/>
    </row>
    <row r="309" spans="5:5">
      <c r="E309" s="24"/>
    </row>
    <row r="310" spans="5:5">
      <c r="E310" s="24"/>
    </row>
    <row r="311" spans="5:5">
      <c r="E311" s="24"/>
    </row>
    <row r="312" spans="5:5">
      <c r="E312" s="24"/>
    </row>
    <row r="313" spans="5:5">
      <c r="E313" s="24"/>
    </row>
    <row r="314" spans="5:5">
      <c r="E314" s="24"/>
    </row>
    <row r="315" spans="5:5">
      <c r="E315" s="24"/>
    </row>
    <row r="316" spans="5:5">
      <c r="E316" s="24"/>
    </row>
    <row r="317" spans="5:5">
      <c r="E317" s="24"/>
    </row>
    <row r="318" spans="5:5">
      <c r="E318" s="24"/>
    </row>
    <row r="319" spans="5:5">
      <c r="E319" s="24"/>
    </row>
    <row r="320" spans="5:5">
      <c r="E320" s="24"/>
    </row>
    <row r="321" spans="5:5">
      <c r="E321" s="24"/>
    </row>
    <row r="322" spans="5:5">
      <c r="E322" s="24"/>
    </row>
    <row r="323" spans="5:5">
      <c r="E323" s="24"/>
    </row>
    <row r="324" spans="5:5">
      <c r="E324" s="24"/>
    </row>
    <row r="325" spans="5:5">
      <c r="E325" s="24"/>
    </row>
    <row r="326" spans="5:5">
      <c r="E326" s="24"/>
    </row>
    <row r="327" spans="5:5">
      <c r="E327" s="24"/>
    </row>
    <row r="328" spans="5:5">
      <c r="E328" s="24"/>
    </row>
    <row r="329" spans="5:5">
      <c r="E329" s="24"/>
    </row>
    <row r="330" spans="5:5">
      <c r="E330" s="24"/>
    </row>
    <row r="331" spans="5:5">
      <c r="E331" s="24"/>
    </row>
    <row r="332" spans="5:5">
      <c r="E332" s="24"/>
    </row>
    <row r="333" spans="5:5">
      <c r="E333" s="24"/>
    </row>
    <row r="334" spans="5:5">
      <c r="E334" s="24"/>
    </row>
    <row r="335" spans="5:5">
      <c r="E335" s="24"/>
    </row>
    <row r="336" spans="5:5">
      <c r="E336" s="24"/>
    </row>
    <row r="361" spans="5:5">
      <c r="E361" s="84" t="s">
        <v>1</v>
      </c>
    </row>
    <row r="362" spans="5:5">
      <c r="E362" s="84" t="s">
        <v>1</v>
      </c>
    </row>
    <row r="363" spans="5:5">
      <c r="E363" s="84" t="s">
        <v>1</v>
      </c>
    </row>
    <row r="364" spans="5:5">
      <c r="E364" s="84" t="s">
        <v>1</v>
      </c>
    </row>
    <row r="365" spans="5:5">
      <c r="E365" s="84" t="s">
        <v>1</v>
      </c>
    </row>
    <row r="366" spans="5:5">
      <c r="E366" s="84" t="s">
        <v>1</v>
      </c>
    </row>
    <row r="367" spans="5:5">
      <c r="E367" s="84" t="s">
        <v>1</v>
      </c>
    </row>
    <row r="368" spans="5:5">
      <c r="E368" s="84" t="s">
        <v>1</v>
      </c>
    </row>
    <row r="369" spans="5:5">
      <c r="E369" s="84" t="s">
        <v>1</v>
      </c>
    </row>
    <row r="370" spans="5:5">
      <c r="E370" s="84" t="s">
        <v>1</v>
      </c>
    </row>
    <row r="371" spans="5:5">
      <c r="E371" s="84" t="s">
        <v>1</v>
      </c>
    </row>
    <row r="372" spans="5:5">
      <c r="E372" s="84" t="s">
        <v>1</v>
      </c>
    </row>
    <row r="373" spans="5:5">
      <c r="E373" s="84" t="s">
        <v>1</v>
      </c>
    </row>
  </sheetData>
  <autoFilter ref="A4:K290"/>
  <mergeCells count="4">
    <mergeCell ref="A3:B3"/>
    <mergeCell ref="P3:T3"/>
    <mergeCell ref="X4:Y4"/>
    <mergeCell ref="W2:Z2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BD289"/>
  <sheetViews>
    <sheetView workbookViewId="0">
      <pane xSplit="1" ySplit="3" topLeftCell="B235" activePane="bottomRight" state="frozen"/>
      <selection pane="topRight" activeCell="B1" sqref="B1"/>
      <selection pane="bottomLeft" activeCell="A4" sqref="A4"/>
      <selection pane="bottomRight" activeCell="A257" sqref="A257:XFD257"/>
    </sheetView>
  </sheetViews>
  <sheetFormatPr defaultColWidth="9.140625" defaultRowHeight="12.75"/>
  <cols>
    <col min="1" max="1" width="9.140625" style="191"/>
    <col min="2" max="2" width="13.28515625" style="130" bestFit="1" customWidth="1"/>
    <col min="3" max="3" width="11.42578125" style="130" customWidth="1"/>
    <col min="4" max="4" width="10.85546875" style="130" customWidth="1"/>
    <col min="5" max="5" width="11.42578125" style="126" customWidth="1"/>
    <col min="6" max="6" width="12" style="130" customWidth="1"/>
    <col min="7" max="7" width="12" style="130" hidden="1" customWidth="1"/>
    <col min="8" max="8" width="16.140625" style="128" customWidth="1"/>
    <col min="9" max="10" width="12" style="128" hidden="1" customWidth="1"/>
    <col min="11" max="13" width="11.85546875" style="126" customWidth="1"/>
    <col min="14" max="15" width="9.140625" style="126"/>
    <col min="16" max="16" width="10.28515625" style="126" customWidth="1"/>
    <col min="17" max="17" width="10.140625" style="126" customWidth="1"/>
    <col min="18" max="21" width="10.28515625" style="126" customWidth="1"/>
    <col min="22" max="22" width="9.140625" style="126"/>
    <col min="23" max="23" width="9.140625" style="126" customWidth="1"/>
    <col min="24" max="24" width="9.28515625" style="126" customWidth="1"/>
    <col min="25" max="25" width="9.140625" style="126"/>
    <col min="26" max="26" width="9.140625" style="126" customWidth="1"/>
    <col min="27" max="28" width="9.140625" style="126"/>
    <col min="29" max="29" width="11.140625" style="126" bestFit="1" customWidth="1"/>
    <col min="30" max="31" width="10" style="126" customWidth="1"/>
    <col min="32" max="33" width="10.85546875" style="126" customWidth="1"/>
    <col min="34" max="34" width="9.140625" style="126"/>
    <col min="35" max="35" width="9.85546875" style="126" customWidth="1"/>
    <col min="36" max="36" width="9.28515625" style="126" customWidth="1"/>
    <col min="37" max="37" width="11.42578125" style="126" customWidth="1"/>
    <col min="38" max="45" width="9.140625" style="126"/>
    <col min="46" max="46" width="11.140625" style="126" customWidth="1"/>
    <col min="47" max="47" width="9.140625" style="126"/>
    <col min="48" max="48" width="11" style="126" customWidth="1"/>
    <col min="49" max="49" width="13.85546875" style="126" customWidth="1"/>
    <col min="50" max="50" width="12.85546875" style="126" customWidth="1"/>
    <col min="51" max="52" width="9.85546875" style="126" customWidth="1"/>
    <col min="53" max="16384" width="9.140625" style="126"/>
  </cols>
  <sheetData>
    <row r="1" spans="1:56" ht="13.5" thickBot="1">
      <c r="B1" s="192" t="s">
        <v>3435</v>
      </c>
      <c r="C1" s="356" t="s">
        <v>3436</v>
      </c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  <c r="AB1" s="357"/>
      <c r="AC1" s="357"/>
      <c r="AD1" s="357"/>
      <c r="AE1" s="358"/>
      <c r="AF1" s="202"/>
      <c r="AG1" s="203"/>
      <c r="AI1" s="129" t="s">
        <v>3485</v>
      </c>
      <c r="AJ1" s="82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</row>
    <row r="2" spans="1:56" ht="40.5" customHeight="1" thickBot="1">
      <c r="B2" s="192" t="s">
        <v>3437</v>
      </c>
      <c r="C2" s="356" t="s">
        <v>3438</v>
      </c>
      <c r="D2" s="357"/>
      <c r="E2" s="357"/>
      <c r="F2" s="358"/>
      <c r="G2" s="200" t="s">
        <v>3459</v>
      </c>
      <c r="H2" s="359" t="s">
        <v>3439</v>
      </c>
      <c r="I2" s="360"/>
      <c r="J2" s="361"/>
      <c r="K2" s="356" t="s">
        <v>3440</v>
      </c>
      <c r="L2" s="357"/>
      <c r="M2" s="358"/>
      <c r="N2" s="356" t="s">
        <v>3441</v>
      </c>
      <c r="O2" s="358"/>
      <c r="P2" s="356" t="s">
        <v>3442</v>
      </c>
      <c r="Q2" s="358"/>
      <c r="R2" s="356" t="s">
        <v>3443</v>
      </c>
      <c r="S2" s="358"/>
      <c r="T2" s="359" t="s">
        <v>3444</v>
      </c>
      <c r="U2" s="361"/>
      <c r="V2" s="359" t="s">
        <v>3582</v>
      </c>
      <c r="W2" s="361"/>
      <c r="X2" s="193" t="s">
        <v>195</v>
      </c>
      <c r="Y2" s="359" t="s">
        <v>3445</v>
      </c>
      <c r="Z2" s="361"/>
      <c r="AA2" s="356" t="s">
        <v>3446</v>
      </c>
      <c r="AB2" s="357"/>
      <c r="AC2" s="358"/>
      <c r="AD2" s="359" t="s">
        <v>3447</v>
      </c>
      <c r="AE2" s="360"/>
      <c r="AF2" s="194" t="s">
        <v>3448</v>
      </c>
      <c r="AG2" s="194" t="s">
        <v>3449</v>
      </c>
      <c r="AH2" s="195" t="s">
        <v>3450</v>
      </c>
      <c r="AM2" s="129"/>
      <c r="AN2" s="129"/>
      <c r="AO2" s="129"/>
      <c r="AX2" s="351" t="s">
        <v>3597</v>
      </c>
      <c r="AY2" s="351"/>
      <c r="AZ2" s="282"/>
    </row>
    <row r="3" spans="1:56" ht="62.25" customHeight="1">
      <c r="A3" s="191" t="s">
        <v>0</v>
      </c>
      <c r="B3" s="204" t="s">
        <v>3451</v>
      </c>
      <c r="C3" s="196" t="s">
        <v>3558</v>
      </c>
      <c r="D3" s="196" t="s">
        <v>3452</v>
      </c>
      <c r="E3" s="196" t="s">
        <v>3453</v>
      </c>
      <c r="F3" s="196" t="s">
        <v>3555</v>
      </c>
      <c r="G3" s="201" t="s">
        <v>3454</v>
      </c>
      <c r="H3" s="196" t="s">
        <v>3559</v>
      </c>
      <c r="I3" s="196" t="s">
        <v>3455</v>
      </c>
      <c r="J3" s="196" t="s">
        <v>3560</v>
      </c>
      <c r="K3" s="196" t="s">
        <v>3536</v>
      </c>
      <c r="L3" s="196" t="s">
        <v>3561</v>
      </c>
      <c r="M3" s="196" t="s">
        <v>3562</v>
      </c>
      <c r="N3" s="196" t="s">
        <v>3532</v>
      </c>
      <c r="O3" s="196" t="s">
        <v>3563</v>
      </c>
      <c r="P3" s="196" t="s">
        <v>3617</v>
      </c>
      <c r="Q3" s="196" t="s">
        <v>3618</v>
      </c>
      <c r="R3" s="196" t="s">
        <v>3619</v>
      </c>
      <c r="S3" s="196" t="s">
        <v>3620</v>
      </c>
      <c r="T3" s="196" t="s">
        <v>3621</v>
      </c>
      <c r="U3" s="196" t="s">
        <v>3630</v>
      </c>
      <c r="V3" s="196" t="s">
        <v>3580</v>
      </c>
      <c r="W3" s="196" t="s">
        <v>3581</v>
      </c>
      <c r="X3" s="196" t="s">
        <v>3564</v>
      </c>
      <c r="Y3" s="196" t="s">
        <v>3565</v>
      </c>
      <c r="Z3" s="196" t="s">
        <v>3566</v>
      </c>
      <c r="AA3" s="196" t="s">
        <v>3542</v>
      </c>
      <c r="AB3" s="196" t="s">
        <v>3543</v>
      </c>
      <c r="AC3" s="196" t="s">
        <v>3583</v>
      </c>
      <c r="AD3" s="196" t="s">
        <v>3567</v>
      </c>
      <c r="AE3" s="196" t="s">
        <v>3568</v>
      </c>
      <c r="AF3" s="197" t="s">
        <v>3456</v>
      </c>
      <c r="AG3" s="197" t="s">
        <v>3457</v>
      </c>
      <c r="AH3" s="197" t="s">
        <v>3458</v>
      </c>
      <c r="AI3" s="198" t="s">
        <v>3569</v>
      </c>
      <c r="AJ3" s="198" t="s">
        <v>3570</v>
      </c>
      <c r="AK3" s="198" t="s">
        <v>3571</v>
      </c>
      <c r="AL3" s="198" t="s">
        <v>3572</v>
      </c>
      <c r="AM3" s="198" t="s">
        <v>3546</v>
      </c>
      <c r="AN3" s="198" t="s">
        <v>3573</v>
      </c>
      <c r="AO3" s="198" t="s">
        <v>3544</v>
      </c>
      <c r="AP3" s="198" t="s">
        <v>3548</v>
      </c>
      <c r="AQ3" s="198" t="s">
        <v>3549</v>
      </c>
      <c r="AR3" s="198" t="s">
        <v>3550</v>
      </c>
      <c r="AS3" s="198" t="s">
        <v>3574</v>
      </c>
      <c r="AT3" s="198" t="s">
        <v>3589</v>
      </c>
      <c r="AU3" s="126" t="s">
        <v>3480</v>
      </c>
      <c r="AV3" s="126" t="s">
        <v>3491</v>
      </c>
      <c r="AW3" s="111" t="s">
        <v>3629</v>
      </c>
      <c r="AX3" s="111" t="s">
        <v>3622</v>
      </c>
      <c r="AY3" s="139" t="s">
        <v>3596</v>
      </c>
      <c r="AZ3" s="291" t="s">
        <v>3643</v>
      </c>
      <c r="BA3" s="42" t="s">
        <v>3588</v>
      </c>
    </row>
    <row r="4" spans="1:56" s="129" customFormat="1">
      <c r="A4" s="236" t="s">
        <v>197</v>
      </c>
      <c r="B4" s="121">
        <v>1</v>
      </c>
      <c r="C4" s="131">
        <v>491.5</v>
      </c>
      <c r="D4" s="131">
        <v>0</v>
      </c>
      <c r="E4" s="82">
        <v>0</v>
      </c>
      <c r="F4" s="131">
        <v>0</v>
      </c>
      <c r="G4" s="267">
        <v>0</v>
      </c>
      <c r="H4" s="131">
        <v>0</v>
      </c>
      <c r="I4" s="131">
        <v>0</v>
      </c>
      <c r="J4" s="208">
        <v>0</v>
      </c>
      <c r="K4" s="127">
        <v>508</v>
      </c>
      <c r="L4" s="124">
        <v>0</v>
      </c>
      <c r="M4" s="121">
        <v>0</v>
      </c>
      <c r="N4" s="124">
        <v>6.5</v>
      </c>
      <c r="O4" s="124">
        <v>0</v>
      </c>
      <c r="P4" s="131">
        <v>87.5</v>
      </c>
      <c r="Q4" s="124">
        <v>0</v>
      </c>
      <c r="R4" s="124">
        <v>3.7</v>
      </c>
      <c r="S4" s="124">
        <v>0</v>
      </c>
      <c r="T4" s="127">
        <v>8</v>
      </c>
      <c r="U4" s="121">
        <v>0</v>
      </c>
      <c r="V4" s="121">
        <v>250</v>
      </c>
      <c r="W4" s="121">
        <v>0</v>
      </c>
      <c r="X4" s="131">
        <v>0</v>
      </c>
      <c r="Y4" s="119">
        <v>267</v>
      </c>
      <c r="Z4" s="82">
        <v>0</v>
      </c>
      <c r="AA4" s="79">
        <v>0</v>
      </c>
      <c r="AB4" s="79">
        <v>0</v>
      </c>
      <c r="AC4" s="210">
        <v>0</v>
      </c>
      <c r="AD4" s="212">
        <v>0</v>
      </c>
      <c r="AE4" s="124">
        <v>0</v>
      </c>
      <c r="AF4" s="124">
        <v>24.9</v>
      </c>
      <c r="AG4" s="89">
        <f>SUMIF('PreliminaryHD AR - School Level'!A5:A1311, "=" &amp; A4,'PreliminaryHD AR - School Level'!M5:M1311)</f>
        <v>21.6</v>
      </c>
      <c r="AH4" s="124">
        <v>961.8</v>
      </c>
      <c r="AI4" s="124">
        <f>D4-I4</f>
        <v>0</v>
      </c>
      <c r="AJ4" s="124">
        <f>E4-J4</f>
        <v>0</v>
      </c>
      <c r="AK4" s="124">
        <f>C4+F4</f>
        <v>491.5</v>
      </c>
      <c r="AL4" s="124">
        <f>N4+O4</f>
        <v>6.5</v>
      </c>
      <c r="AM4" s="124">
        <f>R4+S4</f>
        <v>3.7</v>
      </c>
      <c r="AN4" s="124">
        <f>T4+U4</f>
        <v>8</v>
      </c>
      <c r="AO4" s="124">
        <f>P4+Q4</f>
        <v>87.5</v>
      </c>
      <c r="AP4" s="127">
        <f>V4+W4</f>
        <v>250</v>
      </c>
      <c r="AQ4" s="124">
        <f>AD4+AE4</f>
        <v>0</v>
      </c>
      <c r="AR4" s="124">
        <f>Y4+Z4</f>
        <v>267</v>
      </c>
      <c r="AS4" s="127">
        <f>K4+M4</f>
        <v>508</v>
      </c>
      <c r="AT4" s="124">
        <v>0</v>
      </c>
      <c r="AU4" s="124">
        <f>MAX(AF4,AG4)</f>
        <v>24.9</v>
      </c>
      <c r="AV4" s="108">
        <v>4835149</v>
      </c>
      <c r="AW4" s="129">
        <v>961.8</v>
      </c>
      <c r="AX4" s="42">
        <v>961.8</v>
      </c>
      <c r="AY4" s="208">
        <f>AX4-AH4</f>
        <v>0</v>
      </c>
      <c r="AZ4" s="290">
        <v>497167</v>
      </c>
      <c r="BA4" s="42"/>
      <c r="BB4" s="42"/>
    </row>
    <row r="5" spans="1:56">
      <c r="A5" s="235" t="s">
        <v>198</v>
      </c>
      <c r="B5" s="121">
        <v>1</v>
      </c>
      <c r="C5" s="131">
        <v>659.1</v>
      </c>
      <c r="D5" s="131">
        <v>0</v>
      </c>
      <c r="E5" s="82">
        <v>0</v>
      </c>
      <c r="F5" s="131">
        <v>0</v>
      </c>
      <c r="G5" s="199">
        <v>0</v>
      </c>
      <c r="H5" s="131">
        <v>0</v>
      </c>
      <c r="I5" s="131">
        <v>0</v>
      </c>
      <c r="J5" s="208">
        <v>0</v>
      </c>
      <c r="K5" s="127">
        <v>679</v>
      </c>
      <c r="L5" s="124">
        <v>0</v>
      </c>
      <c r="M5" s="121">
        <v>0</v>
      </c>
      <c r="N5" s="124">
        <v>8.5</v>
      </c>
      <c r="O5" s="124">
        <v>0</v>
      </c>
      <c r="P5" s="131">
        <v>174</v>
      </c>
      <c r="Q5" s="124">
        <v>0</v>
      </c>
      <c r="R5" s="124">
        <v>722.8</v>
      </c>
      <c r="S5" s="124">
        <v>0</v>
      </c>
      <c r="T5" s="127">
        <v>143</v>
      </c>
      <c r="U5" s="121">
        <v>0</v>
      </c>
      <c r="V5" s="121">
        <v>217</v>
      </c>
      <c r="W5" s="121">
        <v>0</v>
      </c>
      <c r="X5" s="131">
        <v>0</v>
      </c>
      <c r="Y5" s="119">
        <v>99</v>
      </c>
      <c r="Z5" s="82">
        <v>0</v>
      </c>
      <c r="AA5" s="79">
        <v>0</v>
      </c>
      <c r="AB5" s="79">
        <v>0</v>
      </c>
      <c r="AC5" s="210">
        <v>0</v>
      </c>
      <c r="AD5" s="212">
        <v>0</v>
      </c>
      <c r="AE5" s="124">
        <v>0</v>
      </c>
      <c r="AF5" s="124">
        <v>0</v>
      </c>
      <c r="AG5" s="89">
        <f>SUMIF('PreliminaryHD AR - School Level'!A6:A1312, "=" &amp; A5,'PreliminaryHD AR - School Level'!M6:M1312)</f>
        <v>1.3</v>
      </c>
      <c r="AH5" s="89">
        <v>1091.9000000000001</v>
      </c>
      <c r="AI5" s="89">
        <f t="shared" ref="AI5:AI68" si="0">D5-I5</f>
        <v>0</v>
      </c>
      <c r="AJ5" s="89">
        <f t="shared" ref="AJ5:AJ68" si="1">E5-J5</f>
        <v>0</v>
      </c>
      <c r="AK5" s="89">
        <f t="shared" ref="AK5:AK68" si="2">C5+F5</f>
        <v>659.1</v>
      </c>
      <c r="AL5" s="89">
        <f t="shared" ref="AL5:AL68" si="3">N5+O5</f>
        <v>8.5</v>
      </c>
      <c r="AM5" s="89">
        <f t="shared" ref="AM5:AM68" si="4">R5+S5</f>
        <v>722.8</v>
      </c>
      <c r="AN5" s="89">
        <f t="shared" ref="AN5:AN68" si="5">T5+U5</f>
        <v>143</v>
      </c>
      <c r="AO5" s="89">
        <f t="shared" ref="AO5:AO68" si="6">P5+Q5</f>
        <v>174</v>
      </c>
      <c r="AP5" s="83">
        <f t="shared" ref="AP5:AP68" si="7">V5+W5</f>
        <v>217</v>
      </c>
      <c r="AQ5" s="89">
        <f t="shared" ref="AQ5:AQ68" si="8">AD5+AE5</f>
        <v>0</v>
      </c>
      <c r="AR5" s="89">
        <f t="shared" ref="AR5:AR68" si="9">Y5+Z5</f>
        <v>99</v>
      </c>
      <c r="AS5" s="83">
        <f t="shared" ref="AS5:AS68" si="10">K5+M5</f>
        <v>679</v>
      </c>
      <c r="AT5" s="89">
        <v>0</v>
      </c>
      <c r="AU5" s="89">
        <f t="shared" ref="AU5:AU68" si="11">MAX(AF5,AG5)</f>
        <v>1.3</v>
      </c>
      <c r="AV5" s="108">
        <v>5111288</v>
      </c>
      <c r="AW5" s="126">
        <v>1091.9000000000001</v>
      </c>
      <c r="AX5" s="42">
        <v>1091.9000000000001</v>
      </c>
      <c r="AY5" s="208">
        <f t="shared" ref="AY5:AY68" si="12">AX5-AH5</f>
        <v>0</v>
      </c>
      <c r="AZ5" s="290">
        <v>151593</v>
      </c>
      <c r="BA5" s="42"/>
      <c r="BB5" s="42"/>
      <c r="BD5" s="129"/>
    </row>
    <row r="6" spans="1:56">
      <c r="A6" s="235" t="s">
        <v>199</v>
      </c>
      <c r="B6" s="121">
        <v>1</v>
      </c>
      <c r="C6" s="131">
        <v>126.5</v>
      </c>
      <c r="D6" s="131">
        <v>0</v>
      </c>
      <c r="E6" s="82">
        <v>0</v>
      </c>
      <c r="F6" s="131">
        <v>0</v>
      </c>
      <c r="G6" s="199">
        <v>0</v>
      </c>
      <c r="H6" s="131">
        <v>0</v>
      </c>
      <c r="I6" s="131">
        <v>0</v>
      </c>
      <c r="J6" s="208">
        <v>0</v>
      </c>
      <c r="K6" s="127">
        <v>127</v>
      </c>
      <c r="L6" s="124">
        <v>0</v>
      </c>
      <c r="M6" s="121">
        <v>0</v>
      </c>
      <c r="N6" s="124">
        <v>0</v>
      </c>
      <c r="O6" s="124">
        <v>0</v>
      </c>
      <c r="P6" s="131">
        <v>61.3</v>
      </c>
      <c r="Q6" s="124">
        <v>0</v>
      </c>
      <c r="R6" s="124">
        <v>147.4</v>
      </c>
      <c r="S6" s="124">
        <v>0</v>
      </c>
      <c r="T6" s="127">
        <v>31</v>
      </c>
      <c r="U6" s="121">
        <v>0</v>
      </c>
      <c r="V6" s="121">
        <v>59</v>
      </c>
      <c r="W6" s="121">
        <v>0</v>
      </c>
      <c r="X6" s="131">
        <v>0</v>
      </c>
      <c r="Y6" s="119">
        <v>55</v>
      </c>
      <c r="Z6" s="82">
        <v>0</v>
      </c>
      <c r="AA6" s="79">
        <v>0</v>
      </c>
      <c r="AB6" s="79">
        <v>0</v>
      </c>
      <c r="AC6" s="209">
        <v>0</v>
      </c>
      <c r="AD6" s="211">
        <v>0</v>
      </c>
      <c r="AE6" s="89">
        <v>0</v>
      </c>
      <c r="AF6" s="89">
        <v>4.7</v>
      </c>
      <c r="AG6" s="89">
        <f>SUMIF('PreliminaryHD AR - School Level'!A7:A1313, "=" &amp; A6,'PreliminaryHD AR - School Level'!M7:M1313)</f>
        <v>4.8</v>
      </c>
      <c r="AH6" s="89">
        <v>322.60000000000002</v>
      </c>
      <c r="AI6" s="89">
        <f t="shared" si="0"/>
        <v>0</v>
      </c>
      <c r="AJ6" s="89">
        <f t="shared" si="1"/>
        <v>0</v>
      </c>
      <c r="AK6" s="89">
        <f t="shared" si="2"/>
        <v>126.5</v>
      </c>
      <c r="AL6" s="89">
        <f t="shared" si="3"/>
        <v>0</v>
      </c>
      <c r="AM6" s="89">
        <f t="shared" si="4"/>
        <v>147.4</v>
      </c>
      <c r="AN6" s="89">
        <f t="shared" si="5"/>
        <v>31</v>
      </c>
      <c r="AO6" s="89">
        <f t="shared" si="6"/>
        <v>61.3</v>
      </c>
      <c r="AP6" s="83">
        <f t="shared" si="7"/>
        <v>59</v>
      </c>
      <c r="AQ6" s="89">
        <f t="shared" si="8"/>
        <v>0</v>
      </c>
      <c r="AR6" s="89">
        <f t="shared" si="9"/>
        <v>55</v>
      </c>
      <c r="AS6" s="83">
        <f t="shared" si="10"/>
        <v>127</v>
      </c>
      <c r="AT6" s="89">
        <v>0</v>
      </c>
      <c r="AU6" s="89">
        <f t="shared" si="11"/>
        <v>4.8</v>
      </c>
      <c r="AV6" s="108">
        <v>1589364</v>
      </c>
      <c r="AW6" s="126">
        <v>322.60000000000002</v>
      </c>
      <c r="AX6" s="42">
        <v>322.60000000000002</v>
      </c>
      <c r="AY6" s="208">
        <f t="shared" si="12"/>
        <v>0</v>
      </c>
      <c r="AZ6" s="290">
        <v>71771</v>
      </c>
      <c r="BA6" s="42"/>
      <c r="BB6" s="42"/>
      <c r="BD6" s="129"/>
    </row>
    <row r="7" spans="1:56">
      <c r="A7" s="235" t="s">
        <v>200</v>
      </c>
      <c r="B7" s="121">
        <v>1</v>
      </c>
      <c r="C7" s="131">
        <v>353.5</v>
      </c>
      <c r="D7" s="131">
        <v>0</v>
      </c>
      <c r="E7" s="82">
        <v>0</v>
      </c>
      <c r="F7" s="131">
        <v>0</v>
      </c>
      <c r="G7" s="199">
        <v>0</v>
      </c>
      <c r="H7" s="131">
        <v>0</v>
      </c>
      <c r="I7" s="131">
        <v>0</v>
      </c>
      <c r="J7" s="208">
        <v>0</v>
      </c>
      <c r="K7" s="127">
        <v>356</v>
      </c>
      <c r="L7" s="124">
        <v>0</v>
      </c>
      <c r="M7" s="121">
        <v>0</v>
      </c>
      <c r="N7" s="124">
        <v>0</v>
      </c>
      <c r="O7" s="124">
        <v>0</v>
      </c>
      <c r="P7" s="131">
        <v>97.1</v>
      </c>
      <c r="Q7" s="124">
        <v>0</v>
      </c>
      <c r="R7" s="124">
        <v>71.099999999999994</v>
      </c>
      <c r="S7" s="124">
        <v>0</v>
      </c>
      <c r="T7" s="127">
        <v>30</v>
      </c>
      <c r="U7" s="121">
        <v>0</v>
      </c>
      <c r="V7" s="121">
        <v>156</v>
      </c>
      <c r="W7" s="121">
        <v>0</v>
      </c>
      <c r="X7" s="131">
        <v>0</v>
      </c>
      <c r="Y7" s="119">
        <v>139.5</v>
      </c>
      <c r="Z7" s="82">
        <v>0</v>
      </c>
      <c r="AA7" s="79">
        <v>0</v>
      </c>
      <c r="AB7" s="79">
        <v>0</v>
      </c>
      <c r="AC7" s="209">
        <v>0</v>
      </c>
      <c r="AD7" s="211">
        <v>0</v>
      </c>
      <c r="AE7" s="89">
        <v>0</v>
      </c>
      <c r="AF7" s="89">
        <v>9.6</v>
      </c>
      <c r="AG7" s="89">
        <f>SUMIF('PreliminaryHD AR - School Level'!A8:A1314, "=" &amp; A7,'PreliminaryHD AR - School Level'!M8:M1314)</f>
        <v>9.6</v>
      </c>
      <c r="AH7" s="89">
        <v>639.29999999999995</v>
      </c>
      <c r="AI7" s="89">
        <f t="shared" si="0"/>
        <v>0</v>
      </c>
      <c r="AJ7" s="89">
        <f t="shared" si="1"/>
        <v>0</v>
      </c>
      <c r="AK7" s="89">
        <f t="shared" si="2"/>
        <v>353.5</v>
      </c>
      <c r="AL7" s="89">
        <f t="shared" si="3"/>
        <v>0</v>
      </c>
      <c r="AM7" s="89">
        <f t="shared" si="4"/>
        <v>71.099999999999994</v>
      </c>
      <c r="AN7" s="89">
        <f t="shared" si="5"/>
        <v>30</v>
      </c>
      <c r="AO7" s="89">
        <f t="shared" si="6"/>
        <v>97.1</v>
      </c>
      <c r="AP7" s="83">
        <f t="shared" si="7"/>
        <v>156</v>
      </c>
      <c r="AQ7" s="89">
        <f t="shared" si="8"/>
        <v>0</v>
      </c>
      <c r="AR7" s="89">
        <f t="shared" si="9"/>
        <v>139.5</v>
      </c>
      <c r="AS7" s="83">
        <f t="shared" si="10"/>
        <v>356</v>
      </c>
      <c r="AT7" s="89">
        <v>0</v>
      </c>
      <c r="AU7" s="89">
        <f t="shared" si="11"/>
        <v>9.6</v>
      </c>
      <c r="AV7" s="108">
        <v>2960482</v>
      </c>
      <c r="AW7" s="126">
        <v>639.29999999999995</v>
      </c>
      <c r="AX7" s="42">
        <v>639.29999999999995</v>
      </c>
      <c r="AY7" s="208">
        <f t="shared" si="12"/>
        <v>0</v>
      </c>
      <c r="AZ7" s="290">
        <v>261292</v>
      </c>
      <c r="BA7" s="42"/>
      <c r="BB7" s="42"/>
      <c r="BD7" s="129"/>
    </row>
    <row r="8" spans="1:56">
      <c r="A8" s="235" t="s">
        <v>201</v>
      </c>
      <c r="B8" s="121">
        <v>1</v>
      </c>
      <c r="C8" s="131">
        <v>99</v>
      </c>
      <c r="D8" s="131">
        <v>0</v>
      </c>
      <c r="E8" s="82">
        <v>0</v>
      </c>
      <c r="F8" s="131">
        <v>0</v>
      </c>
      <c r="G8" s="199">
        <v>0</v>
      </c>
      <c r="H8" s="131">
        <v>0</v>
      </c>
      <c r="I8" s="131">
        <v>0</v>
      </c>
      <c r="J8" s="208">
        <v>0</v>
      </c>
      <c r="K8" s="127">
        <v>110</v>
      </c>
      <c r="L8" s="124">
        <v>0</v>
      </c>
      <c r="M8" s="121">
        <v>0</v>
      </c>
      <c r="N8" s="124">
        <v>5</v>
      </c>
      <c r="O8" s="124">
        <v>0</v>
      </c>
      <c r="P8" s="131">
        <v>96</v>
      </c>
      <c r="Q8" s="124">
        <v>0</v>
      </c>
      <c r="R8" s="124">
        <v>128.69999999999999</v>
      </c>
      <c r="S8" s="124">
        <v>0</v>
      </c>
      <c r="T8" s="127">
        <v>24</v>
      </c>
      <c r="U8" s="121">
        <v>0</v>
      </c>
      <c r="V8" s="121">
        <v>69</v>
      </c>
      <c r="W8" s="121">
        <v>0</v>
      </c>
      <c r="X8" s="131">
        <v>0</v>
      </c>
      <c r="Y8" s="119">
        <v>46</v>
      </c>
      <c r="Z8" s="82">
        <v>0</v>
      </c>
      <c r="AA8" s="79">
        <v>0</v>
      </c>
      <c r="AB8" s="79">
        <v>0</v>
      </c>
      <c r="AC8" s="209">
        <v>0</v>
      </c>
      <c r="AD8" s="211">
        <v>0</v>
      </c>
      <c r="AE8" s="89">
        <v>0</v>
      </c>
      <c r="AF8" s="89">
        <v>7.2</v>
      </c>
      <c r="AG8" s="89">
        <f>SUMIF('PreliminaryHD AR - School Level'!A9:A1315, "=" &amp; A8,'PreliminaryHD AR - School Level'!M9:M1315)</f>
        <v>5.8</v>
      </c>
      <c r="AH8" s="89">
        <v>300.89999999999998</v>
      </c>
      <c r="AI8" s="89">
        <f t="shared" si="0"/>
        <v>0</v>
      </c>
      <c r="AJ8" s="89">
        <f t="shared" si="1"/>
        <v>0</v>
      </c>
      <c r="AK8" s="89">
        <f t="shared" si="2"/>
        <v>99</v>
      </c>
      <c r="AL8" s="89">
        <f t="shared" si="3"/>
        <v>5</v>
      </c>
      <c r="AM8" s="89">
        <f t="shared" si="4"/>
        <v>128.69999999999999</v>
      </c>
      <c r="AN8" s="89">
        <f t="shared" si="5"/>
        <v>24</v>
      </c>
      <c r="AO8" s="89">
        <f t="shared" si="6"/>
        <v>96</v>
      </c>
      <c r="AP8" s="83">
        <f t="shared" si="7"/>
        <v>69</v>
      </c>
      <c r="AQ8" s="89">
        <f t="shared" si="8"/>
        <v>0</v>
      </c>
      <c r="AR8" s="89">
        <f t="shared" si="9"/>
        <v>46</v>
      </c>
      <c r="AS8" s="83">
        <f t="shared" si="10"/>
        <v>110</v>
      </c>
      <c r="AT8" s="89">
        <v>0</v>
      </c>
      <c r="AU8" s="89">
        <f t="shared" si="11"/>
        <v>7.2</v>
      </c>
      <c r="AV8" s="108">
        <v>1294066</v>
      </c>
      <c r="AW8" s="126">
        <v>300.89999999999998</v>
      </c>
      <c r="AX8" s="42">
        <v>300.89999999999998</v>
      </c>
      <c r="AY8" s="208">
        <f t="shared" si="12"/>
        <v>0</v>
      </c>
      <c r="AZ8" s="290">
        <v>33025</v>
      </c>
      <c r="BA8" s="42"/>
      <c r="BB8" s="42"/>
      <c r="BD8" s="129"/>
    </row>
    <row r="9" spans="1:56">
      <c r="A9" s="235" t="s">
        <v>202</v>
      </c>
      <c r="B9" s="121">
        <v>1</v>
      </c>
      <c r="C9" s="131">
        <v>293.5</v>
      </c>
      <c r="D9" s="131">
        <v>0</v>
      </c>
      <c r="E9" s="82">
        <v>0</v>
      </c>
      <c r="F9" s="131">
        <v>0</v>
      </c>
      <c r="G9" s="199">
        <v>0</v>
      </c>
      <c r="H9" s="131">
        <v>0</v>
      </c>
      <c r="I9" s="131">
        <v>0</v>
      </c>
      <c r="J9" s="208">
        <v>0</v>
      </c>
      <c r="K9" s="127">
        <v>304</v>
      </c>
      <c r="L9" s="124">
        <v>0</v>
      </c>
      <c r="M9" s="121">
        <v>0</v>
      </c>
      <c r="N9" s="124">
        <v>4.5</v>
      </c>
      <c r="O9" s="124">
        <v>0</v>
      </c>
      <c r="P9" s="131">
        <v>65.8</v>
      </c>
      <c r="Q9" s="124">
        <v>0</v>
      </c>
      <c r="R9" s="124">
        <v>0</v>
      </c>
      <c r="S9" s="124">
        <v>0</v>
      </c>
      <c r="T9" s="127">
        <v>0</v>
      </c>
      <c r="U9" s="121">
        <v>0</v>
      </c>
      <c r="V9" s="121">
        <v>143</v>
      </c>
      <c r="W9" s="121">
        <v>0</v>
      </c>
      <c r="X9" s="131">
        <v>0</v>
      </c>
      <c r="Y9" s="119">
        <v>147</v>
      </c>
      <c r="Z9" s="82">
        <v>0</v>
      </c>
      <c r="AA9" s="79">
        <v>1</v>
      </c>
      <c r="AB9" s="79">
        <v>0</v>
      </c>
      <c r="AC9" s="209">
        <v>0</v>
      </c>
      <c r="AD9" s="211">
        <v>0</v>
      </c>
      <c r="AE9" s="89">
        <v>0</v>
      </c>
      <c r="AF9" s="89">
        <v>12.1</v>
      </c>
      <c r="AG9" s="89">
        <f>SUMIF('PreliminaryHD AR - School Level'!A10:A1316, "=" &amp; A9,'PreliminaryHD AR - School Level'!M10:M1316)</f>
        <v>12.1</v>
      </c>
      <c r="AH9" s="89">
        <v>596.5</v>
      </c>
      <c r="AI9" s="89">
        <f t="shared" si="0"/>
        <v>0</v>
      </c>
      <c r="AJ9" s="89">
        <f t="shared" si="1"/>
        <v>0</v>
      </c>
      <c r="AK9" s="89">
        <f t="shared" si="2"/>
        <v>293.5</v>
      </c>
      <c r="AL9" s="89">
        <f t="shared" si="3"/>
        <v>4.5</v>
      </c>
      <c r="AM9" s="89">
        <f t="shared" si="4"/>
        <v>0</v>
      </c>
      <c r="AN9" s="89">
        <f t="shared" si="5"/>
        <v>0</v>
      </c>
      <c r="AO9" s="89">
        <f t="shared" si="6"/>
        <v>65.8</v>
      </c>
      <c r="AP9" s="83">
        <f t="shared" si="7"/>
        <v>143</v>
      </c>
      <c r="AQ9" s="89">
        <f t="shared" si="8"/>
        <v>0</v>
      </c>
      <c r="AR9" s="89">
        <f t="shared" si="9"/>
        <v>147</v>
      </c>
      <c r="AS9" s="83">
        <f t="shared" si="10"/>
        <v>304</v>
      </c>
      <c r="AT9" s="89">
        <v>0</v>
      </c>
      <c r="AU9" s="89">
        <f t="shared" si="11"/>
        <v>12.1</v>
      </c>
      <c r="AV9" s="108">
        <v>2997551</v>
      </c>
      <c r="AW9" s="126">
        <v>596.5</v>
      </c>
      <c r="AX9" s="42">
        <v>596.5</v>
      </c>
      <c r="AY9" s="208">
        <f t="shared" si="12"/>
        <v>0</v>
      </c>
      <c r="AZ9" s="290">
        <v>250612</v>
      </c>
      <c r="BA9" s="42"/>
      <c r="BB9" s="42"/>
      <c r="BD9" s="129"/>
    </row>
    <row r="10" spans="1:56">
      <c r="A10" s="235" t="s">
        <v>203</v>
      </c>
      <c r="B10" s="121">
        <v>1</v>
      </c>
      <c r="C10" s="131">
        <v>327.3</v>
      </c>
      <c r="D10" s="131">
        <v>0</v>
      </c>
      <c r="E10" s="82">
        <v>0</v>
      </c>
      <c r="F10" s="131">
        <v>0</v>
      </c>
      <c r="G10" s="199">
        <v>0</v>
      </c>
      <c r="H10" s="131">
        <v>0</v>
      </c>
      <c r="I10" s="131">
        <v>0</v>
      </c>
      <c r="J10" s="208">
        <v>0</v>
      </c>
      <c r="K10" s="127">
        <v>332</v>
      </c>
      <c r="L10" s="124">
        <v>0</v>
      </c>
      <c r="M10" s="121">
        <v>0</v>
      </c>
      <c r="N10" s="124">
        <v>0</v>
      </c>
      <c r="O10" s="124">
        <v>0</v>
      </c>
      <c r="P10" s="131">
        <v>97.6</v>
      </c>
      <c r="Q10" s="124">
        <v>0</v>
      </c>
      <c r="R10" s="124">
        <v>8.8000000000000007</v>
      </c>
      <c r="S10" s="124">
        <v>0</v>
      </c>
      <c r="T10" s="127">
        <v>17</v>
      </c>
      <c r="U10" s="121">
        <v>0</v>
      </c>
      <c r="V10" s="121">
        <v>111</v>
      </c>
      <c r="W10" s="121">
        <v>0</v>
      </c>
      <c r="X10" s="131">
        <v>0</v>
      </c>
      <c r="Y10" s="119">
        <v>137</v>
      </c>
      <c r="Z10" s="82">
        <v>0</v>
      </c>
      <c r="AA10" s="79">
        <v>0</v>
      </c>
      <c r="AB10" s="79">
        <v>0</v>
      </c>
      <c r="AC10" s="209">
        <v>0</v>
      </c>
      <c r="AD10" s="211">
        <v>0</v>
      </c>
      <c r="AE10" s="89">
        <v>0</v>
      </c>
      <c r="AF10" s="89">
        <v>0</v>
      </c>
      <c r="AG10" s="89">
        <f>SUMIF('PreliminaryHD AR - School Level'!A11:A1317, "=" &amp; A10,'PreliminaryHD AR - School Level'!M11:M1317)</f>
        <v>0.4</v>
      </c>
      <c r="AH10" s="89">
        <v>607.9</v>
      </c>
      <c r="AI10" s="89">
        <f t="shared" si="0"/>
        <v>0</v>
      </c>
      <c r="AJ10" s="89">
        <f t="shared" si="1"/>
        <v>0</v>
      </c>
      <c r="AK10" s="89">
        <f t="shared" si="2"/>
        <v>327.3</v>
      </c>
      <c r="AL10" s="89">
        <f t="shared" si="3"/>
        <v>0</v>
      </c>
      <c r="AM10" s="89">
        <f t="shared" si="4"/>
        <v>8.8000000000000007</v>
      </c>
      <c r="AN10" s="89">
        <f t="shared" si="5"/>
        <v>17</v>
      </c>
      <c r="AO10" s="89">
        <f t="shared" si="6"/>
        <v>97.6</v>
      </c>
      <c r="AP10" s="83">
        <f t="shared" si="7"/>
        <v>111</v>
      </c>
      <c r="AQ10" s="89">
        <f t="shared" si="8"/>
        <v>0</v>
      </c>
      <c r="AR10" s="89">
        <f t="shared" si="9"/>
        <v>137</v>
      </c>
      <c r="AS10" s="83">
        <f t="shared" si="10"/>
        <v>332</v>
      </c>
      <c r="AT10" s="89">
        <v>0</v>
      </c>
      <c r="AU10" s="89">
        <f t="shared" si="11"/>
        <v>0.4</v>
      </c>
      <c r="AV10" s="108">
        <v>2932993</v>
      </c>
      <c r="AW10" s="126">
        <v>607.9</v>
      </c>
      <c r="AX10" s="42">
        <v>607.9</v>
      </c>
      <c r="AY10" s="208">
        <f t="shared" si="12"/>
        <v>0</v>
      </c>
      <c r="AZ10" s="290">
        <v>168205</v>
      </c>
      <c r="BA10" s="42"/>
      <c r="BB10" s="42"/>
      <c r="BD10" s="129"/>
    </row>
    <row r="11" spans="1:56">
      <c r="A11" s="235" t="s">
        <v>204</v>
      </c>
      <c r="B11" s="121">
        <v>1</v>
      </c>
      <c r="C11" s="131">
        <v>515.5</v>
      </c>
      <c r="D11" s="131">
        <v>0</v>
      </c>
      <c r="E11" s="82">
        <v>0</v>
      </c>
      <c r="F11" s="131">
        <v>0</v>
      </c>
      <c r="G11" s="199">
        <v>0</v>
      </c>
      <c r="H11" s="131">
        <v>0</v>
      </c>
      <c r="I11" s="131">
        <v>0</v>
      </c>
      <c r="J11" s="208">
        <v>0</v>
      </c>
      <c r="K11" s="127">
        <v>522</v>
      </c>
      <c r="L11" s="124">
        <v>0</v>
      </c>
      <c r="M11" s="121">
        <v>0</v>
      </c>
      <c r="N11" s="124">
        <v>0</v>
      </c>
      <c r="O11" s="124">
        <v>0</v>
      </c>
      <c r="P11" s="131">
        <v>110.4</v>
      </c>
      <c r="Q11" s="124">
        <v>0</v>
      </c>
      <c r="R11" s="124">
        <v>0</v>
      </c>
      <c r="S11" s="124">
        <v>0</v>
      </c>
      <c r="T11" s="127">
        <v>2</v>
      </c>
      <c r="U11" s="121">
        <v>0</v>
      </c>
      <c r="V11" s="121">
        <v>189</v>
      </c>
      <c r="W11" s="121">
        <v>0</v>
      </c>
      <c r="X11" s="131">
        <v>0</v>
      </c>
      <c r="Y11" s="119">
        <v>156.5</v>
      </c>
      <c r="Z11" s="82">
        <v>0</v>
      </c>
      <c r="AA11" s="79">
        <v>0</v>
      </c>
      <c r="AB11" s="79">
        <v>0</v>
      </c>
      <c r="AC11" s="209">
        <v>0</v>
      </c>
      <c r="AD11" s="211">
        <v>0</v>
      </c>
      <c r="AE11" s="89">
        <v>0</v>
      </c>
      <c r="AF11" s="89">
        <v>1.6</v>
      </c>
      <c r="AG11" s="89">
        <f>SUMIF('PreliminaryHD AR - School Level'!A12:A1318, "=" &amp; A11,'PreliminaryHD AR - School Level'!M12:M1318)</f>
        <v>2.4</v>
      </c>
      <c r="AH11" s="89">
        <v>885.7</v>
      </c>
      <c r="AI11" s="89">
        <f t="shared" si="0"/>
        <v>0</v>
      </c>
      <c r="AJ11" s="89">
        <f t="shared" si="1"/>
        <v>0</v>
      </c>
      <c r="AK11" s="89">
        <f t="shared" si="2"/>
        <v>515.5</v>
      </c>
      <c r="AL11" s="89">
        <f t="shared" si="3"/>
        <v>0</v>
      </c>
      <c r="AM11" s="89">
        <f t="shared" si="4"/>
        <v>0</v>
      </c>
      <c r="AN11" s="89">
        <f t="shared" si="5"/>
        <v>2</v>
      </c>
      <c r="AO11" s="89">
        <f t="shared" si="6"/>
        <v>110.4</v>
      </c>
      <c r="AP11" s="83">
        <f t="shared" si="7"/>
        <v>189</v>
      </c>
      <c r="AQ11" s="89">
        <f t="shared" si="8"/>
        <v>0</v>
      </c>
      <c r="AR11" s="89">
        <f t="shared" si="9"/>
        <v>156.5</v>
      </c>
      <c r="AS11" s="83">
        <f t="shared" si="10"/>
        <v>522</v>
      </c>
      <c r="AT11" s="89">
        <v>0</v>
      </c>
      <c r="AU11" s="89">
        <f t="shared" si="11"/>
        <v>2.4</v>
      </c>
      <c r="AV11" s="108">
        <v>4390365</v>
      </c>
      <c r="AW11" s="126">
        <v>885.7</v>
      </c>
      <c r="AX11" s="42">
        <v>885.7</v>
      </c>
      <c r="AY11" s="208">
        <f t="shared" si="12"/>
        <v>0</v>
      </c>
      <c r="AZ11" s="290">
        <v>188583</v>
      </c>
      <c r="BA11" s="42"/>
      <c r="BB11" s="42"/>
      <c r="BD11" s="129"/>
    </row>
    <row r="12" spans="1:56">
      <c r="A12" s="235" t="s">
        <v>205</v>
      </c>
      <c r="B12" s="121">
        <v>1</v>
      </c>
      <c r="C12" s="131">
        <v>196</v>
      </c>
      <c r="D12" s="131">
        <v>0</v>
      </c>
      <c r="E12" s="82">
        <v>0</v>
      </c>
      <c r="F12" s="131">
        <v>0</v>
      </c>
      <c r="G12" s="199">
        <v>0</v>
      </c>
      <c r="H12" s="131">
        <v>0</v>
      </c>
      <c r="I12" s="131">
        <v>0</v>
      </c>
      <c r="J12" s="208">
        <v>0</v>
      </c>
      <c r="K12" s="127">
        <v>198</v>
      </c>
      <c r="L12" s="124">
        <v>0</v>
      </c>
      <c r="M12" s="121">
        <v>0</v>
      </c>
      <c r="N12" s="124">
        <v>0</v>
      </c>
      <c r="O12" s="124">
        <v>0</v>
      </c>
      <c r="P12" s="131">
        <v>66.2</v>
      </c>
      <c r="Q12" s="124">
        <v>0</v>
      </c>
      <c r="R12" s="124">
        <v>0</v>
      </c>
      <c r="S12" s="124">
        <v>0</v>
      </c>
      <c r="T12" s="127">
        <v>0</v>
      </c>
      <c r="U12" s="121">
        <v>0</v>
      </c>
      <c r="V12" s="121">
        <v>90</v>
      </c>
      <c r="W12" s="121">
        <v>0</v>
      </c>
      <c r="X12" s="131">
        <v>0</v>
      </c>
      <c r="Y12" s="119">
        <v>128</v>
      </c>
      <c r="Z12" s="82">
        <v>0</v>
      </c>
      <c r="AA12" s="79">
        <v>0</v>
      </c>
      <c r="AB12" s="79">
        <v>0</v>
      </c>
      <c r="AC12" s="209">
        <v>0</v>
      </c>
      <c r="AD12" s="211">
        <v>0</v>
      </c>
      <c r="AE12" s="89">
        <v>0</v>
      </c>
      <c r="AF12" s="89">
        <v>6.6</v>
      </c>
      <c r="AG12" s="89">
        <f>SUMIF('PreliminaryHD AR - School Level'!A13:A1319, "=" &amp; A12,'PreliminaryHD AR - School Level'!M13:M1319)</f>
        <v>6.1</v>
      </c>
      <c r="AH12" s="89">
        <v>468.3</v>
      </c>
      <c r="AI12" s="89">
        <f t="shared" si="0"/>
        <v>0</v>
      </c>
      <c r="AJ12" s="89">
        <f t="shared" si="1"/>
        <v>0</v>
      </c>
      <c r="AK12" s="89">
        <f t="shared" si="2"/>
        <v>196</v>
      </c>
      <c r="AL12" s="89">
        <f t="shared" si="3"/>
        <v>0</v>
      </c>
      <c r="AM12" s="89">
        <f t="shared" si="4"/>
        <v>0</v>
      </c>
      <c r="AN12" s="89">
        <f t="shared" si="5"/>
        <v>0</v>
      </c>
      <c r="AO12" s="89">
        <f t="shared" si="6"/>
        <v>66.2</v>
      </c>
      <c r="AP12" s="83">
        <f t="shared" si="7"/>
        <v>90</v>
      </c>
      <c r="AQ12" s="89">
        <f t="shared" si="8"/>
        <v>0</v>
      </c>
      <c r="AR12" s="89">
        <f t="shared" si="9"/>
        <v>128</v>
      </c>
      <c r="AS12" s="83">
        <f t="shared" si="10"/>
        <v>198</v>
      </c>
      <c r="AT12" s="89">
        <v>0</v>
      </c>
      <c r="AU12" s="89">
        <f t="shared" si="11"/>
        <v>6.6</v>
      </c>
      <c r="AV12" s="108">
        <v>2312408</v>
      </c>
      <c r="AW12" s="126">
        <v>468.3</v>
      </c>
      <c r="AX12" s="42">
        <v>468.3</v>
      </c>
      <c r="AY12" s="208">
        <f t="shared" si="12"/>
        <v>0</v>
      </c>
      <c r="AZ12" s="290">
        <v>203772</v>
      </c>
      <c r="BA12" s="42"/>
      <c r="BB12" s="42"/>
      <c r="BD12" s="129"/>
    </row>
    <row r="13" spans="1:56">
      <c r="A13" s="235" t="s">
        <v>206</v>
      </c>
      <c r="B13" s="121">
        <v>1</v>
      </c>
      <c r="C13" s="131">
        <v>316</v>
      </c>
      <c r="D13" s="131">
        <v>0</v>
      </c>
      <c r="E13" s="82">
        <v>0</v>
      </c>
      <c r="F13" s="131">
        <v>0</v>
      </c>
      <c r="G13" s="199">
        <v>0</v>
      </c>
      <c r="H13" s="131">
        <v>0</v>
      </c>
      <c r="I13" s="131">
        <v>0</v>
      </c>
      <c r="J13" s="208">
        <v>0</v>
      </c>
      <c r="K13" s="127">
        <v>316</v>
      </c>
      <c r="L13" s="124">
        <v>0</v>
      </c>
      <c r="M13" s="121">
        <v>0</v>
      </c>
      <c r="N13" s="124">
        <v>0</v>
      </c>
      <c r="O13" s="124">
        <v>0</v>
      </c>
      <c r="P13" s="131">
        <v>76.400000000000006</v>
      </c>
      <c r="Q13" s="124">
        <v>0</v>
      </c>
      <c r="R13" s="124">
        <v>0</v>
      </c>
      <c r="S13" s="124">
        <v>0</v>
      </c>
      <c r="T13" s="127">
        <v>0</v>
      </c>
      <c r="U13" s="121">
        <v>0</v>
      </c>
      <c r="V13" s="121">
        <v>101</v>
      </c>
      <c r="W13" s="121">
        <v>0</v>
      </c>
      <c r="X13" s="131">
        <v>0</v>
      </c>
      <c r="Y13" s="119">
        <v>214.5</v>
      </c>
      <c r="Z13" s="82">
        <v>0</v>
      </c>
      <c r="AA13" s="79">
        <v>0</v>
      </c>
      <c r="AB13" s="79">
        <v>0</v>
      </c>
      <c r="AC13" s="209">
        <v>0</v>
      </c>
      <c r="AD13" s="211">
        <v>0</v>
      </c>
      <c r="AE13" s="89">
        <v>0</v>
      </c>
      <c r="AF13" s="89">
        <v>0</v>
      </c>
      <c r="AG13" s="89">
        <f>SUMIF('PreliminaryHD AR - School Level'!A14:A1320, "=" &amp; A13,'PreliminaryHD AR - School Level'!M14:M1320)</f>
        <v>0</v>
      </c>
      <c r="AH13" s="89">
        <v>595.6</v>
      </c>
      <c r="AI13" s="89">
        <f t="shared" si="0"/>
        <v>0</v>
      </c>
      <c r="AJ13" s="89">
        <f t="shared" si="1"/>
        <v>0</v>
      </c>
      <c r="AK13" s="89">
        <f t="shared" si="2"/>
        <v>316</v>
      </c>
      <c r="AL13" s="89">
        <f t="shared" si="3"/>
        <v>0</v>
      </c>
      <c r="AM13" s="89">
        <f t="shared" si="4"/>
        <v>0</v>
      </c>
      <c r="AN13" s="89">
        <f t="shared" si="5"/>
        <v>0</v>
      </c>
      <c r="AO13" s="89">
        <f t="shared" si="6"/>
        <v>76.400000000000006</v>
      </c>
      <c r="AP13" s="83">
        <f t="shared" si="7"/>
        <v>101</v>
      </c>
      <c r="AQ13" s="89">
        <f t="shared" si="8"/>
        <v>0</v>
      </c>
      <c r="AR13" s="89">
        <f t="shared" si="9"/>
        <v>214.5</v>
      </c>
      <c r="AS13" s="83">
        <f t="shared" si="10"/>
        <v>316</v>
      </c>
      <c r="AT13" s="89">
        <v>0</v>
      </c>
      <c r="AU13" s="89">
        <f t="shared" si="11"/>
        <v>0</v>
      </c>
      <c r="AV13" s="108">
        <v>2952569</v>
      </c>
      <c r="AW13" s="126">
        <v>595.6</v>
      </c>
      <c r="AX13" s="42">
        <v>595.6</v>
      </c>
      <c r="AY13" s="208">
        <f t="shared" si="12"/>
        <v>0</v>
      </c>
      <c r="AZ13" s="290">
        <v>235670</v>
      </c>
      <c r="BA13" s="42"/>
      <c r="BB13" s="42"/>
      <c r="BD13" s="129"/>
    </row>
    <row r="14" spans="1:56">
      <c r="A14" s="235" t="s">
        <v>207</v>
      </c>
      <c r="B14" s="121">
        <v>1</v>
      </c>
      <c r="C14" s="131">
        <v>456</v>
      </c>
      <c r="D14" s="131">
        <v>0</v>
      </c>
      <c r="E14" s="82">
        <v>0</v>
      </c>
      <c r="F14" s="131">
        <v>0</v>
      </c>
      <c r="G14" s="199">
        <v>0</v>
      </c>
      <c r="H14" s="131">
        <v>0</v>
      </c>
      <c r="I14" s="131">
        <v>0</v>
      </c>
      <c r="J14" s="208">
        <v>0</v>
      </c>
      <c r="K14" s="127">
        <v>473</v>
      </c>
      <c r="L14" s="124">
        <v>0</v>
      </c>
      <c r="M14" s="121">
        <v>0</v>
      </c>
      <c r="N14" s="124">
        <v>5</v>
      </c>
      <c r="O14" s="124">
        <v>0</v>
      </c>
      <c r="P14" s="131">
        <v>111.4</v>
      </c>
      <c r="Q14" s="124">
        <v>0</v>
      </c>
      <c r="R14" s="124">
        <v>0</v>
      </c>
      <c r="S14" s="124">
        <v>0</v>
      </c>
      <c r="T14" s="127">
        <v>1</v>
      </c>
      <c r="U14" s="121">
        <v>0</v>
      </c>
      <c r="V14" s="121">
        <v>158</v>
      </c>
      <c r="W14" s="121">
        <v>0</v>
      </c>
      <c r="X14" s="131">
        <v>0</v>
      </c>
      <c r="Y14" s="119">
        <v>247</v>
      </c>
      <c r="Z14" s="82">
        <v>0</v>
      </c>
      <c r="AA14" s="79">
        <v>31</v>
      </c>
      <c r="AB14" s="79">
        <v>0.8</v>
      </c>
      <c r="AC14" s="209">
        <v>0</v>
      </c>
      <c r="AD14" s="211">
        <v>0</v>
      </c>
      <c r="AE14" s="89">
        <v>0</v>
      </c>
      <c r="AF14" s="89">
        <v>0</v>
      </c>
      <c r="AG14" s="89">
        <f>SUMIF('PreliminaryHD AR - School Level'!A15:A1321, "=" &amp; A14,'PreliminaryHD AR - School Level'!M15:M1321)</f>
        <v>3.3</v>
      </c>
      <c r="AH14" s="89">
        <v>853.9</v>
      </c>
      <c r="AI14" s="89">
        <f t="shared" si="0"/>
        <v>0</v>
      </c>
      <c r="AJ14" s="89">
        <f t="shared" si="1"/>
        <v>0</v>
      </c>
      <c r="AK14" s="89">
        <f t="shared" si="2"/>
        <v>456</v>
      </c>
      <c r="AL14" s="89">
        <f t="shared" si="3"/>
        <v>5</v>
      </c>
      <c r="AM14" s="89">
        <f t="shared" si="4"/>
        <v>0</v>
      </c>
      <c r="AN14" s="89">
        <f t="shared" si="5"/>
        <v>1</v>
      </c>
      <c r="AO14" s="89">
        <f t="shared" si="6"/>
        <v>111.4</v>
      </c>
      <c r="AP14" s="83">
        <f t="shared" si="7"/>
        <v>158</v>
      </c>
      <c r="AQ14" s="89">
        <f t="shared" si="8"/>
        <v>0</v>
      </c>
      <c r="AR14" s="89">
        <f t="shared" si="9"/>
        <v>247</v>
      </c>
      <c r="AS14" s="83">
        <f t="shared" si="10"/>
        <v>473</v>
      </c>
      <c r="AT14" s="89">
        <v>0</v>
      </c>
      <c r="AU14" s="89">
        <f t="shared" si="11"/>
        <v>3.3</v>
      </c>
      <c r="AV14" s="108">
        <v>4374207</v>
      </c>
      <c r="AW14" s="126">
        <v>853.9</v>
      </c>
      <c r="AX14" s="42">
        <v>853.9</v>
      </c>
      <c r="AY14" s="208">
        <f t="shared" si="12"/>
        <v>0</v>
      </c>
      <c r="AZ14" s="290">
        <v>241951</v>
      </c>
      <c r="BA14" s="42"/>
      <c r="BB14" s="42"/>
      <c r="BD14" s="129"/>
    </row>
    <row r="15" spans="1:56">
      <c r="A15" s="235" t="s">
        <v>208</v>
      </c>
      <c r="B15" s="121">
        <v>1</v>
      </c>
      <c r="C15" s="131">
        <v>1072.5</v>
      </c>
      <c r="D15" s="131">
        <v>0</v>
      </c>
      <c r="E15" s="82">
        <v>0</v>
      </c>
      <c r="F15" s="131">
        <v>0</v>
      </c>
      <c r="G15" s="199">
        <v>0</v>
      </c>
      <c r="H15" s="131">
        <v>0</v>
      </c>
      <c r="I15" s="131">
        <v>0</v>
      </c>
      <c r="J15" s="208">
        <v>0</v>
      </c>
      <c r="K15" s="127">
        <v>1120</v>
      </c>
      <c r="L15" s="124">
        <v>0</v>
      </c>
      <c r="M15" s="121">
        <v>0</v>
      </c>
      <c r="N15" s="124">
        <v>14</v>
      </c>
      <c r="O15" s="124">
        <v>0</v>
      </c>
      <c r="P15" s="131">
        <v>295.7</v>
      </c>
      <c r="Q15" s="124">
        <v>0</v>
      </c>
      <c r="R15" s="124">
        <v>0.7</v>
      </c>
      <c r="S15" s="124">
        <v>0</v>
      </c>
      <c r="T15" s="127">
        <v>1</v>
      </c>
      <c r="U15" s="121">
        <v>0</v>
      </c>
      <c r="V15" s="121">
        <v>275</v>
      </c>
      <c r="W15" s="121">
        <v>0</v>
      </c>
      <c r="X15" s="131">
        <v>1</v>
      </c>
      <c r="Y15" s="119">
        <v>383</v>
      </c>
      <c r="Z15" s="82">
        <v>0</v>
      </c>
      <c r="AA15" s="79">
        <v>0</v>
      </c>
      <c r="AB15" s="79">
        <v>0</v>
      </c>
      <c r="AC15" s="209">
        <v>0</v>
      </c>
      <c r="AD15" s="211">
        <v>0</v>
      </c>
      <c r="AE15" s="89">
        <v>0</v>
      </c>
      <c r="AF15" s="89">
        <v>0</v>
      </c>
      <c r="AG15" s="89">
        <f>SUMIF('PreliminaryHD AR - School Level'!A16:A1322, "=" &amp; A15,'PreliminaryHD AR - School Level'!M16:M1322)</f>
        <v>1</v>
      </c>
      <c r="AH15" s="89">
        <v>1604.3</v>
      </c>
      <c r="AI15" s="89">
        <f t="shared" si="0"/>
        <v>0</v>
      </c>
      <c r="AJ15" s="89">
        <f t="shared" si="1"/>
        <v>0</v>
      </c>
      <c r="AK15" s="89">
        <f t="shared" si="2"/>
        <v>1072.5</v>
      </c>
      <c r="AL15" s="89">
        <f t="shared" si="3"/>
        <v>14</v>
      </c>
      <c r="AM15" s="89">
        <f t="shared" si="4"/>
        <v>0.7</v>
      </c>
      <c r="AN15" s="89">
        <f t="shared" si="5"/>
        <v>1</v>
      </c>
      <c r="AO15" s="89">
        <f t="shared" si="6"/>
        <v>295.7</v>
      </c>
      <c r="AP15" s="83">
        <f t="shared" si="7"/>
        <v>275</v>
      </c>
      <c r="AQ15" s="89">
        <f t="shared" si="8"/>
        <v>0</v>
      </c>
      <c r="AR15" s="89">
        <f t="shared" si="9"/>
        <v>383</v>
      </c>
      <c r="AS15" s="83">
        <f t="shared" si="10"/>
        <v>1120</v>
      </c>
      <c r="AT15" s="89">
        <v>0</v>
      </c>
      <c r="AU15" s="89">
        <f t="shared" si="11"/>
        <v>1</v>
      </c>
      <c r="AV15" s="108">
        <v>7606540</v>
      </c>
      <c r="AW15" s="126">
        <v>1604.3</v>
      </c>
      <c r="AX15" s="42">
        <v>1604.3</v>
      </c>
      <c r="AY15" s="208">
        <f t="shared" si="12"/>
        <v>0</v>
      </c>
      <c r="AZ15" s="290">
        <v>370299</v>
      </c>
      <c r="BA15" s="42"/>
      <c r="BB15" s="42"/>
      <c r="BD15" s="129"/>
    </row>
    <row r="16" spans="1:56">
      <c r="A16" s="235" t="s">
        <v>209</v>
      </c>
      <c r="B16" s="121">
        <v>1</v>
      </c>
      <c r="C16" s="131">
        <v>575.5</v>
      </c>
      <c r="D16" s="131">
        <v>0</v>
      </c>
      <c r="E16" s="82">
        <v>0</v>
      </c>
      <c r="F16" s="131">
        <v>0</v>
      </c>
      <c r="G16" s="199">
        <v>0</v>
      </c>
      <c r="H16" s="131">
        <v>0</v>
      </c>
      <c r="I16" s="131">
        <v>0</v>
      </c>
      <c r="J16" s="208">
        <v>0</v>
      </c>
      <c r="K16" s="127">
        <v>603</v>
      </c>
      <c r="L16" s="124">
        <v>0</v>
      </c>
      <c r="M16" s="121">
        <v>0</v>
      </c>
      <c r="N16" s="124">
        <v>7.5</v>
      </c>
      <c r="O16" s="124">
        <v>0</v>
      </c>
      <c r="P16" s="131">
        <v>185.2</v>
      </c>
      <c r="Q16" s="124">
        <v>0</v>
      </c>
      <c r="R16" s="124">
        <v>0</v>
      </c>
      <c r="S16" s="124">
        <v>0</v>
      </c>
      <c r="T16" s="127">
        <v>0</v>
      </c>
      <c r="U16" s="121">
        <v>0</v>
      </c>
      <c r="V16" s="121">
        <v>241</v>
      </c>
      <c r="W16" s="121">
        <v>0</v>
      </c>
      <c r="X16" s="131">
        <v>0</v>
      </c>
      <c r="Y16" s="119">
        <v>194</v>
      </c>
      <c r="Z16" s="82">
        <v>0</v>
      </c>
      <c r="AA16" s="79">
        <v>5</v>
      </c>
      <c r="AB16" s="79">
        <v>0</v>
      </c>
      <c r="AC16" s="209">
        <v>0</v>
      </c>
      <c r="AD16" s="211">
        <v>0</v>
      </c>
      <c r="AE16" s="89">
        <v>0</v>
      </c>
      <c r="AF16" s="89">
        <v>8.4</v>
      </c>
      <c r="AG16" s="89">
        <f>SUMIF('PreliminaryHD AR - School Level'!A17:A1323, "=" &amp; A16,'PreliminaryHD AR - School Level'!M17:M1323)</f>
        <v>9</v>
      </c>
      <c r="AH16" s="89">
        <v>1020.2</v>
      </c>
      <c r="AI16" s="89">
        <f t="shared" si="0"/>
        <v>0</v>
      </c>
      <c r="AJ16" s="89">
        <f t="shared" si="1"/>
        <v>0</v>
      </c>
      <c r="AK16" s="89">
        <f t="shared" si="2"/>
        <v>575.5</v>
      </c>
      <c r="AL16" s="89">
        <f t="shared" si="3"/>
        <v>7.5</v>
      </c>
      <c r="AM16" s="89">
        <f t="shared" si="4"/>
        <v>0</v>
      </c>
      <c r="AN16" s="89">
        <f t="shared" si="5"/>
        <v>0</v>
      </c>
      <c r="AO16" s="89">
        <f t="shared" si="6"/>
        <v>185.2</v>
      </c>
      <c r="AP16" s="83">
        <f t="shared" si="7"/>
        <v>241</v>
      </c>
      <c r="AQ16" s="89">
        <f t="shared" si="8"/>
        <v>0</v>
      </c>
      <c r="AR16" s="89">
        <f t="shared" si="9"/>
        <v>194</v>
      </c>
      <c r="AS16" s="83">
        <f t="shared" si="10"/>
        <v>603</v>
      </c>
      <c r="AT16" s="89">
        <v>0</v>
      </c>
      <c r="AU16" s="89">
        <f t="shared" si="11"/>
        <v>9</v>
      </c>
      <c r="AV16" s="108">
        <v>5274659</v>
      </c>
      <c r="AW16" s="126">
        <v>1020.2</v>
      </c>
      <c r="AX16" s="42">
        <v>1020.2</v>
      </c>
      <c r="AY16" s="208">
        <f t="shared" si="12"/>
        <v>0</v>
      </c>
      <c r="AZ16" s="290">
        <v>166455</v>
      </c>
      <c r="BA16" s="42"/>
      <c r="BB16" s="42"/>
      <c r="BD16" s="129"/>
    </row>
    <row r="17" spans="1:56">
      <c r="A17" s="235" t="s">
        <v>210</v>
      </c>
      <c r="B17" s="121">
        <v>1</v>
      </c>
      <c r="C17" s="131">
        <v>564.4</v>
      </c>
      <c r="D17" s="131">
        <v>0</v>
      </c>
      <c r="E17" s="82">
        <v>0</v>
      </c>
      <c r="F17" s="131">
        <v>0</v>
      </c>
      <c r="G17" s="199">
        <v>0</v>
      </c>
      <c r="H17" s="131">
        <v>0</v>
      </c>
      <c r="I17" s="131">
        <v>0</v>
      </c>
      <c r="J17" s="208">
        <v>0</v>
      </c>
      <c r="K17" s="127">
        <v>609</v>
      </c>
      <c r="L17" s="124">
        <v>0</v>
      </c>
      <c r="M17" s="121">
        <v>0</v>
      </c>
      <c r="N17" s="124">
        <v>13.5</v>
      </c>
      <c r="O17" s="124">
        <v>0</v>
      </c>
      <c r="P17" s="131">
        <v>236.9</v>
      </c>
      <c r="Q17" s="124">
        <v>0</v>
      </c>
      <c r="R17" s="124">
        <v>0</v>
      </c>
      <c r="S17" s="124">
        <v>0</v>
      </c>
      <c r="T17" s="127">
        <v>9</v>
      </c>
      <c r="U17" s="121">
        <v>0</v>
      </c>
      <c r="V17" s="121">
        <v>116</v>
      </c>
      <c r="W17" s="121">
        <v>0</v>
      </c>
      <c r="X17" s="131">
        <v>0</v>
      </c>
      <c r="Y17" s="119">
        <v>232.1</v>
      </c>
      <c r="Z17" s="82">
        <v>0</v>
      </c>
      <c r="AA17" s="79">
        <v>0</v>
      </c>
      <c r="AB17" s="79">
        <v>0</v>
      </c>
      <c r="AC17" s="209">
        <v>0</v>
      </c>
      <c r="AD17" s="211">
        <v>0</v>
      </c>
      <c r="AE17" s="89">
        <v>0</v>
      </c>
      <c r="AF17" s="89">
        <v>0</v>
      </c>
      <c r="AG17" s="89">
        <f>SUMIF('PreliminaryHD AR - School Level'!A18:A1324, "=" &amp; A17,'PreliminaryHD AR - School Level'!M18:M1324)</f>
        <v>0</v>
      </c>
      <c r="AH17" s="89">
        <v>929.8</v>
      </c>
      <c r="AI17" s="89">
        <f t="shared" si="0"/>
        <v>0</v>
      </c>
      <c r="AJ17" s="89">
        <f t="shared" si="1"/>
        <v>0</v>
      </c>
      <c r="AK17" s="89">
        <f t="shared" si="2"/>
        <v>564.4</v>
      </c>
      <c r="AL17" s="89">
        <f t="shared" si="3"/>
        <v>13.5</v>
      </c>
      <c r="AM17" s="89">
        <f t="shared" si="4"/>
        <v>0</v>
      </c>
      <c r="AN17" s="89">
        <f t="shared" si="5"/>
        <v>9</v>
      </c>
      <c r="AO17" s="89">
        <f t="shared" si="6"/>
        <v>236.9</v>
      </c>
      <c r="AP17" s="83">
        <f t="shared" si="7"/>
        <v>116</v>
      </c>
      <c r="AQ17" s="89">
        <f t="shared" si="8"/>
        <v>0</v>
      </c>
      <c r="AR17" s="89">
        <f t="shared" si="9"/>
        <v>232.1</v>
      </c>
      <c r="AS17" s="83">
        <f t="shared" si="10"/>
        <v>609</v>
      </c>
      <c r="AT17" s="89">
        <v>0</v>
      </c>
      <c r="AU17" s="89">
        <f t="shared" si="11"/>
        <v>0</v>
      </c>
      <c r="AV17" s="108">
        <v>4365753</v>
      </c>
      <c r="AW17" s="126">
        <v>929.8</v>
      </c>
      <c r="AX17" s="42">
        <v>929.8</v>
      </c>
      <c r="AY17" s="208">
        <f t="shared" si="12"/>
        <v>0</v>
      </c>
      <c r="AZ17" s="290">
        <v>230244</v>
      </c>
      <c r="BA17" s="42"/>
      <c r="BB17" s="42"/>
      <c r="BD17" s="129"/>
    </row>
    <row r="18" spans="1:56">
      <c r="A18" s="235" t="s">
        <v>211</v>
      </c>
      <c r="B18" s="121">
        <v>1</v>
      </c>
      <c r="C18" s="131">
        <v>249.5</v>
      </c>
      <c r="D18" s="131">
        <v>0</v>
      </c>
      <c r="E18" s="82">
        <v>0</v>
      </c>
      <c r="F18" s="131">
        <v>0</v>
      </c>
      <c r="G18" s="199">
        <v>0</v>
      </c>
      <c r="H18" s="131">
        <v>0</v>
      </c>
      <c r="I18" s="131">
        <v>0</v>
      </c>
      <c r="J18" s="208">
        <v>0</v>
      </c>
      <c r="K18" s="127">
        <v>257</v>
      </c>
      <c r="L18" s="124">
        <v>0</v>
      </c>
      <c r="M18" s="121">
        <v>0</v>
      </c>
      <c r="N18" s="124">
        <v>3</v>
      </c>
      <c r="O18" s="124">
        <v>0</v>
      </c>
      <c r="P18" s="131">
        <v>33.5</v>
      </c>
      <c r="Q18" s="124">
        <v>0</v>
      </c>
      <c r="R18" s="124">
        <v>130.69999999999999</v>
      </c>
      <c r="S18" s="124">
        <v>0</v>
      </c>
      <c r="T18" s="127">
        <v>62</v>
      </c>
      <c r="U18" s="121">
        <v>0</v>
      </c>
      <c r="V18" s="121">
        <v>97</v>
      </c>
      <c r="W18" s="121">
        <v>0</v>
      </c>
      <c r="X18" s="131">
        <v>0</v>
      </c>
      <c r="Y18" s="119">
        <v>71</v>
      </c>
      <c r="Z18" s="82">
        <v>0</v>
      </c>
      <c r="AA18" s="79">
        <v>0</v>
      </c>
      <c r="AB18" s="79">
        <v>0</v>
      </c>
      <c r="AC18" s="209">
        <v>0</v>
      </c>
      <c r="AD18" s="211">
        <v>0</v>
      </c>
      <c r="AE18" s="89">
        <v>0</v>
      </c>
      <c r="AF18" s="89">
        <v>1.9</v>
      </c>
      <c r="AG18" s="89">
        <f>SUMIF('PreliminaryHD AR - School Level'!A19:A1325, "=" &amp; A18,'PreliminaryHD AR - School Level'!M19:M1325)</f>
        <v>1.9</v>
      </c>
      <c r="AH18" s="89">
        <v>502.9</v>
      </c>
      <c r="AI18" s="89">
        <f t="shared" si="0"/>
        <v>0</v>
      </c>
      <c r="AJ18" s="89">
        <f t="shared" si="1"/>
        <v>0</v>
      </c>
      <c r="AK18" s="89">
        <f t="shared" si="2"/>
        <v>249.5</v>
      </c>
      <c r="AL18" s="89">
        <f t="shared" si="3"/>
        <v>3</v>
      </c>
      <c r="AM18" s="89">
        <f t="shared" si="4"/>
        <v>130.69999999999999</v>
      </c>
      <c r="AN18" s="89">
        <f t="shared" si="5"/>
        <v>62</v>
      </c>
      <c r="AO18" s="89">
        <f t="shared" si="6"/>
        <v>33.5</v>
      </c>
      <c r="AP18" s="83">
        <f t="shared" si="7"/>
        <v>97</v>
      </c>
      <c r="AQ18" s="89">
        <f t="shared" si="8"/>
        <v>0</v>
      </c>
      <c r="AR18" s="89">
        <f t="shared" si="9"/>
        <v>71</v>
      </c>
      <c r="AS18" s="83">
        <f t="shared" si="10"/>
        <v>257</v>
      </c>
      <c r="AT18" s="89">
        <v>0</v>
      </c>
      <c r="AU18" s="89">
        <f t="shared" si="11"/>
        <v>1.9</v>
      </c>
      <c r="AV18" s="108">
        <v>2321988</v>
      </c>
      <c r="AW18" s="126">
        <v>502.9</v>
      </c>
      <c r="AX18" s="42">
        <v>502.9</v>
      </c>
      <c r="AY18" s="208">
        <f t="shared" si="12"/>
        <v>0</v>
      </c>
      <c r="AZ18" s="290">
        <v>198817</v>
      </c>
      <c r="BA18" s="42"/>
      <c r="BB18" s="42"/>
      <c r="BD18" s="129"/>
    </row>
    <row r="19" spans="1:56">
      <c r="A19" s="235" t="s">
        <v>212</v>
      </c>
      <c r="B19" s="121">
        <v>1</v>
      </c>
      <c r="C19" s="131">
        <v>3901.5</v>
      </c>
      <c r="D19" s="131">
        <v>0</v>
      </c>
      <c r="E19" s="82">
        <v>0</v>
      </c>
      <c r="F19" s="131">
        <v>0</v>
      </c>
      <c r="G19" s="199">
        <v>0</v>
      </c>
      <c r="H19" s="131">
        <v>0</v>
      </c>
      <c r="I19" s="131">
        <v>0</v>
      </c>
      <c r="J19" s="208">
        <v>0</v>
      </c>
      <c r="K19" s="127">
        <v>4065</v>
      </c>
      <c r="L19" s="124">
        <v>0</v>
      </c>
      <c r="M19" s="121">
        <v>0</v>
      </c>
      <c r="N19" s="124">
        <v>73.5</v>
      </c>
      <c r="O19" s="124">
        <v>0</v>
      </c>
      <c r="P19" s="131">
        <v>1095.4000000000001</v>
      </c>
      <c r="Q19" s="124">
        <v>0</v>
      </c>
      <c r="R19" s="124">
        <v>1622.5</v>
      </c>
      <c r="S19" s="124">
        <v>0</v>
      </c>
      <c r="T19" s="127">
        <v>825</v>
      </c>
      <c r="U19" s="121">
        <v>0</v>
      </c>
      <c r="V19" s="254">
        <v>2531</v>
      </c>
      <c r="W19" s="121">
        <v>0</v>
      </c>
      <c r="X19" s="131">
        <v>2</v>
      </c>
      <c r="Y19" s="119">
        <v>1229</v>
      </c>
      <c r="Z19" s="82">
        <v>0</v>
      </c>
      <c r="AA19" s="79">
        <v>8</v>
      </c>
      <c r="AB19" s="79">
        <v>0</v>
      </c>
      <c r="AC19" s="209">
        <v>160</v>
      </c>
      <c r="AD19" s="211">
        <v>0</v>
      </c>
      <c r="AE19" s="89">
        <v>0</v>
      </c>
      <c r="AF19" s="89">
        <v>265.8</v>
      </c>
      <c r="AG19" s="89">
        <f>SUMIF('PreliminaryHD AR - School Level'!A20:A1326, "=" &amp; A19,'PreliminaryHD AR - School Level'!M20:M1326)</f>
        <v>265.7</v>
      </c>
      <c r="AH19" s="89">
        <v>6069.7</v>
      </c>
      <c r="AI19" s="89">
        <f t="shared" si="0"/>
        <v>0</v>
      </c>
      <c r="AJ19" s="89">
        <f t="shared" si="1"/>
        <v>0</v>
      </c>
      <c r="AK19" s="89">
        <f t="shared" si="2"/>
        <v>3901.5</v>
      </c>
      <c r="AL19" s="89">
        <f t="shared" si="3"/>
        <v>73.5</v>
      </c>
      <c r="AM19" s="89">
        <f t="shared" si="4"/>
        <v>1622.5</v>
      </c>
      <c r="AN19" s="89">
        <f t="shared" si="5"/>
        <v>825</v>
      </c>
      <c r="AO19" s="89">
        <f t="shared" si="6"/>
        <v>1095.4000000000001</v>
      </c>
      <c r="AP19" s="83">
        <f t="shared" si="7"/>
        <v>2531</v>
      </c>
      <c r="AQ19" s="89">
        <f t="shared" si="8"/>
        <v>0</v>
      </c>
      <c r="AR19" s="89">
        <f t="shared" si="9"/>
        <v>1229</v>
      </c>
      <c r="AS19" s="83">
        <f t="shared" si="10"/>
        <v>4065</v>
      </c>
      <c r="AT19" s="89">
        <v>0</v>
      </c>
      <c r="AU19" s="89">
        <f t="shared" si="11"/>
        <v>265.8</v>
      </c>
      <c r="AV19" s="108">
        <v>29168939</v>
      </c>
      <c r="AW19" s="126">
        <v>6069.7</v>
      </c>
      <c r="AX19" s="42">
        <v>6069.7</v>
      </c>
      <c r="AY19" s="208">
        <f t="shared" si="12"/>
        <v>0</v>
      </c>
      <c r="AZ19" s="290">
        <v>1634664</v>
      </c>
      <c r="BA19" s="42"/>
      <c r="BB19" s="42"/>
      <c r="BD19" s="129"/>
    </row>
    <row r="20" spans="1:56">
      <c r="A20" s="235" t="s">
        <v>213</v>
      </c>
      <c r="B20" s="121">
        <v>1</v>
      </c>
      <c r="C20" s="131">
        <v>2318</v>
      </c>
      <c r="D20" s="131">
        <v>0</v>
      </c>
      <c r="E20" s="82">
        <v>0</v>
      </c>
      <c r="F20" s="131">
        <v>0</v>
      </c>
      <c r="G20" s="199">
        <v>0</v>
      </c>
      <c r="H20" s="131">
        <v>0</v>
      </c>
      <c r="I20" s="131">
        <v>0</v>
      </c>
      <c r="J20" s="208">
        <v>0</v>
      </c>
      <c r="K20" s="127">
        <v>2337</v>
      </c>
      <c r="L20" s="124">
        <v>0</v>
      </c>
      <c r="M20" s="121">
        <v>0</v>
      </c>
      <c r="N20" s="124">
        <v>5.5</v>
      </c>
      <c r="O20" s="124">
        <v>0</v>
      </c>
      <c r="P20" s="131">
        <v>587.9</v>
      </c>
      <c r="Q20" s="124">
        <v>0</v>
      </c>
      <c r="R20" s="124">
        <v>168.8</v>
      </c>
      <c r="S20" s="124">
        <v>0</v>
      </c>
      <c r="T20" s="127">
        <v>73</v>
      </c>
      <c r="U20" s="121">
        <v>0</v>
      </c>
      <c r="V20" s="121">
        <v>318</v>
      </c>
      <c r="W20" s="121">
        <v>0</v>
      </c>
      <c r="X20" s="131">
        <v>0</v>
      </c>
      <c r="Y20" s="119">
        <v>1362</v>
      </c>
      <c r="Z20" s="82">
        <v>0</v>
      </c>
      <c r="AA20" s="79">
        <v>2</v>
      </c>
      <c r="AB20" s="79">
        <v>0</v>
      </c>
      <c r="AC20" s="209">
        <v>0</v>
      </c>
      <c r="AD20" s="211">
        <v>0</v>
      </c>
      <c r="AE20" s="89">
        <v>0</v>
      </c>
      <c r="AF20" s="89">
        <v>0</v>
      </c>
      <c r="AG20" s="89">
        <f>SUMIF('PreliminaryHD AR - School Level'!A21:A1327, "=" &amp; A20,'PreliminaryHD AR - School Level'!M21:M1327)</f>
        <v>0</v>
      </c>
      <c r="AH20" s="89">
        <v>2741.5</v>
      </c>
      <c r="AI20" s="89">
        <f t="shared" si="0"/>
        <v>0</v>
      </c>
      <c r="AJ20" s="89">
        <f t="shared" si="1"/>
        <v>0</v>
      </c>
      <c r="AK20" s="89">
        <f t="shared" si="2"/>
        <v>2318</v>
      </c>
      <c r="AL20" s="89">
        <f t="shared" si="3"/>
        <v>5.5</v>
      </c>
      <c r="AM20" s="89">
        <f t="shared" si="4"/>
        <v>168.8</v>
      </c>
      <c r="AN20" s="89">
        <f t="shared" si="5"/>
        <v>73</v>
      </c>
      <c r="AO20" s="89">
        <f t="shared" si="6"/>
        <v>587.9</v>
      </c>
      <c r="AP20" s="83">
        <f t="shared" si="7"/>
        <v>318</v>
      </c>
      <c r="AQ20" s="89">
        <f t="shared" si="8"/>
        <v>0</v>
      </c>
      <c r="AR20" s="89">
        <f t="shared" si="9"/>
        <v>1362</v>
      </c>
      <c r="AS20" s="83">
        <f t="shared" si="10"/>
        <v>2337</v>
      </c>
      <c r="AT20" s="89">
        <v>0</v>
      </c>
      <c r="AU20" s="89">
        <f t="shared" si="11"/>
        <v>0</v>
      </c>
      <c r="AV20" s="108">
        <v>14480679</v>
      </c>
      <c r="AW20" s="126">
        <v>2741.5</v>
      </c>
      <c r="AX20" s="42">
        <v>2741.5</v>
      </c>
      <c r="AY20" s="208">
        <f t="shared" si="12"/>
        <v>0</v>
      </c>
      <c r="AZ20" s="290">
        <v>709546</v>
      </c>
      <c r="BA20" s="42"/>
      <c r="BB20" s="42"/>
      <c r="BD20" s="129"/>
    </row>
    <row r="21" spans="1:56">
      <c r="A21" s="235" t="s">
        <v>214</v>
      </c>
      <c r="B21" s="121">
        <v>1</v>
      </c>
      <c r="C21" s="131">
        <v>2594</v>
      </c>
      <c r="D21" s="131">
        <v>0</v>
      </c>
      <c r="E21" s="82">
        <v>0</v>
      </c>
      <c r="F21" s="131">
        <v>0</v>
      </c>
      <c r="G21" s="199">
        <v>0</v>
      </c>
      <c r="H21" s="131">
        <v>0</v>
      </c>
      <c r="I21" s="131">
        <v>0</v>
      </c>
      <c r="J21" s="208">
        <v>0</v>
      </c>
      <c r="K21" s="127">
        <v>2639</v>
      </c>
      <c r="L21" s="124">
        <v>0</v>
      </c>
      <c r="M21" s="121">
        <v>0</v>
      </c>
      <c r="N21" s="124">
        <v>17</v>
      </c>
      <c r="O21" s="124">
        <v>0</v>
      </c>
      <c r="P21" s="131">
        <v>1260.5</v>
      </c>
      <c r="Q21" s="124">
        <v>0</v>
      </c>
      <c r="R21" s="124">
        <v>534.79999999999995</v>
      </c>
      <c r="S21" s="124">
        <v>0</v>
      </c>
      <c r="T21" s="127">
        <v>156</v>
      </c>
      <c r="U21" s="121">
        <v>0</v>
      </c>
      <c r="V21" s="121">
        <v>940</v>
      </c>
      <c r="W21" s="121">
        <v>0</v>
      </c>
      <c r="X21" s="131">
        <v>0</v>
      </c>
      <c r="Y21" s="119">
        <v>664</v>
      </c>
      <c r="Z21" s="82">
        <v>0</v>
      </c>
      <c r="AA21" s="79">
        <v>53</v>
      </c>
      <c r="AB21" s="79">
        <v>0</v>
      </c>
      <c r="AC21" s="209">
        <v>45</v>
      </c>
      <c r="AD21" s="211">
        <v>0</v>
      </c>
      <c r="AE21" s="89">
        <v>0</v>
      </c>
      <c r="AF21" s="89">
        <v>4.0999999999999996</v>
      </c>
      <c r="AG21" s="89">
        <f>SUMIF('PreliminaryHD AR - School Level'!A22:A1328, "=" &amp; A21,'PreliminaryHD AR - School Level'!M22:M1328)</f>
        <v>20</v>
      </c>
      <c r="AH21" s="89">
        <v>3477.1</v>
      </c>
      <c r="AI21" s="89">
        <f t="shared" si="0"/>
        <v>0</v>
      </c>
      <c r="AJ21" s="89">
        <f t="shared" si="1"/>
        <v>0</v>
      </c>
      <c r="AK21" s="89">
        <f t="shared" si="2"/>
        <v>2594</v>
      </c>
      <c r="AL21" s="89">
        <f t="shared" si="3"/>
        <v>17</v>
      </c>
      <c r="AM21" s="89">
        <f t="shared" si="4"/>
        <v>534.79999999999995</v>
      </c>
      <c r="AN21" s="89">
        <f t="shared" si="5"/>
        <v>156</v>
      </c>
      <c r="AO21" s="89">
        <f t="shared" si="6"/>
        <v>1260.5</v>
      </c>
      <c r="AP21" s="83">
        <f t="shared" si="7"/>
        <v>940</v>
      </c>
      <c r="AQ21" s="89">
        <f t="shared" si="8"/>
        <v>0</v>
      </c>
      <c r="AR21" s="89">
        <f t="shared" si="9"/>
        <v>664</v>
      </c>
      <c r="AS21" s="83">
        <f t="shared" si="10"/>
        <v>2639</v>
      </c>
      <c r="AT21" s="89">
        <v>0</v>
      </c>
      <c r="AU21" s="89">
        <f t="shared" si="11"/>
        <v>20</v>
      </c>
      <c r="AV21" s="108">
        <v>18072853</v>
      </c>
      <c r="AW21" s="126">
        <v>3477.1</v>
      </c>
      <c r="AX21" s="42">
        <v>3477.1</v>
      </c>
      <c r="AY21" s="208">
        <f t="shared" si="12"/>
        <v>0</v>
      </c>
      <c r="AZ21" s="290">
        <v>610321</v>
      </c>
      <c r="BA21" s="42"/>
      <c r="BB21" s="42"/>
      <c r="BD21" s="129"/>
    </row>
    <row r="22" spans="1:56">
      <c r="A22" s="235" t="s">
        <v>215</v>
      </c>
      <c r="B22" s="121">
        <v>1</v>
      </c>
      <c r="C22" s="131">
        <v>494.3</v>
      </c>
      <c r="D22" s="131">
        <v>0</v>
      </c>
      <c r="E22" s="82">
        <v>0</v>
      </c>
      <c r="F22" s="131">
        <v>0</v>
      </c>
      <c r="G22" s="199">
        <v>0</v>
      </c>
      <c r="H22" s="131">
        <v>0</v>
      </c>
      <c r="I22" s="131">
        <v>0</v>
      </c>
      <c r="J22" s="208">
        <v>0</v>
      </c>
      <c r="K22" s="127">
        <v>501</v>
      </c>
      <c r="L22" s="124">
        <v>0</v>
      </c>
      <c r="M22" s="121">
        <v>0</v>
      </c>
      <c r="N22" s="124">
        <v>0</v>
      </c>
      <c r="O22" s="124">
        <v>0</v>
      </c>
      <c r="P22" s="131">
        <v>146</v>
      </c>
      <c r="Q22" s="124">
        <v>0</v>
      </c>
      <c r="R22" s="124">
        <v>0</v>
      </c>
      <c r="S22" s="124">
        <v>0</v>
      </c>
      <c r="T22" s="127">
        <v>3</v>
      </c>
      <c r="U22" s="121">
        <v>0</v>
      </c>
      <c r="V22" s="121">
        <v>198</v>
      </c>
      <c r="W22" s="121">
        <v>0</v>
      </c>
      <c r="X22" s="131">
        <v>0</v>
      </c>
      <c r="Y22" s="119">
        <v>265</v>
      </c>
      <c r="Z22" s="82">
        <v>0</v>
      </c>
      <c r="AA22" s="79">
        <v>0</v>
      </c>
      <c r="AB22" s="79">
        <v>0</v>
      </c>
      <c r="AC22" s="209">
        <v>0</v>
      </c>
      <c r="AD22" s="211">
        <v>0</v>
      </c>
      <c r="AE22" s="89">
        <v>0</v>
      </c>
      <c r="AF22" s="89">
        <v>6.3</v>
      </c>
      <c r="AG22" s="89">
        <f>SUMIF('PreliminaryHD AR - School Level'!A23:A1329, "=" &amp; A22,'PreliminaryHD AR - School Level'!M23:M1329)</f>
        <v>6.3</v>
      </c>
      <c r="AH22" s="89">
        <v>874.9</v>
      </c>
      <c r="AI22" s="89">
        <f t="shared" si="0"/>
        <v>0</v>
      </c>
      <c r="AJ22" s="89">
        <f t="shared" si="1"/>
        <v>0</v>
      </c>
      <c r="AK22" s="89">
        <f t="shared" si="2"/>
        <v>494.3</v>
      </c>
      <c r="AL22" s="89">
        <f t="shared" si="3"/>
        <v>0</v>
      </c>
      <c r="AM22" s="89">
        <f t="shared" si="4"/>
        <v>0</v>
      </c>
      <c r="AN22" s="89">
        <f t="shared" si="5"/>
        <v>3</v>
      </c>
      <c r="AO22" s="89">
        <f t="shared" si="6"/>
        <v>146</v>
      </c>
      <c r="AP22" s="83">
        <f t="shared" si="7"/>
        <v>198</v>
      </c>
      <c r="AQ22" s="89">
        <f t="shared" si="8"/>
        <v>0</v>
      </c>
      <c r="AR22" s="89">
        <f t="shared" si="9"/>
        <v>265</v>
      </c>
      <c r="AS22" s="83">
        <f t="shared" si="10"/>
        <v>501</v>
      </c>
      <c r="AT22" s="89">
        <v>0</v>
      </c>
      <c r="AU22" s="89">
        <f t="shared" si="11"/>
        <v>6.3</v>
      </c>
      <c r="AV22" s="108">
        <v>4355757</v>
      </c>
      <c r="AW22" s="126">
        <v>874.9</v>
      </c>
      <c r="AX22" s="42">
        <v>874.9</v>
      </c>
      <c r="AY22" s="208">
        <f t="shared" si="12"/>
        <v>0</v>
      </c>
      <c r="AZ22" s="290">
        <v>416499</v>
      </c>
      <c r="BA22" s="42"/>
      <c r="BB22" s="42"/>
      <c r="BD22" s="129"/>
    </row>
    <row r="23" spans="1:56">
      <c r="A23" s="235" t="s">
        <v>216</v>
      </c>
      <c r="B23" s="121">
        <v>1</v>
      </c>
      <c r="C23" s="131">
        <v>492.9</v>
      </c>
      <c r="D23" s="131">
        <v>0</v>
      </c>
      <c r="E23" s="82">
        <v>0</v>
      </c>
      <c r="F23" s="131">
        <v>0</v>
      </c>
      <c r="G23" s="199">
        <v>0</v>
      </c>
      <c r="H23" s="131">
        <v>0</v>
      </c>
      <c r="I23" s="131">
        <v>0</v>
      </c>
      <c r="J23" s="208">
        <v>0</v>
      </c>
      <c r="K23" s="127">
        <v>507</v>
      </c>
      <c r="L23" s="124">
        <v>0</v>
      </c>
      <c r="M23" s="121">
        <v>0</v>
      </c>
      <c r="N23" s="124">
        <v>5</v>
      </c>
      <c r="O23" s="124">
        <v>0</v>
      </c>
      <c r="P23" s="131">
        <v>89.8</v>
      </c>
      <c r="Q23" s="124">
        <v>0</v>
      </c>
      <c r="R23" s="124">
        <v>35.1</v>
      </c>
      <c r="S23" s="124">
        <v>0</v>
      </c>
      <c r="T23" s="127">
        <v>25</v>
      </c>
      <c r="U23" s="121">
        <v>0</v>
      </c>
      <c r="V23" s="121">
        <v>129</v>
      </c>
      <c r="W23" s="121">
        <v>0</v>
      </c>
      <c r="X23" s="131">
        <v>0</v>
      </c>
      <c r="Y23" s="119">
        <v>355.5</v>
      </c>
      <c r="Z23" s="82">
        <v>0</v>
      </c>
      <c r="AA23" s="79">
        <v>0</v>
      </c>
      <c r="AB23" s="79">
        <v>0</v>
      </c>
      <c r="AC23" s="209">
        <v>0</v>
      </c>
      <c r="AD23" s="211">
        <v>0</v>
      </c>
      <c r="AE23" s="89">
        <v>0</v>
      </c>
      <c r="AF23" s="89">
        <v>0</v>
      </c>
      <c r="AG23" s="89">
        <f>SUMIF('PreliminaryHD AR - School Level'!A24:A1330, "=" &amp; A23,'PreliminaryHD AR - School Level'!M24:M1330)</f>
        <v>0</v>
      </c>
      <c r="AH23" s="89">
        <v>878.4</v>
      </c>
      <c r="AI23" s="89">
        <f t="shared" si="0"/>
        <v>0</v>
      </c>
      <c r="AJ23" s="89">
        <f t="shared" si="1"/>
        <v>0</v>
      </c>
      <c r="AK23" s="89">
        <f t="shared" si="2"/>
        <v>492.9</v>
      </c>
      <c r="AL23" s="89">
        <f t="shared" si="3"/>
        <v>5</v>
      </c>
      <c r="AM23" s="89">
        <f t="shared" si="4"/>
        <v>35.1</v>
      </c>
      <c r="AN23" s="89">
        <f t="shared" si="5"/>
        <v>25</v>
      </c>
      <c r="AO23" s="89">
        <f t="shared" si="6"/>
        <v>89.8</v>
      </c>
      <c r="AP23" s="83">
        <f t="shared" si="7"/>
        <v>129</v>
      </c>
      <c r="AQ23" s="89">
        <f t="shared" si="8"/>
        <v>0</v>
      </c>
      <c r="AR23" s="89">
        <f t="shared" si="9"/>
        <v>355.5</v>
      </c>
      <c r="AS23" s="83">
        <f t="shared" si="10"/>
        <v>507</v>
      </c>
      <c r="AT23" s="89">
        <v>0</v>
      </c>
      <c r="AU23" s="89">
        <f t="shared" si="11"/>
        <v>0</v>
      </c>
      <c r="AV23" s="108">
        <v>4453635</v>
      </c>
      <c r="AW23" s="126">
        <v>878.4</v>
      </c>
      <c r="AX23" s="42">
        <v>878.4</v>
      </c>
      <c r="AY23" s="208">
        <f t="shared" si="12"/>
        <v>0</v>
      </c>
      <c r="AZ23" s="290">
        <v>194797</v>
      </c>
      <c r="BA23" s="42"/>
      <c r="BB23" s="42"/>
      <c r="BD23" s="129"/>
    </row>
    <row r="24" spans="1:56">
      <c r="A24" s="235" t="s">
        <v>217</v>
      </c>
      <c r="B24" s="121">
        <v>1</v>
      </c>
      <c r="C24" s="131">
        <v>1695.5</v>
      </c>
      <c r="D24" s="131">
        <v>0</v>
      </c>
      <c r="E24" s="82">
        <v>0</v>
      </c>
      <c r="F24" s="131">
        <v>0</v>
      </c>
      <c r="G24" s="199">
        <v>0</v>
      </c>
      <c r="H24" s="131">
        <v>0</v>
      </c>
      <c r="I24" s="131">
        <v>0</v>
      </c>
      <c r="J24" s="208">
        <v>0</v>
      </c>
      <c r="K24" s="127">
        <v>1706</v>
      </c>
      <c r="L24" s="124">
        <v>0</v>
      </c>
      <c r="M24" s="121">
        <v>0</v>
      </c>
      <c r="N24" s="124">
        <v>0</v>
      </c>
      <c r="O24" s="124">
        <v>0</v>
      </c>
      <c r="P24" s="131">
        <v>0.8</v>
      </c>
      <c r="Q24" s="124">
        <v>0</v>
      </c>
      <c r="R24" s="124">
        <v>46.7</v>
      </c>
      <c r="S24" s="124">
        <v>0</v>
      </c>
      <c r="T24" s="127">
        <v>73</v>
      </c>
      <c r="U24" s="121">
        <v>0</v>
      </c>
      <c r="V24" s="121">
        <v>62</v>
      </c>
      <c r="W24" s="121">
        <v>0</v>
      </c>
      <c r="X24" s="131">
        <v>0</v>
      </c>
      <c r="Y24" s="119">
        <v>96</v>
      </c>
      <c r="Z24" s="82">
        <v>0</v>
      </c>
      <c r="AA24" s="79">
        <v>0</v>
      </c>
      <c r="AB24" s="79">
        <v>0</v>
      </c>
      <c r="AC24" s="209">
        <v>0</v>
      </c>
      <c r="AD24" s="211">
        <v>0</v>
      </c>
      <c r="AE24" s="89">
        <v>0</v>
      </c>
      <c r="AF24" s="89">
        <v>0</v>
      </c>
      <c r="AG24" s="89">
        <f>SUMIF('PreliminaryHD AR - School Level'!A25:A1331, "=" &amp; A24,'PreliminaryHD AR - School Level'!M25:M1331)</f>
        <v>0</v>
      </c>
      <c r="AH24" s="89">
        <v>1951.3</v>
      </c>
      <c r="AI24" s="89">
        <f t="shared" si="0"/>
        <v>0</v>
      </c>
      <c r="AJ24" s="89">
        <f t="shared" si="1"/>
        <v>0</v>
      </c>
      <c r="AK24" s="89">
        <f t="shared" si="2"/>
        <v>1695.5</v>
      </c>
      <c r="AL24" s="89">
        <f t="shared" si="3"/>
        <v>0</v>
      </c>
      <c r="AM24" s="89">
        <f t="shared" si="4"/>
        <v>46.7</v>
      </c>
      <c r="AN24" s="89">
        <f t="shared" si="5"/>
        <v>73</v>
      </c>
      <c r="AO24" s="89">
        <f t="shared" si="6"/>
        <v>0.8</v>
      </c>
      <c r="AP24" s="83">
        <f t="shared" si="7"/>
        <v>62</v>
      </c>
      <c r="AQ24" s="89">
        <f t="shared" si="8"/>
        <v>0</v>
      </c>
      <c r="AR24" s="89">
        <f t="shared" si="9"/>
        <v>96</v>
      </c>
      <c r="AS24" s="83">
        <f t="shared" si="10"/>
        <v>1706</v>
      </c>
      <c r="AT24" s="89">
        <v>0</v>
      </c>
      <c r="AU24" s="89">
        <f t="shared" si="11"/>
        <v>0</v>
      </c>
      <c r="AV24" s="148">
        <v>10005580</v>
      </c>
      <c r="AW24" s="126">
        <v>1951.3</v>
      </c>
      <c r="AX24" s="42">
        <v>1951.3</v>
      </c>
      <c r="AY24" s="208">
        <f t="shared" si="12"/>
        <v>0</v>
      </c>
      <c r="AZ24" s="290">
        <v>243135</v>
      </c>
      <c r="BA24" s="42"/>
      <c r="BB24" s="42"/>
      <c r="BD24" s="129"/>
    </row>
    <row r="25" spans="1:56">
      <c r="A25" s="235" t="s">
        <v>218</v>
      </c>
      <c r="B25" s="121">
        <v>1</v>
      </c>
      <c r="C25" s="131">
        <v>375</v>
      </c>
      <c r="D25" s="131">
        <v>0</v>
      </c>
      <c r="E25" s="82">
        <v>0</v>
      </c>
      <c r="F25" s="131">
        <v>0</v>
      </c>
      <c r="G25" s="199">
        <v>0</v>
      </c>
      <c r="H25" s="131">
        <v>0</v>
      </c>
      <c r="I25" s="131">
        <v>0</v>
      </c>
      <c r="J25" s="208">
        <v>0</v>
      </c>
      <c r="K25" s="127">
        <v>379</v>
      </c>
      <c r="L25" s="124">
        <v>0</v>
      </c>
      <c r="M25" s="121">
        <v>0</v>
      </c>
      <c r="N25" s="124">
        <v>0</v>
      </c>
      <c r="O25" s="124">
        <v>0</v>
      </c>
      <c r="P25" s="131">
        <v>100.7</v>
      </c>
      <c r="Q25" s="124">
        <v>0</v>
      </c>
      <c r="R25" s="124">
        <v>0</v>
      </c>
      <c r="S25" s="124">
        <v>0</v>
      </c>
      <c r="T25" s="127">
        <v>0</v>
      </c>
      <c r="U25" s="121">
        <v>0</v>
      </c>
      <c r="V25" s="121">
        <v>102</v>
      </c>
      <c r="W25" s="121">
        <v>0</v>
      </c>
      <c r="X25" s="131">
        <v>0</v>
      </c>
      <c r="Y25" s="119">
        <v>77</v>
      </c>
      <c r="Z25" s="82">
        <v>0</v>
      </c>
      <c r="AA25" s="79">
        <v>0</v>
      </c>
      <c r="AB25" s="79">
        <v>0</v>
      </c>
      <c r="AC25" s="209">
        <v>0</v>
      </c>
      <c r="AD25" s="211">
        <v>0</v>
      </c>
      <c r="AE25" s="89">
        <v>0</v>
      </c>
      <c r="AF25" s="89">
        <v>0</v>
      </c>
      <c r="AG25" s="89">
        <f>SUMIF('PreliminaryHD AR - School Level'!A26:A1332, "=" &amp; A25,'PreliminaryHD AR - School Level'!M26:M1332)</f>
        <v>0</v>
      </c>
      <c r="AH25" s="89">
        <v>650</v>
      </c>
      <c r="AI25" s="89">
        <f t="shared" si="0"/>
        <v>0</v>
      </c>
      <c r="AJ25" s="89">
        <f t="shared" si="1"/>
        <v>0</v>
      </c>
      <c r="AK25" s="89">
        <f t="shared" si="2"/>
        <v>375</v>
      </c>
      <c r="AL25" s="89">
        <f t="shared" si="3"/>
        <v>0</v>
      </c>
      <c r="AM25" s="89">
        <f t="shared" si="4"/>
        <v>0</v>
      </c>
      <c r="AN25" s="89">
        <f t="shared" si="5"/>
        <v>0</v>
      </c>
      <c r="AO25" s="89">
        <f t="shared" si="6"/>
        <v>100.7</v>
      </c>
      <c r="AP25" s="83">
        <f t="shared" si="7"/>
        <v>102</v>
      </c>
      <c r="AQ25" s="89">
        <f t="shared" si="8"/>
        <v>0</v>
      </c>
      <c r="AR25" s="89">
        <f t="shared" si="9"/>
        <v>77</v>
      </c>
      <c r="AS25" s="83">
        <f t="shared" si="10"/>
        <v>379</v>
      </c>
      <c r="AT25" s="89">
        <v>0</v>
      </c>
      <c r="AU25" s="89">
        <f t="shared" si="11"/>
        <v>0</v>
      </c>
      <c r="AV25" s="108">
        <v>3231624</v>
      </c>
      <c r="AW25" s="126">
        <v>650</v>
      </c>
      <c r="AX25" s="42">
        <v>650</v>
      </c>
      <c r="AY25" s="208">
        <f t="shared" si="12"/>
        <v>0</v>
      </c>
      <c r="AZ25" s="290">
        <v>124571</v>
      </c>
      <c r="BA25" s="42"/>
      <c r="BB25" s="42"/>
      <c r="BD25" s="129"/>
    </row>
    <row r="26" spans="1:56">
      <c r="A26" s="235" t="s">
        <v>219</v>
      </c>
      <c r="B26" s="121">
        <v>1</v>
      </c>
      <c r="C26" s="131">
        <v>159.19999999999999</v>
      </c>
      <c r="D26" s="131">
        <v>0</v>
      </c>
      <c r="E26" s="82">
        <v>0</v>
      </c>
      <c r="F26" s="131">
        <v>0</v>
      </c>
      <c r="G26" s="199">
        <v>0</v>
      </c>
      <c r="H26" s="131">
        <v>0</v>
      </c>
      <c r="I26" s="131">
        <v>0</v>
      </c>
      <c r="J26" s="208">
        <v>0</v>
      </c>
      <c r="K26" s="127">
        <v>167</v>
      </c>
      <c r="L26" s="124">
        <v>0</v>
      </c>
      <c r="M26" s="121">
        <v>0</v>
      </c>
      <c r="N26" s="124">
        <v>3.5</v>
      </c>
      <c r="O26" s="124">
        <v>0</v>
      </c>
      <c r="P26" s="131">
        <v>3</v>
      </c>
      <c r="Q26" s="124">
        <v>0</v>
      </c>
      <c r="R26" s="124">
        <v>256.5</v>
      </c>
      <c r="S26" s="124">
        <v>0</v>
      </c>
      <c r="T26" s="127">
        <v>53</v>
      </c>
      <c r="U26" s="121">
        <v>0</v>
      </c>
      <c r="V26" s="121">
        <v>81</v>
      </c>
      <c r="W26" s="121">
        <v>0</v>
      </c>
      <c r="X26" s="131">
        <v>0</v>
      </c>
      <c r="Y26" s="119">
        <v>42</v>
      </c>
      <c r="Z26" s="82">
        <v>0</v>
      </c>
      <c r="AA26" s="79">
        <v>0</v>
      </c>
      <c r="AB26" s="79">
        <v>0</v>
      </c>
      <c r="AC26" s="209">
        <v>0</v>
      </c>
      <c r="AD26" s="211">
        <v>0</v>
      </c>
      <c r="AE26" s="89">
        <v>0</v>
      </c>
      <c r="AF26" s="89">
        <v>7.7</v>
      </c>
      <c r="AG26" s="89">
        <f>SUMIF('PreliminaryHD AR - School Level'!A27:A1333, "=" &amp; A26,'PreliminaryHD AR - School Level'!M27:M1333)</f>
        <v>7.5</v>
      </c>
      <c r="AH26" s="89">
        <v>404.5</v>
      </c>
      <c r="AI26" s="89">
        <f t="shared" si="0"/>
        <v>0</v>
      </c>
      <c r="AJ26" s="89">
        <f t="shared" si="1"/>
        <v>0</v>
      </c>
      <c r="AK26" s="89">
        <f t="shared" si="2"/>
        <v>159.19999999999999</v>
      </c>
      <c r="AL26" s="89">
        <f t="shared" si="3"/>
        <v>3.5</v>
      </c>
      <c r="AM26" s="89">
        <f t="shared" si="4"/>
        <v>256.5</v>
      </c>
      <c r="AN26" s="89">
        <f t="shared" si="5"/>
        <v>53</v>
      </c>
      <c r="AO26" s="89">
        <f t="shared" si="6"/>
        <v>3</v>
      </c>
      <c r="AP26" s="83">
        <f t="shared" si="7"/>
        <v>81</v>
      </c>
      <c r="AQ26" s="89">
        <f t="shared" si="8"/>
        <v>0</v>
      </c>
      <c r="AR26" s="89">
        <f t="shared" si="9"/>
        <v>42</v>
      </c>
      <c r="AS26" s="83">
        <f t="shared" si="10"/>
        <v>167</v>
      </c>
      <c r="AT26" s="89">
        <v>0</v>
      </c>
      <c r="AU26" s="89">
        <f t="shared" si="11"/>
        <v>7.7</v>
      </c>
      <c r="AV26" s="108">
        <v>1862172</v>
      </c>
      <c r="AW26" s="126">
        <v>404.5</v>
      </c>
      <c r="AX26" s="42">
        <v>404.5</v>
      </c>
      <c r="AY26" s="208">
        <f t="shared" si="12"/>
        <v>0</v>
      </c>
      <c r="AZ26" s="290">
        <v>69456</v>
      </c>
      <c r="BA26" s="42"/>
      <c r="BB26" s="42"/>
      <c r="BD26" s="129"/>
    </row>
    <row r="27" spans="1:56">
      <c r="A27" s="235" t="s">
        <v>220</v>
      </c>
      <c r="B27" s="121">
        <v>1</v>
      </c>
      <c r="C27" s="131">
        <v>1002.8</v>
      </c>
      <c r="D27" s="131">
        <v>0</v>
      </c>
      <c r="E27" s="82">
        <v>0</v>
      </c>
      <c r="F27" s="131">
        <v>0</v>
      </c>
      <c r="G27" s="199">
        <v>0</v>
      </c>
      <c r="H27" s="131">
        <v>0</v>
      </c>
      <c r="I27" s="131">
        <v>0</v>
      </c>
      <c r="J27" s="208">
        <v>0</v>
      </c>
      <c r="K27" s="127">
        <v>1039</v>
      </c>
      <c r="L27" s="124">
        <v>0</v>
      </c>
      <c r="M27" s="121">
        <v>0</v>
      </c>
      <c r="N27" s="124">
        <v>13</v>
      </c>
      <c r="O27" s="124">
        <v>0</v>
      </c>
      <c r="P27" s="131">
        <v>216.5</v>
      </c>
      <c r="Q27" s="124">
        <v>0</v>
      </c>
      <c r="R27" s="124">
        <v>1340</v>
      </c>
      <c r="S27" s="124">
        <v>0</v>
      </c>
      <c r="T27" s="127">
        <v>346</v>
      </c>
      <c r="U27" s="121">
        <v>0</v>
      </c>
      <c r="V27" s="121">
        <v>433</v>
      </c>
      <c r="W27" s="121">
        <v>0</v>
      </c>
      <c r="X27" s="131">
        <v>0</v>
      </c>
      <c r="Y27" s="119">
        <v>140</v>
      </c>
      <c r="Z27" s="82">
        <v>0</v>
      </c>
      <c r="AA27" s="79">
        <v>4</v>
      </c>
      <c r="AB27" s="79">
        <v>0</v>
      </c>
      <c r="AC27" s="209">
        <v>0</v>
      </c>
      <c r="AD27" s="211">
        <v>0</v>
      </c>
      <c r="AE27" s="89">
        <v>0</v>
      </c>
      <c r="AF27" s="89">
        <v>20.2</v>
      </c>
      <c r="AG27" s="89">
        <f>SUMIF('PreliminaryHD AR - School Level'!A28:A1334, "=" &amp; A27,'PreliminaryHD AR - School Level'!M28:M1334)</f>
        <v>21.2</v>
      </c>
      <c r="AH27" s="89">
        <v>1650</v>
      </c>
      <c r="AI27" s="89">
        <f t="shared" si="0"/>
        <v>0</v>
      </c>
      <c r="AJ27" s="89">
        <f t="shared" si="1"/>
        <v>0</v>
      </c>
      <c r="AK27" s="89">
        <f t="shared" si="2"/>
        <v>1002.8</v>
      </c>
      <c r="AL27" s="89">
        <f t="shared" si="3"/>
        <v>13</v>
      </c>
      <c r="AM27" s="89">
        <f t="shared" si="4"/>
        <v>1340</v>
      </c>
      <c r="AN27" s="89">
        <f t="shared" si="5"/>
        <v>346</v>
      </c>
      <c r="AO27" s="89">
        <f t="shared" si="6"/>
        <v>216.5</v>
      </c>
      <c r="AP27" s="83">
        <f t="shared" si="7"/>
        <v>433</v>
      </c>
      <c r="AQ27" s="89">
        <f t="shared" si="8"/>
        <v>0</v>
      </c>
      <c r="AR27" s="89">
        <f t="shared" si="9"/>
        <v>140</v>
      </c>
      <c r="AS27" s="83">
        <f t="shared" si="10"/>
        <v>1039</v>
      </c>
      <c r="AT27" s="89">
        <v>0</v>
      </c>
      <c r="AU27" s="89">
        <f t="shared" si="11"/>
        <v>21.2</v>
      </c>
      <c r="AV27" s="108">
        <v>7846670</v>
      </c>
      <c r="AW27" s="126">
        <v>1650</v>
      </c>
      <c r="AX27" s="42">
        <v>1650</v>
      </c>
      <c r="AY27" s="208">
        <f t="shared" si="12"/>
        <v>0</v>
      </c>
      <c r="AZ27" s="290">
        <v>437279</v>
      </c>
      <c r="BA27" s="42"/>
      <c r="BB27" s="42"/>
      <c r="BD27" s="129"/>
    </row>
    <row r="28" spans="1:56">
      <c r="A28" s="235" t="s">
        <v>221</v>
      </c>
      <c r="B28" s="121">
        <v>1</v>
      </c>
      <c r="C28" s="131">
        <v>673</v>
      </c>
      <c r="D28" s="131">
        <v>0</v>
      </c>
      <c r="E28" s="82">
        <v>0</v>
      </c>
      <c r="F28" s="131">
        <v>0</v>
      </c>
      <c r="G28" s="199">
        <v>0</v>
      </c>
      <c r="H28" s="131">
        <v>0</v>
      </c>
      <c r="I28" s="131">
        <v>0</v>
      </c>
      <c r="J28" s="208">
        <v>0</v>
      </c>
      <c r="K28" s="127">
        <v>680</v>
      </c>
      <c r="L28" s="124">
        <v>0</v>
      </c>
      <c r="M28" s="121">
        <v>0</v>
      </c>
      <c r="N28" s="124">
        <v>0</v>
      </c>
      <c r="O28" s="124">
        <v>0</v>
      </c>
      <c r="P28" s="131">
        <v>113.5</v>
      </c>
      <c r="Q28" s="124">
        <v>0</v>
      </c>
      <c r="R28" s="124">
        <v>0</v>
      </c>
      <c r="S28" s="124">
        <v>0</v>
      </c>
      <c r="T28" s="127">
        <v>11</v>
      </c>
      <c r="U28" s="121">
        <v>0</v>
      </c>
      <c r="V28" s="121">
        <v>219</v>
      </c>
      <c r="W28" s="121">
        <v>0</v>
      </c>
      <c r="X28" s="131">
        <v>0</v>
      </c>
      <c r="Y28" s="119">
        <v>143</v>
      </c>
      <c r="Z28" s="82">
        <v>0</v>
      </c>
      <c r="AA28" s="79">
        <v>0</v>
      </c>
      <c r="AB28" s="79">
        <v>0</v>
      </c>
      <c r="AC28" s="209">
        <v>0</v>
      </c>
      <c r="AD28" s="211">
        <v>25.1</v>
      </c>
      <c r="AE28" s="89">
        <v>0</v>
      </c>
      <c r="AF28" s="89">
        <v>0</v>
      </c>
      <c r="AG28" s="89">
        <f>SUMIF('PreliminaryHD AR - School Level'!A29:A1335, "=" &amp; A28,'PreliminaryHD AR - School Level'!M29:M1335)</f>
        <v>2.5</v>
      </c>
      <c r="AH28" s="89">
        <v>1095.0999999999999</v>
      </c>
      <c r="AI28" s="89">
        <f t="shared" si="0"/>
        <v>0</v>
      </c>
      <c r="AJ28" s="89">
        <f t="shared" si="1"/>
        <v>0</v>
      </c>
      <c r="AK28" s="89">
        <f t="shared" si="2"/>
        <v>673</v>
      </c>
      <c r="AL28" s="89">
        <f t="shared" si="3"/>
        <v>0</v>
      </c>
      <c r="AM28" s="89">
        <f t="shared" si="4"/>
        <v>0</v>
      </c>
      <c r="AN28" s="89">
        <f t="shared" si="5"/>
        <v>11</v>
      </c>
      <c r="AO28" s="89">
        <f t="shared" si="6"/>
        <v>113.5</v>
      </c>
      <c r="AP28" s="83">
        <f t="shared" si="7"/>
        <v>219</v>
      </c>
      <c r="AQ28" s="89">
        <f t="shared" si="8"/>
        <v>25.1</v>
      </c>
      <c r="AR28" s="89">
        <f t="shared" si="9"/>
        <v>143</v>
      </c>
      <c r="AS28" s="83">
        <f t="shared" si="10"/>
        <v>680</v>
      </c>
      <c r="AT28" s="89">
        <v>0</v>
      </c>
      <c r="AU28" s="89">
        <f t="shared" si="11"/>
        <v>2.5</v>
      </c>
      <c r="AV28" s="108">
        <v>5535285</v>
      </c>
      <c r="AW28" s="126">
        <v>1095.0999999999999</v>
      </c>
      <c r="AX28" s="42">
        <v>1095.0999999999999</v>
      </c>
      <c r="AY28" s="208">
        <f t="shared" si="12"/>
        <v>0</v>
      </c>
      <c r="AZ28" s="290">
        <v>312244</v>
      </c>
      <c r="BA28" s="42"/>
      <c r="BB28" s="42"/>
      <c r="BD28" s="129"/>
    </row>
    <row r="29" spans="1:56">
      <c r="A29" s="235" t="s">
        <v>222</v>
      </c>
      <c r="B29" s="121">
        <v>1</v>
      </c>
      <c r="C29" s="131">
        <v>144.5</v>
      </c>
      <c r="D29" s="131">
        <v>0</v>
      </c>
      <c r="E29" s="82">
        <v>0</v>
      </c>
      <c r="F29" s="131">
        <v>0</v>
      </c>
      <c r="G29" s="199">
        <v>0</v>
      </c>
      <c r="H29" s="131">
        <v>0</v>
      </c>
      <c r="I29" s="131">
        <v>0</v>
      </c>
      <c r="J29" s="208">
        <v>0</v>
      </c>
      <c r="K29" s="127">
        <v>146</v>
      </c>
      <c r="L29" s="124">
        <v>0</v>
      </c>
      <c r="M29" s="121">
        <v>0</v>
      </c>
      <c r="N29" s="124">
        <v>0</v>
      </c>
      <c r="O29" s="124">
        <v>0</v>
      </c>
      <c r="P29" s="131">
        <v>93.5</v>
      </c>
      <c r="Q29" s="124">
        <v>0</v>
      </c>
      <c r="R29" s="124">
        <v>0</v>
      </c>
      <c r="S29" s="124">
        <v>0</v>
      </c>
      <c r="T29" s="127">
        <v>0</v>
      </c>
      <c r="U29" s="121">
        <v>0</v>
      </c>
      <c r="V29" s="121">
        <v>65</v>
      </c>
      <c r="W29" s="121">
        <v>0</v>
      </c>
      <c r="X29" s="131">
        <v>0</v>
      </c>
      <c r="Y29" s="119">
        <v>51</v>
      </c>
      <c r="Z29" s="82">
        <v>0</v>
      </c>
      <c r="AA29" s="79">
        <v>0</v>
      </c>
      <c r="AB29" s="79">
        <v>0</v>
      </c>
      <c r="AC29" s="209">
        <v>0</v>
      </c>
      <c r="AD29" s="211">
        <v>0</v>
      </c>
      <c r="AE29" s="89">
        <v>0</v>
      </c>
      <c r="AF29" s="89">
        <v>4.3</v>
      </c>
      <c r="AG29" s="89">
        <f>SUMIF('PreliminaryHD AR - School Level'!A30:A1336, "=" &amp; A29,'PreliminaryHD AR - School Level'!M30:M1336)</f>
        <v>4.7</v>
      </c>
      <c r="AH29" s="89">
        <v>357</v>
      </c>
      <c r="AI29" s="89">
        <f t="shared" si="0"/>
        <v>0</v>
      </c>
      <c r="AJ29" s="89">
        <f t="shared" si="1"/>
        <v>0</v>
      </c>
      <c r="AK29" s="89">
        <f t="shared" si="2"/>
        <v>144.5</v>
      </c>
      <c r="AL29" s="89">
        <f t="shared" si="3"/>
        <v>0</v>
      </c>
      <c r="AM29" s="89">
        <f t="shared" si="4"/>
        <v>0</v>
      </c>
      <c r="AN29" s="89">
        <f t="shared" si="5"/>
        <v>0</v>
      </c>
      <c r="AO29" s="89">
        <f t="shared" si="6"/>
        <v>93.5</v>
      </c>
      <c r="AP29" s="83">
        <f t="shared" si="7"/>
        <v>65</v>
      </c>
      <c r="AQ29" s="89">
        <f t="shared" si="8"/>
        <v>0</v>
      </c>
      <c r="AR29" s="89">
        <f t="shared" si="9"/>
        <v>51</v>
      </c>
      <c r="AS29" s="83">
        <f t="shared" si="10"/>
        <v>146</v>
      </c>
      <c r="AT29" s="89">
        <v>0</v>
      </c>
      <c r="AU29" s="89">
        <f t="shared" si="11"/>
        <v>4.7</v>
      </c>
      <c r="AV29" s="108">
        <v>1741173</v>
      </c>
      <c r="AW29" s="126">
        <v>357</v>
      </c>
      <c r="AX29" s="42">
        <v>357</v>
      </c>
      <c r="AY29" s="208">
        <f t="shared" si="12"/>
        <v>0</v>
      </c>
      <c r="AZ29" s="290">
        <v>96516</v>
      </c>
      <c r="BA29" s="42"/>
      <c r="BB29" s="42"/>
      <c r="BD29" s="129"/>
    </row>
    <row r="30" spans="1:56">
      <c r="A30" s="235" t="s">
        <v>223</v>
      </c>
      <c r="B30" s="121">
        <v>1</v>
      </c>
      <c r="C30" s="131">
        <v>1548.5</v>
      </c>
      <c r="D30" s="131">
        <v>0</v>
      </c>
      <c r="E30" s="82">
        <v>0</v>
      </c>
      <c r="F30" s="131">
        <v>0</v>
      </c>
      <c r="G30" s="199">
        <v>0</v>
      </c>
      <c r="H30" s="131">
        <v>0</v>
      </c>
      <c r="I30" s="131">
        <v>0</v>
      </c>
      <c r="J30" s="208">
        <v>0</v>
      </c>
      <c r="K30" s="127">
        <v>1599</v>
      </c>
      <c r="L30" s="124">
        <v>0</v>
      </c>
      <c r="M30" s="121">
        <v>0</v>
      </c>
      <c r="N30" s="124">
        <v>19</v>
      </c>
      <c r="O30" s="124">
        <v>0</v>
      </c>
      <c r="P30" s="131">
        <v>488.8</v>
      </c>
      <c r="Q30" s="124">
        <v>0</v>
      </c>
      <c r="R30" s="124">
        <v>1698.6</v>
      </c>
      <c r="S30" s="124">
        <v>0</v>
      </c>
      <c r="T30" s="127">
        <v>549</v>
      </c>
      <c r="U30" s="121">
        <v>0</v>
      </c>
      <c r="V30" s="121">
        <v>787</v>
      </c>
      <c r="W30" s="121">
        <v>0</v>
      </c>
      <c r="X30" s="131">
        <v>0</v>
      </c>
      <c r="Y30" s="119">
        <v>227</v>
      </c>
      <c r="Z30" s="82">
        <v>0</v>
      </c>
      <c r="AA30" s="79">
        <v>8</v>
      </c>
      <c r="AB30" s="79">
        <v>5.0999999999999996</v>
      </c>
      <c r="AC30" s="209">
        <v>75</v>
      </c>
      <c r="AD30" s="211">
        <v>0</v>
      </c>
      <c r="AE30" s="89">
        <v>0</v>
      </c>
      <c r="AF30" s="89">
        <v>78.3</v>
      </c>
      <c r="AG30" s="89">
        <f>SUMIF('PreliminaryHD AR - School Level'!A31:A1337, "=" &amp; A30,'PreliminaryHD AR - School Level'!M31:M1337)</f>
        <v>69.2</v>
      </c>
      <c r="AH30" s="89">
        <v>2384.9</v>
      </c>
      <c r="AI30" s="89">
        <f t="shared" si="0"/>
        <v>0</v>
      </c>
      <c r="AJ30" s="89">
        <f t="shared" si="1"/>
        <v>0</v>
      </c>
      <c r="AK30" s="89">
        <f t="shared" si="2"/>
        <v>1548.5</v>
      </c>
      <c r="AL30" s="89">
        <f t="shared" si="3"/>
        <v>19</v>
      </c>
      <c r="AM30" s="89">
        <f t="shared" si="4"/>
        <v>1698.6</v>
      </c>
      <c r="AN30" s="89">
        <f t="shared" si="5"/>
        <v>549</v>
      </c>
      <c r="AO30" s="89">
        <f t="shared" si="6"/>
        <v>488.8</v>
      </c>
      <c r="AP30" s="83">
        <f t="shared" si="7"/>
        <v>787</v>
      </c>
      <c r="AQ30" s="89">
        <f t="shared" si="8"/>
        <v>0</v>
      </c>
      <c r="AR30" s="89">
        <f t="shared" si="9"/>
        <v>227</v>
      </c>
      <c r="AS30" s="83">
        <f t="shared" si="10"/>
        <v>1599</v>
      </c>
      <c r="AT30" s="89">
        <v>0</v>
      </c>
      <c r="AU30" s="89">
        <f t="shared" si="11"/>
        <v>78.3</v>
      </c>
      <c r="AV30" s="108">
        <v>11222142</v>
      </c>
      <c r="AW30" s="126">
        <v>2384.9</v>
      </c>
      <c r="AX30" s="42">
        <v>2384.9</v>
      </c>
      <c r="AY30" s="208">
        <f t="shared" si="12"/>
        <v>0</v>
      </c>
      <c r="AZ30" s="290">
        <v>292126</v>
      </c>
      <c r="BA30" s="42"/>
      <c r="BB30" s="42"/>
      <c r="BD30" s="129"/>
    </row>
    <row r="31" spans="1:56">
      <c r="A31" s="235" t="s">
        <v>224</v>
      </c>
      <c r="B31" s="121">
        <v>1</v>
      </c>
      <c r="C31" s="131">
        <v>640</v>
      </c>
      <c r="D31" s="131">
        <v>0</v>
      </c>
      <c r="E31" s="82">
        <v>0</v>
      </c>
      <c r="F31" s="131">
        <v>0</v>
      </c>
      <c r="G31" s="199">
        <v>0</v>
      </c>
      <c r="H31" s="131">
        <v>0</v>
      </c>
      <c r="I31" s="131">
        <v>0</v>
      </c>
      <c r="J31" s="208">
        <v>0</v>
      </c>
      <c r="K31" s="127">
        <v>659</v>
      </c>
      <c r="L31" s="124">
        <v>0</v>
      </c>
      <c r="M31" s="121">
        <v>0</v>
      </c>
      <c r="N31" s="124">
        <v>8</v>
      </c>
      <c r="O31" s="124">
        <v>0</v>
      </c>
      <c r="P31" s="131">
        <v>88.4</v>
      </c>
      <c r="Q31" s="124">
        <v>0</v>
      </c>
      <c r="R31" s="124">
        <v>476</v>
      </c>
      <c r="S31" s="124">
        <v>0</v>
      </c>
      <c r="T31" s="127">
        <v>152</v>
      </c>
      <c r="U31" s="121">
        <v>0</v>
      </c>
      <c r="V31" s="121">
        <v>288</v>
      </c>
      <c r="W31" s="121">
        <v>0</v>
      </c>
      <c r="X31" s="131">
        <v>0</v>
      </c>
      <c r="Y31" s="119">
        <v>90</v>
      </c>
      <c r="Z31" s="82">
        <v>0</v>
      </c>
      <c r="AA31" s="79">
        <v>0</v>
      </c>
      <c r="AB31" s="79">
        <v>0</v>
      </c>
      <c r="AC31" s="209">
        <v>0</v>
      </c>
      <c r="AD31" s="211">
        <v>0</v>
      </c>
      <c r="AE31" s="89">
        <v>0</v>
      </c>
      <c r="AF31" s="89">
        <v>17.5</v>
      </c>
      <c r="AG31" s="89">
        <f>SUMIF('PreliminaryHD AR - School Level'!A32:A1338, "=" &amp; A31,'PreliminaryHD AR - School Level'!M32:M1338)</f>
        <v>20.100000000000001</v>
      </c>
      <c r="AH31" s="89">
        <v>1116.2</v>
      </c>
      <c r="AI31" s="89">
        <f t="shared" si="0"/>
        <v>0</v>
      </c>
      <c r="AJ31" s="89">
        <f t="shared" si="1"/>
        <v>0</v>
      </c>
      <c r="AK31" s="89">
        <f t="shared" si="2"/>
        <v>640</v>
      </c>
      <c r="AL31" s="89">
        <f t="shared" si="3"/>
        <v>8</v>
      </c>
      <c r="AM31" s="89">
        <f t="shared" si="4"/>
        <v>476</v>
      </c>
      <c r="AN31" s="89">
        <f t="shared" si="5"/>
        <v>152</v>
      </c>
      <c r="AO31" s="89">
        <f t="shared" si="6"/>
        <v>88.4</v>
      </c>
      <c r="AP31" s="83">
        <f t="shared" si="7"/>
        <v>288</v>
      </c>
      <c r="AQ31" s="89">
        <f t="shared" si="8"/>
        <v>0</v>
      </c>
      <c r="AR31" s="89">
        <f t="shared" si="9"/>
        <v>90</v>
      </c>
      <c r="AS31" s="83">
        <f t="shared" si="10"/>
        <v>659</v>
      </c>
      <c r="AT31" s="89">
        <v>0</v>
      </c>
      <c r="AU31" s="89">
        <f t="shared" si="11"/>
        <v>20.100000000000001</v>
      </c>
      <c r="AV31" s="108">
        <v>5213747</v>
      </c>
      <c r="AW31" s="126">
        <v>1116.2</v>
      </c>
      <c r="AX31" s="42">
        <v>1116.2</v>
      </c>
      <c r="AY31" s="208">
        <f t="shared" si="12"/>
        <v>0</v>
      </c>
      <c r="AZ31" s="290">
        <v>242705</v>
      </c>
      <c r="BA31" s="42"/>
      <c r="BB31" s="42"/>
      <c r="BD31" s="129"/>
    </row>
    <row r="32" spans="1:56">
      <c r="A32" s="235" t="s">
        <v>225</v>
      </c>
      <c r="B32" s="121">
        <v>1</v>
      </c>
      <c r="C32" s="131">
        <v>182</v>
      </c>
      <c r="D32" s="131">
        <v>0</v>
      </c>
      <c r="E32" s="82">
        <v>0</v>
      </c>
      <c r="F32" s="131">
        <v>0</v>
      </c>
      <c r="G32" s="199">
        <v>0</v>
      </c>
      <c r="H32" s="131">
        <v>0</v>
      </c>
      <c r="I32" s="131">
        <v>0</v>
      </c>
      <c r="J32" s="208">
        <v>0</v>
      </c>
      <c r="K32" s="127">
        <v>193</v>
      </c>
      <c r="L32" s="124">
        <v>0</v>
      </c>
      <c r="M32" s="121">
        <v>0</v>
      </c>
      <c r="N32" s="124">
        <v>4.5</v>
      </c>
      <c r="O32" s="124">
        <v>0</v>
      </c>
      <c r="P32" s="131">
        <v>71.900000000000006</v>
      </c>
      <c r="Q32" s="124">
        <v>0</v>
      </c>
      <c r="R32" s="124">
        <v>423.1</v>
      </c>
      <c r="S32" s="124">
        <v>0</v>
      </c>
      <c r="T32" s="127">
        <v>74</v>
      </c>
      <c r="U32" s="121">
        <v>0</v>
      </c>
      <c r="V32" s="121">
        <v>117</v>
      </c>
      <c r="W32" s="121">
        <v>0</v>
      </c>
      <c r="X32" s="131">
        <v>0</v>
      </c>
      <c r="Y32" s="119">
        <v>12</v>
      </c>
      <c r="Z32" s="82">
        <v>0</v>
      </c>
      <c r="AA32" s="79">
        <v>0</v>
      </c>
      <c r="AB32" s="79">
        <v>0</v>
      </c>
      <c r="AC32" s="209">
        <v>0</v>
      </c>
      <c r="AD32" s="211">
        <v>0</v>
      </c>
      <c r="AE32" s="89">
        <v>0</v>
      </c>
      <c r="AF32" s="89">
        <v>12.3</v>
      </c>
      <c r="AG32" s="89">
        <f>SUMIF('PreliminaryHD AR - School Level'!A33:A1339, "=" &amp; A32,'PreliminaryHD AR - School Level'!M33:M1339)</f>
        <v>12.2</v>
      </c>
      <c r="AH32" s="89">
        <v>459.7</v>
      </c>
      <c r="AI32" s="89">
        <f t="shared" si="0"/>
        <v>0</v>
      </c>
      <c r="AJ32" s="89">
        <f t="shared" si="1"/>
        <v>0</v>
      </c>
      <c r="AK32" s="89">
        <f t="shared" si="2"/>
        <v>182</v>
      </c>
      <c r="AL32" s="89">
        <f t="shared" si="3"/>
        <v>4.5</v>
      </c>
      <c r="AM32" s="89">
        <f t="shared" si="4"/>
        <v>423.1</v>
      </c>
      <c r="AN32" s="89">
        <f t="shared" si="5"/>
        <v>74</v>
      </c>
      <c r="AO32" s="89">
        <f t="shared" si="6"/>
        <v>71.900000000000006</v>
      </c>
      <c r="AP32" s="83">
        <f t="shared" si="7"/>
        <v>117</v>
      </c>
      <c r="AQ32" s="89">
        <f t="shared" si="8"/>
        <v>0</v>
      </c>
      <c r="AR32" s="89">
        <f t="shared" si="9"/>
        <v>12</v>
      </c>
      <c r="AS32" s="83">
        <f t="shared" si="10"/>
        <v>193</v>
      </c>
      <c r="AT32" s="89">
        <v>0</v>
      </c>
      <c r="AU32" s="89">
        <f t="shared" si="11"/>
        <v>12.3</v>
      </c>
      <c r="AV32" s="108">
        <v>2214114</v>
      </c>
      <c r="AW32" s="126">
        <v>459.7</v>
      </c>
      <c r="AX32" s="42">
        <v>459.7</v>
      </c>
      <c r="AY32" s="208">
        <f t="shared" si="12"/>
        <v>0</v>
      </c>
      <c r="AZ32" s="290">
        <v>92568</v>
      </c>
      <c r="BA32" s="42"/>
      <c r="BB32" s="42"/>
      <c r="BD32" s="129"/>
    </row>
    <row r="33" spans="1:56">
      <c r="A33" s="235" t="s">
        <v>226</v>
      </c>
      <c r="B33" s="121">
        <v>1</v>
      </c>
      <c r="C33" s="131">
        <v>113</v>
      </c>
      <c r="D33" s="131">
        <v>0</v>
      </c>
      <c r="E33" s="82">
        <v>0</v>
      </c>
      <c r="F33" s="131">
        <v>0</v>
      </c>
      <c r="G33" s="199">
        <v>0</v>
      </c>
      <c r="H33" s="131">
        <v>0</v>
      </c>
      <c r="I33" s="131">
        <v>0</v>
      </c>
      <c r="J33" s="208">
        <v>0</v>
      </c>
      <c r="K33" s="127">
        <v>113</v>
      </c>
      <c r="L33" s="124">
        <v>0</v>
      </c>
      <c r="M33" s="121">
        <v>0</v>
      </c>
      <c r="N33" s="124">
        <v>0</v>
      </c>
      <c r="O33" s="124">
        <v>0</v>
      </c>
      <c r="P33" s="131">
        <v>82.2</v>
      </c>
      <c r="Q33" s="124">
        <v>0</v>
      </c>
      <c r="R33" s="124">
        <v>115.9</v>
      </c>
      <c r="S33" s="124">
        <v>0</v>
      </c>
      <c r="T33" s="127">
        <v>33</v>
      </c>
      <c r="U33" s="121">
        <v>0</v>
      </c>
      <c r="V33" s="121">
        <v>43</v>
      </c>
      <c r="W33" s="121">
        <v>0</v>
      </c>
      <c r="X33" s="131">
        <v>0</v>
      </c>
      <c r="Y33" s="119">
        <v>20</v>
      </c>
      <c r="Z33" s="82">
        <v>0</v>
      </c>
      <c r="AA33" s="79">
        <v>0</v>
      </c>
      <c r="AB33" s="79">
        <v>0</v>
      </c>
      <c r="AC33" s="209">
        <v>0</v>
      </c>
      <c r="AD33" s="211">
        <v>0</v>
      </c>
      <c r="AE33" s="89">
        <v>0</v>
      </c>
      <c r="AF33" s="89">
        <v>0.9</v>
      </c>
      <c r="AG33" s="89">
        <f>SUMIF('PreliminaryHD AR - School Level'!A34:A1340, "=" &amp; A33,'PreliminaryHD AR - School Level'!M34:M1340)</f>
        <v>2.2999999999999998</v>
      </c>
      <c r="AH33" s="89">
        <v>305.5</v>
      </c>
      <c r="AI33" s="89">
        <f t="shared" si="0"/>
        <v>0</v>
      </c>
      <c r="AJ33" s="89">
        <f t="shared" si="1"/>
        <v>0</v>
      </c>
      <c r="AK33" s="89">
        <f t="shared" si="2"/>
        <v>113</v>
      </c>
      <c r="AL33" s="89">
        <f t="shared" si="3"/>
        <v>0</v>
      </c>
      <c r="AM33" s="89">
        <f t="shared" si="4"/>
        <v>115.9</v>
      </c>
      <c r="AN33" s="89">
        <f t="shared" si="5"/>
        <v>33</v>
      </c>
      <c r="AO33" s="89">
        <f t="shared" si="6"/>
        <v>82.2</v>
      </c>
      <c r="AP33" s="83">
        <f t="shared" si="7"/>
        <v>43</v>
      </c>
      <c r="AQ33" s="89">
        <f t="shared" si="8"/>
        <v>0</v>
      </c>
      <c r="AR33" s="89">
        <f t="shared" si="9"/>
        <v>20</v>
      </c>
      <c r="AS33" s="83">
        <f t="shared" si="10"/>
        <v>113</v>
      </c>
      <c r="AT33" s="89">
        <v>0</v>
      </c>
      <c r="AU33" s="89">
        <f t="shared" si="11"/>
        <v>2.2999999999999998</v>
      </c>
      <c r="AV33" s="108">
        <v>1379448</v>
      </c>
      <c r="AW33" s="126">
        <v>305.5</v>
      </c>
      <c r="AX33" s="42">
        <v>305.5</v>
      </c>
      <c r="AY33" s="208">
        <f t="shared" si="12"/>
        <v>0</v>
      </c>
      <c r="AZ33" s="290">
        <v>49837</v>
      </c>
      <c r="BA33" s="42"/>
      <c r="BB33" s="42"/>
      <c r="BD33" s="129"/>
    </row>
    <row r="34" spans="1:56">
      <c r="A34" s="235" t="s">
        <v>227</v>
      </c>
      <c r="B34" s="121">
        <v>1</v>
      </c>
      <c r="C34" s="131">
        <v>408.1</v>
      </c>
      <c r="D34" s="131">
        <v>0</v>
      </c>
      <c r="E34" s="82">
        <v>0</v>
      </c>
      <c r="F34" s="131">
        <v>0</v>
      </c>
      <c r="G34" s="199">
        <v>0</v>
      </c>
      <c r="H34" s="131">
        <v>0</v>
      </c>
      <c r="I34" s="131">
        <v>0</v>
      </c>
      <c r="J34" s="208">
        <v>0</v>
      </c>
      <c r="K34" s="127">
        <v>433</v>
      </c>
      <c r="L34" s="124">
        <v>0</v>
      </c>
      <c r="M34" s="121">
        <v>0</v>
      </c>
      <c r="N34" s="124">
        <v>5</v>
      </c>
      <c r="O34" s="124">
        <v>0</v>
      </c>
      <c r="P34" s="131">
        <v>109.2</v>
      </c>
      <c r="Q34" s="124">
        <v>0</v>
      </c>
      <c r="R34" s="124">
        <v>299.3</v>
      </c>
      <c r="S34" s="124">
        <v>0</v>
      </c>
      <c r="T34" s="127">
        <v>73</v>
      </c>
      <c r="U34" s="121">
        <v>0</v>
      </c>
      <c r="V34" s="121">
        <v>172</v>
      </c>
      <c r="W34" s="121">
        <v>0</v>
      </c>
      <c r="X34" s="131">
        <v>0</v>
      </c>
      <c r="Y34" s="119">
        <v>25</v>
      </c>
      <c r="Z34" s="82">
        <v>0</v>
      </c>
      <c r="AA34" s="79">
        <v>775</v>
      </c>
      <c r="AB34" s="79">
        <v>21.7</v>
      </c>
      <c r="AC34" s="209">
        <v>0</v>
      </c>
      <c r="AD34" s="211">
        <v>0</v>
      </c>
      <c r="AE34" s="89">
        <v>0</v>
      </c>
      <c r="AF34" s="89">
        <v>5.7</v>
      </c>
      <c r="AG34" s="89">
        <f>SUMIF('PreliminaryHD AR - School Level'!A35:A1341, "=" &amp; A34,'PreliminaryHD AR - School Level'!M35:M1341)</f>
        <v>9.6999999999999993</v>
      </c>
      <c r="AH34" s="89">
        <v>794.4</v>
      </c>
      <c r="AI34" s="89">
        <f t="shared" si="0"/>
        <v>0</v>
      </c>
      <c r="AJ34" s="89">
        <f t="shared" si="1"/>
        <v>0</v>
      </c>
      <c r="AK34" s="89">
        <f t="shared" si="2"/>
        <v>408.1</v>
      </c>
      <c r="AL34" s="89">
        <f t="shared" si="3"/>
        <v>5</v>
      </c>
      <c r="AM34" s="89">
        <f t="shared" si="4"/>
        <v>299.3</v>
      </c>
      <c r="AN34" s="89">
        <f t="shared" si="5"/>
        <v>73</v>
      </c>
      <c r="AO34" s="89">
        <f t="shared" si="6"/>
        <v>109.2</v>
      </c>
      <c r="AP34" s="83">
        <f t="shared" si="7"/>
        <v>172</v>
      </c>
      <c r="AQ34" s="89">
        <f t="shared" si="8"/>
        <v>0</v>
      </c>
      <c r="AR34" s="89">
        <f t="shared" si="9"/>
        <v>25</v>
      </c>
      <c r="AS34" s="83">
        <f t="shared" si="10"/>
        <v>433</v>
      </c>
      <c r="AT34" s="89">
        <v>0</v>
      </c>
      <c r="AU34" s="89">
        <f t="shared" si="11"/>
        <v>9.6999999999999993</v>
      </c>
      <c r="AV34" s="108">
        <v>8378838</v>
      </c>
      <c r="AW34" s="126">
        <v>794.4</v>
      </c>
      <c r="AX34" s="42">
        <v>794.4</v>
      </c>
      <c r="AY34" s="208">
        <f t="shared" si="12"/>
        <v>0</v>
      </c>
      <c r="AZ34" s="290">
        <v>101169</v>
      </c>
      <c r="BA34" s="42"/>
      <c r="BB34" s="42"/>
      <c r="BD34" s="129"/>
    </row>
    <row r="35" spans="1:56">
      <c r="A35" s="235" t="s">
        <v>228</v>
      </c>
      <c r="B35" s="121">
        <v>1</v>
      </c>
      <c r="C35" s="131">
        <v>237.5</v>
      </c>
      <c r="D35" s="131">
        <v>0</v>
      </c>
      <c r="E35" s="82">
        <v>0</v>
      </c>
      <c r="F35" s="131">
        <v>0</v>
      </c>
      <c r="G35" s="199">
        <v>0</v>
      </c>
      <c r="H35" s="131">
        <v>0</v>
      </c>
      <c r="I35" s="131">
        <v>0</v>
      </c>
      <c r="J35" s="208">
        <v>0</v>
      </c>
      <c r="K35" s="127">
        <v>240</v>
      </c>
      <c r="L35" s="124">
        <v>0</v>
      </c>
      <c r="M35" s="121">
        <v>0</v>
      </c>
      <c r="N35" s="124">
        <v>0</v>
      </c>
      <c r="O35" s="124">
        <v>0</v>
      </c>
      <c r="P35" s="131">
        <v>0</v>
      </c>
      <c r="Q35" s="124">
        <v>0</v>
      </c>
      <c r="R35" s="124">
        <v>0</v>
      </c>
      <c r="S35" s="124">
        <v>0</v>
      </c>
      <c r="T35" s="127">
        <v>7</v>
      </c>
      <c r="U35" s="121">
        <v>0</v>
      </c>
      <c r="V35" s="121">
        <v>82</v>
      </c>
      <c r="W35" s="121">
        <v>0</v>
      </c>
      <c r="X35" s="131">
        <v>0</v>
      </c>
      <c r="Y35" s="119">
        <v>38</v>
      </c>
      <c r="Z35" s="82">
        <v>0</v>
      </c>
      <c r="AA35" s="79">
        <v>0</v>
      </c>
      <c r="AB35" s="79">
        <v>0</v>
      </c>
      <c r="AC35" s="209">
        <v>0</v>
      </c>
      <c r="AD35" s="211">
        <v>0</v>
      </c>
      <c r="AE35" s="89">
        <v>0</v>
      </c>
      <c r="AF35" s="89">
        <v>0</v>
      </c>
      <c r="AG35" s="89">
        <f>SUMIF('PreliminaryHD AR - School Level'!A36:A1342, "=" &amp; A35,'PreliminaryHD AR - School Level'!M36:M1342)</f>
        <v>0.6</v>
      </c>
      <c r="AH35" s="89">
        <v>456.3</v>
      </c>
      <c r="AI35" s="89">
        <f t="shared" si="0"/>
        <v>0</v>
      </c>
      <c r="AJ35" s="89">
        <f t="shared" si="1"/>
        <v>0</v>
      </c>
      <c r="AK35" s="89">
        <f t="shared" si="2"/>
        <v>237.5</v>
      </c>
      <c r="AL35" s="89">
        <f t="shared" si="3"/>
        <v>0</v>
      </c>
      <c r="AM35" s="89">
        <f t="shared" si="4"/>
        <v>0</v>
      </c>
      <c r="AN35" s="89">
        <f t="shared" si="5"/>
        <v>7</v>
      </c>
      <c r="AO35" s="89">
        <f t="shared" si="6"/>
        <v>0</v>
      </c>
      <c r="AP35" s="83">
        <f t="shared" si="7"/>
        <v>82</v>
      </c>
      <c r="AQ35" s="89">
        <f t="shared" si="8"/>
        <v>0</v>
      </c>
      <c r="AR35" s="89">
        <f t="shared" si="9"/>
        <v>38</v>
      </c>
      <c r="AS35" s="83">
        <f t="shared" si="10"/>
        <v>240</v>
      </c>
      <c r="AT35" s="89">
        <v>0</v>
      </c>
      <c r="AU35" s="89">
        <f t="shared" si="11"/>
        <v>0.6</v>
      </c>
      <c r="AV35" s="108">
        <v>2164967</v>
      </c>
      <c r="AW35" s="126">
        <v>456.3</v>
      </c>
      <c r="AX35" s="42">
        <v>456.3</v>
      </c>
      <c r="AY35" s="208">
        <f t="shared" si="12"/>
        <v>0</v>
      </c>
      <c r="AZ35" s="290">
        <v>132807</v>
      </c>
      <c r="BA35" s="42"/>
      <c r="BB35" s="42"/>
      <c r="BD35" s="129"/>
    </row>
    <row r="36" spans="1:56">
      <c r="A36" s="235" t="s">
        <v>229</v>
      </c>
      <c r="B36" s="121">
        <v>1</v>
      </c>
      <c r="C36" s="131">
        <v>208</v>
      </c>
      <c r="D36" s="131">
        <v>0</v>
      </c>
      <c r="E36" s="82">
        <v>0</v>
      </c>
      <c r="F36" s="131">
        <v>0</v>
      </c>
      <c r="G36" s="199">
        <v>0</v>
      </c>
      <c r="H36" s="131">
        <v>0</v>
      </c>
      <c r="I36" s="131">
        <v>0</v>
      </c>
      <c r="J36" s="208">
        <v>0</v>
      </c>
      <c r="K36" s="127">
        <v>213</v>
      </c>
      <c r="L36" s="124">
        <v>0</v>
      </c>
      <c r="M36" s="121">
        <v>0</v>
      </c>
      <c r="N36" s="124">
        <v>2.5</v>
      </c>
      <c r="O36" s="124">
        <v>0</v>
      </c>
      <c r="P36" s="131">
        <v>51.8</v>
      </c>
      <c r="Q36" s="124">
        <v>0</v>
      </c>
      <c r="R36" s="124">
        <v>56.9</v>
      </c>
      <c r="S36" s="124">
        <v>0</v>
      </c>
      <c r="T36" s="127">
        <v>23</v>
      </c>
      <c r="U36" s="121">
        <v>0</v>
      </c>
      <c r="V36" s="121">
        <v>89</v>
      </c>
      <c r="W36" s="121">
        <v>0</v>
      </c>
      <c r="X36" s="131">
        <v>0</v>
      </c>
      <c r="Y36" s="119">
        <v>51</v>
      </c>
      <c r="Z36" s="82">
        <v>0</v>
      </c>
      <c r="AA36" s="79">
        <v>0</v>
      </c>
      <c r="AB36" s="79">
        <v>0</v>
      </c>
      <c r="AC36" s="209">
        <v>0</v>
      </c>
      <c r="AD36" s="211">
        <v>0</v>
      </c>
      <c r="AE36" s="89">
        <v>0</v>
      </c>
      <c r="AF36" s="89">
        <v>4.2</v>
      </c>
      <c r="AG36" s="89">
        <f>SUMIF('PreliminaryHD AR - School Level'!A37:A1343, "=" &amp; A36,'PreliminaryHD AR - School Level'!M37:M1343)</f>
        <v>6.6</v>
      </c>
      <c r="AH36" s="89">
        <v>442.6</v>
      </c>
      <c r="AI36" s="89">
        <f t="shared" si="0"/>
        <v>0</v>
      </c>
      <c r="AJ36" s="89">
        <f t="shared" si="1"/>
        <v>0</v>
      </c>
      <c r="AK36" s="89">
        <f t="shared" si="2"/>
        <v>208</v>
      </c>
      <c r="AL36" s="89">
        <f t="shared" si="3"/>
        <v>2.5</v>
      </c>
      <c r="AM36" s="89">
        <f t="shared" si="4"/>
        <v>56.9</v>
      </c>
      <c r="AN36" s="89">
        <f t="shared" si="5"/>
        <v>23</v>
      </c>
      <c r="AO36" s="89">
        <f t="shared" si="6"/>
        <v>51.8</v>
      </c>
      <c r="AP36" s="83">
        <f t="shared" si="7"/>
        <v>89</v>
      </c>
      <c r="AQ36" s="89">
        <f t="shared" si="8"/>
        <v>0</v>
      </c>
      <c r="AR36" s="89">
        <f t="shared" si="9"/>
        <v>51</v>
      </c>
      <c r="AS36" s="83">
        <f t="shared" si="10"/>
        <v>213</v>
      </c>
      <c r="AT36" s="89">
        <v>0</v>
      </c>
      <c r="AU36" s="89">
        <f t="shared" si="11"/>
        <v>6.6</v>
      </c>
      <c r="AV36" s="108">
        <v>2018776</v>
      </c>
      <c r="AW36" s="126">
        <v>442.6</v>
      </c>
      <c r="AX36" s="42">
        <v>442.6</v>
      </c>
      <c r="AY36" s="208">
        <f t="shared" si="12"/>
        <v>0</v>
      </c>
      <c r="AZ36" s="290">
        <v>109220</v>
      </c>
      <c r="BA36" s="42"/>
      <c r="BB36" s="42"/>
      <c r="BD36" s="129"/>
    </row>
    <row r="37" spans="1:56">
      <c r="A37" s="235" t="s">
        <v>230</v>
      </c>
      <c r="B37" s="121">
        <v>1</v>
      </c>
      <c r="C37" s="131">
        <v>365</v>
      </c>
      <c r="D37" s="131">
        <v>0</v>
      </c>
      <c r="E37" s="82">
        <v>0</v>
      </c>
      <c r="F37" s="131">
        <v>0</v>
      </c>
      <c r="G37" s="199">
        <v>0</v>
      </c>
      <c r="H37" s="131">
        <v>0</v>
      </c>
      <c r="I37" s="131">
        <v>0</v>
      </c>
      <c r="J37" s="208">
        <v>0</v>
      </c>
      <c r="K37" s="127">
        <v>445</v>
      </c>
      <c r="L37" s="124">
        <v>0</v>
      </c>
      <c r="M37" s="121">
        <v>0</v>
      </c>
      <c r="N37" s="124">
        <v>0</v>
      </c>
      <c r="O37" s="124">
        <v>0</v>
      </c>
      <c r="P37" s="131">
        <v>145.9</v>
      </c>
      <c r="Q37" s="124">
        <v>0</v>
      </c>
      <c r="R37" s="124">
        <v>97.5</v>
      </c>
      <c r="S37" s="124">
        <v>0</v>
      </c>
      <c r="T37" s="127">
        <v>38</v>
      </c>
      <c r="U37" s="121">
        <v>0</v>
      </c>
      <c r="V37" s="121">
        <v>86</v>
      </c>
      <c r="W37" s="121">
        <v>0</v>
      </c>
      <c r="X37" s="131">
        <v>0</v>
      </c>
      <c r="Y37" s="119">
        <v>145.19999999999999</v>
      </c>
      <c r="Z37" s="82">
        <v>0</v>
      </c>
      <c r="AA37" s="79">
        <v>0</v>
      </c>
      <c r="AB37" s="79">
        <v>0</v>
      </c>
      <c r="AC37" s="209">
        <v>0</v>
      </c>
      <c r="AD37" s="211">
        <v>0</v>
      </c>
      <c r="AE37" s="89">
        <v>0</v>
      </c>
      <c r="AF37" s="89">
        <v>0</v>
      </c>
      <c r="AG37" s="89">
        <f>SUMIF('PreliminaryHD AR - School Level'!A38:A1344, "=" &amp; A37,'PreliminaryHD AR - School Level'!M38:M1344)</f>
        <v>0</v>
      </c>
      <c r="AH37" s="89">
        <v>642.29999999999995</v>
      </c>
      <c r="AI37" s="89">
        <f t="shared" si="0"/>
        <v>0</v>
      </c>
      <c r="AJ37" s="89">
        <f t="shared" si="1"/>
        <v>0</v>
      </c>
      <c r="AK37" s="89">
        <f t="shared" si="2"/>
        <v>365</v>
      </c>
      <c r="AL37" s="89">
        <f t="shared" si="3"/>
        <v>0</v>
      </c>
      <c r="AM37" s="89">
        <f t="shared" si="4"/>
        <v>97.5</v>
      </c>
      <c r="AN37" s="89">
        <f t="shared" si="5"/>
        <v>38</v>
      </c>
      <c r="AO37" s="89">
        <f t="shared" si="6"/>
        <v>145.9</v>
      </c>
      <c r="AP37" s="83">
        <f t="shared" si="7"/>
        <v>86</v>
      </c>
      <c r="AQ37" s="89">
        <f t="shared" si="8"/>
        <v>0</v>
      </c>
      <c r="AR37" s="89">
        <f t="shared" si="9"/>
        <v>145.19999999999999</v>
      </c>
      <c r="AS37" s="83">
        <f t="shared" si="10"/>
        <v>445</v>
      </c>
      <c r="AT37" s="89">
        <v>0</v>
      </c>
      <c r="AU37" s="89">
        <f t="shared" si="11"/>
        <v>0</v>
      </c>
      <c r="AV37" s="108">
        <v>3261612</v>
      </c>
      <c r="AW37" s="126">
        <v>642.29999999999995</v>
      </c>
      <c r="AX37" s="42">
        <v>642.29999999999995</v>
      </c>
      <c r="AY37" s="208">
        <f t="shared" si="12"/>
        <v>0</v>
      </c>
      <c r="AZ37" s="290">
        <v>195227</v>
      </c>
      <c r="BA37" s="42"/>
      <c r="BB37" s="42"/>
      <c r="BD37" s="129"/>
    </row>
    <row r="38" spans="1:56">
      <c r="A38" s="235" t="s">
        <v>231</v>
      </c>
      <c r="B38" s="121">
        <v>1</v>
      </c>
      <c r="C38" s="131">
        <v>312.5</v>
      </c>
      <c r="D38" s="131">
        <v>0</v>
      </c>
      <c r="E38" s="82">
        <v>0</v>
      </c>
      <c r="F38" s="131">
        <v>0</v>
      </c>
      <c r="G38" s="199">
        <v>0</v>
      </c>
      <c r="H38" s="131">
        <v>0</v>
      </c>
      <c r="I38" s="131">
        <v>0</v>
      </c>
      <c r="J38" s="208">
        <v>0</v>
      </c>
      <c r="K38" s="127">
        <v>326</v>
      </c>
      <c r="L38" s="124">
        <v>0</v>
      </c>
      <c r="M38" s="121">
        <v>0</v>
      </c>
      <c r="N38" s="124">
        <v>5.5</v>
      </c>
      <c r="O38" s="124">
        <v>0</v>
      </c>
      <c r="P38" s="131">
        <v>162.5</v>
      </c>
      <c r="Q38" s="124">
        <v>0</v>
      </c>
      <c r="R38" s="124">
        <v>0</v>
      </c>
      <c r="S38" s="124">
        <v>0</v>
      </c>
      <c r="T38" s="127">
        <v>0</v>
      </c>
      <c r="U38" s="121">
        <v>0</v>
      </c>
      <c r="V38" s="121">
        <v>91</v>
      </c>
      <c r="W38" s="121">
        <v>0</v>
      </c>
      <c r="X38" s="131">
        <v>0</v>
      </c>
      <c r="Y38" s="119">
        <v>166</v>
      </c>
      <c r="Z38" s="82">
        <v>0</v>
      </c>
      <c r="AA38" s="79">
        <v>0</v>
      </c>
      <c r="AB38" s="79">
        <v>0</v>
      </c>
      <c r="AC38" s="209">
        <v>0</v>
      </c>
      <c r="AD38" s="211">
        <v>0</v>
      </c>
      <c r="AE38" s="89">
        <v>0</v>
      </c>
      <c r="AF38" s="89">
        <v>0</v>
      </c>
      <c r="AG38" s="89">
        <f>SUMIF('PreliminaryHD AR - School Level'!A39:A1345, "=" &amp; A38,'PreliminaryHD AR - School Level'!M39:M1345)</f>
        <v>0</v>
      </c>
      <c r="AH38" s="89">
        <v>579.70000000000005</v>
      </c>
      <c r="AI38" s="89">
        <f t="shared" si="0"/>
        <v>0</v>
      </c>
      <c r="AJ38" s="89">
        <f t="shared" si="1"/>
        <v>0</v>
      </c>
      <c r="AK38" s="89">
        <f t="shared" si="2"/>
        <v>312.5</v>
      </c>
      <c r="AL38" s="89">
        <f t="shared" si="3"/>
        <v>5.5</v>
      </c>
      <c r="AM38" s="89">
        <f t="shared" si="4"/>
        <v>0</v>
      </c>
      <c r="AN38" s="89">
        <f t="shared" si="5"/>
        <v>0</v>
      </c>
      <c r="AO38" s="89">
        <f t="shared" si="6"/>
        <v>162.5</v>
      </c>
      <c r="AP38" s="83">
        <f t="shared" si="7"/>
        <v>91</v>
      </c>
      <c r="AQ38" s="89">
        <f t="shared" si="8"/>
        <v>0</v>
      </c>
      <c r="AR38" s="89">
        <f t="shared" si="9"/>
        <v>166</v>
      </c>
      <c r="AS38" s="83">
        <f t="shared" si="10"/>
        <v>326</v>
      </c>
      <c r="AT38" s="89">
        <v>0</v>
      </c>
      <c r="AU38" s="89">
        <f t="shared" si="11"/>
        <v>0</v>
      </c>
      <c r="AV38" s="108">
        <v>2762645</v>
      </c>
      <c r="AW38" s="126">
        <v>579.70000000000005</v>
      </c>
      <c r="AX38" s="42">
        <v>579.70000000000005</v>
      </c>
      <c r="AY38" s="208">
        <f t="shared" si="12"/>
        <v>0</v>
      </c>
      <c r="AZ38" s="290">
        <v>240931</v>
      </c>
      <c r="BA38" s="42"/>
      <c r="BB38" s="42"/>
      <c r="BD38" s="129"/>
    </row>
    <row r="39" spans="1:56">
      <c r="A39" s="235" t="s">
        <v>232</v>
      </c>
      <c r="B39" s="121">
        <v>1</v>
      </c>
      <c r="C39" s="131">
        <v>132.5</v>
      </c>
      <c r="D39" s="131">
        <v>0</v>
      </c>
      <c r="E39" s="82">
        <v>0</v>
      </c>
      <c r="F39" s="131">
        <v>0</v>
      </c>
      <c r="G39" s="199">
        <v>0</v>
      </c>
      <c r="H39" s="131">
        <v>0</v>
      </c>
      <c r="I39" s="131">
        <v>0</v>
      </c>
      <c r="J39" s="208">
        <v>0</v>
      </c>
      <c r="K39" s="127">
        <v>137</v>
      </c>
      <c r="L39" s="124">
        <v>0</v>
      </c>
      <c r="M39" s="121">
        <v>0</v>
      </c>
      <c r="N39" s="124">
        <v>2</v>
      </c>
      <c r="O39" s="124">
        <v>0</v>
      </c>
      <c r="P39" s="131">
        <v>21.9</v>
      </c>
      <c r="Q39" s="124">
        <v>0</v>
      </c>
      <c r="R39" s="124">
        <v>19.100000000000001</v>
      </c>
      <c r="S39" s="124">
        <v>0</v>
      </c>
      <c r="T39" s="127">
        <v>15</v>
      </c>
      <c r="U39" s="121">
        <v>0</v>
      </c>
      <c r="V39" s="121">
        <v>76</v>
      </c>
      <c r="W39" s="121">
        <v>0</v>
      </c>
      <c r="X39" s="131">
        <v>0</v>
      </c>
      <c r="Y39" s="119">
        <v>22</v>
      </c>
      <c r="Z39" s="82">
        <v>0</v>
      </c>
      <c r="AA39" s="79">
        <v>0</v>
      </c>
      <c r="AB39" s="79">
        <v>0</v>
      </c>
      <c r="AC39" s="209">
        <v>0</v>
      </c>
      <c r="AD39" s="211">
        <v>0</v>
      </c>
      <c r="AE39" s="89">
        <v>0</v>
      </c>
      <c r="AF39" s="89">
        <v>8</v>
      </c>
      <c r="AG39" s="89">
        <f>SUMIF('PreliminaryHD AR - School Level'!A40:A1346, "=" &amp; A39,'PreliminaryHD AR - School Level'!M40:M1346)</f>
        <v>8</v>
      </c>
      <c r="AH39" s="89">
        <v>331.7</v>
      </c>
      <c r="AI39" s="89">
        <f t="shared" si="0"/>
        <v>0</v>
      </c>
      <c r="AJ39" s="89">
        <f t="shared" si="1"/>
        <v>0</v>
      </c>
      <c r="AK39" s="89">
        <f t="shared" si="2"/>
        <v>132.5</v>
      </c>
      <c r="AL39" s="89">
        <f t="shared" si="3"/>
        <v>2</v>
      </c>
      <c r="AM39" s="89">
        <f t="shared" si="4"/>
        <v>19.100000000000001</v>
      </c>
      <c r="AN39" s="89">
        <f t="shared" si="5"/>
        <v>15</v>
      </c>
      <c r="AO39" s="89">
        <f t="shared" si="6"/>
        <v>21.9</v>
      </c>
      <c r="AP39" s="83">
        <f t="shared" si="7"/>
        <v>76</v>
      </c>
      <c r="AQ39" s="89">
        <f t="shared" si="8"/>
        <v>0</v>
      </c>
      <c r="AR39" s="89">
        <f t="shared" si="9"/>
        <v>22</v>
      </c>
      <c r="AS39" s="83">
        <f t="shared" si="10"/>
        <v>137</v>
      </c>
      <c r="AT39" s="89">
        <v>0</v>
      </c>
      <c r="AU39" s="89">
        <f t="shared" si="11"/>
        <v>8</v>
      </c>
      <c r="AV39" s="108">
        <v>1430261</v>
      </c>
      <c r="AW39" s="126">
        <v>331.7</v>
      </c>
      <c r="AX39" s="42">
        <v>331.7</v>
      </c>
      <c r="AY39" s="208">
        <f t="shared" si="12"/>
        <v>0</v>
      </c>
      <c r="AZ39" s="290">
        <v>16633</v>
      </c>
      <c r="BA39" s="42"/>
      <c r="BB39" s="42"/>
      <c r="BD39" s="129"/>
    </row>
    <row r="40" spans="1:56">
      <c r="A40" s="235" t="s">
        <v>233</v>
      </c>
      <c r="B40" s="121">
        <v>1</v>
      </c>
      <c r="C40" s="131">
        <v>379</v>
      </c>
      <c r="D40" s="131">
        <v>0</v>
      </c>
      <c r="E40" s="82">
        <v>0</v>
      </c>
      <c r="F40" s="131">
        <v>0</v>
      </c>
      <c r="G40" s="199">
        <v>0</v>
      </c>
      <c r="H40" s="131">
        <v>0</v>
      </c>
      <c r="I40" s="131">
        <v>0</v>
      </c>
      <c r="J40" s="208">
        <v>0</v>
      </c>
      <c r="K40" s="127">
        <v>403</v>
      </c>
      <c r="L40" s="124">
        <v>0</v>
      </c>
      <c r="M40" s="121">
        <v>0</v>
      </c>
      <c r="N40" s="124">
        <v>5</v>
      </c>
      <c r="O40" s="124">
        <v>0</v>
      </c>
      <c r="P40" s="131">
        <v>124.6</v>
      </c>
      <c r="Q40" s="124">
        <v>0</v>
      </c>
      <c r="R40" s="124">
        <v>44.3</v>
      </c>
      <c r="S40" s="124">
        <v>0</v>
      </c>
      <c r="T40" s="127">
        <v>13</v>
      </c>
      <c r="U40" s="121">
        <v>0</v>
      </c>
      <c r="V40" s="254">
        <v>166</v>
      </c>
      <c r="W40" s="121">
        <v>0</v>
      </c>
      <c r="X40" s="131">
        <v>0</v>
      </c>
      <c r="Y40" s="119">
        <v>54.5</v>
      </c>
      <c r="Z40" s="82">
        <v>0</v>
      </c>
      <c r="AA40" s="79">
        <v>0</v>
      </c>
      <c r="AB40" s="79">
        <v>0</v>
      </c>
      <c r="AC40" s="209">
        <v>0</v>
      </c>
      <c r="AD40" s="211">
        <v>0</v>
      </c>
      <c r="AE40" s="89">
        <v>0</v>
      </c>
      <c r="AF40" s="89">
        <v>7.2</v>
      </c>
      <c r="AG40" s="89">
        <f>SUMIF('PreliminaryHD AR - School Level'!A41:A1347, "=" &amp; A40,'PreliminaryHD AR - School Level'!M41:M1347)</f>
        <v>12.7</v>
      </c>
      <c r="AH40" s="89">
        <v>733.7</v>
      </c>
      <c r="AI40" s="89">
        <f t="shared" si="0"/>
        <v>0</v>
      </c>
      <c r="AJ40" s="89">
        <f t="shared" si="1"/>
        <v>0</v>
      </c>
      <c r="AK40" s="89">
        <f t="shared" si="2"/>
        <v>379</v>
      </c>
      <c r="AL40" s="89">
        <f t="shared" si="3"/>
        <v>5</v>
      </c>
      <c r="AM40" s="89">
        <f t="shared" si="4"/>
        <v>44.3</v>
      </c>
      <c r="AN40" s="89">
        <f t="shared" si="5"/>
        <v>13</v>
      </c>
      <c r="AO40" s="89">
        <f t="shared" si="6"/>
        <v>124.6</v>
      </c>
      <c r="AP40" s="83">
        <f t="shared" si="7"/>
        <v>166</v>
      </c>
      <c r="AQ40" s="89">
        <f t="shared" si="8"/>
        <v>0</v>
      </c>
      <c r="AR40" s="89">
        <f t="shared" si="9"/>
        <v>54.5</v>
      </c>
      <c r="AS40" s="83">
        <f t="shared" si="10"/>
        <v>403</v>
      </c>
      <c r="AT40" s="89">
        <v>0</v>
      </c>
      <c r="AU40" s="89">
        <f t="shared" si="11"/>
        <v>12.7</v>
      </c>
      <c r="AV40" s="108">
        <v>3307010</v>
      </c>
      <c r="AW40" s="126">
        <v>733.7</v>
      </c>
      <c r="AX40" s="42">
        <v>733.7</v>
      </c>
      <c r="AY40" s="208">
        <f t="shared" si="12"/>
        <v>0</v>
      </c>
      <c r="AZ40" s="290">
        <v>71845</v>
      </c>
      <c r="BA40" s="42"/>
      <c r="BB40" s="42"/>
      <c r="BD40" s="129"/>
    </row>
    <row r="41" spans="1:56">
      <c r="A41" s="235" t="s">
        <v>234</v>
      </c>
      <c r="B41" s="121">
        <v>1</v>
      </c>
      <c r="C41" s="131">
        <v>282</v>
      </c>
      <c r="D41" s="131">
        <v>0</v>
      </c>
      <c r="E41" s="82">
        <v>0</v>
      </c>
      <c r="F41" s="131">
        <v>0</v>
      </c>
      <c r="G41" s="199">
        <v>0</v>
      </c>
      <c r="H41" s="131">
        <v>0</v>
      </c>
      <c r="I41" s="131">
        <v>0</v>
      </c>
      <c r="J41" s="208">
        <v>0</v>
      </c>
      <c r="K41" s="127">
        <v>286</v>
      </c>
      <c r="L41" s="124">
        <v>0</v>
      </c>
      <c r="M41" s="121">
        <v>0</v>
      </c>
      <c r="N41" s="124">
        <v>0</v>
      </c>
      <c r="O41" s="124">
        <v>0</v>
      </c>
      <c r="P41" s="131">
        <v>46.9</v>
      </c>
      <c r="Q41" s="124">
        <v>0</v>
      </c>
      <c r="R41" s="124">
        <v>23</v>
      </c>
      <c r="S41" s="124">
        <v>0</v>
      </c>
      <c r="T41" s="127">
        <v>15</v>
      </c>
      <c r="U41" s="121">
        <v>0</v>
      </c>
      <c r="V41" s="121">
        <v>78</v>
      </c>
      <c r="W41" s="121">
        <v>0</v>
      </c>
      <c r="X41" s="131">
        <v>0</v>
      </c>
      <c r="Y41" s="119">
        <v>130</v>
      </c>
      <c r="Z41" s="82">
        <v>0</v>
      </c>
      <c r="AA41" s="79">
        <v>0</v>
      </c>
      <c r="AB41" s="79">
        <v>0</v>
      </c>
      <c r="AC41" s="209">
        <v>0</v>
      </c>
      <c r="AD41" s="211">
        <v>0</v>
      </c>
      <c r="AE41" s="89">
        <v>0</v>
      </c>
      <c r="AF41" s="89">
        <v>0</v>
      </c>
      <c r="AG41" s="89">
        <f>SUMIF('PreliminaryHD AR - School Level'!A42:A1348, "=" &amp; A41,'PreliminaryHD AR - School Level'!M42:M1348)</f>
        <v>0</v>
      </c>
      <c r="AH41" s="89">
        <v>536.20000000000005</v>
      </c>
      <c r="AI41" s="89">
        <f t="shared" si="0"/>
        <v>0</v>
      </c>
      <c r="AJ41" s="89">
        <f t="shared" si="1"/>
        <v>0</v>
      </c>
      <c r="AK41" s="89">
        <f t="shared" si="2"/>
        <v>282</v>
      </c>
      <c r="AL41" s="89">
        <f t="shared" si="3"/>
        <v>0</v>
      </c>
      <c r="AM41" s="89">
        <f t="shared" si="4"/>
        <v>23</v>
      </c>
      <c r="AN41" s="89">
        <f t="shared" si="5"/>
        <v>15</v>
      </c>
      <c r="AO41" s="89">
        <f t="shared" si="6"/>
        <v>46.9</v>
      </c>
      <c r="AP41" s="83">
        <f t="shared" si="7"/>
        <v>78</v>
      </c>
      <c r="AQ41" s="89">
        <f t="shared" si="8"/>
        <v>0</v>
      </c>
      <c r="AR41" s="89">
        <f t="shared" si="9"/>
        <v>130</v>
      </c>
      <c r="AS41" s="83">
        <f t="shared" si="10"/>
        <v>286</v>
      </c>
      <c r="AT41" s="89">
        <v>0</v>
      </c>
      <c r="AU41" s="89">
        <f t="shared" si="11"/>
        <v>0</v>
      </c>
      <c r="AV41" s="108">
        <v>2479008</v>
      </c>
      <c r="AW41" s="126">
        <v>536.20000000000005</v>
      </c>
      <c r="AX41" s="42">
        <v>536.20000000000005</v>
      </c>
      <c r="AY41" s="208">
        <f t="shared" si="12"/>
        <v>0</v>
      </c>
      <c r="AZ41" s="290">
        <v>182814</v>
      </c>
      <c r="BA41" s="42"/>
      <c r="BB41" s="42"/>
      <c r="BD41" s="129"/>
    </row>
    <row r="42" spans="1:56">
      <c r="A42" s="235" t="s">
        <v>235</v>
      </c>
      <c r="B42" s="121">
        <v>1</v>
      </c>
      <c r="C42" s="131">
        <v>22330.3</v>
      </c>
      <c r="D42" s="131">
        <v>0</v>
      </c>
      <c r="E42" s="82">
        <v>0</v>
      </c>
      <c r="F42" s="131">
        <v>0</v>
      </c>
      <c r="G42" s="199">
        <v>0</v>
      </c>
      <c r="H42" s="131">
        <v>0</v>
      </c>
      <c r="I42" s="131">
        <v>0</v>
      </c>
      <c r="J42" s="208">
        <v>0</v>
      </c>
      <c r="K42" s="127">
        <v>22560</v>
      </c>
      <c r="L42" s="124">
        <v>0</v>
      </c>
      <c r="M42" s="121">
        <v>0</v>
      </c>
      <c r="N42" s="124">
        <v>0</v>
      </c>
      <c r="O42" s="124">
        <v>0</v>
      </c>
      <c r="P42" s="131">
        <v>5185</v>
      </c>
      <c r="Q42" s="124">
        <v>0</v>
      </c>
      <c r="R42" s="124">
        <v>1018.8</v>
      </c>
      <c r="S42" s="124">
        <v>0</v>
      </c>
      <c r="T42" s="127">
        <v>510</v>
      </c>
      <c r="U42" s="121">
        <v>0</v>
      </c>
      <c r="V42" s="121">
        <v>1074</v>
      </c>
      <c r="W42" s="121">
        <v>0</v>
      </c>
      <c r="X42" s="131">
        <v>0</v>
      </c>
      <c r="Y42" s="119">
        <v>4788</v>
      </c>
      <c r="Z42" s="82">
        <v>0</v>
      </c>
      <c r="AA42" s="79">
        <v>0</v>
      </c>
      <c r="AB42" s="79">
        <v>28.6</v>
      </c>
      <c r="AC42" s="209">
        <v>0</v>
      </c>
      <c r="AD42" s="211">
        <v>660.9</v>
      </c>
      <c r="AE42" s="89">
        <v>0</v>
      </c>
      <c r="AF42" s="89">
        <v>0</v>
      </c>
      <c r="AG42" s="89">
        <f>SUMIF('PreliminaryHD AR - School Level'!A43:A1349, "=" &amp; A42,'PreliminaryHD AR - School Level'!M43:M1349)</f>
        <v>0</v>
      </c>
      <c r="AH42" s="89">
        <v>28467.7</v>
      </c>
      <c r="AI42" s="89">
        <f t="shared" si="0"/>
        <v>0</v>
      </c>
      <c r="AJ42" s="89">
        <f t="shared" si="1"/>
        <v>0</v>
      </c>
      <c r="AK42" s="89">
        <f t="shared" si="2"/>
        <v>22330.3</v>
      </c>
      <c r="AL42" s="89">
        <f t="shared" si="3"/>
        <v>0</v>
      </c>
      <c r="AM42" s="89">
        <f t="shared" si="4"/>
        <v>1018.8</v>
      </c>
      <c r="AN42" s="89">
        <f t="shared" si="5"/>
        <v>510</v>
      </c>
      <c r="AO42" s="89">
        <f t="shared" si="6"/>
        <v>5185</v>
      </c>
      <c r="AP42" s="83">
        <f t="shared" si="7"/>
        <v>1074</v>
      </c>
      <c r="AQ42" s="89">
        <f t="shared" si="8"/>
        <v>660.9</v>
      </c>
      <c r="AR42" s="89">
        <f t="shared" si="9"/>
        <v>4788</v>
      </c>
      <c r="AS42" s="83">
        <f t="shared" si="10"/>
        <v>22560</v>
      </c>
      <c r="AT42" s="89">
        <v>0</v>
      </c>
      <c r="AU42" s="89">
        <f t="shared" si="11"/>
        <v>0</v>
      </c>
      <c r="AV42" s="108">
        <v>142862237</v>
      </c>
      <c r="AW42" s="126">
        <v>28466.400000000001</v>
      </c>
      <c r="AX42" s="42">
        <v>28466.400000000001</v>
      </c>
      <c r="AY42" s="208">
        <f t="shared" si="12"/>
        <v>-1.3</v>
      </c>
      <c r="AZ42" s="290">
        <v>1985665</v>
      </c>
      <c r="BA42" s="42" t="s">
        <v>3584</v>
      </c>
      <c r="BB42" s="42"/>
      <c r="BD42" s="129"/>
    </row>
    <row r="43" spans="1:56">
      <c r="A43" s="235" t="s">
        <v>236</v>
      </c>
      <c r="B43" s="121">
        <v>1</v>
      </c>
      <c r="C43" s="131">
        <v>3078.4</v>
      </c>
      <c r="D43" s="131">
        <v>0</v>
      </c>
      <c r="E43" s="82">
        <v>0</v>
      </c>
      <c r="F43" s="131">
        <v>0</v>
      </c>
      <c r="G43" s="199">
        <v>0</v>
      </c>
      <c r="H43" s="131">
        <v>0</v>
      </c>
      <c r="I43" s="131">
        <v>0</v>
      </c>
      <c r="J43" s="208">
        <v>0</v>
      </c>
      <c r="K43" s="127">
        <v>3120</v>
      </c>
      <c r="L43" s="124">
        <v>0</v>
      </c>
      <c r="M43" s="121">
        <v>0</v>
      </c>
      <c r="N43" s="124">
        <v>7.5</v>
      </c>
      <c r="O43" s="124">
        <v>0</v>
      </c>
      <c r="P43" s="131">
        <v>545.29999999999995</v>
      </c>
      <c r="Q43" s="124">
        <v>0</v>
      </c>
      <c r="R43" s="124">
        <v>31</v>
      </c>
      <c r="S43" s="124">
        <v>0</v>
      </c>
      <c r="T43" s="127">
        <v>36</v>
      </c>
      <c r="U43" s="121">
        <v>0</v>
      </c>
      <c r="V43" s="121">
        <v>388</v>
      </c>
      <c r="W43" s="121">
        <v>0</v>
      </c>
      <c r="X43" s="131">
        <v>1</v>
      </c>
      <c r="Y43" s="119">
        <v>1444</v>
      </c>
      <c r="Z43" s="82">
        <v>0</v>
      </c>
      <c r="AA43" s="79">
        <v>991</v>
      </c>
      <c r="AB43" s="79">
        <v>119.2</v>
      </c>
      <c r="AC43" s="209">
        <v>207.5</v>
      </c>
      <c r="AD43" s="211">
        <v>0</v>
      </c>
      <c r="AE43" s="89">
        <v>0</v>
      </c>
      <c r="AF43" s="89">
        <v>0</v>
      </c>
      <c r="AG43" s="89">
        <f>SUMIF('PreliminaryHD AR - School Level'!A44:A1350, "=" &amp; A43,'PreliminaryHD AR - School Level'!M44:M1350)</f>
        <v>0</v>
      </c>
      <c r="AH43" s="89">
        <v>3931.2</v>
      </c>
      <c r="AI43" s="89">
        <f t="shared" si="0"/>
        <v>0</v>
      </c>
      <c r="AJ43" s="89">
        <f t="shared" si="1"/>
        <v>0</v>
      </c>
      <c r="AK43" s="89">
        <f t="shared" si="2"/>
        <v>3078.4</v>
      </c>
      <c r="AL43" s="89">
        <f t="shared" si="3"/>
        <v>7.5</v>
      </c>
      <c r="AM43" s="89">
        <f t="shared" si="4"/>
        <v>31</v>
      </c>
      <c r="AN43" s="89">
        <f t="shared" si="5"/>
        <v>36</v>
      </c>
      <c r="AO43" s="89">
        <f t="shared" si="6"/>
        <v>545.29999999999995</v>
      </c>
      <c r="AP43" s="83">
        <f t="shared" si="7"/>
        <v>388</v>
      </c>
      <c r="AQ43" s="89">
        <f t="shared" si="8"/>
        <v>0</v>
      </c>
      <c r="AR43" s="89">
        <f t="shared" si="9"/>
        <v>1444</v>
      </c>
      <c r="AS43" s="83">
        <f t="shared" si="10"/>
        <v>3120</v>
      </c>
      <c r="AT43" s="89">
        <v>0</v>
      </c>
      <c r="AU43" s="89">
        <f t="shared" si="11"/>
        <v>0</v>
      </c>
      <c r="AV43" s="108">
        <v>25632559</v>
      </c>
      <c r="AW43" s="126">
        <v>3931.2</v>
      </c>
      <c r="AX43" s="42">
        <v>3931.2</v>
      </c>
      <c r="AY43" s="208">
        <f t="shared" si="12"/>
        <v>0</v>
      </c>
      <c r="AZ43" s="290">
        <v>1257249</v>
      </c>
      <c r="BA43" s="42"/>
      <c r="BB43" s="42"/>
      <c r="BD43" s="129"/>
    </row>
    <row r="44" spans="1:56">
      <c r="A44" s="235" t="s">
        <v>237</v>
      </c>
      <c r="B44" s="121">
        <v>1</v>
      </c>
      <c r="C44" s="131">
        <v>5888.8</v>
      </c>
      <c r="D44" s="131">
        <v>0</v>
      </c>
      <c r="E44" s="82">
        <v>0</v>
      </c>
      <c r="F44" s="131">
        <v>0</v>
      </c>
      <c r="G44" s="199">
        <v>0</v>
      </c>
      <c r="H44" s="131">
        <v>0</v>
      </c>
      <c r="I44" s="131">
        <v>0</v>
      </c>
      <c r="J44" s="208">
        <v>0</v>
      </c>
      <c r="K44" s="127">
        <v>5973</v>
      </c>
      <c r="L44" s="124">
        <v>0</v>
      </c>
      <c r="M44" s="121">
        <v>0</v>
      </c>
      <c r="N44" s="124">
        <v>0</v>
      </c>
      <c r="O44" s="124">
        <v>0</v>
      </c>
      <c r="P44" s="131">
        <v>1072.9000000000001</v>
      </c>
      <c r="Q44" s="124">
        <v>0</v>
      </c>
      <c r="R44" s="124">
        <v>375.2</v>
      </c>
      <c r="S44" s="124">
        <v>0</v>
      </c>
      <c r="T44" s="127">
        <v>148</v>
      </c>
      <c r="U44" s="121">
        <v>0</v>
      </c>
      <c r="V44" s="121">
        <v>1128</v>
      </c>
      <c r="W44" s="121">
        <v>0</v>
      </c>
      <c r="X44" s="131">
        <v>1</v>
      </c>
      <c r="Y44" s="119">
        <v>1201</v>
      </c>
      <c r="Z44" s="82">
        <v>0</v>
      </c>
      <c r="AA44" s="79">
        <v>0</v>
      </c>
      <c r="AB44" s="79">
        <v>0</v>
      </c>
      <c r="AC44" s="209">
        <v>0</v>
      </c>
      <c r="AD44" s="211">
        <v>0</v>
      </c>
      <c r="AE44" s="89">
        <v>0</v>
      </c>
      <c r="AF44" s="89">
        <v>0</v>
      </c>
      <c r="AG44" s="89">
        <f>SUMIF('PreliminaryHD AR - School Level'!A45:A1351, "=" &amp; A44,'PreliminaryHD AR - School Level'!M45:M1351)</f>
        <v>0</v>
      </c>
      <c r="AH44" s="89">
        <v>7414.8</v>
      </c>
      <c r="AI44" s="89">
        <f t="shared" si="0"/>
        <v>0</v>
      </c>
      <c r="AJ44" s="89">
        <f t="shared" si="1"/>
        <v>0</v>
      </c>
      <c r="AK44" s="89">
        <f t="shared" si="2"/>
        <v>5888.8</v>
      </c>
      <c r="AL44" s="89">
        <f t="shared" si="3"/>
        <v>0</v>
      </c>
      <c r="AM44" s="89">
        <f t="shared" si="4"/>
        <v>375.2</v>
      </c>
      <c r="AN44" s="89">
        <f t="shared" si="5"/>
        <v>148</v>
      </c>
      <c r="AO44" s="89">
        <f t="shared" si="6"/>
        <v>1072.9000000000001</v>
      </c>
      <c r="AP44" s="83">
        <f t="shared" si="7"/>
        <v>1128</v>
      </c>
      <c r="AQ44" s="89">
        <f t="shared" si="8"/>
        <v>0</v>
      </c>
      <c r="AR44" s="89">
        <f t="shared" si="9"/>
        <v>1201</v>
      </c>
      <c r="AS44" s="83">
        <f t="shared" si="10"/>
        <v>5973</v>
      </c>
      <c r="AT44" s="89">
        <v>0</v>
      </c>
      <c r="AU44" s="89">
        <f t="shared" si="11"/>
        <v>0</v>
      </c>
      <c r="AV44" s="108">
        <v>39625394</v>
      </c>
      <c r="AW44" s="126">
        <v>7411.4</v>
      </c>
      <c r="AX44" s="42">
        <v>7411.4</v>
      </c>
      <c r="AY44" s="208">
        <f t="shared" si="12"/>
        <v>-3.4</v>
      </c>
      <c r="AZ44" s="290">
        <v>1115907</v>
      </c>
      <c r="BA44" s="42" t="s">
        <v>3584</v>
      </c>
      <c r="BB44" s="42"/>
      <c r="BD44" s="129"/>
    </row>
    <row r="45" spans="1:56">
      <c r="A45" s="235" t="s">
        <v>238</v>
      </c>
      <c r="B45" s="121">
        <v>1</v>
      </c>
      <c r="C45" s="131">
        <v>7262.7</v>
      </c>
      <c r="D45" s="131">
        <v>0</v>
      </c>
      <c r="E45" s="82">
        <v>0</v>
      </c>
      <c r="F45" s="131">
        <v>0</v>
      </c>
      <c r="G45" s="199">
        <v>0</v>
      </c>
      <c r="H45" s="131">
        <v>0</v>
      </c>
      <c r="I45" s="131">
        <v>0</v>
      </c>
      <c r="J45" s="208">
        <v>0</v>
      </c>
      <c r="K45" s="127">
        <v>7341</v>
      </c>
      <c r="L45" s="124">
        <v>0</v>
      </c>
      <c r="M45" s="121">
        <v>0</v>
      </c>
      <c r="N45" s="124">
        <v>12</v>
      </c>
      <c r="O45" s="124">
        <v>0</v>
      </c>
      <c r="P45" s="131">
        <v>2273.1</v>
      </c>
      <c r="Q45" s="124">
        <v>0</v>
      </c>
      <c r="R45" s="124">
        <v>928.5</v>
      </c>
      <c r="S45" s="124">
        <v>0</v>
      </c>
      <c r="T45" s="127">
        <v>219</v>
      </c>
      <c r="U45" s="121">
        <v>0</v>
      </c>
      <c r="V45" s="121">
        <v>580</v>
      </c>
      <c r="W45" s="121">
        <v>0</v>
      </c>
      <c r="X45" s="131">
        <v>0</v>
      </c>
      <c r="Y45" s="119">
        <v>1876</v>
      </c>
      <c r="Z45" s="82">
        <v>0</v>
      </c>
      <c r="AA45" s="79">
        <v>11</v>
      </c>
      <c r="AB45" s="79">
        <v>1.7</v>
      </c>
      <c r="AC45" s="209">
        <v>0</v>
      </c>
      <c r="AD45" s="211">
        <v>0</v>
      </c>
      <c r="AE45" s="205">
        <v>0</v>
      </c>
      <c r="AF45" s="89">
        <v>0</v>
      </c>
      <c r="AG45" s="89">
        <f>SUMIF('PreliminaryHD AR - School Level'!A46:A1352, "=" &amp; A45,'PreliminaryHD AR - School Level'!M46:M1352)</f>
        <v>0</v>
      </c>
      <c r="AH45" s="89">
        <v>8257.2999999999993</v>
      </c>
      <c r="AI45" s="89">
        <f t="shared" si="0"/>
        <v>0</v>
      </c>
      <c r="AJ45" s="89">
        <f t="shared" si="1"/>
        <v>0</v>
      </c>
      <c r="AK45" s="89">
        <f t="shared" si="2"/>
        <v>7262.7</v>
      </c>
      <c r="AL45" s="89">
        <f t="shared" si="3"/>
        <v>12</v>
      </c>
      <c r="AM45" s="89">
        <f t="shared" si="4"/>
        <v>928.5</v>
      </c>
      <c r="AN45" s="89">
        <f t="shared" si="5"/>
        <v>219</v>
      </c>
      <c r="AO45" s="89">
        <f t="shared" si="6"/>
        <v>2273.1</v>
      </c>
      <c r="AP45" s="83">
        <f t="shared" si="7"/>
        <v>580</v>
      </c>
      <c r="AQ45" s="89">
        <f t="shared" si="8"/>
        <v>0</v>
      </c>
      <c r="AR45" s="89">
        <f t="shared" si="9"/>
        <v>1876</v>
      </c>
      <c r="AS45" s="83">
        <f t="shared" si="10"/>
        <v>7341</v>
      </c>
      <c r="AT45" s="89">
        <v>0</v>
      </c>
      <c r="AU45" s="89">
        <f t="shared" si="11"/>
        <v>0</v>
      </c>
      <c r="AV45" s="108">
        <v>43026893</v>
      </c>
      <c r="AW45" s="126">
        <v>8745.2999999999993</v>
      </c>
      <c r="AX45" s="42">
        <v>8745.2999999999993</v>
      </c>
      <c r="AY45" s="208">
        <f t="shared" si="12"/>
        <v>488</v>
      </c>
      <c r="AZ45" s="290">
        <v>2167170</v>
      </c>
      <c r="BA45" s="42" t="s">
        <v>3585</v>
      </c>
      <c r="BB45" s="42"/>
      <c r="BD45" s="129"/>
    </row>
    <row r="46" spans="1:56">
      <c r="A46" s="235" t="s">
        <v>239</v>
      </c>
      <c r="B46" s="121">
        <v>1</v>
      </c>
      <c r="C46" s="131">
        <v>29220.1</v>
      </c>
      <c r="D46" s="131">
        <v>0</v>
      </c>
      <c r="E46" s="82">
        <v>0</v>
      </c>
      <c r="F46" s="131">
        <v>0</v>
      </c>
      <c r="G46" s="199">
        <v>0</v>
      </c>
      <c r="H46" s="131">
        <v>0</v>
      </c>
      <c r="I46" s="131">
        <v>0</v>
      </c>
      <c r="J46" s="208">
        <v>0</v>
      </c>
      <c r="K46" s="127">
        <v>29601</v>
      </c>
      <c r="L46" s="124">
        <v>0</v>
      </c>
      <c r="M46" s="121">
        <v>0</v>
      </c>
      <c r="N46" s="124">
        <v>65</v>
      </c>
      <c r="O46" s="124">
        <v>0</v>
      </c>
      <c r="P46" s="131">
        <v>6525.2</v>
      </c>
      <c r="Q46" s="124">
        <v>0</v>
      </c>
      <c r="R46" s="124">
        <v>6305.6</v>
      </c>
      <c r="S46" s="124">
        <v>0</v>
      </c>
      <c r="T46" s="127">
        <v>3020</v>
      </c>
      <c r="U46" s="121">
        <v>0</v>
      </c>
      <c r="V46" s="254">
        <v>5782</v>
      </c>
      <c r="W46" s="121">
        <v>0</v>
      </c>
      <c r="X46" s="131">
        <v>2</v>
      </c>
      <c r="Y46" s="119">
        <v>4878</v>
      </c>
      <c r="Z46" s="82">
        <v>0</v>
      </c>
      <c r="AA46" s="79">
        <v>0</v>
      </c>
      <c r="AB46" s="79">
        <v>0</v>
      </c>
      <c r="AC46" s="209">
        <v>0</v>
      </c>
      <c r="AD46" s="211">
        <v>1801</v>
      </c>
      <c r="AE46" s="89">
        <v>0</v>
      </c>
      <c r="AF46" s="89">
        <v>0</v>
      </c>
      <c r="AG46" s="89">
        <f>SUMIF('PreliminaryHD AR - School Level'!A47:A1353, "=" &amp; A46,'PreliminaryHD AR - School Level'!M47:M1353)</f>
        <v>157.9</v>
      </c>
      <c r="AH46" s="89">
        <v>42461.5</v>
      </c>
      <c r="AI46" s="89">
        <f t="shared" si="0"/>
        <v>0</v>
      </c>
      <c r="AJ46" s="89">
        <f t="shared" si="1"/>
        <v>0</v>
      </c>
      <c r="AK46" s="89">
        <f t="shared" si="2"/>
        <v>29220.1</v>
      </c>
      <c r="AL46" s="89">
        <f t="shared" si="3"/>
        <v>65</v>
      </c>
      <c r="AM46" s="89">
        <f t="shared" si="4"/>
        <v>6305.6</v>
      </c>
      <c r="AN46" s="89">
        <f t="shared" si="5"/>
        <v>3020</v>
      </c>
      <c r="AO46" s="89">
        <f t="shared" si="6"/>
        <v>6525.2</v>
      </c>
      <c r="AP46" s="83">
        <f t="shared" si="7"/>
        <v>5782</v>
      </c>
      <c r="AQ46" s="89">
        <f t="shared" si="8"/>
        <v>1801</v>
      </c>
      <c r="AR46" s="89">
        <f t="shared" si="9"/>
        <v>4878</v>
      </c>
      <c r="AS46" s="83">
        <f t="shared" si="10"/>
        <v>29601</v>
      </c>
      <c r="AT46" s="89">
        <v>0</v>
      </c>
      <c r="AU46" s="89">
        <f t="shared" si="11"/>
        <v>157.9</v>
      </c>
      <c r="AV46" s="108">
        <v>209737322</v>
      </c>
      <c r="AW46" s="126">
        <v>42451.3</v>
      </c>
      <c r="AX46" s="42">
        <v>42451.3</v>
      </c>
      <c r="AY46" s="208">
        <f t="shared" si="12"/>
        <v>-10.199999999999999</v>
      </c>
      <c r="AZ46" s="290">
        <v>4301561</v>
      </c>
      <c r="BA46" s="42" t="s">
        <v>3626</v>
      </c>
      <c r="BB46" s="42"/>
      <c r="BD46" s="129"/>
    </row>
    <row r="47" spans="1:56">
      <c r="A47" s="235" t="s">
        <v>240</v>
      </c>
      <c r="B47" s="121">
        <v>1</v>
      </c>
      <c r="C47" s="131">
        <v>1868</v>
      </c>
      <c r="D47" s="131">
        <v>0</v>
      </c>
      <c r="E47" s="82">
        <v>0</v>
      </c>
      <c r="F47" s="131">
        <v>0</v>
      </c>
      <c r="G47" s="199">
        <v>0</v>
      </c>
      <c r="H47" s="131">
        <v>0</v>
      </c>
      <c r="I47" s="131">
        <v>0</v>
      </c>
      <c r="J47" s="208">
        <v>0</v>
      </c>
      <c r="K47" s="127">
        <v>1920</v>
      </c>
      <c r="L47" s="124">
        <v>0</v>
      </c>
      <c r="M47" s="121">
        <v>0</v>
      </c>
      <c r="N47" s="124">
        <v>19</v>
      </c>
      <c r="O47" s="124">
        <v>0</v>
      </c>
      <c r="P47" s="131">
        <v>469.3</v>
      </c>
      <c r="Q47" s="124">
        <v>0</v>
      </c>
      <c r="R47" s="124">
        <v>5.2</v>
      </c>
      <c r="S47" s="124">
        <v>0</v>
      </c>
      <c r="T47" s="127">
        <v>6</v>
      </c>
      <c r="U47" s="121">
        <v>0</v>
      </c>
      <c r="V47" s="121">
        <v>866</v>
      </c>
      <c r="W47" s="121">
        <v>0</v>
      </c>
      <c r="X47" s="131">
        <v>0</v>
      </c>
      <c r="Y47" s="119">
        <v>519</v>
      </c>
      <c r="Z47" s="82">
        <v>0</v>
      </c>
      <c r="AA47" s="79">
        <v>6</v>
      </c>
      <c r="AB47" s="79">
        <v>0</v>
      </c>
      <c r="AC47" s="209">
        <v>0</v>
      </c>
      <c r="AD47" s="211">
        <v>0</v>
      </c>
      <c r="AE47" s="89">
        <v>0</v>
      </c>
      <c r="AF47" s="89">
        <v>61.2</v>
      </c>
      <c r="AG47" s="89">
        <f>SUMIF('PreliminaryHD AR - School Level'!A48:A1354, "=" &amp; A47,'PreliminaryHD AR - School Level'!M48:M1354)</f>
        <v>57</v>
      </c>
      <c r="AH47" s="89">
        <v>2574.1999999999998</v>
      </c>
      <c r="AI47" s="89">
        <f t="shared" si="0"/>
        <v>0</v>
      </c>
      <c r="AJ47" s="89">
        <f t="shared" si="1"/>
        <v>0</v>
      </c>
      <c r="AK47" s="89">
        <f t="shared" si="2"/>
        <v>1868</v>
      </c>
      <c r="AL47" s="89">
        <f t="shared" si="3"/>
        <v>19</v>
      </c>
      <c r="AM47" s="89">
        <f t="shared" si="4"/>
        <v>5.2</v>
      </c>
      <c r="AN47" s="89">
        <f t="shared" si="5"/>
        <v>6</v>
      </c>
      <c r="AO47" s="89">
        <f t="shared" si="6"/>
        <v>469.3</v>
      </c>
      <c r="AP47" s="83">
        <f t="shared" si="7"/>
        <v>866</v>
      </c>
      <c r="AQ47" s="89">
        <f t="shared" si="8"/>
        <v>0</v>
      </c>
      <c r="AR47" s="89">
        <f t="shared" si="9"/>
        <v>519</v>
      </c>
      <c r="AS47" s="83">
        <f t="shared" si="10"/>
        <v>1920</v>
      </c>
      <c r="AT47" s="89">
        <v>0</v>
      </c>
      <c r="AU47" s="89">
        <f t="shared" si="11"/>
        <v>61.2</v>
      </c>
      <c r="AV47" s="108">
        <v>12616337</v>
      </c>
      <c r="AW47" s="126">
        <v>2574.1999999999998</v>
      </c>
      <c r="AX47" s="42">
        <v>2574.1999999999998</v>
      </c>
      <c r="AY47" s="208">
        <f t="shared" si="12"/>
        <v>0</v>
      </c>
      <c r="AZ47" s="290">
        <v>630866</v>
      </c>
      <c r="BA47" s="42"/>
      <c r="BB47" s="42"/>
      <c r="BD47" s="129"/>
    </row>
    <row r="48" spans="1:56">
      <c r="A48" s="235" t="s">
        <v>241</v>
      </c>
      <c r="B48" s="121">
        <v>1</v>
      </c>
      <c r="C48" s="131">
        <v>429.5</v>
      </c>
      <c r="D48" s="131">
        <v>0</v>
      </c>
      <c r="E48" s="82">
        <v>0</v>
      </c>
      <c r="F48" s="131">
        <v>0</v>
      </c>
      <c r="G48" s="199">
        <v>0</v>
      </c>
      <c r="H48" s="131">
        <v>0</v>
      </c>
      <c r="I48" s="131">
        <v>0</v>
      </c>
      <c r="J48" s="208">
        <v>0</v>
      </c>
      <c r="K48" s="127">
        <v>448</v>
      </c>
      <c r="L48" s="124">
        <v>0</v>
      </c>
      <c r="M48" s="121">
        <v>0</v>
      </c>
      <c r="N48" s="124">
        <v>7.5</v>
      </c>
      <c r="O48" s="124">
        <v>0</v>
      </c>
      <c r="P48" s="131">
        <v>128.80000000000001</v>
      </c>
      <c r="Q48" s="124">
        <v>0</v>
      </c>
      <c r="R48" s="124">
        <v>0</v>
      </c>
      <c r="S48" s="124">
        <v>0</v>
      </c>
      <c r="T48" s="127">
        <v>0</v>
      </c>
      <c r="U48" s="121">
        <v>0</v>
      </c>
      <c r="V48" s="121">
        <v>165</v>
      </c>
      <c r="W48" s="121">
        <v>0</v>
      </c>
      <c r="X48" s="131">
        <v>0</v>
      </c>
      <c r="Y48" s="119">
        <v>289</v>
      </c>
      <c r="Z48" s="82">
        <v>0</v>
      </c>
      <c r="AA48" s="79">
        <v>0</v>
      </c>
      <c r="AB48" s="79">
        <v>0</v>
      </c>
      <c r="AC48" s="209">
        <v>0</v>
      </c>
      <c r="AD48" s="211">
        <v>0</v>
      </c>
      <c r="AE48" s="89">
        <v>0</v>
      </c>
      <c r="AF48" s="89">
        <v>2.1</v>
      </c>
      <c r="AG48" s="89">
        <f>SUMIF('PreliminaryHD AR - School Level'!A49:A1355, "=" &amp; A48,'PreliminaryHD AR - School Level'!M49:M1355)</f>
        <v>5.2</v>
      </c>
      <c r="AH48" s="89">
        <v>799.9</v>
      </c>
      <c r="AI48" s="89">
        <f t="shared" si="0"/>
        <v>0</v>
      </c>
      <c r="AJ48" s="89">
        <f t="shared" si="1"/>
        <v>0</v>
      </c>
      <c r="AK48" s="89">
        <f t="shared" si="2"/>
        <v>429.5</v>
      </c>
      <c r="AL48" s="89">
        <f t="shared" si="3"/>
        <v>7.5</v>
      </c>
      <c r="AM48" s="89">
        <f t="shared" si="4"/>
        <v>0</v>
      </c>
      <c r="AN48" s="89">
        <f t="shared" si="5"/>
        <v>0</v>
      </c>
      <c r="AO48" s="89">
        <f t="shared" si="6"/>
        <v>128.80000000000001</v>
      </c>
      <c r="AP48" s="83">
        <f t="shared" si="7"/>
        <v>165</v>
      </c>
      <c r="AQ48" s="89">
        <f t="shared" si="8"/>
        <v>0</v>
      </c>
      <c r="AR48" s="89">
        <f t="shared" si="9"/>
        <v>289</v>
      </c>
      <c r="AS48" s="83">
        <f t="shared" si="10"/>
        <v>448</v>
      </c>
      <c r="AT48" s="89">
        <v>0</v>
      </c>
      <c r="AU48" s="89">
        <f t="shared" si="11"/>
        <v>5.2</v>
      </c>
      <c r="AV48" s="108">
        <v>3905937</v>
      </c>
      <c r="AW48" s="126">
        <v>799.9</v>
      </c>
      <c r="AX48" s="42">
        <v>799.9</v>
      </c>
      <c r="AY48" s="208">
        <f t="shared" si="12"/>
        <v>0</v>
      </c>
      <c r="AZ48" s="290">
        <v>296733</v>
      </c>
      <c r="BA48" s="42"/>
      <c r="BB48" s="42"/>
      <c r="BD48" s="129"/>
    </row>
    <row r="49" spans="1:56">
      <c r="A49" s="235" t="s">
        <v>242</v>
      </c>
      <c r="B49" s="121">
        <v>1</v>
      </c>
      <c r="C49" s="131">
        <v>423.3</v>
      </c>
      <c r="D49" s="131">
        <v>0</v>
      </c>
      <c r="E49" s="82">
        <v>0</v>
      </c>
      <c r="F49" s="131">
        <v>0</v>
      </c>
      <c r="G49" s="199">
        <v>0</v>
      </c>
      <c r="H49" s="131">
        <v>0</v>
      </c>
      <c r="I49" s="131">
        <v>0</v>
      </c>
      <c r="J49" s="208">
        <v>0</v>
      </c>
      <c r="K49" s="127">
        <v>434</v>
      </c>
      <c r="L49" s="124">
        <v>0</v>
      </c>
      <c r="M49" s="121">
        <v>0</v>
      </c>
      <c r="N49" s="124">
        <v>1.5</v>
      </c>
      <c r="O49" s="124">
        <v>0</v>
      </c>
      <c r="P49" s="131">
        <v>150.69999999999999</v>
      </c>
      <c r="Q49" s="124">
        <v>0</v>
      </c>
      <c r="R49" s="124">
        <v>4</v>
      </c>
      <c r="S49" s="124">
        <v>0</v>
      </c>
      <c r="T49" s="127">
        <v>4</v>
      </c>
      <c r="U49" s="121">
        <v>0</v>
      </c>
      <c r="V49" s="121">
        <v>151</v>
      </c>
      <c r="W49" s="121">
        <v>0</v>
      </c>
      <c r="X49" s="131">
        <v>0</v>
      </c>
      <c r="Y49" s="119">
        <v>141</v>
      </c>
      <c r="Z49" s="82">
        <v>0</v>
      </c>
      <c r="AA49" s="79">
        <v>0</v>
      </c>
      <c r="AB49" s="79">
        <v>0</v>
      </c>
      <c r="AC49" s="209">
        <v>0</v>
      </c>
      <c r="AD49" s="211">
        <v>0</v>
      </c>
      <c r="AE49" s="89">
        <v>0</v>
      </c>
      <c r="AF49" s="89">
        <v>0</v>
      </c>
      <c r="AG49" s="89">
        <f>SUMIF('PreliminaryHD AR - School Level'!A50:A1356, "=" &amp; A49,'PreliminaryHD AR - School Level'!M50:M1356)</f>
        <v>2</v>
      </c>
      <c r="AH49" s="89">
        <v>711.4</v>
      </c>
      <c r="AI49" s="89">
        <f t="shared" si="0"/>
        <v>0</v>
      </c>
      <c r="AJ49" s="89">
        <f t="shared" si="1"/>
        <v>0</v>
      </c>
      <c r="AK49" s="89">
        <f t="shared" si="2"/>
        <v>423.3</v>
      </c>
      <c r="AL49" s="89">
        <f t="shared" si="3"/>
        <v>1.5</v>
      </c>
      <c r="AM49" s="89">
        <f t="shared" si="4"/>
        <v>4</v>
      </c>
      <c r="AN49" s="89">
        <f t="shared" si="5"/>
        <v>4</v>
      </c>
      <c r="AO49" s="89">
        <f t="shared" si="6"/>
        <v>150.69999999999999</v>
      </c>
      <c r="AP49" s="83">
        <f t="shared" si="7"/>
        <v>151</v>
      </c>
      <c r="AQ49" s="89">
        <f t="shared" si="8"/>
        <v>0</v>
      </c>
      <c r="AR49" s="89">
        <f t="shared" si="9"/>
        <v>141</v>
      </c>
      <c r="AS49" s="83">
        <f t="shared" si="10"/>
        <v>434</v>
      </c>
      <c r="AT49" s="89">
        <v>0</v>
      </c>
      <c r="AU49" s="89">
        <f t="shared" si="11"/>
        <v>2</v>
      </c>
      <c r="AV49" s="108">
        <v>3603558</v>
      </c>
      <c r="AW49" s="126">
        <v>711.4</v>
      </c>
      <c r="AX49" s="42">
        <v>711.4</v>
      </c>
      <c r="AY49" s="208">
        <f t="shared" si="12"/>
        <v>0</v>
      </c>
      <c r="AZ49" s="290">
        <v>195382</v>
      </c>
      <c r="BA49" s="42"/>
      <c r="BB49" s="42"/>
      <c r="BD49" s="129"/>
    </row>
    <row r="50" spans="1:56">
      <c r="A50" s="235" t="s">
        <v>243</v>
      </c>
      <c r="B50" s="121">
        <v>1</v>
      </c>
      <c r="C50" s="131">
        <v>594.79999999999995</v>
      </c>
      <c r="D50" s="131">
        <v>0</v>
      </c>
      <c r="E50" s="82">
        <v>0</v>
      </c>
      <c r="F50" s="131">
        <v>0</v>
      </c>
      <c r="G50" s="199">
        <v>0</v>
      </c>
      <c r="H50" s="131">
        <v>0</v>
      </c>
      <c r="I50" s="131">
        <v>0</v>
      </c>
      <c r="J50" s="208">
        <v>0</v>
      </c>
      <c r="K50" s="127">
        <v>599</v>
      </c>
      <c r="L50" s="124">
        <v>0</v>
      </c>
      <c r="M50" s="121">
        <v>0</v>
      </c>
      <c r="N50" s="124">
        <v>0</v>
      </c>
      <c r="O50" s="124">
        <v>0</v>
      </c>
      <c r="P50" s="131">
        <v>141.9</v>
      </c>
      <c r="Q50" s="124">
        <v>0</v>
      </c>
      <c r="R50" s="124">
        <v>0</v>
      </c>
      <c r="S50" s="124">
        <v>0</v>
      </c>
      <c r="T50" s="127">
        <v>0</v>
      </c>
      <c r="U50" s="121">
        <v>0</v>
      </c>
      <c r="V50" s="121">
        <v>173</v>
      </c>
      <c r="W50" s="121">
        <v>0</v>
      </c>
      <c r="X50" s="131">
        <v>0</v>
      </c>
      <c r="Y50" s="119">
        <v>165</v>
      </c>
      <c r="Z50" s="82">
        <v>0</v>
      </c>
      <c r="AA50" s="79">
        <v>0</v>
      </c>
      <c r="AB50" s="79">
        <v>0</v>
      </c>
      <c r="AC50" s="209">
        <v>0</v>
      </c>
      <c r="AD50" s="211">
        <v>100</v>
      </c>
      <c r="AE50" s="89">
        <v>0</v>
      </c>
      <c r="AF50" s="89">
        <v>0</v>
      </c>
      <c r="AG50" s="89">
        <f>SUMIF('PreliminaryHD AR - School Level'!A51:A1357, "=" &amp; A50,'PreliminaryHD AR - School Level'!M51:M1357)</f>
        <v>0</v>
      </c>
      <c r="AH50" s="89">
        <v>1019.2</v>
      </c>
      <c r="AI50" s="89">
        <f t="shared" si="0"/>
        <v>0</v>
      </c>
      <c r="AJ50" s="89">
        <f t="shared" si="1"/>
        <v>0</v>
      </c>
      <c r="AK50" s="89">
        <f t="shared" si="2"/>
        <v>594.79999999999995</v>
      </c>
      <c r="AL50" s="89">
        <f t="shared" si="3"/>
        <v>0</v>
      </c>
      <c r="AM50" s="89">
        <f t="shared" si="4"/>
        <v>0</v>
      </c>
      <c r="AN50" s="89">
        <f t="shared" si="5"/>
        <v>0</v>
      </c>
      <c r="AO50" s="89">
        <f t="shared" si="6"/>
        <v>141.9</v>
      </c>
      <c r="AP50" s="83">
        <f t="shared" si="7"/>
        <v>173</v>
      </c>
      <c r="AQ50" s="89">
        <f t="shared" si="8"/>
        <v>100</v>
      </c>
      <c r="AR50" s="89">
        <f t="shared" si="9"/>
        <v>165</v>
      </c>
      <c r="AS50" s="83">
        <f t="shared" si="10"/>
        <v>599</v>
      </c>
      <c r="AT50" s="89">
        <v>0</v>
      </c>
      <c r="AU50" s="89">
        <f t="shared" si="11"/>
        <v>0</v>
      </c>
      <c r="AV50" s="108">
        <v>5038817</v>
      </c>
      <c r="AW50" s="126">
        <v>1019.2</v>
      </c>
      <c r="AX50" s="42">
        <v>1019.2</v>
      </c>
      <c r="AY50" s="208">
        <f t="shared" si="12"/>
        <v>0</v>
      </c>
      <c r="AZ50" s="290">
        <v>317968</v>
      </c>
      <c r="BA50" s="42"/>
      <c r="BB50" s="42"/>
      <c r="BD50" s="129"/>
    </row>
    <row r="51" spans="1:56">
      <c r="A51" s="235" t="s">
        <v>244</v>
      </c>
      <c r="B51" s="121">
        <v>1</v>
      </c>
      <c r="C51" s="131">
        <v>563</v>
      </c>
      <c r="D51" s="131">
        <v>0</v>
      </c>
      <c r="E51" s="82">
        <v>0</v>
      </c>
      <c r="F51" s="131">
        <v>0</v>
      </c>
      <c r="G51" s="199">
        <v>0</v>
      </c>
      <c r="H51" s="131">
        <v>0</v>
      </c>
      <c r="I51" s="131">
        <v>0</v>
      </c>
      <c r="J51" s="208">
        <v>0</v>
      </c>
      <c r="K51" s="127">
        <v>591</v>
      </c>
      <c r="L51" s="124">
        <v>0</v>
      </c>
      <c r="M51" s="121">
        <v>0</v>
      </c>
      <c r="N51" s="124">
        <v>11.5</v>
      </c>
      <c r="O51" s="124">
        <v>0</v>
      </c>
      <c r="P51" s="131">
        <v>191.8</v>
      </c>
      <c r="Q51" s="124">
        <v>0</v>
      </c>
      <c r="R51" s="124">
        <v>0</v>
      </c>
      <c r="S51" s="124">
        <v>0</v>
      </c>
      <c r="T51" s="127">
        <v>0</v>
      </c>
      <c r="U51" s="121">
        <v>0</v>
      </c>
      <c r="V51" s="121">
        <v>230</v>
      </c>
      <c r="W51" s="121">
        <v>0</v>
      </c>
      <c r="X51" s="131">
        <v>0</v>
      </c>
      <c r="Y51" s="119">
        <v>191</v>
      </c>
      <c r="Z51" s="82">
        <v>0</v>
      </c>
      <c r="AA51" s="79">
        <v>0</v>
      </c>
      <c r="AB51" s="79">
        <v>0</v>
      </c>
      <c r="AC51" s="209">
        <v>0</v>
      </c>
      <c r="AD51" s="211">
        <v>0</v>
      </c>
      <c r="AE51" s="89">
        <v>0</v>
      </c>
      <c r="AF51" s="89">
        <v>6.3</v>
      </c>
      <c r="AG51" s="89">
        <f>SUMIF('PreliminaryHD AR - School Level'!A52:A1358, "=" &amp; A51,'PreliminaryHD AR - School Level'!M52:M1358)</f>
        <v>9.6</v>
      </c>
      <c r="AH51" s="89">
        <v>1009.6</v>
      </c>
      <c r="AI51" s="89">
        <f t="shared" si="0"/>
        <v>0</v>
      </c>
      <c r="AJ51" s="89">
        <f t="shared" si="1"/>
        <v>0</v>
      </c>
      <c r="AK51" s="89">
        <f t="shared" si="2"/>
        <v>563</v>
      </c>
      <c r="AL51" s="89">
        <f t="shared" si="3"/>
        <v>11.5</v>
      </c>
      <c r="AM51" s="89">
        <f t="shared" si="4"/>
        <v>0</v>
      </c>
      <c r="AN51" s="89">
        <f t="shared" si="5"/>
        <v>0</v>
      </c>
      <c r="AO51" s="89">
        <f t="shared" si="6"/>
        <v>191.8</v>
      </c>
      <c r="AP51" s="83">
        <f t="shared" si="7"/>
        <v>230</v>
      </c>
      <c r="AQ51" s="89">
        <f t="shared" si="8"/>
        <v>0</v>
      </c>
      <c r="AR51" s="89">
        <f t="shared" si="9"/>
        <v>191</v>
      </c>
      <c r="AS51" s="83">
        <f t="shared" si="10"/>
        <v>591</v>
      </c>
      <c r="AT51" s="89">
        <v>0</v>
      </c>
      <c r="AU51" s="89">
        <f t="shared" si="11"/>
        <v>9.6</v>
      </c>
      <c r="AV51" s="108">
        <v>4830984</v>
      </c>
      <c r="AW51" s="126">
        <v>1009.6</v>
      </c>
      <c r="AX51" s="42">
        <v>1009.6</v>
      </c>
      <c r="AY51" s="208">
        <f t="shared" si="12"/>
        <v>0</v>
      </c>
      <c r="AZ51" s="290">
        <v>457911</v>
      </c>
      <c r="BA51" s="42"/>
      <c r="BB51" s="42"/>
      <c r="BD51" s="129"/>
    </row>
    <row r="52" spans="1:56">
      <c r="A52" s="235" t="s">
        <v>245</v>
      </c>
      <c r="B52" s="121">
        <v>1</v>
      </c>
      <c r="C52" s="131">
        <v>198</v>
      </c>
      <c r="D52" s="131">
        <v>0</v>
      </c>
      <c r="E52" s="82">
        <v>0</v>
      </c>
      <c r="F52" s="131">
        <v>0</v>
      </c>
      <c r="G52" s="199">
        <v>0</v>
      </c>
      <c r="H52" s="131">
        <v>0</v>
      </c>
      <c r="I52" s="131">
        <v>0</v>
      </c>
      <c r="J52" s="208">
        <v>0</v>
      </c>
      <c r="K52" s="127">
        <v>200</v>
      </c>
      <c r="L52" s="124">
        <v>0</v>
      </c>
      <c r="M52" s="121">
        <v>0</v>
      </c>
      <c r="N52" s="124">
        <v>0</v>
      </c>
      <c r="O52" s="124">
        <v>0</v>
      </c>
      <c r="P52" s="131">
        <v>0</v>
      </c>
      <c r="Q52" s="124">
        <v>0</v>
      </c>
      <c r="R52" s="124">
        <v>0</v>
      </c>
      <c r="S52" s="124">
        <v>0</v>
      </c>
      <c r="T52" s="127">
        <v>6</v>
      </c>
      <c r="U52" s="121">
        <v>0</v>
      </c>
      <c r="V52" s="121">
        <v>54</v>
      </c>
      <c r="W52" s="121">
        <v>0</v>
      </c>
      <c r="X52" s="131">
        <v>0</v>
      </c>
      <c r="Y52" s="119">
        <v>62</v>
      </c>
      <c r="Z52" s="82">
        <v>0</v>
      </c>
      <c r="AA52" s="79">
        <v>0</v>
      </c>
      <c r="AB52" s="79">
        <v>0</v>
      </c>
      <c r="AC52" s="209">
        <v>0</v>
      </c>
      <c r="AD52" s="211">
        <v>0</v>
      </c>
      <c r="AE52" s="89">
        <v>0</v>
      </c>
      <c r="AF52" s="89">
        <v>0</v>
      </c>
      <c r="AG52" s="89">
        <f>SUMIF('PreliminaryHD AR - School Level'!A53:A1359, "=" &amp; A52,'PreliminaryHD AR - School Level'!M53:M1359)</f>
        <v>0</v>
      </c>
      <c r="AH52" s="89">
        <v>403.5</v>
      </c>
      <c r="AI52" s="89">
        <f t="shared" si="0"/>
        <v>0</v>
      </c>
      <c r="AJ52" s="89">
        <f t="shared" si="1"/>
        <v>0</v>
      </c>
      <c r="AK52" s="89">
        <f t="shared" si="2"/>
        <v>198</v>
      </c>
      <c r="AL52" s="89">
        <f t="shared" si="3"/>
        <v>0</v>
      </c>
      <c r="AM52" s="89">
        <f t="shared" si="4"/>
        <v>0</v>
      </c>
      <c r="AN52" s="89">
        <f t="shared" si="5"/>
        <v>6</v>
      </c>
      <c r="AO52" s="89">
        <f t="shared" si="6"/>
        <v>0</v>
      </c>
      <c r="AP52" s="83">
        <f t="shared" si="7"/>
        <v>54</v>
      </c>
      <c r="AQ52" s="89">
        <f t="shared" si="8"/>
        <v>0</v>
      </c>
      <c r="AR52" s="89">
        <f t="shared" si="9"/>
        <v>62</v>
      </c>
      <c r="AS52" s="83">
        <f t="shared" si="10"/>
        <v>200</v>
      </c>
      <c r="AT52" s="89">
        <v>0</v>
      </c>
      <c r="AU52" s="89">
        <f t="shared" si="11"/>
        <v>0</v>
      </c>
      <c r="AV52" s="108">
        <v>1917150</v>
      </c>
      <c r="AW52" s="126">
        <v>403.5</v>
      </c>
      <c r="AX52" s="42">
        <v>403.5</v>
      </c>
      <c r="AY52" s="208">
        <f t="shared" si="12"/>
        <v>0</v>
      </c>
      <c r="AZ52" s="290">
        <v>65706</v>
      </c>
      <c r="BA52" s="42"/>
      <c r="BB52" s="42"/>
      <c r="BD52" s="129"/>
    </row>
    <row r="53" spans="1:56">
      <c r="A53" s="235" t="s">
        <v>246</v>
      </c>
      <c r="B53" s="121">
        <v>1</v>
      </c>
      <c r="C53" s="131">
        <v>99.5</v>
      </c>
      <c r="D53" s="131">
        <v>0</v>
      </c>
      <c r="E53" s="82">
        <v>0</v>
      </c>
      <c r="F53" s="131">
        <v>0</v>
      </c>
      <c r="G53" s="199">
        <v>0</v>
      </c>
      <c r="H53" s="131">
        <v>0</v>
      </c>
      <c r="I53" s="131">
        <v>0</v>
      </c>
      <c r="J53" s="208">
        <v>0</v>
      </c>
      <c r="K53" s="127">
        <v>100</v>
      </c>
      <c r="L53" s="124">
        <v>0</v>
      </c>
      <c r="M53" s="121">
        <v>0</v>
      </c>
      <c r="N53" s="124">
        <v>0</v>
      </c>
      <c r="O53" s="124">
        <v>0</v>
      </c>
      <c r="P53" s="131">
        <v>23.6</v>
      </c>
      <c r="Q53" s="124">
        <v>0</v>
      </c>
      <c r="R53" s="124">
        <v>11.7</v>
      </c>
      <c r="S53" s="124">
        <v>0</v>
      </c>
      <c r="T53" s="127">
        <v>4</v>
      </c>
      <c r="U53" s="121">
        <v>0</v>
      </c>
      <c r="V53" s="121">
        <v>25</v>
      </c>
      <c r="W53" s="121">
        <v>0</v>
      </c>
      <c r="X53" s="131">
        <v>0</v>
      </c>
      <c r="Y53" s="119">
        <v>29</v>
      </c>
      <c r="Z53" s="82">
        <v>0</v>
      </c>
      <c r="AA53" s="79">
        <v>0</v>
      </c>
      <c r="AB53" s="79">
        <v>0</v>
      </c>
      <c r="AC53" s="209">
        <v>0</v>
      </c>
      <c r="AD53" s="211">
        <v>0</v>
      </c>
      <c r="AE53" s="89">
        <v>0</v>
      </c>
      <c r="AF53" s="89">
        <v>0</v>
      </c>
      <c r="AG53" s="89">
        <f>SUMIF('PreliminaryHD AR - School Level'!A54:A1360, "=" &amp; A53,'PreliminaryHD AR - School Level'!M54:M1360)</f>
        <v>0</v>
      </c>
      <c r="AH53" s="89">
        <v>235.2</v>
      </c>
      <c r="AI53" s="89">
        <f t="shared" si="0"/>
        <v>0</v>
      </c>
      <c r="AJ53" s="89">
        <f t="shared" si="1"/>
        <v>0</v>
      </c>
      <c r="AK53" s="89">
        <f t="shared" si="2"/>
        <v>99.5</v>
      </c>
      <c r="AL53" s="89">
        <f t="shared" si="3"/>
        <v>0</v>
      </c>
      <c r="AM53" s="89">
        <f t="shared" si="4"/>
        <v>11.7</v>
      </c>
      <c r="AN53" s="89">
        <f t="shared" si="5"/>
        <v>4</v>
      </c>
      <c r="AO53" s="89">
        <f t="shared" si="6"/>
        <v>23.6</v>
      </c>
      <c r="AP53" s="83">
        <f t="shared" si="7"/>
        <v>25</v>
      </c>
      <c r="AQ53" s="89">
        <f t="shared" si="8"/>
        <v>0</v>
      </c>
      <c r="AR53" s="89">
        <f t="shared" si="9"/>
        <v>29</v>
      </c>
      <c r="AS53" s="83">
        <f t="shared" si="10"/>
        <v>100</v>
      </c>
      <c r="AT53" s="89">
        <v>0</v>
      </c>
      <c r="AU53" s="89">
        <f t="shared" si="11"/>
        <v>0</v>
      </c>
      <c r="AV53" s="108">
        <v>1135796</v>
      </c>
      <c r="AW53" s="126">
        <v>235.2</v>
      </c>
      <c r="AX53" s="42">
        <v>235.2</v>
      </c>
      <c r="AY53" s="208">
        <f t="shared" si="12"/>
        <v>0</v>
      </c>
      <c r="AZ53" s="290">
        <v>26591</v>
      </c>
      <c r="BA53" s="42"/>
      <c r="BB53" s="42"/>
      <c r="BD53" s="129"/>
    </row>
    <row r="54" spans="1:56">
      <c r="A54" s="235" t="s">
        <v>247</v>
      </c>
      <c r="B54" s="121">
        <v>1</v>
      </c>
      <c r="C54" s="131">
        <v>423</v>
      </c>
      <c r="D54" s="131">
        <v>0</v>
      </c>
      <c r="E54" s="82">
        <v>0</v>
      </c>
      <c r="F54" s="131">
        <v>0</v>
      </c>
      <c r="G54" s="199">
        <v>0</v>
      </c>
      <c r="H54" s="131">
        <v>0</v>
      </c>
      <c r="I54" s="131">
        <v>0</v>
      </c>
      <c r="J54" s="208">
        <v>0</v>
      </c>
      <c r="K54" s="127">
        <v>437</v>
      </c>
      <c r="L54" s="124">
        <v>0</v>
      </c>
      <c r="M54" s="121">
        <v>0</v>
      </c>
      <c r="N54" s="124">
        <v>4.5</v>
      </c>
      <c r="O54" s="124">
        <v>0</v>
      </c>
      <c r="P54" s="131">
        <v>130.4</v>
      </c>
      <c r="Q54" s="124">
        <v>0</v>
      </c>
      <c r="R54" s="124">
        <v>0</v>
      </c>
      <c r="S54" s="124">
        <v>0</v>
      </c>
      <c r="T54" s="127">
        <v>1</v>
      </c>
      <c r="U54" s="121">
        <v>0</v>
      </c>
      <c r="V54" s="121">
        <v>116</v>
      </c>
      <c r="W54" s="121">
        <v>0</v>
      </c>
      <c r="X54" s="131">
        <v>0</v>
      </c>
      <c r="Y54" s="119">
        <v>106.5</v>
      </c>
      <c r="Z54" s="82">
        <v>0</v>
      </c>
      <c r="AA54" s="79">
        <v>0</v>
      </c>
      <c r="AB54" s="79">
        <v>0</v>
      </c>
      <c r="AC54" s="209">
        <v>0</v>
      </c>
      <c r="AD54" s="211">
        <v>0</v>
      </c>
      <c r="AE54" s="89">
        <v>0</v>
      </c>
      <c r="AF54" s="89">
        <v>0</v>
      </c>
      <c r="AG54" s="89">
        <f>SUMIF('PreliminaryHD AR - School Level'!A55:A1361, "=" &amp; A54,'PreliminaryHD AR - School Level'!M55:M1361)</f>
        <v>0</v>
      </c>
      <c r="AH54" s="89">
        <v>718.3</v>
      </c>
      <c r="AI54" s="89">
        <f t="shared" si="0"/>
        <v>0</v>
      </c>
      <c r="AJ54" s="89">
        <f t="shared" si="1"/>
        <v>0</v>
      </c>
      <c r="AK54" s="89">
        <f t="shared" si="2"/>
        <v>423</v>
      </c>
      <c r="AL54" s="89">
        <f t="shared" si="3"/>
        <v>4.5</v>
      </c>
      <c r="AM54" s="89">
        <f t="shared" si="4"/>
        <v>0</v>
      </c>
      <c r="AN54" s="89">
        <f t="shared" si="5"/>
        <v>1</v>
      </c>
      <c r="AO54" s="89">
        <f t="shared" si="6"/>
        <v>130.4</v>
      </c>
      <c r="AP54" s="83">
        <f t="shared" si="7"/>
        <v>116</v>
      </c>
      <c r="AQ54" s="89">
        <f t="shared" si="8"/>
        <v>0</v>
      </c>
      <c r="AR54" s="89">
        <f t="shared" si="9"/>
        <v>106.5</v>
      </c>
      <c r="AS54" s="83">
        <f t="shared" si="10"/>
        <v>437</v>
      </c>
      <c r="AT54" s="89">
        <v>0</v>
      </c>
      <c r="AU54" s="89">
        <f t="shared" si="11"/>
        <v>0</v>
      </c>
      <c r="AV54" s="108">
        <v>3586065</v>
      </c>
      <c r="AW54" s="126">
        <v>718.3</v>
      </c>
      <c r="AX54" s="42">
        <v>718.3</v>
      </c>
      <c r="AY54" s="208">
        <f t="shared" si="12"/>
        <v>0</v>
      </c>
      <c r="AZ54" s="290">
        <v>270077</v>
      </c>
      <c r="BA54" s="42"/>
      <c r="BB54" s="42"/>
      <c r="BD54" s="129"/>
    </row>
    <row r="55" spans="1:56">
      <c r="A55" s="235" t="s">
        <v>248</v>
      </c>
      <c r="B55" s="121">
        <v>1</v>
      </c>
      <c r="C55" s="131">
        <v>815</v>
      </c>
      <c r="D55" s="131">
        <v>0</v>
      </c>
      <c r="E55" s="82">
        <v>0</v>
      </c>
      <c r="F55" s="131">
        <v>0</v>
      </c>
      <c r="G55" s="199">
        <v>0</v>
      </c>
      <c r="H55" s="131">
        <v>0</v>
      </c>
      <c r="I55" s="131">
        <v>0</v>
      </c>
      <c r="J55" s="208">
        <v>0</v>
      </c>
      <c r="K55" s="127">
        <v>833</v>
      </c>
      <c r="L55" s="124">
        <v>0</v>
      </c>
      <c r="M55" s="121">
        <v>0</v>
      </c>
      <c r="N55" s="124">
        <v>5.5</v>
      </c>
      <c r="O55" s="124">
        <v>0</v>
      </c>
      <c r="P55" s="131">
        <v>582.79999999999995</v>
      </c>
      <c r="Q55" s="124">
        <v>0</v>
      </c>
      <c r="R55" s="124">
        <v>1.5</v>
      </c>
      <c r="S55" s="124">
        <v>0</v>
      </c>
      <c r="T55" s="127">
        <v>5</v>
      </c>
      <c r="U55" s="121">
        <v>0</v>
      </c>
      <c r="V55" s="121">
        <v>256</v>
      </c>
      <c r="W55" s="121">
        <v>0</v>
      </c>
      <c r="X55" s="131">
        <v>0</v>
      </c>
      <c r="Y55" s="119">
        <v>238</v>
      </c>
      <c r="Z55" s="82">
        <v>0</v>
      </c>
      <c r="AA55" s="79">
        <v>0</v>
      </c>
      <c r="AB55" s="79">
        <v>0</v>
      </c>
      <c r="AC55" s="209">
        <v>0</v>
      </c>
      <c r="AD55" s="211">
        <v>0</v>
      </c>
      <c r="AE55" s="89">
        <v>0</v>
      </c>
      <c r="AF55" s="89">
        <v>0</v>
      </c>
      <c r="AG55" s="89">
        <f>SUMIF('PreliminaryHD AR - School Level'!A56:A1362, "=" &amp; A55,'PreliminaryHD AR - School Level'!M56:M1362)</f>
        <v>0.1</v>
      </c>
      <c r="AH55" s="89">
        <v>1333</v>
      </c>
      <c r="AI55" s="89">
        <f t="shared" si="0"/>
        <v>0</v>
      </c>
      <c r="AJ55" s="89">
        <f t="shared" si="1"/>
        <v>0</v>
      </c>
      <c r="AK55" s="89">
        <f t="shared" si="2"/>
        <v>815</v>
      </c>
      <c r="AL55" s="89">
        <f t="shared" si="3"/>
        <v>5.5</v>
      </c>
      <c r="AM55" s="89">
        <f t="shared" si="4"/>
        <v>1.5</v>
      </c>
      <c r="AN55" s="89">
        <f t="shared" si="5"/>
        <v>5</v>
      </c>
      <c r="AO55" s="89">
        <f t="shared" si="6"/>
        <v>582.79999999999995</v>
      </c>
      <c r="AP55" s="83">
        <f t="shared" si="7"/>
        <v>256</v>
      </c>
      <c r="AQ55" s="89">
        <f t="shared" si="8"/>
        <v>0</v>
      </c>
      <c r="AR55" s="89">
        <f t="shared" si="9"/>
        <v>238</v>
      </c>
      <c r="AS55" s="83">
        <f t="shared" si="10"/>
        <v>833</v>
      </c>
      <c r="AT55" s="89">
        <v>0</v>
      </c>
      <c r="AU55" s="89">
        <f t="shared" si="11"/>
        <v>0.1</v>
      </c>
      <c r="AV55" s="108">
        <v>7205034</v>
      </c>
      <c r="AW55" s="126">
        <v>1333</v>
      </c>
      <c r="AX55" s="42">
        <v>1333</v>
      </c>
      <c r="AY55" s="208">
        <f t="shared" si="12"/>
        <v>0</v>
      </c>
      <c r="AZ55" s="290">
        <v>249109</v>
      </c>
      <c r="BA55" s="42"/>
      <c r="BB55" s="42"/>
      <c r="BD55" s="129"/>
    </row>
    <row r="56" spans="1:56">
      <c r="A56" s="235" t="s">
        <v>249</v>
      </c>
      <c r="B56" s="121">
        <v>1</v>
      </c>
      <c r="C56" s="131">
        <v>205</v>
      </c>
      <c r="D56" s="131">
        <v>0</v>
      </c>
      <c r="E56" s="82">
        <v>0</v>
      </c>
      <c r="F56" s="131">
        <v>0</v>
      </c>
      <c r="G56" s="199">
        <v>0</v>
      </c>
      <c r="H56" s="131">
        <v>0</v>
      </c>
      <c r="I56" s="131">
        <v>0</v>
      </c>
      <c r="J56" s="208">
        <v>0</v>
      </c>
      <c r="K56" s="127">
        <v>207</v>
      </c>
      <c r="L56" s="124">
        <v>0</v>
      </c>
      <c r="M56" s="121">
        <v>0</v>
      </c>
      <c r="N56" s="124">
        <v>0</v>
      </c>
      <c r="O56" s="124">
        <v>0</v>
      </c>
      <c r="P56" s="131">
        <v>93.2</v>
      </c>
      <c r="Q56" s="124">
        <v>0</v>
      </c>
      <c r="R56" s="124">
        <v>0</v>
      </c>
      <c r="S56" s="124">
        <v>0</v>
      </c>
      <c r="T56" s="127">
        <v>0</v>
      </c>
      <c r="U56" s="121">
        <v>0</v>
      </c>
      <c r="V56" s="121">
        <v>72</v>
      </c>
      <c r="W56" s="121">
        <v>0</v>
      </c>
      <c r="X56" s="131">
        <v>0</v>
      </c>
      <c r="Y56" s="119">
        <v>111</v>
      </c>
      <c r="Z56" s="82">
        <v>0</v>
      </c>
      <c r="AA56" s="79">
        <v>0</v>
      </c>
      <c r="AB56" s="79">
        <v>0</v>
      </c>
      <c r="AC56" s="209">
        <v>0</v>
      </c>
      <c r="AD56" s="211">
        <v>0</v>
      </c>
      <c r="AE56" s="89">
        <v>0</v>
      </c>
      <c r="AF56" s="89">
        <v>0</v>
      </c>
      <c r="AG56" s="89">
        <f>SUMIF('PreliminaryHD AR - School Level'!A57:A1363, "=" &amp; A56,'PreliminaryHD AR - School Level'!M57:M1363)</f>
        <v>1.5</v>
      </c>
      <c r="AH56" s="89">
        <v>426.4</v>
      </c>
      <c r="AI56" s="89">
        <f t="shared" si="0"/>
        <v>0</v>
      </c>
      <c r="AJ56" s="89">
        <f t="shared" si="1"/>
        <v>0</v>
      </c>
      <c r="AK56" s="89">
        <f t="shared" si="2"/>
        <v>205</v>
      </c>
      <c r="AL56" s="89">
        <f t="shared" si="3"/>
        <v>0</v>
      </c>
      <c r="AM56" s="89">
        <f t="shared" si="4"/>
        <v>0</v>
      </c>
      <c r="AN56" s="89">
        <f t="shared" si="5"/>
        <v>0</v>
      </c>
      <c r="AO56" s="89">
        <f t="shared" si="6"/>
        <v>93.2</v>
      </c>
      <c r="AP56" s="83">
        <f t="shared" si="7"/>
        <v>72</v>
      </c>
      <c r="AQ56" s="89">
        <f t="shared" si="8"/>
        <v>0</v>
      </c>
      <c r="AR56" s="89">
        <f t="shared" si="9"/>
        <v>111</v>
      </c>
      <c r="AS56" s="83">
        <f t="shared" si="10"/>
        <v>207</v>
      </c>
      <c r="AT56" s="89">
        <v>0</v>
      </c>
      <c r="AU56" s="89">
        <f t="shared" si="11"/>
        <v>1.5</v>
      </c>
      <c r="AV56" s="108">
        <v>2032937</v>
      </c>
      <c r="AW56" s="126">
        <v>426.4</v>
      </c>
      <c r="AX56" s="42">
        <v>426.4</v>
      </c>
      <c r="AY56" s="208">
        <f t="shared" si="12"/>
        <v>0</v>
      </c>
      <c r="AZ56" s="290">
        <v>246359</v>
      </c>
      <c r="BA56" s="42"/>
      <c r="BB56" s="42"/>
      <c r="BD56" s="129"/>
    </row>
    <row r="57" spans="1:56">
      <c r="A57" s="235" t="s">
        <v>250</v>
      </c>
      <c r="B57" s="121">
        <v>1</v>
      </c>
      <c r="C57" s="131">
        <v>438.5</v>
      </c>
      <c r="D57" s="131">
        <v>0</v>
      </c>
      <c r="E57" s="82">
        <v>0</v>
      </c>
      <c r="F57" s="131">
        <v>0</v>
      </c>
      <c r="G57" s="199">
        <v>0</v>
      </c>
      <c r="H57" s="131">
        <v>0</v>
      </c>
      <c r="I57" s="131">
        <v>0</v>
      </c>
      <c r="J57" s="208">
        <v>0</v>
      </c>
      <c r="K57" s="127">
        <v>465</v>
      </c>
      <c r="L57" s="124">
        <v>0</v>
      </c>
      <c r="M57" s="121">
        <v>0</v>
      </c>
      <c r="N57" s="124">
        <v>12</v>
      </c>
      <c r="O57" s="124">
        <v>0</v>
      </c>
      <c r="P57" s="131">
        <v>0</v>
      </c>
      <c r="Q57" s="124">
        <v>0</v>
      </c>
      <c r="R57" s="124">
        <v>0</v>
      </c>
      <c r="S57" s="124">
        <v>0</v>
      </c>
      <c r="T57" s="127">
        <v>0</v>
      </c>
      <c r="U57" s="121">
        <v>0</v>
      </c>
      <c r="V57" s="121">
        <v>264</v>
      </c>
      <c r="W57" s="121">
        <v>0</v>
      </c>
      <c r="X57" s="131">
        <v>0</v>
      </c>
      <c r="Y57" s="119">
        <v>194</v>
      </c>
      <c r="Z57" s="82">
        <v>0</v>
      </c>
      <c r="AA57" s="79">
        <v>2</v>
      </c>
      <c r="AB57" s="79">
        <v>0</v>
      </c>
      <c r="AC57" s="209">
        <v>7</v>
      </c>
      <c r="AD57" s="211">
        <v>0</v>
      </c>
      <c r="AE57" s="89">
        <v>0</v>
      </c>
      <c r="AF57" s="89">
        <v>27.7</v>
      </c>
      <c r="AG57" s="89">
        <f>SUMIF('PreliminaryHD AR - School Level'!A58:A1364, "=" &amp; A57,'PreliminaryHD AR - School Level'!M58:M1364)</f>
        <v>26.4</v>
      </c>
      <c r="AH57" s="89">
        <v>874.6</v>
      </c>
      <c r="AI57" s="89">
        <f t="shared" si="0"/>
        <v>0</v>
      </c>
      <c r="AJ57" s="89">
        <f t="shared" si="1"/>
        <v>0</v>
      </c>
      <c r="AK57" s="89">
        <f t="shared" si="2"/>
        <v>438.5</v>
      </c>
      <c r="AL57" s="89">
        <f t="shared" si="3"/>
        <v>12</v>
      </c>
      <c r="AM57" s="89">
        <f t="shared" si="4"/>
        <v>0</v>
      </c>
      <c r="AN57" s="89">
        <f t="shared" si="5"/>
        <v>0</v>
      </c>
      <c r="AO57" s="89">
        <f t="shared" si="6"/>
        <v>0</v>
      </c>
      <c r="AP57" s="83">
        <f t="shared" si="7"/>
        <v>264</v>
      </c>
      <c r="AQ57" s="89">
        <f t="shared" si="8"/>
        <v>0</v>
      </c>
      <c r="AR57" s="89">
        <f t="shared" si="9"/>
        <v>194</v>
      </c>
      <c r="AS57" s="83">
        <f t="shared" si="10"/>
        <v>465</v>
      </c>
      <c r="AT57" s="89">
        <v>0</v>
      </c>
      <c r="AU57" s="89">
        <f t="shared" si="11"/>
        <v>27.7</v>
      </c>
      <c r="AV57" s="108">
        <v>4257477</v>
      </c>
      <c r="AW57" s="126">
        <v>874.6</v>
      </c>
      <c r="AX57" s="42">
        <v>874.6</v>
      </c>
      <c r="AY57" s="208">
        <f t="shared" si="12"/>
        <v>0</v>
      </c>
      <c r="AZ57" s="290">
        <v>162888</v>
      </c>
      <c r="BA57" s="42"/>
      <c r="BB57" s="42"/>
      <c r="BD57" s="129"/>
    </row>
    <row r="58" spans="1:56">
      <c r="A58" s="235" t="s">
        <v>251</v>
      </c>
      <c r="B58" s="121">
        <v>1</v>
      </c>
      <c r="C58" s="131">
        <v>469.6</v>
      </c>
      <c r="D58" s="131">
        <v>0</v>
      </c>
      <c r="E58" s="82">
        <v>0</v>
      </c>
      <c r="F58" s="131">
        <v>0</v>
      </c>
      <c r="G58" s="199">
        <v>0</v>
      </c>
      <c r="H58" s="131">
        <v>0</v>
      </c>
      <c r="I58" s="131">
        <v>0</v>
      </c>
      <c r="J58" s="208">
        <v>0</v>
      </c>
      <c r="K58" s="127">
        <v>484</v>
      </c>
      <c r="L58" s="124">
        <v>0</v>
      </c>
      <c r="M58" s="121">
        <v>0</v>
      </c>
      <c r="N58" s="124">
        <v>5.5</v>
      </c>
      <c r="O58" s="124">
        <v>0</v>
      </c>
      <c r="P58" s="131">
        <v>208.5</v>
      </c>
      <c r="Q58" s="124">
        <v>0</v>
      </c>
      <c r="R58" s="124">
        <v>0</v>
      </c>
      <c r="S58" s="124">
        <v>0</v>
      </c>
      <c r="T58" s="127">
        <v>0</v>
      </c>
      <c r="U58" s="121">
        <v>0</v>
      </c>
      <c r="V58" s="121">
        <v>258</v>
      </c>
      <c r="W58" s="121">
        <v>0</v>
      </c>
      <c r="X58" s="131">
        <v>0</v>
      </c>
      <c r="Y58" s="119">
        <v>280</v>
      </c>
      <c r="Z58" s="82">
        <v>0</v>
      </c>
      <c r="AA58" s="79">
        <v>3</v>
      </c>
      <c r="AB58" s="79">
        <v>0</v>
      </c>
      <c r="AC58" s="209">
        <v>0</v>
      </c>
      <c r="AD58" s="211">
        <v>0</v>
      </c>
      <c r="AE58" s="89">
        <v>0</v>
      </c>
      <c r="AF58" s="89">
        <v>27.1</v>
      </c>
      <c r="AG58" s="89">
        <f>SUMIF('PreliminaryHD AR - School Level'!A59:A1365, "=" &amp; A58,'PreliminaryHD AR - School Level'!M59:M1365)</f>
        <v>23.9</v>
      </c>
      <c r="AH58" s="89">
        <v>952.7</v>
      </c>
      <c r="AI58" s="89">
        <f t="shared" si="0"/>
        <v>0</v>
      </c>
      <c r="AJ58" s="89">
        <f t="shared" si="1"/>
        <v>0</v>
      </c>
      <c r="AK58" s="89">
        <f t="shared" si="2"/>
        <v>469.6</v>
      </c>
      <c r="AL58" s="89">
        <f t="shared" si="3"/>
        <v>5.5</v>
      </c>
      <c r="AM58" s="89">
        <f t="shared" si="4"/>
        <v>0</v>
      </c>
      <c r="AN58" s="89">
        <f t="shared" si="5"/>
        <v>0</v>
      </c>
      <c r="AO58" s="89">
        <f t="shared" si="6"/>
        <v>208.5</v>
      </c>
      <c r="AP58" s="83">
        <f t="shared" si="7"/>
        <v>258</v>
      </c>
      <c r="AQ58" s="89">
        <f t="shared" si="8"/>
        <v>0</v>
      </c>
      <c r="AR58" s="89">
        <f t="shared" si="9"/>
        <v>280</v>
      </c>
      <c r="AS58" s="83">
        <f t="shared" si="10"/>
        <v>484</v>
      </c>
      <c r="AT58" s="89">
        <v>0</v>
      </c>
      <c r="AU58" s="89">
        <f t="shared" si="11"/>
        <v>27.1</v>
      </c>
      <c r="AV58" s="108">
        <v>4580167</v>
      </c>
      <c r="AW58" s="126">
        <v>952.7</v>
      </c>
      <c r="AX58" s="42">
        <v>952.7</v>
      </c>
      <c r="AY58" s="208">
        <f t="shared" si="12"/>
        <v>0</v>
      </c>
      <c r="AZ58" s="290">
        <v>340056</v>
      </c>
      <c r="BA58" s="42"/>
      <c r="BB58" s="42"/>
      <c r="BD58" s="129"/>
    </row>
    <row r="59" spans="1:56">
      <c r="A59" s="235" t="s">
        <v>252</v>
      </c>
      <c r="B59" s="121">
        <v>1</v>
      </c>
      <c r="C59" s="131">
        <v>1005.5</v>
      </c>
      <c r="D59" s="131">
        <v>0</v>
      </c>
      <c r="E59" s="82">
        <v>0</v>
      </c>
      <c r="F59" s="131">
        <v>0</v>
      </c>
      <c r="G59" s="199">
        <v>0</v>
      </c>
      <c r="H59" s="131">
        <v>0</v>
      </c>
      <c r="I59" s="131">
        <v>0</v>
      </c>
      <c r="J59" s="208">
        <v>0</v>
      </c>
      <c r="K59" s="127">
        <v>1036</v>
      </c>
      <c r="L59" s="124">
        <v>0</v>
      </c>
      <c r="M59" s="121">
        <v>0</v>
      </c>
      <c r="N59" s="124">
        <v>10.5</v>
      </c>
      <c r="O59" s="124">
        <v>0</v>
      </c>
      <c r="P59" s="131">
        <v>278.3</v>
      </c>
      <c r="Q59" s="124">
        <v>0</v>
      </c>
      <c r="R59" s="124">
        <v>35.9</v>
      </c>
      <c r="S59" s="124">
        <v>0</v>
      </c>
      <c r="T59" s="127">
        <v>21</v>
      </c>
      <c r="U59" s="121">
        <v>0</v>
      </c>
      <c r="V59" s="121">
        <v>376</v>
      </c>
      <c r="W59" s="121">
        <v>0</v>
      </c>
      <c r="X59" s="131">
        <v>0</v>
      </c>
      <c r="Y59" s="119">
        <v>334</v>
      </c>
      <c r="Z59" s="82">
        <v>0</v>
      </c>
      <c r="AA59" s="79">
        <v>0</v>
      </c>
      <c r="AB59" s="79">
        <v>3.7</v>
      </c>
      <c r="AC59" s="209">
        <v>0</v>
      </c>
      <c r="AD59" s="211">
        <v>0</v>
      </c>
      <c r="AE59" s="89">
        <v>0</v>
      </c>
      <c r="AF59" s="89">
        <v>3.4</v>
      </c>
      <c r="AG59" s="89">
        <f>SUMIF('PreliminaryHD AR - School Level'!A60:A1366, "=" &amp; A59,'PreliminaryHD AR - School Level'!M60:M1366)</f>
        <v>6.7</v>
      </c>
      <c r="AH59" s="89">
        <v>1557.9</v>
      </c>
      <c r="AI59" s="89">
        <f t="shared" si="0"/>
        <v>0</v>
      </c>
      <c r="AJ59" s="89">
        <f t="shared" si="1"/>
        <v>0</v>
      </c>
      <c r="AK59" s="89">
        <f t="shared" si="2"/>
        <v>1005.5</v>
      </c>
      <c r="AL59" s="89">
        <f t="shared" si="3"/>
        <v>10.5</v>
      </c>
      <c r="AM59" s="89">
        <f t="shared" si="4"/>
        <v>35.9</v>
      </c>
      <c r="AN59" s="89">
        <f t="shared" si="5"/>
        <v>21</v>
      </c>
      <c r="AO59" s="89">
        <f t="shared" si="6"/>
        <v>278.3</v>
      </c>
      <c r="AP59" s="83">
        <f t="shared" si="7"/>
        <v>376</v>
      </c>
      <c r="AQ59" s="89">
        <f t="shared" si="8"/>
        <v>0</v>
      </c>
      <c r="AR59" s="89">
        <f t="shared" si="9"/>
        <v>334</v>
      </c>
      <c r="AS59" s="83">
        <f t="shared" si="10"/>
        <v>1036</v>
      </c>
      <c r="AT59" s="89">
        <v>0</v>
      </c>
      <c r="AU59" s="89">
        <f t="shared" si="11"/>
        <v>6.7</v>
      </c>
      <c r="AV59" s="108">
        <v>7594467</v>
      </c>
      <c r="AW59" s="126">
        <v>1557.9</v>
      </c>
      <c r="AX59" s="42">
        <v>1557.9</v>
      </c>
      <c r="AY59" s="208">
        <f t="shared" si="12"/>
        <v>0</v>
      </c>
      <c r="AZ59" s="290">
        <v>479435</v>
      </c>
      <c r="BA59" s="42"/>
      <c r="BB59" s="42"/>
      <c r="BD59" s="129"/>
    </row>
    <row r="60" spans="1:56">
      <c r="A60" s="235" t="s">
        <v>253</v>
      </c>
      <c r="B60" s="121">
        <v>1</v>
      </c>
      <c r="C60" s="131">
        <v>912.5</v>
      </c>
      <c r="D60" s="131">
        <v>0</v>
      </c>
      <c r="E60" s="82">
        <v>0</v>
      </c>
      <c r="F60" s="131">
        <v>0</v>
      </c>
      <c r="G60" s="199">
        <v>0</v>
      </c>
      <c r="H60" s="131">
        <v>0</v>
      </c>
      <c r="I60" s="131">
        <v>0</v>
      </c>
      <c r="J60" s="208">
        <v>0</v>
      </c>
      <c r="K60" s="127">
        <v>921</v>
      </c>
      <c r="L60" s="124">
        <v>0</v>
      </c>
      <c r="M60" s="121">
        <v>0</v>
      </c>
      <c r="N60" s="124">
        <v>2.5</v>
      </c>
      <c r="O60" s="124">
        <v>0</v>
      </c>
      <c r="P60" s="131">
        <v>239.5</v>
      </c>
      <c r="Q60" s="124">
        <v>0</v>
      </c>
      <c r="R60" s="124">
        <v>16.600000000000001</v>
      </c>
      <c r="S60" s="124">
        <v>0</v>
      </c>
      <c r="T60" s="127">
        <v>16</v>
      </c>
      <c r="U60" s="121">
        <v>0</v>
      </c>
      <c r="V60" s="121">
        <v>297</v>
      </c>
      <c r="W60" s="121">
        <v>0</v>
      </c>
      <c r="X60" s="131">
        <v>0</v>
      </c>
      <c r="Y60" s="119">
        <v>105</v>
      </c>
      <c r="Z60" s="82">
        <v>0</v>
      </c>
      <c r="AA60" s="79">
        <v>3</v>
      </c>
      <c r="AB60" s="79">
        <v>0</v>
      </c>
      <c r="AC60" s="209">
        <v>5</v>
      </c>
      <c r="AD60" s="211">
        <v>0</v>
      </c>
      <c r="AE60" s="89">
        <v>0</v>
      </c>
      <c r="AF60" s="89">
        <v>0</v>
      </c>
      <c r="AG60" s="89">
        <f>SUMIF('PreliminaryHD AR - School Level'!A61:A1367, "=" &amp; A60,'PreliminaryHD AR - School Level'!M61:M1367)</f>
        <v>0</v>
      </c>
      <c r="AH60" s="89">
        <v>1390.9</v>
      </c>
      <c r="AI60" s="89">
        <f t="shared" si="0"/>
        <v>0</v>
      </c>
      <c r="AJ60" s="89">
        <f t="shared" si="1"/>
        <v>0</v>
      </c>
      <c r="AK60" s="89">
        <f t="shared" si="2"/>
        <v>912.5</v>
      </c>
      <c r="AL60" s="89">
        <f t="shared" si="3"/>
        <v>2.5</v>
      </c>
      <c r="AM60" s="89">
        <f t="shared" si="4"/>
        <v>16.600000000000001</v>
      </c>
      <c r="AN60" s="89">
        <f t="shared" si="5"/>
        <v>16</v>
      </c>
      <c r="AO60" s="89">
        <f t="shared" si="6"/>
        <v>239.5</v>
      </c>
      <c r="AP60" s="83">
        <f t="shared" si="7"/>
        <v>297</v>
      </c>
      <c r="AQ60" s="89">
        <f t="shared" si="8"/>
        <v>0</v>
      </c>
      <c r="AR60" s="89">
        <f t="shared" si="9"/>
        <v>105</v>
      </c>
      <c r="AS60" s="83">
        <f t="shared" si="10"/>
        <v>921</v>
      </c>
      <c r="AT60" s="89">
        <v>0</v>
      </c>
      <c r="AU60" s="89">
        <f t="shared" si="11"/>
        <v>0</v>
      </c>
      <c r="AV60" s="108">
        <v>6899574</v>
      </c>
      <c r="AW60" s="126">
        <v>1390.9</v>
      </c>
      <c r="AX60" s="42">
        <v>1390.9</v>
      </c>
      <c r="AY60" s="208">
        <f t="shared" si="12"/>
        <v>0</v>
      </c>
      <c r="AZ60" s="290">
        <v>65690</v>
      </c>
      <c r="BA60" s="42"/>
      <c r="BB60" s="42"/>
      <c r="BD60" s="129"/>
    </row>
    <row r="61" spans="1:56">
      <c r="A61" s="235" t="s">
        <v>254</v>
      </c>
      <c r="B61" s="121">
        <v>1</v>
      </c>
      <c r="C61" s="131">
        <v>2954.4</v>
      </c>
      <c r="D61" s="131">
        <v>0</v>
      </c>
      <c r="E61" s="82">
        <v>0</v>
      </c>
      <c r="F61" s="131">
        <v>0</v>
      </c>
      <c r="G61" s="199">
        <v>0</v>
      </c>
      <c r="H61" s="131">
        <v>0</v>
      </c>
      <c r="I61" s="131">
        <v>0</v>
      </c>
      <c r="J61" s="208">
        <v>0</v>
      </c>
      <c r="K61" s="127">
        <v>3070</v>
      </c>
      <c r="L61" s="124">
        <v>0</v>
      </c>
      <c r="M61" s="121">
        <v>0</v>
      </c>
      <c r="N61" s="124">
        <v>40</v>
      </c>
      <c r="O61" s="124">
        <v>0</v>
      </c>
      <c r="P61" s="131">
        <v>322.10000000000002</v>
      </c>
      <c r="Q61" s="124">
        <v>0</v>
      </c>
      <c r="R61" s="124">
        <v>1001.9</v>
      </c>
      <c r="S61" s="124">
        <v>0</v>
      </c>
      <c r="T61" s="127">
        <v>260</v>
      </c>
      <c r="U61" s="121">
        <v>0</v>
      </c>
      <c r="V61" s="121">
        <v>1650</v>
      </c>
      <c r="W61" s="121">
        <v>0</v>
      </c>
      <c r="X61" s="131">
        <v>0</v>
      </c>
      <c r="Y61" s="119">
        <v>452.1</v>
      </c>
      <c r="Z61" s="82">
        <v>0</v>
      </c>
      <c r="AA61" s="79">
        <v>45</v>
      </c>
      <c r="AB61" s="79">
        <v>4.4000000000000004</v>
      </c>
      <c r="AC61" s="209">
        <v>45</v>
      </c>
      <c r="AD61" s="211">
        <v>0</v>
      </c>
      <c r="AE61" s="89">
        <v>0</v>
      </c>
      <c r="AF61" s="89">
        <v>173.3</v>
      </c>
      <c r="AG61" s="89">
        <f>SUMIF('PreliminaryHD AR - School Level'!A62:A1368, "=" &amp; A61,'PreliminaryHD AR - School Level'!M62:M1368)</f>
        <v>167.3</v>
      </c>
      <c r="AH61" s="89">
        <v>4254.6000000000004</v>
      </c>
      <c r="AI61" s="89">
        <f t="shared" si="0"/>
        <v>0</v>
      </c>
      <c r="AJ61" s="89">
        <f t="shared" si="1"/>
        <v>0</v>
      </c>
      <c r="AK61" s="89">
        <f t="shared" si="2"/>
        <v>2954.4</v>
      </c>
      <c r="AL61" s="89">
        <f t="shared" si="3"/>
        <v>40</v>
      </c>
      <c r="AM61" s="89">
        <f t="shared" si="4"/>
        <v>1001.9</v>
      </c>
      <c r="AN61" s="89">
        <f t="shared" si="5"/>
        <v>260</v>
      </c>
      <c r="AO61" s="89">
        <f t="shared" si="6"/>
        <v>322.10000000000002</v>
      </c>
      <c r="AP61" s="83">
        <f t="shared" si="7"/>
        <v>1650</v>
      </c>
      <c r="AQ61" s="89">
        <f t="shared" si="8"/>
        <v>0</v>
      </c>
      <c r="AR61" s="89">
        <f t="shared" si="9"/>
        <v>452.1</v>
      </c>
      <c r="AS61" s="83">
        <f t="shared" si="10"/>
        <v>3070</v>
      </c>
      <c r="AT61" s="89">
        <v>0</v>
      </c>
      <c r="AU61" s="89">
        <f t="shared" si="11"/>
        <v>173.3</v>
      </c>
      <c r="AV61" s="108">
        <v>21364482</v>
      </c>
      <c r="AW61" s="126">
        <v>4254.6000000000004</v>
      </c>
      <c r="AX61" s="42">
        <v>4254.6000000000004</v>
      </c>
      <c r="AY61" s="208">
        <f t="shared" si="12"/>
        <v>0</v>
      </c>
      <c r="AZ61" s="290">
        <v>683640</v>
      </c>
      <c r="BA61" s="42"/>
      <c r="BB61" s="42"/>
      <c r="BD61" s="129"/>
    </row>
    <row r="62" spans="1:56">
      <c r="A62" s="235" t="s">
        <v>255</v>
      </c>
      <c r="B62" s="121">
        <v>1</v>
      </c>
      <c r="C62" s="131">
        <v>346.5</v>
      </c>
      <c r="D62" s="131">
        <v>0</v>
      </c>
      <c r="E62" s="82">
        <v>0</v>
      </c>
      <c r="F62" s="131">
        <v>0</v>
      </c>
      <c r="G62" s="199">
        <v>0</v>
      </c>
      <c r="H62" s="131">
        <v>0</v>
      </c>
      <c r="I62" s="131">
        <v>0</v>
      </c>
      <c r="J62" s="208">
        <v>0</v>
      </c>
      <c r="K62" s="127">
        <v>347</v>
      </c>
      <c r="L62" s="124">
        <v>0</v>
      </c>
      <c r="M62" s="121">
        <v>0</v>
      </c>
      <c r="N62" s="124">
        <v>0</v>
      </c>
      <c r="O62" s="124">
        <v>0</v>
      </c>
      <c r="P62" s="131">
        <v>100</v>
      </c>
      <c r="Q62" s="124">
        <v>0</v>
      </c>
      <c r="R62" s="124">
        <v>0</v>
      </c>
      <c r="S62" s="124">
        <v>0</v>
      </c>
      <c r="T62" s="127">
        <v>0</v>
      </c>
      <c r="U62" s="121">
        <v>0</v>
      </c>
      <c r="V62" s="121">
        <v>126</v>
      </c>
      <c r="W62" s="121">
        <v>0</v>
      </c>
      <c r="X62" s="131">
        <v>0</v>
      </c>
      <c r="Y62" s="119">
        <v>202</v>
      </c>
      <c r="Z62" s="82">
        <v>0</v>
      </c>
      <c r="AA62" s="79">
        <v>0</v>
      </c>
      <c r="AB62" s="79">
        <v>0</v>
      </c>
      <c r="AC62" s="209">
        <v>0</v>
      </c>
      <c r="AD62" s="211">
        <v>0</v>
      </c>
      <c r="AE62" s="89">
        <v>0</v>
      </c>
      <c r="AF62" s="89">
        <v>1.2</v>
      </c>
      <c r="AG62" s="89">
        <f>SUMIF('PreliminaryHD AR - School Level'!A63:A1369, "=" &amp; A62,'PreliminaryHD AR - School Level'!M63:M1369)</f>
        <v>1.2</v>
      </c>
      <c r="AH62" s="89">
        <v>712.7</v>
      </c>
      <c r="AI62" s="89">
        <f t="shared" si="0"/>
        <v>0</v>
      </c>
      <c r="AJ62" s="89">
        <f t="shared" si="1"/>
        <v>0</v>
      </c>
      <c r="AK62" s="89">
        <f t="shared" si="2"/>
        <v>346.5</v>
      </c>
      <c r="AL62" s="89">
        <f t="shared" si="3"/>
        <v>0</v>
      </c>
      <c r="AM62" s="89">
        <f t="shared" si="4"/>
        <v>0</v>
      </c>
      <c r="AN62" s="89">
        <f t="shared" si="5"/>
        <v>0</v>
      </c>
      <c r="AO62" s="89">
        <f t="shared" si="6"/>
        <v>100</v>
      </c>
      <c r="AP62" s="83">
        <f t="shared" si="7"/>
        <v>126</v>
      </c>
      <c r="AQ62" s="89">
        <f t="shared" si="8"/>
        <v>0</v>
      </c>
      <c r="AR62" s="89">
        <f t="shared" si="9"/>
        <v>202</v>
      </c>
      <c r="AS62" s="83">
        <f t="shared" si="10"/>
        <v>347</v>
      </c>
      <c r="AT62" s="89">
        <v>0</v>
      </c>
      <c r="AU62" s="89">
        <f t="shared" si="11"/>
        <v>1.2</v>
      </c>
      <c r="AV62" s="108">
        <v>3449037</v>
      </c>
      <c r="AW62" s="126">
        <v>712.7</v>
      </c>
      <c r="AX62" s="42">
        <v>712.7</v>
      </c>
      <c r="AY62" s="208">
        <f t="shared" si="12"/>
        <v>0</v>
      </c>
      <c r="AZ62" s="290">
        <v>394337</v>
      </c>
      <c r="BA62" s="42"/>
      <c r="BB62" s="42"/>
      <c r="BD62" s="129"/>
    </row>
    <row r="63" spans="1:56">
      <c r="A63" s="235" t="s">
        <v>256</v>
      </c>
      <c r="B63" s="121">
        <v>1</v>
      </c>
      <c r="C63" s="131">
        <v>461.1</v>
      </c>
      <c r="D63" s="131">
        <v>0</v>
      </c>
      <c r="E63" s="82">
        <v>0</v>
      </c>
      <c r="F63" s="131">
        <v>0</v>
      </c>
      <c r="G63" s="199">
        <v>0</v>
      </c>
      <c r="H63" s="131">
        <v>0</v>
      </c>
      <c r="I63" s="131">
        <v>0</v>
      </c>
      <c r="J63" s="208">
        <v>0</v>
      </c>
      <c r="K63" s="127">
        <v>484</v>
      </c>
      <c r="L63" s="124">
        <v>0</v>
      </c>
      <c r="M63" s="121">
        <v>0</v>
      </c>
      <c r="N63" s="124">
        <v>11</v>
      </c>
      <c r="O63" s="124">
        <v>0</v>
      </c>
      <c r="P63" s="131">
        <v>165.9</v>
      </c>
      <c r="Q63" s="124">
        <v>0</v>
      </c>
      <c r="R63" s="124">
        <v>0</v>
      </c>
      <c r="S63" s="124">
        <v>0</v>
      </c>
      <c r="T63" s="127">
        <v>0</v>
      </c>
      <c r="U63" s="121">
        <v>0</v>
      </c>
      <c r="V63" s="121">
        <v>170</v>
      </c>
      <c r="W63" s="121">
        <v>0</v>
      </c>
      <c r="X63" s="131">
        <v>1</v>
      </c>
      <c r="Y63" s="119">
        <v>192</v>
      </c>
      <c r="Z63" s="82">
        <v>0</v>
      </c>
      <c r="AA63" s="79">
        <v>0</v>
      </c>
      <c r="AB63" s="79">
        <v>0</v>
      </c>
      <c r="AC63" s="209">
        <v>0</v>
      </c>
      <c r="AD63" s="211">
        <v>0</v>
      </c>
      <c r="AE63" s="89">
        <v>0</v>
      </c>
      <c r="AF63" s="89">
        <v>0.1</v>
      </c>
      <c r="AG63" s="89">
        <f>SUMIF('PreliminaryHD AR - School Level'!A64:A1370, "=" &amp; A63,'PreliminaryHD AR - School Level'!M64:M1370)</f>
        <v>10.7</v>
      </c>
      <c r="AH63" s="89">
        <v>864</v>
      </c>
      <c r="AI63" s="89">
        <f t="shared" si="0"/>
        <v>0</v>
      </c>
      <c r="AJ63" s="89">
        <f t="shared" si="1"/>
        <v>0</v>
      </c>
      <c r="AK63" s="89">
        <f t="shared" si="2"/>
        <v>461.1</v>
      </c>
      <c r="AL63" s="89">
        <f t="shared" si="3"/>
        <v>11</v>
      </c>
      <c r="AM63" s="89">
        <f t="shared" si="4"/>
        <v>0</v>
      </c>
      <c r="AN63" s="89">
        <f t="shared" si="5"/>
        <v>0</v>
      </c>
      <c r="AO63" s="89">
        <f t="shared" si="6"/>
        <v>165.9</v>
      </c>
      <c r="AP63" s="83">
        <f t="shared" si="7"/>
        <v>170</v>
      </c>
      <c r="AQ63" s="89">
        <f t="shared" si="8"/>
        <v>0</v>
      </c>
      <c r="AR63" s="89">
        <f t="shared" si="9"/>
        <v>192</v>
      </c>
      <c r="AS63" s="83">
        <f t="shared" si="10"/>
        <v>484</v>
      </c>
      <c r="AT63" s="89">
        <v>0</v>
      </c>
      <c r="AU63" s="89">
        <f t="shared" si="11"/>
        <v>10.7</v>
      </c>
      <c r="AV63" s="108">
        <v>4188324</v>
      </c>
      <c r="AW63" s="126">
        <v>864</v>
      </c>
      <c r="AX63" s="42">
        <v>864</v>
      </c>
      <c r="AY63" s="208">
        <f t="shared" si="12"/>
        <v>0</v>
      </c>
      <c r="AZ63" s="290">
        <v>258115</v>
      </c>
      <c r="BA63" s="42"/>
      <c r="BB63" s="42"/>
      <c r="BD63" s="129"/>
    </row>
    <row r="64" spans="1:56">
      <c r="A64" s="235" t="s">
        <v>257</v>
      </c>
      <c r="B64" s="121">
        <v>1</v>
      </c>
      <c r="C64" s="131">
        <v>4423</v>
      </c>
      <c r="D64" s="131">
        <v>0</v>
      </c>
      <c r="E64" s="82">
        <v>0</v>
      </c>
      <c r="F64" s="131">
        <v>0</v>
      </c>
      <c r="G64" s="199">
        <v>0</v>
      </c>
      <c r="H64" s="131">
        <v>0</v>
      </c>
      <c r="I64" s="131">
        <v>0</v>
      </c>
      <c r="J64" s="208">
        <v>0</v>
      </c>
      <c r="K64" s="127">
        <v>4658</v>
      </c>
      <c r="L64" s="124">
        <v>0</v>
      </c>
      <c r="M64" s="121">
        <v>0</v>
      </c>
      <c r="N64" s="124">
        <v>91</v>
      </c>
      <c r="O64" s="124">
        <v>0</v>
      </c>
      <c r="P64" s="131">
        <v>1024.2</v>
      </c>
      <c r="Q64" s="124">
        <v>0</v>
      </c>
      <c r="R64" s="124">
        <v>4915.7</v>
      </c>
      <c r="S64" s="124">
        <v>0</v>
      </c>
      <c r="T64" s="127">
        <v>1521</v>
      </c>
      <c r="U64" s="121">
        <v>0</v>
      </c>
      <c r="V64" s="254">
        <v>2111</v>
      </c>
      <c r="W64" s="121">
        <v>0</v>
      </c>
      <c r="X64" s="131">
        <v>0</v>
      </c>
      <c r="Y64" s="119">
        <v>1663</v>
      </c>
      <c r="Z64" s="82">
        <v>0</v>
      </c>
      <c r="AA64" s="79">
        <v>0</v>
      </c>
      <c r="AB64" s="79">
        <v>0</v>
      </c>
      <c r="AC64" s="209">
        <v>0</v>
      </c>
      <c r="AD64" s="211">
        <v>0</v>
      </c>
      <c r="AE64" s="89">
        <v>0</v>
      </c>
      <c r="AF64" s="89">
        <v>152.5</v>
      </c>
      <c r="AG64" s="89">
        <f>SUMIF('PreliminaryHD AR - School Level'!A65:A1371, "=" &amp; A64,'PreliminaryHD AR - School Level'!M65:M1371)</f>
        <v>134.30000000000001</v>
      </c>
      <c r="AH64" s="89">
        <v>6505</v>
      </c>
      <c r="AI64" s="89">
        <f t="shared" si="0"/>
        <v>0</v>
      </c>
      <c r="AJ64" s="89">
        <f t="shared" si="1"/>
        <v>0</v>
      </c>
      <c r="AK64" s="89">
        <f t="shared" si="2"/>
        <v>4423</v>
      </c>
      <c r="AL64" s="89">
        <f t="shared" si="3"/>
        <v>91</v>
      </c>
      <c r="AM64" s="89">
        <f t="shared" si="4"/>
        <v>4915.7</v>
      </c>
      <c r="AN64" s="89">
        <f t="shared" si="5"/>
        <v>1521</v>
      </c>
      <c r="AO64" s="89">
        <f t="shared" si="6"/>
        <v>1024.2</v>
      </c>
      <c r="AP64" s="83">
        <f t="shared" si="7"/>
        <v>2111</v>
      </c>
      <c r="AQ64" s="89">
        <f t="shared" si="8"/>
        <v>0</v>
      </c>
      <c r="AR64" s="89">
        <f t="shared" si="9"/>
        <v>1663</v>
      </c>
      <c r="AS64" s="83">
        <f t="shared" si="10"/>
        <v>4658</v>
      </c>
      <c r="AT64" s="89">
        <v>0</v>
      </c>
      <c r="AU64" s="89">
        <f t="shared" si="11"/>
        <v>152.5</v>
      </c>
      <c r="AV64" s="108">
        <v>31370818</v>
      </c>
      <c r="AW64" s="126">
        <v>6505</v>
      </c>
      <c r="AX64" s="42">
        <v>6505</v>
      </c>
      <c r="AY64" s="208">
        <f t="shared" si="12"/>
        <v>0</v>
      </c>
      <c r="AZ64" s="290">
        <v>1202367</v>
      </c>
      <c r="BA64" s="42"/>
      <c r="BB64" s="42"/>
      <c r="BD64" s="129"/>
    </row>
    <row r="65" spans="1:56">
      <c r="A65" s="235" t="s">
        <v>258</v>
      </c>
      <c r="B65" s="121">
        <v>1</v>
      </c>
      <c r="C65" s="131">
        <v>476.5</v>
      </c>
      <c r="D65" s="131">
        <v>0</v>
      </c>
      <c r="E65" s="82">
        <v>0</v>
      </c>
      <c r="F65" s="131">
        <v>0</v>
      </c>
      <c r="G65" s="199">
        <v>0</v>
      </c>
      <c r="H65" s="131">
        <v>0</v>
      </c>
      <c r="I65" s="131">
        <v>0</v>
      </c>
      <c r="J65" s="208">
        <v>0</v>
      </c>
      <c r="K65" s="127">
        <v>502</v>
      </c>
      <c r="L65" s="124">
        <v>0</v>
      </c>
      <c r="M65" s="121">
        <v>0</v>
      </c>
      <c r="N65" s="124">
        <v>8.5</v>
      </c>
      <c r="O65" s="124">
        <v>0</v>
      </c>
      <c r="P65" s="131">
        <v>107.7</v>
      </c>
      <c r="Q65" s="124">
        <v>0</v>
      </c>
      <c r="R65" s="124">
        <v>6.8</v>
      </c>
      <c r="S65" s="124">
        <v>0</v>
      </c>
      <c r="T65" s="127">
        <v>4</v>
      </c>
      <c r="U65" s="121">
        <v>0</v>
      </c>
      <c r="V65" s="121">
        <v>181</v>
      </c>
      <c r="W65" s="121">
        <v>0</v>
      </c>
      <c r="X65" s="131">
        <v>0</v>
      </c>
      <c r="Y65" s="119">
        <v>134</v>
      </c>
      <c r="Z65" s="82">
        <v>0</v>
      </c>
      <c r="AA65" s="79">
        <v>0</v>
      </c>
      <c r="AB65" s="79">
        <v>0</v>
      </c>
      <c r="AC65" s="209">
        <v>0</v>
      </c>
      <c r="AD65" s="211">
        <v>0</v>
      </c>
      <c r="AE65" s="89">
        <v>0</v>
      </c>
      <c r="AF65" s="89">
        <v>1.3</v>
      </c>
      <c r="AG65" s="89">
        <f>SUMIF('PreliminaryHD AR - School Level'!A66:A1372, "=" &amp; A65,'PreliminaryHD AR - School Level'!M66:M1372)</f>
        <v>6.9</v>
      </c>
      <c r="AH65" s="89">
        <v>828.2</v>
      </c>
      <c r="AI65" s="89">
        <f t="shared" si="0"/>
        <v>0</v>
      </c>
      <c r="AJ65" s="89">
        <f t="shared" si="1"/>
        <v>0</v>
      </c>
      <c r="AK65" s="89">
        <f t="shared" si="2"/>
        <v>476.5</v>
      </c>
      <c r="AL65" s="89">
        <f t="shared" si="3"/>
        <v>8.5</v>
      </c>
      <c r="AM65" s="89">
        <f t="shared" si="4"/>
        <v>6.8</v>
      </c>
      <c r="AN65" s="89">
        <f t="shared" si="5"/>
        <v>4</v>
      </c>
      <c r="AO65" s="89">
        <f t="shared" si="6"/>
        <v>107.7</v>
      </c>
      <c r="AP65" s="83">
        <f t="shared" si="7"/>
        <v>181</v>
      </c>
      <c r="AQ65" s="89">
        <f t="shared" si="8"/>
        <v>0</v>
      </c>
      <c r="AR65" s="89">
        <f t="shared" si="9"/>
        <v>134</v>
      </c>
      <c r="AS65" s="83">
        <f t="shared" si="10"/>
        <v>502</v>
      </c>
      <c r="AT65" s="89">
        <v>0</v>
      </c>
      <c r="AU65" s="89">
        <f t="shared" si="11"/>
        <v>6.9</v>
      </c>
      <c r="AV65" s="108">
        <v>4058793</v>
      </c>
      <c r="AW65" s="126">
        <v>828.2</v>
      </c>
      <c r="AX65" s="42">
        <v>828.2</v>
      </c>
      <c r="AY65" s="208">
        <f t="shared" si="12"/>
        <v>0</v>
      </c>
      <c r="AZ65" s="290">
        <v>237356</v>
      </c>
      <c r="BA65" s="42"/>
      <c r="BB65" s="42"/>
      <c r="BD65" s="129"/>
    </row>
    <row r="66" spans="1:56">
      <c r="A66" s="235" t="s">
        <v>259</v>
      </c>
      <c r="B66" s="121">
        <v>1</v>
      </c>
      <c r="C66" s="131">
        <v>241.5</v>
      </c>
      <c r="D66" s="131">
        <v>0</v>
      </c>
      <c r="E66" s="82">
        <v>0</v>
      </c>
      <c r="F66" s="131">
        <v>0</v>
      </c>
      <c r="G66" s="199">
        <v>0</v>
      </c>
      <c r="H66" s="131">
        <v>0</v>
      </c>
      <c r="I66" s="131">
        <v>0</v>
      </c>
      <c r="J66" s="208">
        <v>0</v>
      </c>
      <c r="K66" s="127">
        <v>245</v>
      </c>
      <c r="L66" s="124">
        <v>0</v>
      </c>
      <c r="M66" s="121">
        <v>0</v>
      </c>
      <c r="N66" s="124">
        <v>1</v>
      </c>
      <c r="O66" s="124">
        <v>0</v>
      </c>
      <c r="P66" s="131">
        <v>149.6</v>
      </c>
      <c r="Q66" s="124">
        <v>0</v>
      </c>
      <c r="R66" s="124">
        <v>7.3</v>
      </c>
      <c r="S66" s="124">
        <v>0</v>
      </c>
      <c r="T66" s="127">
        <v>5</v>
      </c>
      <c r="U66" s="121">
        <v>0</v>
      </c>
      <c r="V66" s="121">
        <v>95</v>
      </c>
      <c r="W66" s="121">
        <v>0</v>
      </c>
      <c r="X66" s="131">
        <v>0</v>
      </c>
      <c r="Y66" s="119">
        <v>55</v>
      </c>
      <c r="Z66" s="82">
        <v>0</v>
      </c>
      <c r="AA66" s="79">
        <v>0</v>
      </c>
      <c r="AB66" s="79">
        <v>0</v>
      </c>
      <c r="AC66" s="209">
        <v>0</v>
      </c>
      <c r="AD66" s="211">
        <v>0</v>
      </c>
      <c r="AE66" s="89">
        <v>0</v>
      </c>
      <c r="AF66" s="89">
        <v>2.5</v>
      </c>
      <c r="AG66" s="89">
        <f>SUMIF('PreliminaryHD AR - School Level'!A67:A1373, "=" &amp; A66,'PreliminaryHD AR - School Level'!M67:M1373)</f>
        <v>5</v>
      </c>
      <c r="AH66" s="89">
        <v>486.7</v>
      </c>
      <c r="AI66" s="89">
        <f t="shared" si="0"/>
        <v>0</v>
      </c>
      <c r="AJ66" s="89">
        <f t="shared" si="1"/>
        <v>0</v>
      </c>
      <c r="AK66" s="89">
        <f t="shared" si="2"/>
        <v>241.5</v>
      </c>
      <c r="AL66" s="89">
        <f t="shared" si="3"/>
        <v>1</v>
      </c>
      <c r="AM66" s="89">
        <f t="shared" si="4"/>
        <v>7.3</v>
      </c>
      <c r="AN66" s="89">
        <f t="shared" si="5"/>
        <v>5</v>
      </c>
      <c r="AO66" s="89">
        <f t="shared" si="6"/>
        <v>149.6</v>
      </c>
      <c r="AP66" s="83">
        <f t="shared" si="7"/>
        <v>95</v>
      </c>
      <c r="AQ66" s="89">
        <f t="shared" si="8"/>
        <v>0</v>
      </c>
      <c r="AR66" s="89">
        <f t="shared" si="9"/>
        <v>55</v>
      </c>
      <c r="AS66" s="83">
        <f t="shared" si="10"/>
        <v>245</v>
      </c>
      <c r="AT66" s="89">
        <v>0</v>
      </c>
      <c r="AU66" s="89">
        <f t="shared" si="11"/>
        <v>5</v>
      </c>
      <c r="AV66" s="108">
        <v>2410304</v>
      </c>
      <c r="AW66" s="126">
        <v>486.7</v>
      </c>
      <c r="AX66" s="42">
        <v>486.7</v>
      </c>
      <c r="AY66" s="208">
        <f t="shared" si="12"/>
        <v>0</v>
      </c>
      <c r="AZ66" s="290">
        <v>43567</v>
      </c>
      <c r="BA66" s="42"/>
      <c r="BB66" s="42"/>
      <c r="BD66" s="129"/>
    </row>
    <row r="67" spans="1:56">
      <c r="A67" s="259" t="s">
        <v>260</v>
      </c>
      <c r="B67" s="121">
        <v>1</v>
      </c>
      <c r="C67" s="131">
        <v>249</v>
      </c>
      <c r="D67" s="131">
        <v>0</v>
      </c>
      <c r="E67" s="82">
        <v>0</v>
      </c>
      <c r="F67" s="255">
        <v>0</v>
      </c>
      <c r="G67" s="199">
        <v>0</v>
      </c>
      <c r="H67" s="131">
        <v>0</v>
      </c>
      <c r="I67" s="131">
        <v>0</v>
      </c>
      <c r="J67" s="208">
        <v>0</v>
      </c>
      <c r="K67" s="127">
        <v>261</v>
      </c>
      <c r="L67" s="124">
        <v>0</v>
      </c>
      <c r="M67" s="254">
        <v>0</v>
      </c>
      <c r="N67" s="124">
        <v>5.5</v>
      </c>
      <c r="O67" s="256">
        <v>0</v>
      </c>
      <c r="P67" s="131">
        <v>76.2</v>
      </c>
      <c r="Q67" s="256">
        <v>0</v>
      </c>
      <c r="R67" s="124">
        <v>0</v>
      </c>
      <c r="S67" s="124">
        <v>0</v>
      </c>
      <c r="T67" s="127">
        <v>0</v>
      </c>
      <c r="U67" s="121">
        <v>0</v>
      </c>
      <c r="V67" s="121">
        <v>117</v>
      </c>
      <c r="W67" s="254">
        <v>0</v>
      </c>
      <c r="X67" s="131">
        <v>0</v>
      </c>
      <c r="Y67" s="119">
        <v>97</v>
      </c>
      <c r="Z67" s="257">
        <v>0</v>
      </c>
      <c r="AA67" s="79">
        <v>0</v>
      </c>
      <c r="AB67" s="79">
        <v>0</v>
      </c>
      <c r="AC67" s="209">
        <v>0</v>
      </c>
      <c r="AD67" s="211">
        <v>0</v>
      </c>
      <c r="AE67" s="89">
        <v>0</v>
      </c>
      <c r="AF67" s="89">
        <v>14.8</v>
      </c>
      <c r="AG67" s="89">
        <f>SUMIF('PreliminaryHD AR - School Level'!A68:A1374, "=" &amp; A67,'PreliminaryHD AR - School Level'!M68:M1374)</f>
        <v>8.1</v>
      </c>
      <c r="AH67" s="89">
        <v>539.1</v>
      </c>
      <c r="AI67" s="89">
        <f t="shared" si="0"/>
        <v>0</v>
      </c>
      <c r="AJ67" s="89">
        <f t="shared" si="1"/>
        <v>0</v>
      </c>
      <c r="AK67" s="89">
        <f t="shared" si="2"/>
        <v>249</v>
      </c>
      <c r="AL67" s="89">
        <f t="shared" si="3"/>
        <v>5.5</v>
      </c>
      <c r="AM67" s="89">
        <f t="shared" si="4"/>
        <v>0</v>
      </c>
      <c r="AN67" s="89">
        <f t="shared" si="5"/>
        <v>0</v>
      </c>
      <c r="AO67" s="89">
        <f t="shared" si="6"/>
        <v>76.2</v>
      </c>
      <c r="AP67" s="83">
        <f t="shared" si="7"/>
        <v>117</v>
      </c>
      <c r="AQ67" s="89">
        <f t="shared" si="8"/>
        <v>0</v>
      </c>
      <c r="AR67" s="89">
        <f t="shared" si="9"/>
        <v>97</v>
      </c>
      <c r="AS67" s="83">
        <f t="shared" si="10"/>
        <v>261</v>
      </c>
      <c r="AT67" s="89">
        <v>0</v>
      </c>
      <c r="AU67" s="89">
        <f t="shared" si="11"/>
        <v>14.8</v>
      </c>
      <c r="AV67" s="108">
        <v>2758896</v>
      </c>
      <c r="AW67" s="258">
        <v>539.1</v>
      </c>
      <c r="AX67" s="42">
        <v>539.1</v>
      </c>
      <c r="AY67" s="208">
        <f t="shared" si="12"/>
        <v>0</v>
      </c>
      <c r="AZ67" s="290">
        <v>196063</v>
      </c>
      <c r="BA67" s="260" t="s">
        <v>3586</v>
      </c>
      <c r="BB67" s="42"/>
      <c r="BD67" s="129"/>
    </row>
    <row r="68" spans="1:56">
      <c r="A68" s="235" t="s">
        <v>261</v>
      </c>
      <c r="B68" s="121">
        <v>1</v>
      </c>
      <c r="C68" s="131">
        <v>1152.5999999999999</v>
      </c>
      <c r="D68" s="131">
        <v>0</v>
      </c>
      <c r="E68" s="82">
        <v>0</v>
      </c>
      <c r="F68" s="131">
        <v>0</v>
      </c>
      <c r="G68" s="199">
        <v>0</v>
      </c>
      <c r="H68" s="131">
        <v>0</v>
      </c>
      <c r="I68" s="131">
        <v>0</v>
      </c>
      <c r="J68" s="208">
        <v>0</v>
      </c>
      <c r="K68" s="127">
        <v>1189</v>
      </c>
      <c r="L68" s="124">
        <v>0</v>
      </c>
      <c r="M68" s="121">
        <v>0</v>
      </c>
      <c r="N68" s="124">
        <v>11.5</v>
      </c>
      <c r="O68" s="124">
        <v>0</v>
      </c>
      <c r="P68" s="131">
        <v>535.6</v>
      </c>
      <c r="Q68" s="124">
        <v>0</v>
      </c>
      <c r="R68" s="124">
        <v>4.5</v>
      </c>
      <c r="S68" s="124">
        <v>0</v>
      </c>
      <c r="T68" s="127">
        <v>4</v>
      </c>
      <c r="U68" s="121">
        <v>0</v>
      </c>
      <c r="V68" s="121">
        <v>541</v>
      </c>
      <c r="W68" s="121">
        <v>0</v>
      </c>
      <c r="X68" s="131">
        <v>0</v>
      </c>
      <c r="Y68" s="119">
        <v>289</v>
      </c>
      <c r="Z68" s="82">
        <v>0</v>
      </c>
      <c r="AA68" s="79">
        <v>29</v>
      </c>
      <c r="AB68" s="79">
        <v>5.8</v>
      </c>
      <c r="AC68" s="209">
        <v>10</v>
      </c>
      <c r="AD68" s="211">
        <v>0</v>
      </c>
      <c r="AE68" s="89">
        <v>0</v>
      </c>
      <c r="AF68" s="89">
        <v>39.799999999999997</v>
      </c>
      <c r="AG68" s="89">
        <f>SUMIF('PreliminaryHD AR - School Level'!A69:A1375, "=" &amp; A68,'PreliminaryHD AR - School Level'!M69:M1375)</f>
        <v>39.5</v>
      </c>
      <c r="AH68" s="89">
        <v>1858.6</v>
      </c>
      <c r="AI68" s="89">
        <f t="shared" si="0"/>
        <v>0</v>
      </c>
      <c r="AJ68" s="89">
        <f t="shared" si="1"/>
        <v>0</v>
      </c>
      <c r="AK68" s="89">
        <f t="shared" si="2"/>
        <v>1152.5999999999999</v>
      </c>
      <c r="AL68" s="89">
        <f t="shared" si="3"/>
        <v>11.5</v>
      </c>
      <c r="AM68" s="89">
        <f t="shared" si="4"/>
        <v>4.5</v>
      </c>
      <c r="AN68" s="89">
        <f t="shared" si="5"/>
        <v>4</v>
      </c>
      <c r="AO68" s="89">
        <f t="shared" si="6"/>
        <v>535.6</v>
      </c>
      <c r="AP68" s="83">
        <f t="shared" si="7"/>
        <v>541</v>
      </c>
      <c r="AQ68" s="89">
        <f t="shared" si="8"/>
        <v>0</v>
      </c>
      <c r="AR68" s="89">
        <f t="shared" si="9"/>
        <v>289</v>
      </c>
      <c r="AS68" s="83">
        <f t="shared" si="10"/>
        <v>1189</v>
      </c>
      <c r="AT68" s="89">
        <v>0</v>
      </c>
      <c r="AU68" s="89">
        <f t="shared" si="11"/>
        <v>39.799999999999997</v>
      </c>
      <c r="AV68" s="108">
        <v>9759159</v>
      </c>
      <c r="AW68" s="126">
        <v>1858.6</v>
      </c>
      <c r="AX68" s="42">
        <v>1858.6</v>
      </c>
      <c r="AY68" s="208">
        <f t="shared" si="12"/>
        <v>0</v>
      </c>
      <c r="AZ68" s="290">
        <v>249179</v>
      </c>
      <c r="BA68" s="42"/>
      <c r="BB68" s="42"/>
      <c r="BD68" s="129"/>
    </row>
    <row r="69" spans="1:56">
      <c r="A69" s="235" t="s">
        <v>262</v>
      </c>
      <c r="B69" s="121">
        <v>1</v>
      </c>
      <c r="C69" s="131">
        <v>586.5</v>
      </c>
      <c r="D69" s="131">
        <v>0</v>
      </c>
      <c r="E69" s="82">
        <v>0</v>
      </c>
      <c r="F69" s="131">
        <v>0</v>
      </c>
      <c r="G69" s="199">
        <v>0</v>
      </c>
      <c r="H69" s="131">
        <v>0</v>
      </c>
      <c r="I69" s="131">
        <v>0</v>
      </c>
      <c r="J69" s="208">
        <v>0</v>
      </c>
      <c r="K69" s="127">
        <v>600</v>
      </c>
      <c r="L69" s="124">
        <v>0</v>
      </c>
      <c r="M69" s="121">
        <v>0</v>
      </c>
      <c r="N69" s="124">
        <v>5</v>
      </c>
      <c r="O69" s="124">
        <v>0</v>
      </c>
      <c r="P69" s="131">
        <v>250.8</v>
      </c>
      <c r="Q69" s="124">
        <v>0</v>
      </c>
      <c r="R69" s="124">
        <v>1.8</v>
      </c>
      <c r="S69" s="124">
        <v>0</v>
      </c>
      <c r="T69" s="127">
        <v>3</v>
      </c>
      <c r="U69" s="121">
        <v>0</v>
      </c>
      <c r="V69" s="121">
        <v>216</v>
      </c>
      <c r="W69" s="121">
        <v>0</v>
      </c>
      <c r="X69" s="131">
        <v>0</v>
      </c>
      <c r="Y69" s="119">
        <v>102</v>
      </c>
      <c r="Z69" s="82">
        <v>0</v>
      </c>
      <c r="AA69" s="79">
        <v>123</v>
      </c>
      <c r="AB69" s="79">
        <v>0.6</v>
      </c>
      <c r="AC69" s="209">
        <v>350</v>
      </c>
      <c r="AD69" s="211">
        <v>0</v>
      </c>
      <c r="AE69" s="89">
        <v>0</v>
      </c>
      <c r="AF69" s="89">
        <v>1.5</v>
      </c>
      <c r="AG69" s="89">
        <f>SUMIF('PreliminaryHD AR - School Level'!A70:A1376, "=" &amp; A69,'PreliminaryHD AR - School Level'!M70:M1376)</f>
        <v>2</v>
      </c>
      <c r="AH69" s="89">
        <v>972.7</v>
      </c>
      <c r="AI69" s="89">
        <f t="shared" ref="AI69:AI132" si="13">D69-I69</f>
        <v>0</v>
      </c>
      <c r="AJ69" s="89">
        <f t="shared" ref="AJ69:AJ132" si="14">E69-J69</f>
        <v>0</v>
      </c>
      <c r="AK69" s="89">
        <f t="shared" ref="AK69:AK132" si="15">C69+F69</f>
        <v>586.5</v>
      </c>
      <c r="AL69" s="89">
        <f t="shared" ref="AL69:AL132" si="16">N69+O69</f>
        <v>5</v>
      </c>
      <c r="AM69" s="89">
        <f t="shared" ref="AM69:AM132" si="17">R69+S69</f>
        <v>1.8</v>
      </c>
      <c r="AN69" s="89">
        <f t="shared" ref="AN69:AN132" si="18">T69+U69</f>
        <v>3</v>
      </c>
      <c r="AO69" s="89">
        <f t="shared" ref="AO69:AO132" si="19">P69+Q69</f>
        <v>250.8</v>
      </c>
      <c r="AP69" s="83">
        <f t="shared" ref="AP69:AP132" si="20">V69+W69</f>
        <v>216</v>
      </c>
      <c r="AQ69" s="89">
        <f t="shared" ref="AQ69:AQ132" si="21">AD69+AE69</f>
        <v>0</v>
      </c>
      <c r="AR69" s="89">
        <f t="shared" ref="AR69:AR132" si="22">Y69+Z69</f>
        <v>102</v>
      </c>
      <c r="AS69" s="83">
        <f t="shared" ref="AS69:AS132" si="23">K69+M69</f>
        <v>600</v>
      </c>
      <c r="AT69" s="89">
        <v>0</v>
      </c>
      <c r="AU69" s="89">
        <f t="shared" ref="AU69:AU132" si="24">MAX(AF69,AG69)</f>
        <v>2</v>
      </c>
      <c r="AV69" s="108">
        <v>5584936</v>
      </c>
      <c r="AW69" s="126">
        <v>972.7</v>
      </c>
      <c r="AX69" s="42">
        <v>972.7</v>
      </c>
      <c r="AY69" s="208">
        <f t="shared" ref="AY69:AY132" si="25">AX69-AH69</f>
        <v>0</v>
      </c>
      <c r="AZ69" s="290">
        <v>107572</v>
      </c>
      <c r="BA69" s="42"/>
      <c r="BB69" s="42"/>
      <c r="BD69" s="129"/>
    </row>
    <row r="70" spans="1:56">
      <c r="A70" s="235" t="s">
        <v>263</v>
      </c>
      <c r="B70" s="121">
        <v>1</v>
      </c>
      <c r="C70" s="131">
        <v>47197.8</v>
      </c>
      <c r="D70" s="131">
        <v>0</v>
      </c>
      <c r="E70" s="82">
        <v>0</v>
      </c>
      <c r="F70" s="131">
        <v>0</v>
      </c>
      <c r="G70" s="199">
        <v>0</v>
      </c>
      <c r="H70" s="131">
        <v>0</v>
      </c>
      <c r="I70" s="131">
        <v>0</v>
      </c>
      <c r="J70" s="208">
        <v>0</v>
      </c>
      <c r="K70" s="127">
        <v>49621</v>
      </c>
      <c r="L70" s="124">
        <v>0</v>
      </c>
      <c r="M70" s="121">
        <v>0</v>
      </c>
      <c r="N70" s="124">
        <v>947.5</v>
      </c>
      <c r="O70" s="124">
        <v>0</v>
      </c>
      <c r="P70" s="131">
        <v>10084.9</v>
      </c>
      <c r="Q70" s="124">
        <v>0</v>
      </c>
      <c r="R70" s="124">
        <v>33456.400000000001</v>
      </c>
      <c r="S70" s="124">
        <v>0</v>
      </c>
      <c r="T70" s="127">
        <v>10039</v>
      </c>
      <c r="U70" s="121">
        <v>0</v>
      </c>
      <c r="V70" s="254">
        <v>33373</v>
      </c>
      <c r="W70" s="121">
        <v>0</v>
      </c>
      <c r="X70" s="131">
        <v>3</v>
      </c>
      <c r="Y70" s="119">
        <v>14961</v>
      </c>
      <c r="Z70" s="82">
        <v>0</v>
      </c>
      <c r="AA70" s="79">
        <v>317</v>
      </c>
      <c r="AB70" s="79">
        <v>0.7</v>
      </c>
      <c r="AC70" s="209">
        <v>0</v>
      </c>
      <c r="AD70" s="211">
        <v>776</v>
      </c>
      <c r="AE70" s="89">
        <v>0</v>
      </c>
      <c r="AF70" s="89">
        <v>3504.2</v>
      </c>
      <c r="AG70" s="89">
        <f>SUMIF('PreliminaryHD AR - School Level'!A71:A1377, "=" &amp; A70,'PreliminaryHD AR - School Level'!M71:M1377)</f>
        <v>3298.6</v>
      </c>
      <c r="AH70" s="89">
        <v>74889.5</v>
      </c>
      <c r="AI70" s="89">
        <f t="shared" si="13"/>
        <v>0</v>
      </c>
      <c r="AJ70" s="89">
        <f t="shared" si="14"/>
        <v>0</v>
      </c>
      <c r="AK70" s="89">
        <f t="shared" si="15"/>
        <v>47197.8</v>
      </c>
      <c r="AL70" s="89">
        <f t="shared" si="16"/>
        <v>947.5</v>
      </c>
      <c r="AM70" s="89">
        <f t="shared" si="17"/>
        <v>33456.400000000001</v>
      </c>
      <c r="AN70" s="89">
        <f t="shared" si="18"/>
        <v>10039</v>
      </c>
      <c r="AO70" s="89">
        <f t="shared" si="19"/>
        <v>10084.9</v>
      </c>
      <c r="AP70" s="83">
        <f t="shared" si="20"/>
        <v>33373</v>
      </c>
      <c r="AQ70" s="89">
        <f t="shared" si="21"/>
        <v>776</v>
      </c>
      <c r="AR70" s="89">
        <f t="shared" si="22"/>
        <v>14961</v>
      </c>
      <c r="AS70" s="83">
        <f t="shared" si="23"/>
        <v>49621</v>
      </c>
      <c r="AT70" s="89">
        <v>0</v>
      </c>
      <c r="AU70" s="89">
        <f t="shared" si="24"/>
        <v>3504.2</v>
      </c>
      <c r="AV70" s="108">
        <v>364448777</v>
      </c>
      <c r="AW70" s="126">
        <v>74889.5</v>
      </c>
      <c r="AX70" s="42">
        <v>74889.5</v>
      </c>
      <c r="AY70" s="208">
        <f t="shared" si="25"/>
        <v>0</v>
      </c>
      <c r="AZ70" s="290">
        <v>12747349</v>
      </c>
      <c r="BB70" s="42"/>
      <c r="BD70" s="129"/>
    </row>
    <row r="71" spans="1:56" s="129" customFormat="1">
      <c r="A71" s="275" t="s">
        <v>264</v>
      </c>
      <c r="B71" s="121">
        <v>1</v>
      </c>
      <c r="C71" s="131">
        <v>6893.3</v>
      </c>
      <c r="D71" s="131">
        <v>0</v>
      </c>
      <c r="E71" s="82">
        <v>0</v>
      </c>
      <c r="F71" s="131">
        <v>50</v>
      </c>
      <c r="G71" s="267">
        <v>0</v>
      </c>
      <c r="H71" s="131">
        <v>0</v>
      </c>
      <c r="I71" s="131">
        <v>0</v>
      </c>
      <c r="J71" s="208">
        <v>0</v>
      </c>
      <c r="K71" s="127">
        <v>7290</v>
      </c>
      <c r="L71" s="124">
        <v>0</v>
      </c>
      <c r="M71" s="131">
        <v>50</v>
      </c>
      <c r="N71" s="124">
        <v>37.5</v>
      </c>
      <c r="O71" s="124">
        <v>0</v>
      </c>
      <c r="P71" s="131">
        <v>1571.5</v>
      </c>
      <c r="Q71" s="131">
        <v>45</v>
      </c>
      <c r="R71" s="124">
        <v>1607.6</v>
      </c>
      <c r="S71" s="131">
        <v>35</v>
      </c>
      <c r="T71" s="127">
        <v>639</v>
      </c>
      <c r="U71" s="131">
        <v>2</v>
      </c>
      <c r="V71" s="121">
        <v>2418</v>
      </c>
      <c r="W71" s="131">
        <v>12</v>
      </c>
      <c r="X71" s="131">
        <v>1</v>
      </c>
      <c r="Y71" s="119">
        <v>1646</v>
      </c>
      <c r="Z71" s="82">
        <v>0</v>
      </c>
      <c r="AA71" s="79">
        <v>10</v>
      </c>
      <c r="AB71" s="79">
        <v>1.1000000000000001</v>
      </c>
      <c r="AC71" s="210">
        <v>0</v>
      </c>
      <c r="AD71" s="212">
        <v>0</v>
      </c>
      <c r="AE71" s="124">
        <v>0</v>
      </c>
      <c r="AF71" s="124">
        <v>0</v>
      </c>
      <c r="AG71" s="89">
        <f>SUMIF('PreliminaryHD AR - School Level'!A72:A1378, "=" &amp; A71,'PreliminaryHD AR - School Level'!M72:M1378)</f>
        <v>59.4</v>
      </c>
      <c r="AH71" s="124">
        <v>8801.7999999999993</v>
      </c>
      <c r="AI71" s="124">
        <f t="shared" si="13"/>
        <v>0</v>
      </c>
      <c r="AJ71" s="124">
        <f t="shared" si="14"/>
        <v>0</v>
      </c>
      <c r="AK71" s="124">
        <f t="shared" si="15"/>
        <v>6943.3</v>
      </c>
      <c r="AL71" s="124">
        <f t="shared" si="16"/>
        <v>37.5</v>
      </c>
      <c r="AM71" s="124">
        <f t="shared" si="17"/>
        <v>1642.6</v>
      </c>
      <c r="AN71" s="124">
        <f t="shared" si="18"/>
        <v>641</v>
      </c>
      <c r="AO71" s="124">
        <f t="shared" si="19"/>
        <v>1616.5</v>
      </c>
      <c r="AP71" s="127">
        <f t="shared" si="20"/>
        <v>2430</v>
      </c>
      <c r="AQ71" s="124">
        <f t="shared" si="21"/>
        <v>0</v>
      </c>
      <c r="AR71" s="124">
        <f t="shared" si="22"/>
        <v>1646</v>
      </c>
      <c r="AS71" s="127">
        <f t="shared" si="23"/>
        <v>7340</v>
      </c>
      <c r="AT71" s="124">
        <v>0</v>
      </c>
      <c r="AU71" s="124">
        <f t="shared" si="24"/>
        <v>59.4</v>
      </c>
      <c r="AV71" s="148">
        <v>44501137</v>
      </c>
      <c r="AW71" s="95">
        <v>8801.7999999999993</v>
      </c>
      <c r="AX71" s="95">
        <v>8801.7999999999993</v>
      </c>
      <c r="AY71" s="208">
        <f t="shared" si="25"/>
        <v>0</v>
      </c>
      <c r="AZ71" s="290">
        <v>922648</v>
      </c>
      <c r="BA71" s="42"/>
      <c r="BB71" s="42"/>
    </row>
    <row r="72" spans="1:56">
      <c r="A72" s="235" t="s">
        <v>265</v>
      </c>
      <c r="B72" s="121">
        <v>1</v>
      </c>
      <c r="C72" s="131">
        <v>5588.4</v>
      </c>
      <c r="D72" s="131">
        <v>0</v>
      </c>
      <c r="E72" s="82">
        <v>0</v>
      </c>
      <c r="F72" s="131">
        <v>0</v>
      </c>
      <c r="G72" s="199">
        <v>0</v>
      </c>
      <c r="H72" s="131">
        <v>0</v>
      </c>
      <c r="I72" s="131">
        <v>0</v>
      </c>
      <c r="J72" s="208">
        <v>0</v>
      </c>
      <c r="K72" s="127">
        <v>5815</v>
      </c>
      <c r="L72" s="124">
        <v>0</v>
      </c>
      <c r="M72" s="121">
        <v>0</v>
      </c>
      <c r="N72" s="124">
        <v>80.5</v>
      </c>
      <c r="O72" s="124">
        <v>0</v>
      </c>
      <c r="P72" s="131">
        <v>1175.5999999999999</v>
      </c>
      <c r="Q72" s="124">
        <v>0</v>
      </c>
      <c r="R72" s="124">
        <v>377.6</v>
      </c>
      <c r="S72" s="124">
        <v>0</v>
      </c>
      <c r="T72" s="127">
        <v>207</v>
      </c>
      <c r="U72" s="121">
        <v>0</v>
      </c>
      <c r="V72" s="121">
        <v>2509</v>
      </c>
      <c r="W72" s="121">
        <v>0</v>
      </c>
      <c r="X72" s="131">
        <v>0</v>
      </c>
      <c r="Y72" s="119">
        <v>1559</v>
      </c>
      <c r="Z72" s="82">
        <v>0</v>
      </c>
      <c r="AA72" s="79">
        <v>0</v>
      </c>
      <c r="AB72" s="79">
        <v>0</v>
      </c>
      <c r="AC72" s="209">
        <v>0</v>
      </c>
      <c r="AD72" s="211">
        <v>313</v>
      </c>
      <c r="AE72" s="89">
        <v>0</v>
      </c>
      <c r="AF72" s="89">
        <v>143.1</v>
      </c>
      <c r="AG72" s="89">
        <f>SUMIF('PreliminaryHD AR - School Level'!A73:A1379, "=" &amp; A72,'PreliminaryHD AR - School Level'!M73:M1379)</f>
        <v>150.69999999999999</v>
      </c>
      <c r="AH72" s="89">
        <v>7673.1</v>
      </c>
      <c r="AI72" s="89">
        <f t="shared" si="13"/>
        <v>0</v>
      </c>
      <c r="AJ72" s="89">
        <f t="shared" si="14"/>
        <v>0</v>
      </c>
      <c r="AK72" s="89">
        <f t="shared" si="15"/>
        <v>5588.4</v>
      </c>
      <c r="AL72" s="89">
        <f t="shared" si="16"/>
        <v>80.5</v>
      </c>
      <c r="AM72" s="89">
        <f t="shared" si="17"/>
        <v>377.6</v>
      </c>
      <c r="AN72" s="89">
        <f t="shared" si="18"/>
        <v>207</v>
      </c>
      <c r="AO72" s="89">
        <f t="shared" si="19"/>
        <v>1175.5999999999999</v>
      </c>
      <c r="AP72" s="83">
        <f t="shared" si="20"/>
        <v>2509</v>
      </c>
      <c r="AQ72" s="89">
        <f t="shared" si="21"/>
        <v>313</v>
      </c>
      <c r="AR72" s="89">
        <f t="shared" si="22"/>
        <v>1559</v>
      </c>
      <c r="AS72" s="83">
        <f t="shared" si="23"/>
        <v>5815</v>
      </c>
      <c r="AT72" s="89">
        <v>0</v>
      </c>
      <c r="AU72" s="89">
        <f t="shared" si="24"/>
        <v>150.69999999999999</v>
      </c>
      <c r="AV72" s="108">
        <v>38778649</v>
      </c>
      <c r="AW72" s="126">
        <v>7673.1</v>
      </c>
      <c r="AX72" s="42">
        <v>7673.1</v>
      </c>
      <c r="AY72" s="208">
        <f t="shared" si="25"/>
        <v>0</v>
      </c>
      <c r="AZ72" s="290">
        <v>1492649</v>
      </c>
      <c r="BA72" s="42"/>
      <c r="BB72" s="42"/>
      <c r="BD72" s="129"/>
    </row>
    <row r="73" spans="1:56">
      <c r="A73" s="235" t="s">
        <v>266</v>
      </c>
      <c r="B73" s="121">
        <v>1</v>
      </c>
      <c r="C73" s="131">
        <v>2897.8</v>
      </c>
      <c r="D73" s="131">
        <v>0</v>
      </c>
      <c r="E73" s="82">
        <v>0</v>
      </c>
      <c r="F73" s="131">
        <v>0</v>
      </c>
      <c r="G73" s="199">
        <v>0</v>
      </c>
      <c r="H73" s="131">
        <v>0</v>
      </c>
      <c r="I73" s="131">
        <v>0</v>
      </c>
      <c r="J73" s="208">
        <v>0</v>
      </c>
      <c r="K73" s="127">
        <v>2957</v>
      </c>
      <c r="L73" s="124">
        <v>0</v>
      </c>
      <c r="M73" s="121">
        <v>0</v>
      </c>
      <c r="N73" s="124">
        <v>23</v>
      </c>
      <c r="O73" s="124">
        <v>0</v>
      </c>
      <c r="P73" s="131">
        <v>1004.2</v>
      </c>
      <c r="Q73" s="124">
        <v>0</v>
      </c>
      <c r="R73" s="124">
        <v>191.3</v>
      </c>
      <c r="S73" s="124">
        <v>0</v>
      </c>
      <c r="T73" s="127">
        <v>80</v>
      </c>
      <c r="U73" s="121">
        <v>0</v>
      </c>
      <c r="V73" s="121">
        <v>868</v>
      </c>
      <c r="W73" s="121">
        <v>0</v>
      </c>
      <c r="X73" s="131">
        <v>0</v>
      </c>
      <c r="Y73" s="119">
        <v>1458</v>
      </c>
      <c r="Z73" s="82">
        <v>0</v>
      </c>
      <c r="AA73" s="79">
        <v>38</v>
      </c>
      <c r="AB73" s="79">
        <v>0</v>
      </c>
      <c r="AC73" s="209">
        <v>55</v>
      </c>
      <c r="AD73" s="211">
        <v>0</v>
      </c>
      <c r="AE73" s="89">
        <v>0</v>
      </c>
      <c r="AF73" s="89">
        <v>0</v>
      </c>
      <c r="AG73" s="89">
        <f>SUMIF('PreliminaryHD AR - School Level'!A74:A1380, "=" &amp; A73,'PreliminaryHD AR - School Level'!M74:M1380)</f>
        <v>0</v>
      </c>
      <c r="AH73" s="89">
        <v>3661.3</v>
      </c>
      <c r="AI73" s="89">
        <f t="shared" si="13"/>
        <v>0</v>
      </c>
      <c r="AJ73" s="89">
        <f t="shared" si="14"/>
        <v>0</v>
      </c>
      <c r="AK73" s="89">
        <f t="shared" si="15"/>
        <v>2897.8</v>
      </c>
      <c r="AL73" s="89">
        <f t="shared" si="16"/>
        <v>23</v>
      </c>
      <c r="AM73" s="89">
        <f t="shared" si="17"/>
        <v>191.3</v>
      </c>
      <c r="AN73" s="89">
        <f t="shared" si="18"/>
        <v>80</v>
      </c>
      <c r="AO73" s="89">
        <f t="shared" si="19"/>
        <v>1004.2</v>
      </c>
      <c r="AP73" s="83">
        <f t="shared" si="20"/>
        <v>868</v>
      </c>
      <c r="AQ73" s="89">
        <f t="shared" si="21"/>
        <v>0</v>
      </c>
      <c r="AR73" s="89">
        <f t="shared" si="22"/>
        <v>1458</v>
      </c>
      <c r="AS73" s="83">
        <f t="shared" si="23"/>
        <v>2957</v>
      </c>
      <c r="AT73" s="89">
        <v>0</v>
      </c>
      <c r="AU73" s="89">
        <f t="shared" si="24"/>
        <v>0</v>
      </c>
      <c r="AV73" s="108">
        <v>18806159</v>
      </c>
      <c r="AW73" s="126">
        <v>3661.3</v>
      </c>
      <c r="AX73" s="42">
        <v>3661.3</v>
      </c>
      <c r="AY73" s="208">
        <f t="shared" si="25"/>
        <v>0</v>
      </c>
      <c r="AZ73" s="290">
        <v>862614</v>
      </c>
      <c r="BA73" s="42"/>
      <c r="BB73" s="42"/>
      <c r="BD73" s="129"/>
    </row>
    <row r="74" spans="1:56">
      <c r="A74" s="235" t="s">
        <v>267</v>
      </c>
      <c r="B74" s="121">
        <v>1</v>
      </c>
      <c r="C74" s="131">
        <v>1786.5</v>
      </c>
      <c r="D74" s="131">
        <v>0</v>
      </c>
      <c r="E74" s="82">
        <v>0</v>
      </c>
      <c r="F74" s="131">
        <v>0</v>
      </c>
      <c r="G74" s="199">
        <v>0</v>
      </c>
      <c r="H74" s="131">
        <v>0</v>
      </c>
      <c r="I74" s="131">
        <v>0</v>
      </c>
      <c r="J74" s="208">
        <v>0</v>
      </c>
      <c r="K74" s="127">
        <v>1838</v>
      </c>
      <c r="L74" s="124">
        <v>0</v>
      </c>
      <c r="M74" s="121">
        <v>0</v>
      </c>
      <c r="N74" s="124">
        <v>16.5</v>
      </c>
      <c r="O74" s="124">
        <v>0</v>
      </c>
      <c r="P74" s="131">
        <v>486.9</v>
      </c>
      <c r="Q74" s="124">
        <v>0</v>
      </c>
      <c r="R74" s="124">
        <v>9.1</v>
      </c>
      <c r="S74" s="124">
        <v>0</v>
      </c>
      <c r="T74" s="127">
        <v>11</v>
      </c>
      <c r="U74" s="121">
        <v>0</v>
      </c>
      <c r="V74" s="121">
        <v>523</v>
      </c>
      <c r="W74" s="121">
        <v>0</v>
      </c>
      <c r="X74" s="131">
        <v>0</v>
      </c>
      <c r="Y74" s="119">
        <v>424</v>
      </c>
      <c r="Z74" s="82">
        <v>0</v>
      </c>
      <c r="AA74" s="79">
        <v>0</v>
      </c>
      <c r="AB74" s="79">
        <v>0</v>
      </c>
      <c r="AC74" s="209">
        <v>0</v>
      </c>
      <c r="AD74" s="211">
        <v>0</v>
      </c>
      <c r="AE74" s="89">
        <v>0</v>
      </c>
      <c r="AF74" s="89">
        <v>0</v>
      </c>
      <c r="AG74" s="89">
        <f>SUMIF('PreliminaryHD AR - School Level'!A75:A1381, "=" &amp; A74,'PreliminaryHD AR - School Level'!M75:M1381)</f>
        <v>0</v>
      </c>
      <c r="AH74" s="89">
        <v>2185.1</v>
      </c>
      <c r="AI74" s="89">
        <f t="shared" si="13"/>
        <v>0</v>
      </c>
      <c r="AJ74" s="89">
        <f t="shared" si="14"/>
        <v>0</v>
      </c>
      <c r="AK74" s="89">
        <f t="shared" si="15"/>
        <v>1786.5</v>
      </c>
      <c r="AL74" s="89">
        <f t="shared" si="16"/>
        <v>16.5</v>
      </c>
      <c r="AM74" s="89">
        <f t="shared" si="17"/>
        <v>9.1</v>
      </c>
      <c r="AN74" s="89">
        <f t="shared" si="18"/>
        <v>11</v>
      </c>
      <c r="AO74" s="89">
        <f t="shared" si="19"/>
        <v>486.9</v>
      </c>
      <c r="AP74" s="83">
        <f t="shared" si="20"/>
        <v>523</v>
      </c>
      <c r="AQ74" s="89">
        <f t="shared" si="21"/>
        <v>0</v>
      </c>
      <c r="AR74" s="89">
        <f t="shared" si="22"/>
        <v>424</v>
      </c>
      <c r="AS74" s="83">
        <f t="shared" si="23"/>
        <v>1838</v>
      </c>
      <c r="AT74" s="89">
        <v>0</v>
      </c>
      <c r="AU74" s="89">
        <f t="shared" si="24"/>
        <v>0</v>
      </c>
      <c r="AV74" s="108">
        <v>11025588</v>
      </c>
      <c r="AW74" s="126">
        <v>2185.1</v>
      </c>
      <c r="AX74" s="42">
        <v>2185.1</v>
      </c>
      <c r="AY74" s="208">
        <f t="shared" si="25"/>
        <v>0</v>
      </c>
      <c r="AZ74" s="290">
        <v>287509</v>
      </c>
      <c r="BA74" s="42"/>
      <c r="BB74" s="42"/>
      <c r="BD74" s="129"/>
    </row>
    <row r="75" spans="1:56">
      <c r="A75" s="235" t="s">
        <v>268</v>
      </c>
      <c r="B75" s="121">
        <v>1</v>
      </c>
      <c r="C75" s="131">
        <v>1108.5</v>
      </c>
      <c r="D75" s="131">
        <v>0</v>
      </c>
      <c r="E75" s="82">
        <v>0</v>
      </c>
      <c r="F75" s="131">
        <v>0</v>
      </c>
      <c r="G75" s="199">
        <v>0</v>
      </c>
      <c r="H75" s="131">
        <v>0</v>
      </c>
      <c r="I75" s="131">
        <v>0</v>
      </c>
      <c r="J75" s="208">
        <v>0</v>
      </c>
      <c r="K75" s="127">
        <v>1125</v>
      </c>
      <c r="L75" s="124">
        <v>0</v>
      </c>
      <c r="M75" s="121">
        <v>0</v>
      </c>
      <c r="N75" s="124">
        <v>5.5</v>
      </c>
      <c r="O75" s="124">
        <v>0</v>
      </c>
      <c r="P75" s="131">
        <v>167.8</v>
      </c>
      <c r="Q75" s="124">
        <v>0</v>
      </c>
      <c r="R75" s="124">
        <v>0</v>
      </c>
      <c r="S75" s="124">
        <v>0</v>
      </c>
      <c r="T75" s="127">
        <v>5</v>
      </c>
      <c r="U75" s="121">
        <v>0</v>
      </c>
      <c r="V75" s="121">
        <v>210</v>
      </c>
      <c r="W75" s="121">
        <v>0</v>
      </c>
      <c r="X75" s="131">
        <v>0</v>
      </c>
      <c r="Y75" s="119">
        <v>479</v>
      </c>
      <c r="Z75" s="82">
        <v>0</v>
      </c>
      <c r="AA75" s="79">
        <v>0</v>
      </c>
      <c r="AB75" s="79">
        <v>0</v>
      </c>
      <c r="AC75" s="209">
        <v>0</v>
      </c>
      <c r="AD75" s="211">
        <v>0</v>
      </c>
      <c r="AE75" s="89">
        <v>0</v>
      </c>
      <c r="AF75" s="89">
        <v>0</v>
      </c>
      <c r="AG75" s="89">
        <f>SUMIF('PreliminaryHD AR - School Level'!A76:A1382, "=" &amp; A75,'PreliminaryHD AR - School Level'!M76:M1382)</f>
        <v>0</v>
      </c>
      <c r="AH75" s="89">
        <v>1565.8</v>
      </c>
      <c r="AI75" s="89">
        <f t="shared" si="13"/>
        <v>0</v>
      </c>
      <c r="AJ75" s="89">
        <f t="shared" si="14"/>
        <v>0</v>
      </c>
      <c r="AK75" s="89">
        <f t="shared" si="15"/>
        <v>1108.5</v>
      </c>
      <c r="AL75" s="89">
        <f t="shared" si="16"/>
        <v>5.5</v>
      </c>
      <c r="AM75" s="89">
        <f t="shared" si="17"/>
        <v>0</v>
      </c>
      <c r="AN75" s="89">
        <f t="shared" si="18"/>
        <v>5</v>
      </c>
      <c r="AO75" s="89">
        <f t="shared" si="19"/>
        <v>167.8</v>
      </c>
      <c r="AP75" s="83">
        <f t="shared" si="20"/>
        <v>210</v>
      </c>
      <c r="AQ75" s="89">
        <f t="shared" si="21"/>
        <v>0</v>
      </c>
      <c r="AR75" s="89">
        <f t="shared" si="22"/>
        <v>479</v>
      </c>
      <c r="AS75" s="83">
        <f t="shared" si="23"/>
        <v>1125</v>
      </c>
      <c r="AT75" s="89">
        <v>0</v>
      </c>
      <c r="AU75" s="89">
        <f t="shared" si="24"/>
        <v>0</v>
      </c>
      <c r="AV75" s="108">
        <v>7853524</v>
      </c>
      <c r="AW75" s="126">
        <v>1565.8</v>
      </c>
      <c r="AX75" s="42">
        <v>1565.8</v>
      </c>
      <c r="AY75" s="208">
        <f t="shared" si="25"/>
        <v>0</v>
      </c>
      <c r="AZ75" s="290">
        <v>329920</v>
      </c>
      <c r="BA75" s="42"/>
      <c r="BB75" s="42"/>
      <c r="BD75" s="129"/>
    </row>
    <row r="76" spans="1:56">
      <c r="A76" s="235" t="s">
        <v>269</v>
      </c>
      <c r="B76" s="121">
        <v>1</v>
      </c>
      <c r="C76" s="131">
        <v>5761.2</v>
      </c>
      <c r="D76" s="131">
        <v>0</v>
      </c>
      <c r="E76" s="82">
        <v>0</v>
      </c>
      <c r="F76" s="131">
        <v>0</v>
      </c>
      <c r="G76" s="199">
        <v>0</v>
      </c>
      <c r="H76" s="131">
        <v>0</v>
      </c>
      <c r="I76" s="131">
        <v>0</v>
      </c>
      <c r="J76" s="208">
        <v>0</v>
      </c>
      <c r="K76" s="127">
        <v>5995</v>
      </c>
      <c r="L76" s="124">
        <v>0</v>
      </c>
      <c r="M76" s="121">
        <v>0</v>
      </c>
      <c r="N76" s="124">
        <v>34</v>
      </c>
      <c r="O76" s="124">
        <v>0</v>
      </c>
      <c r="P76" s="131">
        <v>1517.7</v>
      </c>
      <c r="Q76" s="124">
        <v>0</v>
      </c>
      <c r="R76" s="124">
        <v>440.7</v>
      </c>
      <c r="S76" s="124">
        <v>0</v>
      </c>
      <c r="T76" s="127">
        <v>150</v>
      </c>
      <c r="U76" s="121">
        <v>0</v>
      </c>
      <c r="V76" s="121">
        <v>952</v>
      </c>
      <c r="W76" s="121">
        <v>0</v>
      </c>
      <c r="X76" s="131">
        <v>2</v>
      </c>
      <c r="Y76" s="119">
        <v>4225</v>
      </c>
      <c r="Z76" s="82">
        <v>0</v>
      </c>
      <c r="AA76" s="79">
        <v>33</v>
      </c>
      <c r="AB76" s="79">
        <v>1.9</v>
      </c>
      <c r="AC76" s="209">
        <v>24</v>
      </c>
      <c r="AD76" s="211">
        <v>0</v>
      </c>
      <c r="AE76" s="89">
        <v>0</v>
      </c>
      <c r="AF76" s="89">
        <v>0</v>
      </c>
      <c r="AG76" s="89">
        <f>SUMIF('PreliminaryHD AR - School Level'!A77:A1383, "=" &amp; A76,'PreliminaryHD AR - School Level'!M77:M1383)</f>
        <v>0</v>
      </c>
      <c r="AH76" s="89">
        <v>7014.4</v>
      </c>
      <c r="AI76" s="89">
        <f t="shared" si="13"/>
        <v>0</v>
      </c>
      <c r="AJ76" s="89">
        <f t="shared" si="14"/>
        <v>0</v>
      </c>
      <c r="AK76" s="89">
        <f t="shared" si="15"/>
        <v>5761.2</v>
      </c>
      <c r="AL76" s="89">
        <f t="shared" si="16"/>
        <v>34</v>
      </c>
      <c r="AM76" s="89">
        <f t="shared" si="17"/>
        <v>440.7</v>
      </c>
      <c r="AN76" s="89">
        <f t="shared" si="18"/>
        <v>150</v>
      </c>
      <c r="AO76" s="89">
        <f t="shared" si="19"/>
        <v>1517.7</v>
      </c>
      <c r="AP76" s="83">
        <f t="shared" si="20"/>
        <v>952</v>
      </c>
      <c r="AQ76" s="89">
        <f t="shared" si="21"/>
        <v>0</v>
      </c>
      <c r="AR76" s="89">
        <f t="shared" si="22"/>
        <v>4225</v>
      </c>
      <c r="AS76" s="83">
        <f t="shared" si="23"/>
        <v>5995</v>
      </c>
      <c r="AT76" s="89">
        <v>0</v>
      </c>
      <c r="AU76" s="89">
        <f t="shared" si="24"/>
        <v>0</v>
      </c>
      <c r="AV76" s="108">
        <v>35430412</v>
      </c>
      <c r="AW76" s="126">
        <v>7014.4</v>
      </c>
      <c r="AX76" s="42">
        <v>7014.4</v>
      </c>
      <c r="AY76" s="208">
        <f t="shared" si="25"/>
        <v>0</v>
      </c>
      <c r="AZ76" s="290">
        <v>2250046</v>
      </c>
      <c r="BA76" s="42"/>
      <c r="BB76" s="42"/>
      <c r="BD76" s="129"/>
    </row>
    <row r="77" spans="1:56">
      <c r="A77" s="235" t="s">
        <v>270</v>
      </c>
      <c r="B77" s="121">
        <v>1</v>
      </c>
      <c r="C77" s="131">
        <v>7126.5</v>
      </c>
      <c r="D77" s="131">
        <v>0</v>
      </c>
      <c r="E77" s="82">
        <v>0</v>
      </c>
      <c r="F77" s="131">
        <v>0</v>
      </c>
      <c r="G77" s="199">
        <v>0</v>
      </c>
      <c r="H77" s="131">
        <v>0</v>
      </c>
      <c r="I77" s="131">
        <v>0</v>
      </c>
      <c r="J77" s="208">
        <v>0</v>
      </c>
      <c r="K77" s="127">
        <v>7226</v>
      </c>
      <c r="L77" s="124">
        <v>0</v>
      </c>
      <c r="M77" s="121">
        <v>0</v>
      </c>
      <c r="N77" s="124">
        <v>21.5</v>
      </c>
      <c r="O77" s="124">
        <v>0</v>
      </c>
      <c r="P77" s="131">
        <v>1786.3</v>
      </c>
      <c r="Q77" s="124">
        <v>0</v>
      </c>
      <c r="R77" s="124">
        <v>398.2</v>
      </c>
      <c r="S77" s="124">
        <v>0</v>
      </c>
      <c r="T77" s="127">
        <v>149</v>
      </c>
      <c r="U77" s="121">
        <v>0</v>
      </c>
      <c r="V77" s="121">
        <v>1061</v>
      </c>
      <c r="W77" s="121">
        <v>0</v>
      </c>
      <c r="X77" s="131">
        <v>1</v>
      </c>
      <c r="Y77" s="119">
        <v>4407</v>
      </c>
      <c r="Z77" s="82">
        <v>0</v>
      </c>
      <c r="AA77" s="79">
        <v>403</v>
      </c>
      <c r="AB77" s="79">
        <v>0</v>
      </c>
      <c r="AC77" s="209">
        <v>0</v>
      </c>
      <c r="AD77" s="211">
        <v>238.7</v>
      </c>
      <c r="AE77" s="89">
        <v>0</v>
      </c>
      <c r="AF77" s="89">
        <v>0</v>
      </c>
      <c r="AG77" s="89">
        <f>SUMIF('PreliminaryHD AR - School Level'!A78:A1384, "=" &amp; A77,'PreliminaryHD AR - School Level'!M78:M1384)</f>
        <v>0</v>
      </c>
      <c r="AH77" s="89">
        <v>8528.6</v>
      </c>
      <c r="AI77" s="89">
        <f t="shared" si="13"/>
        <v>0</v>
      </c>
      <c r="AJ77" s="89">
        <f t="shared" si="14"/>
        <v>0</v>
      </c>
      <c r="AK77" s="89">
        <f t="shared" si="15"/>
        <v>7126.5</v>
      </c>
      <c r="AL77" s="89">
        <f t="shared" si="16"/>
        <v>21.5</v>
      </c>
      <c r="AM77" s="89">
        <f t="shared" si="17"/>
        <v>398.2</v>
      </c>
      <c r="AN77" s="89">
        <f t="shared" si="18"/>
        <v>149</v>
      </c>
      <c r="AO77" s="89">
        <f t="shared" si="19"/>
        <v>1786.3</v>
      </c>
      <c r="AP77" s="83">
        <f t="shared" si="20"/>
        <v>1061</v>
      </c>
      <c r="AQ77" s="89">
        <f t="shared" si="21"/>
        <v>238.7</v>
      </c>
      <c r="AR77" s="89">
        <f t="shared" si="22"/>
        <v>4407</v>
      </c>
      <c r="AS77" s="83">
        <f t="shared" si="23"/>
        <v>7226</v>
      </c>
      <c r="AT77" s="89">
        <v>0</v>
      </c>
      <c r="AU77" s="89">
        <f t="shared" si="24"/>
        <v>0</v>
      </c>
      <c r="AV77" s="108">
        <v>45312696</v>
      </c>
      <c r="AW77" s="126">
        <v>8528.6</v>
      </c>
      <c r="AX77" s="42">
        <v>8528.6</v>
      </c>
      <c r="AY77" s="208">
        <f t="shared" si="25"/>
        <v>0</v>
      </c>
      <c r="AZ77" s="290">
        <v>1897958</v>
      </c>
      <c r="BA77" s="42"/>
      <c r="BB77" s="42"/>
      <c r="BD77" s="129"/>
    </row>
    <row r="78" spans="1:56">
      <c r="A78" s="235" t="s">
        <v>271</v>
      </c>
      <c r="B78" s="121">
        <v>1</v>
      </c>
      <c r="C78" s="131">
        <v>1786.5</v>
      </c>
      <c r="D78" s="131">
        <v>0</v>
      </c>
      <c r="E78" s="82">
        <v>0</v>
      </c>
      <c r="F78" s="131">
        <v>0</v>
      </c>
      <c r="G78" s="199">
        <v>0</v>
      </c>
      <c r="H78" s="131">
        <v>0</v>
      </c>
      <c r="I78" s="131">
        <v>0</v>
      </c>
      <c r="J78" s="208">
        <v>0</v>
      </c>
      <c r="K78" s="127">
        <v>1797</v>
      </c>
      <c r="L78" s="124">
        <v>0</v>
      </c>
      <c r="M78" s="121">
        <v>0</v>
      </c>
      <c r="N78" s="124">
        <v>0</v>
      </c>
      <c r="O78" s="124">
        <v>0</v>
      </c>
      <c r="P78" s="131">
        <v>617.5</v>
      </c>
      <c r="Q78" s="124">
        <v>0</v>
      </c>
      <c r="R78" s="124">
        <v>0.7</v>
      </c>
      <c r="S78" s="124">
        <v>0</v>
      </c>
      <c r="T78" s="127">
        <v>1</v>
      </c>
      <c r="U78" s="121">
        <v>0</v>
      </c>
      <c r="V78" s="121">
        <v>162</v>
      </c>
      <c r="W78" s="121">
        <v>0</v>
      </c>
      <c r="X78" s="131">
        <v>0</v>
      </c>
      <c r="Y78" s="119">
        <v>737.5</v>
      </c>
      <c r="Z78" s="82">
        <v>0</v>
      </c>
      <c r="AA78" s="79">
        <v>0</v>
      </c>
      <c r="AB78" s="79">
        <v>0</v>
      </c>
      <c r="AC78" s="209">
        <v>0</v>
      </c>
      <c r="AD78" s="211">
        <v>0</v>
      </c>
      <c r="AE78" s="89">
        <v>0</v>
      </c>
      <c r="AF78" s="89">
        <v>0</v>
      </c>
      <c r="AG78" s="89">
        <f>SUMIF('PreliminaryHD AR - School Level'!A79:A1385, "=" &amp; A78,'PreliminaryHD AR - School Level'!M79:M1385)</f>
        <v>0</v>
      </c>
      <c r="AH78" s="89">
        <v>2192.1999999999998</v>
      </c>
      <c r="AI78" s="89">
        <f t="shared" si="13"/>
        <v>0</v>
      </c>
      <c r="AJ78" s="89">
        <f t="shared" si="14"/>
        <v>0</v>
      </c>
      <c r="AK78" s="89">
        <f t="shared" si="15"/>
        <v>1786.5</v>
      </c>
      <c r="AL78" s="89">
        <f t="shared" si="16"/>
        <v>0</v>
      </c>
      <c r="AM78" s="89">
        <f t="shared" si="17"/>
        <v>0.7</v>
      </c>
      <c r="AN78" s="89">
        <f t="shared" si="18"/>
        <v>1</v>
      </c>
      <c r="AO78" s="89">
        <f t="shared" si="19"/>
        <v>617.5</v>
      </c>
      <c r="AP78" s="83">
        <f t="shared" si="20"/>
        <v>162</v>
      </c>
      <c r="AQ78" s="89">
        <f t="shared" si="21"/>
        <v>0</v>
      </c>
      <c r="AR78" s="89">
        <f t="shared" si="22"/>
        <v>737.5</v>
      </c>
      <c r="AS78" s="83">
        <f t="shared" si="23"/>
        <v>1797</v>
      </c>
      <c r="AT78" s="89">
        <v>0</v>
      </c>
      <c r="AU78" s="89">
        <f t="shared" si="24"/>
        <v>0</v>
      </c>
      <c r="AV78" s="108">
        <v>11462913</v>
      </c>
      <c r="AW78" s="126">
        <v>2192.1999999999998</v>
      </c>
      <c r="AX78" s="42">
        <v>2192.1999999999998</v>
      </c>
      <c r="AY78" s="208">
        <f t="shared" si="25"/>
        <v>0</v>
      </c>
      <c r="AZ78" s="290">
        <v>374110</v>
      </c>
      <c r="BA78" s="42"/>
      <c r="BB78" s="42"/>
      <c r="BD78" s="129"/>
    </row>
    <row r="79" spans="1:56">
      <c r="A79" s="235" t="s">
        <v>272</v>
      </c>
      <c r="B79" s="121">
        <v>1</v>
      </c>
      <c r="C79" s="131">
        <v>749.3</v>
      </c>
      <c r="D79" s="131">
        <v>0</v>
      </c>
      <c r="E79" s="82">
        <v>0</v>
      </c>
      <c r="F79" s="131">
        <v>0</v>
      </c>
      <c r="G79" s="199">
        <v>0</v>
      </c>
      <c r="H79" s="131">
        <v>0</v>
      </c>
      <c r="I79" s="131">
        <v>0</v>
      </c>
      <c r="J79" s="208">
        <v>0</v>
      </c>
      <c r="K79" s="127">
        <v>786</v>
      </c>
      <c r="L79" s="124">
        <v>0</v>
      </c>
      <c r="M79" s="121">
        <v>0</v>
      </c>
      <c r="N79" s="124">
        <v>17</v>
      </c>
      <c r="O79" s="124">
        <v>0</v>
      </c>
      <c r="P79" s="131">
        <v>299.2</v>
      </c>
      <c r="Q79" s="124">
        <v>0</v>
      </c>
      <c r="R79" s="124">
        <v>0</v>
      </c>
      <c r="S79" s="124">
        <v>0</v>
      </c>
      <c r="T79" s="127">
        <v>0</v>
      </c>
      <c r="U79" s="121">
        <v>0</v>
      </c>
      <c r="V79" s="121">
        <v>125</v>
      </c>
      <c r="W79" s="121">
        <v>0</v>
      </c>
      <c r="X79" s="131">
        <v>0</v>
      </c>
      <c r="Y79" s="119">
        <v>183</v>
      </c>
      <c r="Z79" s="82">
        <v>0</v>
      </c>
      <c r="AA79" s="79">
        <v>0</v>
      </c>
      <c r="AB79" s="79">
        <v>0</v>
      </c>
      <c r="AC79" s="209">
        <v>0</v>
      </c>
      <c r="AD79" s="211">
        <v>0</v>
      </c>
      <c r="AE79" s="89">
        <v>0</v>
      </c>
      <c r="AF79" s="89">
        <v>0</v>
      </c>
      <c r="AG79" s="89">
        <f>SUMIF('PreliminaryHD AR - School Level'!A80:A1386, "=" &amp; A79,'PreliminaryHD AR - School Level'!M80:M1386)</f>
        <v>0</v>
      </c>
      <c r="AH79" s="89">
        <v>1169.3</v>
      </c>
      <c r="AI79" s="89">
        <f t="shared" si="13"/>
        <v>0</v>
      </c>
      <c r="AJ79" s="89">
        <f t="shared" si="14"/>
        <v>0</v>
      </c>
      <c r="AK79" s="89">
        <f t="shared" si="15"/>
        <v>749.3</v>
      </c>
      <c r="AL79" s="89">
        <f t="shared" si="16"/>
        <v>17</v>
      </c>
      <c r="AM79" s="89">
        <f t="shared" si="17"/>
        <v>0</v>
      </c>
      <c r="AN79" s="89">
        <f t="shared" si="18"/>
        <v>0</v>
      </c>
      <c r="AO79" s="89">
        <f t="shared" si="19"/>
        <v>299.2</v>
      </c>
      <c r="AP79" s="83">
        <f t="shared" si="20"/>
        <v>125</v>
      </c>
      <c r="AQ79" s="89">
        <f t="shared" si="21"/>
        <v>0</v>
      </c>
      <c r="AR79" s="89">
        <f t="shared" si="22"/>
        <v>183</v>
      </c>
      <c r="AS79" s="83">
        <f t="shared" si="23"/>
        <v>786</v>
      </c>
      <c r="AT79" s="89">
        <v>0</v>
      </c>
      <c r="AU79" s="89">
        <f t="shared" si="24"/>
        <v>0</v>
      </c>
      <c r="AV79" s="108">
        <v>6017592</v>
      </c>
      <c r="AW79" s="126">
        <v>1169.3</v>
      </c>
      <c r="AX79" s="42">
        <v>1169.3</v>
      </c>
      <c r="AY79" s="208">
        <f t="shared" si="25"/>
        <v>0</v>
      </c>
      <c r="AZ79" s="290">
        <v>205470</v>
      </c>
      <c r="BA79" s="42"/>
      <c r="BB79" s="42"/>
      <c r="BD79" s="129"/>
    </row>
    <row r="80" spans="1:56">
      <c r="A80" s="235" t="s">
        <v>273</v>
      </c>
      <c r="B80" s="121">
        <v>1</v>
      </c>
      <c r="C80" s="131">
        <v>89.5</v>
      </c>
      <c r="D80" s="131">
        <v>0</v>
      </c>
      <c r="E80" s="82">
        <v>0</v>
      </c>
      <c r="F80" s="131">
        <v>0</v>
      </c>
      <c r="G80" s="199">
        <v>0</v>
      </c>
      <c r="H80" s="131">
        <v>0</v>
      </c>
      <c r="I80" s="131">
        <v>0</v>
      </c>
      <c r="J80" s="208">
        <v>0</v>
      </c>
      <c r="K80" s="127">
        <v>96</v>
      </c>
      <c r="L80" s="124">
        <v>0</v>
      </c>
      <c r="M80" s="121">
        <v>0</v>
      </c>
      <c r="N80" s="124">
        <v>2.5</v>
      </c>
      <c r="O80" s="124">
        <v>0</v>
      </c>
      <c r="P80" s="131">
        <v>16.5</v>
      </c>
      <c r="Q80" s="124">
        <v>0</v>
      </c>
      <c r="R80" s="124">
        <v>0</v>
      </c>
      <c r="S80" s="124">
        <v>0</v>
      </c>
      <c r="T80" s="127">
        <v>0</v>
      </c>
      <c r="U80" s="121">
        <v>0</v>
      </c>
      <c r="V80" s="121">
        <v>28</v>
      </c>
      <c r="W80" s="121">
        <v>0</v>
      </c>
      <c r="X80" s="131">
        <v>0</v>
      </c>
      <c r="Y80" s="119">
        <v>64</v>
      </c>
      <c r="Z80" s="82">
        <v>0</v>
      </c>
      <c r="AA80" s="79">
        <v>0</v>
      </c>
      <c r="AB80" s="79">
        <v>0</v>
      </c>
      <c r="AC80" s="209">
        <v>0</v>
      </c>
      <c r="AD80" s="211">
        <v>0</v>
      </c>
      <c r="AE80" s="89">
        <v>0</v>
      </c>
      <c r="AF80" s="89">
        <v>0</v>
      </c>
      <c r="AG80" s="89">
        <f>SUMIF('PreliminaryHD AR - School Level'!A81:A1387, "=" &amp; A80,'PreliminaryHD AR - School Level'!M81:M1387)</f>
        <v>0</v>
      </c>
      <c r="AH80" s="89">
        <v>238.8</v>
      </c>
      <c r="AI80" s="89">
        <f t="shared" si="13"/>
        <v>0</v>
      </c>
      <c r="AJ80" s="89">
        <f t="shared" si="14"/>
        <v>0</v>
      </c>
      <c r="AK80" s="89">
        <f t="shared" si="15"/>
        <v>89.5</v>
      </c>
      <c r="AL80" s="89">
        <f t="shared" si="16"/>
        <v>2.5</v>
      </c>
      <c r="AM80" s="89">
        <f t="shared" si="17"/>
        <v>0</v>
      </c>
      <c r="AN80" s="89">
        <f t="shared" si="18"/>
        <v>0</v>
      </c>
      <c r="AO80" s="89">
        <f t="shared" si="19"/>
        <v>16.5</v>
      </c>
      <c r="AP80" s="83">
        <f t="shared" si="20"/>
        <v>28</v>
      </c>
      <c r="AQ80" s="89">
        <f t="shared" si="21"/>
        <v>0</v>
      </c>
      <c r="AR80" s="89">
        <f t="shared" si="22"/>
        <v>64</v>
      </c>
      <c r="AS80" s="83">
        <f t="shared" si="23"/>
        <v>96</v>
      </c>
      <c r="AT80" s="89">
        <v>0</v>
      </c>
      <c r="AU80" s="89">
        <f t="shared" si="24"/>
        <v>0</v>
      </c>
      <c r="AV80" s="108">
        <v>1166200</v>
      </c>
      <c r="AW80" s="126">
        <v>238.8</v>
      </c>
      <c r="AX80" s="42">
        <v>238.8</v>
      </c>
      <c r="AY80" s="208">
        <f t="shared" si="25"/>
        <v>0</v>
      </c>
      <c r="AZ80" s="290">
        <v>72701</v>
      </c>
      <c r="BA80" s="42"/>
      <c r="BB80" s="42"/>
      <c r="BD80" s="129"/>
    </row>
    <row r="81" spans="1:56">
      <c r="A81" s="235" t="s">
        <v>274</v>
      </c>
      <c r="B81" s="121">
        <v>1</v>
      </c>
      <c r="C81" s="131">
        <v>339</v>
      </c>
      <c r="D81" s="131">
        <v>0</v>
      </c>
      <c r="E81" s="82">
        <v>0</v>
      </c>
      <c r="F81" s="131">
        <v>0</v>
      </c>
      <c r="G81" s="199">
        <v>0</v>
      </c>
      <c r="H81" s="131">
        <v>0</v>
      </c>
      <c r="I81" s="131">
        <v>0</v>
      </c>
      <c r="J81" s="208">
        <v>0</v>
      </c>
      <c r="K81" s="127">
        <v>344</v>
      </c>
      <c r="L81" s="124">
        <v>0</v>
      </c>
      <c r="M81" s="121">
        <v>0</v>
      </c>
      <c r="N81" s="124">
        <v>0</v>
      </c>
      <c r="O81" s="124">
        <v>0</v>
      </c>
      <c r="P81" s="131">
        <v>177</v>
      </c>
      <c r="Q81" s="124">
        <v>0</v>
      </c>
      <c r="R81" s="124">
        <v>0</v>
      </c>
      <c r="S81" s="124">
        <v>0</v>
      </c>
      <c r="T81" s="127">
        <v>0</v>
      </c>
      <c r="U81" s="121">
        <v>0</v>
      </c>
      <c r="V81" s="121">
        <v>110</v>
      </c>
      <c r="W81" s="121">
        <v>0</v>
      </c>
      <c r="X81" s="131">
        <v>0</v>
      </c>
      <c r="Y81" s="119">
        <v>38</v>
      </c>
      <c r="Z81" s="82">
        <v>0</v>
      </c>
      <c r="AA81" s="79">
        <v>0</v>
      </c>
      <c r="AB81" s="79">
        <v>0</v>
      </c>
      <c r="AC81" s="209">
        <v>0</v>
      </c>
      <c r="AD81" s="211">
        <v>0</v>
      </c>
      <c r="AE81" s="89">
        <v>0</v>
      </c>
      <c r="AF81" s="89">
        <v>0</v>
      </c>
      <c r="AG81" s="89">
        <f>SUMIF('PreliminaryHD AR - School Level'!A82:A1388, "=" &amp; A81,'PreliminaryHD AR - School Level'!M82:M1388)</f>
        <v>0</v>
      </c>
      <c r="AH81" s="89">
        <v>610.4</v>
      </c>
      <c r="AI81" s="89">
        <f t="shared" si="13"/>
        <v>0</v>
      </c>
      <c r="AJ81" s="89">
        <f t="shared" si="14"/>
        <v>0</v>
      </c>
      <c r="AK81" s="89">
        <f t="shared" si="15"/>
        <v>339</v>
      </c>
      <c r="AL81" s="89">
        <f t="shared" si="16"/>
        <v>0</v>
      </c>
      <c r="AM81" s="89">
        <f t="shared" si="17"/>
        <v>0</v>
      </c>
      <c r="AN81" s="89">
        <f t="shared" si="18"/>
        <v>0</v>
      </c>
      <c r="AO81" s="89">
        <f t="shared" si="19"/>
        <v>177</v>
      </c>
      <c r="AP81" s="83">
        <f t="shared" si="20"/>
        <v>110</v>
      </c>
      <c r="AQ81" s="89">
        <f t="shared" si="21"/>
        <v>0</v>
      </c>
      <c r="AR81" s="89">
        <f t="shared" si="22"/>
        <v>38</v>
      </c>
      <c r="AS81" s="83">
        <f t="shared" si="23"/>
        <v>344</v>
      </c>
      <c r="AT81" s="89">
        <v>0</v>
      </c>
      <c r="AU81" s="89">
        <f t="shared" si="24"/>
        <v>0</v>
      </c>
      <c r="AV81" s="108">
        <v>3058360</v>
      </c>
      <c r="AW81" s="126">
        <v>610.4</v>
      </c>
      <c r="AX81" s="42">
        <v>610.4</v>
      </c>
      <c r="AY81" s="208">
        <f t="shared" si="25"/>
        <v>0</v>
      </c>
      <c r="AZ81" s="290">
        <v>54773</v>
      </c>
      <c r="BA81" s="42"/>
      <c r="BB81" s="42"/>
      <c r="BD81" s="129"/>
    </row>
    <row r="82" spans="1:56">
      <c r="A82" s="235" t="s">
        <v>275</v>
      </c>
      <c r="B82" s="121">
        <v>1</v>
      </c>
      <c r="C82" s="131">
        <v>335</v>
      </c>
      <c r="D82" s="131">
        <v>0</v>
      </c>
      <c r="E82" s="82">
        <v>0</v>
      </c>
      <c r="F82" s="131">
        <v>0</v>
      </c>
      <c r="G82" s="199">
        <v>0</v>
      </c>
      <c r="H82" s="131">
        <v>0</v>
      </c>
      <c r="I82" s="131">
        <v>0</v>
      </c>
      <c r="J82" s="208">
        <v>0</v>
      </c>
      <c r="K82" s="127">
        <v>343</v>
      </c>
      <c r="L82" s="124">
        <v>0</v>
      </c>
      <c r="M82" s="121">
        <v>0</v>
      </c>
      <c r="N82" s="124">
        <v>3</v>
      </c>
      <c r="O82" s="124">
        <v>0</v>
      </c>
      <c r="P82" s="131">
        <v>138.4</v>
      </c>
      <c r="Q82" s="124">
        <v>0</v>
      </c>
      <c r="R82" s="124">
        <v>0</v>
      </c>
      <c r="S82" s="124">
        <v>0</v>
      </c>
      <c r="T82" s="127">
        <v>2</v>
      </c>
      <c r="U82" s="121">
        <v>0</v>
      </c>
      <c r="V82" s="121">
        <v>127</v>
      </c>
      <c r="W82" s="121">
        <v>0</v>
      </c>
      <c r="X82" s="131">
        <v>0</v>
      </c>
      <c r="Y82" s="119">
        <v>59</v>
      </c>
      <c r="Z82" s="82">
        <v>0</v>
      </c>
      <c r="AA82" s="79">
        <v>0</v>
      </c>
      <c r="AB82" s="79">
        <v>0</v>
      </c>
      <c r="AC82" s="209">
        <v>0</v>
      </c>
      <c r="AD82" s="211">
        <v>0</v>
      </c>
      <c r="AE82" s="89">
        <v>0</v>
      </c>
      <c r="AF82" s="89">
        <v>1.8</v>
      </c>
      <c r="AG82" s="89">
        <f>SUMIF('PreliminaryHD AR - School Level'!A83:A1389, "=" &amp; A82,'PreliminaryHD AR - School Level'!M83:M1389)</f>
        <v>2.8</v>
      </c>
      <c r="AH82" s="89">
        <v>595.70000000000005</v>
      </c>
      <c r="AI82" s="89">
        <f t="shared" si="13"/>
        <v>0</v>
      </c>
      <c r="AJ82" s="89">
        <f t="shared" si="14"/>
        <v>0</v>
      </c>
      <c r="AK82" s="89">
        <f t="shared" si="15"/>
        <v>335</v>
      </c>
      <c r="AL82" s="89">
        <f t="shared" si="16"/>
        <v>3</v>
      </c>
      <c r="AM82" s="89">
        <f t="shared" si="17"/>
        <v>0</v>
      </c>
      <c r="AN82" s="89">
        <f t="shared" si="18"/>
        <v>2</v>
      </c>
      <c r="AO82" s="89">
        <f t="shared" si="19"/>
        <v>138.4</v>
      </c>
      <c r="AP82" s="83">
        <f t="shared" si="20"/>
        <v>127</v>
      </c>
      <c r="AQ82" s="89">
        <f t="shared" si="21"/>
        <v>0</v>
      </c>
      <c r="AR82" s="89">
        <f t="shared" si="22"/>
        <v>59</v>
      </c>
      <c r="AS82" s="83">
        <f t="shared" si="23"/>
        <v>343</v>
      </c>
      <c r="AT82" s="89">
        <v>0</v>
      </c>
      <c r="AU82" s="89">
        <f t="shared" si="24"/>
        <v>2.8</v>
      </c>
      <c r="AV82" s="108">
        <v>3042932</v>
      </c>
      <c r="AW82" s="126">
        <v>595.70000000000005</v>
      </c>
      <c r="AX82" s="42">
        <v>595.70000000000005</v>
      </c>
      <c r="AY82" s="208">
        <f t="shared" si="25"/>
        <v>0</v>
      </c>
      <c r="AZ82" s="290">
        <v>84366</v>
      </c>
      <c r="BA82" s="42"/>
      <c r="BB82" s="42"/>
      <c r="BD82" s="129"/>
    </row>
    <row r="83" spans="1:56">
      <c r="A83" s="235" t="s">
        <v>276</v>
      </c>
      <c r="B83" s="121">
        <v>1</v>
      </c>
      <c r="C83" s="131">
        <v>279</v>
      </c>
      <c r="D83" s="131">
        <v>0</v>
      </c>
      <c r="E83" s="82">
        <v>0</v>
      </c>
      <c r="F83" s="131">
        <v>0</v>
      </c>
      <c r="G83" s="199">
        <v>0</v>
      </c>
      <c r="H83" s="131">
        <v>0</v>
      </c>
      <c r="I83" s="131">
        <v>0</v>
      </c>
      <c r="J83" s="208">
        <v>0</v>
      </c>
      <c r="K83" s="127">
        <v>313</v>
      </c>
      <c r="L83" s="124">
        <v>0</v>
      </c>
      <c r="M83" s="121">
        <v>0</v>
      </c>
      <c r="N83" s="124">
        <v>13</v>
      </c>
      <c r="O83" s="124">
        <v>0</v>
      </c>
      <c r="P83" s="131">
        <v>87.4</v>
      </c>
      <c r="Q83" s="124">
        <v>0</v>
      </c>
      <c r="R83" s="124">
        <v>0</v>
      </c>
      <c r="S83" s="124">
        <v>0</v>
      </c>
      <c r="T83" s="127">
        <v>0</v>
      </c>
      <c r="U83" s="121">
        <v>0</v>
      </c>
      <c r="V83" s="121">
        <v>93</v>
      </c>
      <c r="W83" s="121">
        <v>0</v>
      </c>
      <c r="X83" s="131">
        <v>1</v>
      </c>
      <c r="Y83" s="119">
        <v>165</v>
      </c>
      <c r="Z83" s="82">
        <v>0</v>
      </c>
      <c r="AA83" s="79">
        <v>0</v>
      </c>
      <c r="AB83" s="79">
        <v>0</v>
      </c>
      <c r="AC83" s="209">
        <v>0</v>
      </c>
      <c r="AD83" s="211">
        <v>0</v>
      </c>
      <c r="AE83" s="89">
        <v>0</v>
      </c>
      <c r="AF83" s="89">
        <v>0</v>
      </c>
      <c r="AG83" s="89">
        <f>SUMIF('PreliminaryHD AR - School Level'!A84:A1390, "=" &amp; A83,'PreliminaryHD AR - School Level'!M84:M1390)</f>
        <v>0</v>
      </c>
      <c r="AH83" s="89">
        <v>569.5</v>
      </c>
      <c r="AI83" s="89">
        <f t="shared" si="13"/>
        <v>0</v>
      </c>
      <c r="AJ83" s="89">
        <f t="shared" si="14"/>
        <v>0</v>
      </c>
      <c r="AK83" s="89">
        <f t="shared" si="15"/>
        <v>279</v>
      </c>
      <c r="AL83" s="89">
        <f t="shared" si="16"/>
        <v>13</v>
      </c>
      <c r="AM83" s="89">
        <f t="shared" si="17"/>
        <v>0</v>
      </c>
      <c r="AN83" s="89">
        <f t="shared" si="18"/>
        <v>0</v>
      </c>
      <c r="AO83" s="89">
        <f t="shared" si="19"/>
        <v>87.4</v>
      </c>
      <c r="AP83" s="83">
        <f t="shared" si="20"/>
        <v>93</v>
      </c>
      <c r="AQ83" s="89">
        <f t="shared" si="21"/>
        <v>0</v>
      </c>
      <c r="AR83" s="89">
        <f t="shared" si="22"/>
        <v>165</v>
      </c>
      <c r="AS83" s="83">
        <f t="shared" si="23"/>
        <v>313</v>
      </c>
      <c r="AT83" s="89">
        <v>0</v>
      </c>
      <c r="AU83" s="89">
        <f t="shared" si="24"/>
        <v>0</v>
      </c>
      <c r="AV83" s="108">
        <v>2745568</v>
      </c>
      <c r="AW83" s="126">
        <v>569.5</v>
      </c>
      <c r="AX83" s="42">
        <v>569.5</v>
      </c>
      <c r="AY83" s="208">
        <f t="shared" si="25"/>
        <v>0</v>
      </c>
      <c r="AZ83" s="290">
        <v>48222</v>
      </c>
      <c r="BA83" s="42"/>
      <c r="BB83" s="42"/>
      <c r="BD83" s="129"/>
    </row>
    <row r="84" spans="1:56">
      <c r="A84" s="235" t="s">
        <v>277</v>
      </c>
      <c r="B84" s="121">
        <v>1</v>
      </c>
      <c r="C84" s="131">
        <v>760.1</v>
      </c>
      <c r="D84" s="131">
        <v>0</v>
      </c>
      <c r="E84" s="82">
        <v>0</v>
      </c>
      <c r="F84" s="131">
        <v>0</v>
      </c>
      <c r="G84" s="199">
        <v>0</v>
      </c>
      <c r="H84" s="131">
        <v>0</v>
      </c>
      <c r="I84" s="131">
        <v>0</v>
      </c>
      <c r="J84" s="208">
        <v>0</v>
      </c>
      <c r="K84" s="127">
        <v>804</v>
      </c>
      <c r="L84" s="124">
        <v>0</v>
      </c>
      <c r="M84" s="121">
        <v>0</v>
      </c>
      <c r="N84" s="124">
        <v>18</v>
      </c>
      <c r="O84" s="124">
        <v>0</v>
      </c>
      <c r="P84" s="131">
        <v>230.5</v>
      </c>
      <c r="Q84" s="124">
        <v>0</v>
      </c>
      <c r="R84" s="124">
        <v>23.9</v>
      </c>
      <c r="S84" s="124">
        <v>0</v>
      </c>
      <c r="T84" s="127">
        <v>15</v>
      </c>
      <c r="U84" s="121">
        <v>0</v>
      </c>
      <c r="V84" s="121">
        <v>245</v>
      </c>
      <c r="W84" s="121">
        <v>0</v>
      </c>
      <c r="X84" s="131">
        <v>1</v>
      </c>
      <c r="Y84" s="119">
        <v>167</v>
      </c>
      <c r="Z84" s="82">
        <v>0</v>
      </c>
      <c r="AA84" s="79">
        <v>0</v>
      </c>
      <c r="AB84" s="79">
        <v>0</v>
      </c>
      <c r="AC84" s="209">
        <v>0</v>
      </c>
      <c r="AD84" s="211">
        <v>0</v>
      </c>
      <c r="AE84" s="89">
        <v>0</v>
      </c>
      <c r="AF84" s="89">
        <v>0</v>
      </c>
      <c r="AG84" s="89">
        <f>SUMIF('PreliminaryHD AR - School Level'!A85:A1391, "=" &amp; A84,'PreliminaryHD AR - School Level'!M85:M1391)</f>
        <v>0</v>
      </c>
      <c r="AH84" s="89">
        <v>1221.2</v>
      </c>
      <c r="AI84" s="89">
        <f t="shared" si="13"/>
        <v>0</v>
      </c>
      <c r="AJ84" s="89">
        <f t="shared" si="14"/>
        <v>0</v>
      </c>
      <c r="AK84" s="89">
        <f t="shared" si="15"/>
        <v>760.1</v>
      </c>
      <c r="AL84" s="89">
        <f t="shared" si="16"/>
        <v>18</v>
      </c>
      <c r="AM84" s="89">
        <f t="shared" si="17"/>
        <v>23.9</v>
      </c>
      <c r="AN84" s="89">
        <f t="shared" si="18"/>
        <v>15</v>
      </c>
      <c r="AO84" s="89">
        <f t="shared" si="19"/>
        <v>230.5</v>
      </c>
      <c r="AP84" s="83">
        <f t="shared" si="20"/>
        <v>245</v>
      </c>
      <c r="AQ84" s="89">
        <f t="shared" si="21"/>
        <v>0</v>
      </c>
      <c r="AR84" s="89">
        <f t="shared" si="22"/>
        <v>167</v>
      </c>
      <c r="AS84" s="83">
        <f t="shared" si="23"/>
        <v>804</v>
      </c>
      <c r="AT84" s="89">
        <v>0</v>
      </c>
      <c r="AU84" s="89">
        <f t="shared" si="24"/>
        <v>0</v>
      </c>
      <c r="AV84" s="108">
        <v>6391193</v>
      </c>
      <c r="AW84" s="126">
        <v>1221.2</v>
      </c>
      <c r="AX84" s="42">
        <v>1221.2</v>
      </c>
      <c r="AY84" s="208">
        <f t="shared" si="25"/>
        <v>0</v>
      </c>
      <c r="AZ84" s="290">
        <v>154842</v>
      </c>
      <c r="BA84" s="42"/>
      <c r="BB84" s="42"/>
      <c r="BD84" s="129"/>
    </row>
    <row r="85" spans="1:56">
      <c r="A85" s="235" t="s">
        <v>278</v>
      </c>
      <c r="B85" s="121">
        <v>1</v>
      </c>
      <c r="C85" s="131">
        <v>407.3</v>
      </c>
      <c r="D85" s="131">
        <v>0</v>
      </c>
      <c r="E85" s="82">
        <v>0</v>
      </c>
      <c r="F85" s="131">
        <v>0</v>
      </c>
      <c r="G85" s="199">
        <v>0</v>
      </c>
      <c r="H85" s="131">
        <v>0</v>
      </c>
      <c r="I85" s="131">
        <v>0</v>
      </c>
      <c r="J85" s="208">
        <v>0</v>
      </c>
      <c r="K85" s="127">
        <v>450</v>
      </c>
      <c r="L85" s="124">
        <v>0</v>
      </c>
      <c r="M85" s="121">
        <v>0</v>
      </c>
      <c r="N85" s="124">
        <v>0</v>
      </c>
      <c r="O85" s="124">
        <v>0</v>
      </c>
      <c r="P85" s="131">
        <v>139.1</v>
      </c>
      <c r="Q85" s="124">
        <v>0</v>
      </c>
      <c r="R85" s="124">
        <v>10.6</v>
      </c>
      <c r="S85" s="124">
        <v>0</v>
      </c>
      <c r="T85" s="127">
        <v>14</v>
      </c>
      <c r="U85" s="121">
        <v>0</v>
      </c>
      <c r="V85" s="121">
        <v>140</v>
      </c>
      <c r="W85" s="121">
        <v>0</v>
      </c>
      <c r="X85" s="131">
        <v>0</v>
      </c>
      <c r="Y85" s="119">
        <v>70.5</v>
      </c>
      <c r="Z85" s="82">
        <v>0</v>
      </c>
      <c r="AA85" s="79">
        <v>0</v>
      </c>
      <c r="AB85" s="79">
        <v>0</v>
      </c>
      <c r="AC85" s="209">
        <v>0</v>
      </c>
      <c r="AD85" s="211">
        <v>0</v>
      </c>
      <c r="AE85" s="89">
        <v>0</v>
      </c>
      <c r="AF85" s="89">
        <v>0</v>
      </c>
      <c r="AG85" s="89">
        <f>SUMIF('PreliminaryHD AR - School Level'!A86:A1392, "=" &amp; A85,'PreliminaryHD AR - School Level'!M86:M1392)</f>
        <v>1</v>
      </c>
      <c r="AH85" s="89">
        <v>694.5</v>
      </c>
      <c r="AI85" s="89">
        <f t="shared" si="13"/>
        <v>0</v>
      </c>
      <c r="AJ85" s="89">
        <f t="shared" si="14"/>
        <v>0</v>
      </c>
      <c r="AK85" s="89">
        <f t="shared" si="15"/>
        <v>407.3</v>
      </c>
      <c r="AL85" s="89">
        <f t="shared" si="16"/>
        <v>0</v>
      </c>
      <c r="AM85" s="89">
        <f t="shared" si="17"/>
        <v>10.6</v>
      </c>
      <c r="AN85" s="89">
        <f t="shared" si="18"/>
        <v>14</v>
      </c>
      <c r="AO85" s="89">
        <f t="shared" si="19"/>
        <v>139.1</v>
      </c>
      <c r="AP85" s="83">
        <f t="shared" si="20"/>
        <v>140</v>
      </c>
      <c r="AQ85" s="89">
        <f t="shared" si="21"/>
        <v>0</v>
      </c>
      <c r="AR85" s="89">
        <f t="shared" si="22"/>
        <v>70.5</v>
      </c>
      <c r="AS85" s="83">
        <f t="shared" si="23"/>
        <v>450</v>
      </c>
      <c r="AT85" s="89">
        <v>0</v>
      </c>
      <c r="AU85" s="89">
        <f t="shared" si="24"/>
        <v>1</v>
      </c>
      <c r="AV85" s="108">
        <v>3401972</v>
      </c>
      <c r="AW85" s="126">
        <v>694.5</v>
      </c>
      <c r="AX85" s="42">
        <v>694.5</v>
      </c>
      <c r="AY85" s="208">
        <f t="shared" si="25"/>
        <v>0</v>
      </c>
      <c r="AZ85" s="290">
        <v>84086</v>
      </c>
      <c r="BA85" s="42"/>
      <c r="BB85" s="42"/>
      <c r="BD85" s="129"/>
    </row>
    <row r="86" spans="1:56">
      <c r="A86" s="235" t="s">
        <v>279</v>
      </c>
      <c r="B86" s="121">
        <v>1</v>
      </c>
      <c r="C86" s="131">
        <v>68.5</v>
      </c>
      <c r="D86" s="131">
        <v>0</v>
      </c>
      <c r="E86" s="82">
        <v>0</v>
      </c>
      <c r="F86" s="131">
        <v>0</v>
      </c>
      <c r="G86" s="199">
        <v>0</v>
      </c>
      <c r="H86" s="131">
        <v>0</v>
      </c>
      <c r="I86" s="131">
        <v>0</v>
      </c>
      <c r="J86" s="208">
        <v>0</v>
      </c>
      <c r="K86" s="127">
        <v>71</v>
      </c>
      <c r="L86" s="124">
        <v>0</v>
      </c>
      <c r="M86" s="121">
        <v>0</v>
      </c>
      <c r="N86" s="124">
        <v>0</v>
      </c>
      <c r="O86" s="124">
        <v>0</v>
      </c>
      <c r="P86" s="131">
        <v>0</v>
      </c>
      <c r="Q86" s="124">
        <v>0</v>
      </c>
      <c r="R86" s="124">
        <v>0</v>
      </c>
      <c r="S86" s="124">
        <v>0</v>
      </c>
      <c r="T86" s="127">
        <v>0</v>
      </c>
      <c r="U86" s="121">
        <v>0</v>
      </c>
      <c r="V86" s="121">
        <v>20</v>
      </c>
      <c r="W86" s="121">
        <v>0</v>
      </c>
      <c r="X86" s="131">
        <v>0</v>
      </c>
      <c r="Y86" s="119">
        <v>27</v>
      </c>
      <c r="Z86" s="82">
        <v>0</v>
      </c>
      <c r="AA86" s="79">
        <v>0</v>
      </c>
      <c r="AB86" s="79">
        <v>0</v>
      </c>
      <c r="AC86" s="209">
        <v>0</v>
      </c>
      <c r="AD86" s="211">
        <v>0</v>
      </c>
      <c r="AE86" s="89">
        <v>0</v>
      </c>
      <c r="AF86" s="89">
        <v>0</v>
      </c>
      <c r="AG86" s="89">
        <f>SUMIF('PreliminaryHD AR - School Level'!A87:A1393, "=" &amp; A86,'PreliminaryHD AR - School Level'!M87:M1393)</f>
        <v>0.5</v>
      </c>
      <c r="AH86" s="89">
        <v>155.19999999999999</v>
      </c>
      <c r="AI86" s="89">
        <f t="shared" si="13"/>
        <v>0</v>
      </c>
      <c r="AJ86" s="89">
        <f t="shared" si="14"/>
        <v>0</v>
      </c>
      <c r="AK86" s="89">
        <f t="shared" si="15"/>
        <v>68.5</v>
      </c>
      <c r="AL86" s="89">
        <f t="shared" si="16"/>
        <v>0</v>
      </c>
      <c r="AM86" s="89">
        <f t="shared" si="17"/>
        <v>0</v>
      </c>
      <c r="AN86" s="89">
        <f t="shared" si="18"/>
        <v>0</v>
      </c>
      <c r="AO86" s="89">
        <f t="shared" si="19"/>
        <v>0</v>
      </c>
      <c r="AP86" s="83">
        <f t="shared" si="20"/>
        <v>20</v>
      </c>
      <c r="AQ86" s="89">
        <f t="shared" si="21"/>
        <v>0</v>
      </c>
      <c r="AR86" s="89">
        <f t="shared" si="22"/>
        <v>27</v>
      </c>
      <c r="AS86" s="83">
        <f t="shared" si="23"/>
        <v>71</v>
      </c>
      <c r="AT86" s="89">
        <v>0</v>
      </c>
      <c r="AU86" s="89">
        <f t="shared" si="24"/>
        <v>0.5</v>
      </c>
      <c r="AV86" s="108">
        <v>793016</v>
      </c>
      <c r="AW86" s="126">
        <v>155.19999999999999</v>
      </c>
      <c r="AX86" s="42">
        <v>155.19999999999999</v>
      </c>
      <c r="AY86" s="208">
        <f t="shared" si="25"/>
        <v>0</v>
      </c>
      <c r="AZ86" s="290">
        <v>58415</v>
      </c>
      <c r="BA86" s="42"/>
      <c r="BB86" s="42"/>
      <c r="BD86" s="129"/>
    </row>
    <row r="87" spans="1:56">
      <c r="A87" s="235" t="s">
        <v>280</v>
      </c>
      <c r="B87" s="121">
        <v>1</v>
      </c>
      <c r="C87" s="131">
        <v>386</v>
      </c>
      <c r="D87" s="131">
        <v>0</v>
      </c>
      <c r="E87" s="82">
        <v>0</v>
      </c>
      <c r="F87" s="131">
        <v>0</v>
      </c>
      <c r="G87" s="199">
        <v>0</v>
      </c>
      <c r="H87" s="131">
        <v>0</v>
      </c>
      <c r="I87" s="131">
        <v>0</v>
      </c>
      <c r="J87" s="208">
        <v>0</v>
      </c>
      <c r="K87" s="127">
        <v>391</v>
      </c>
      <c r="L87" s="124">
        <v>0</v>
      </c>
      <c r="M87" s="121">
        <v>0</v>
      </c>
      <c r="N87" s="124">
        <v>0</v>
      </c>
      <c r="O87" s="124">
        <v>0</v>
      </c>
      <c r="P87" s="131">
        <v>101</v>
      </c>
      <c r="Q87" s="124">
        <v>0</v>
      </c>
      <c r="R87" s="124">
        <v>0</v>
      </c>
      <c r="S87" s="124">
        <v>0</v>
      </c>
      <c r="T87" s="127">
        <v>0</v>
      </c>
      <c r="U87" s="121">
        <v>0</v>
      </c>
      <c r="V87" s="121">
        <v>162</v>
      </c>
      <c r="W87" s="121">
        <v>0</v>
      </c>
      <c r="X87" s="131">
        <v>1</v>
      </c>
      <c r="Y87" s="119">
        <v>89</v>
      </c>
      <c r="Z87" s="82">
        <v>0</v>
      </c>
      <c r="AA87" s="79">
        <v>0</v>
      </c>
      <c r="AB87" s="79">
        <v>0</v>
      </c>
      <c r="AC87" s="209">
        <v>0</v>
      </c>
      <c r="AD87" s="211">
        <v>0</v>
      </c>
      <c r="AE87" s="89">
        <v>0</v>
      </c>
      <c r="AF87" s="89">
        <v>7.3</v>
      </c>
      <c r="AG87" s="89">
        <f>SUMIF('PreliminaryHD AR - School Level'!A88:A1394, "=" &amp; A87,'PreliminaryHD AR - School Level'!M88:M1394)</f>
        <v>8.3000000000000007</v>
      </c>
      <c r="AH87" s="89">
        <v>687.8</v>
      </c>
      <c r="AI87" s="89">
        <f t="shared" si="13"/>
        <v>0</v>
      </c>
      <c r="AJ87" s="89">
        <f t="shared" si="14"/>
        <v>0</v>
      </c>
      <c r="AK87" s="89">
        <f t="shared" si="15"/>
        <v>386</v>
      </c>
      <c r="AL87" s="89">
        <f t="shared" si="16"/>
        <v>0</v>
      </c>
      <c r="AM87" s="89">
        <f t="shared" si="17"/>
        <v>0</v>
      </c>
      <c r="AN87" s="89">
        <f t="shared" si="18"/>
        <v>0</v>
      </c>
      <c r="AO87" s="89">
        <f t="shared" si="19"/>
        <v>101</v>
      </c>
      <c r="AP87" s="83">
        <f t="shared" si="20"/>
        <v>162</v>
      </c>
      <c r="AQ87" s="89">
        <f t="shared" si="21"/>
        <v>0</v>
      </c>
      <c r="AR87" s="89">
        <f t="shared" si="22"/>
        <v>89</v>
      </c>
      <c r="AS87" s="83">
        <f t="shared" si="23"/>
        <v>391</v>
      </c>
      <c r="AT87" s="89">
        <v>0</v>
      </c>
      <c r="AU87" s="89">
        <f t="shared" si="24"/>
        <v>8.3000000000000007</v>
      </c>
      <c r="AV87" s="108">
        <v>3214964</v>
      </c>
      <c r="AW87" s="126">
        <v>687.8</v>
      </c>
      <c r="AX87" s="42">
        <v>687.8</v>
      </c>
      <c r="AY87" s="208">
        <f t="shared" si="25"/>
        <v>0</v>
      </c>
      <c r="AZ87" s="290">
        <v>182393</v>
      </c>
      <c r="BA87" s="42"/>
      <c r="BB87" s="42"/>
      <c r="BD87" s="129"/>
    </row>
    <row r="88" spans="1:56">
      <c r="A88" s="235" t="s">
        <v>281</v>
      </c>
      <c r="B88" s="121">
        <v>1</v>
      </c>
      <c r="C88" s="131">
        <v>357</v>
      </c>
      <c r="D88" s="131">
        <v>0</v>
      </c>
      <c r="E88" s="82">
        <v>0</v>
      </c>
      <c r="F88" s="131">
        <v>0</v>
      </c>
      <c r="G88" s="199">
        <v>0</v>
      </c>
      <c r="H88" s="131">
        <v>0</v>
      </c>
      <c r="I88" s="131">
        <v>0</v>
      </c>
      <c r="J88" s="208">
        <v>0</v>
      </c>
      <c r="K88" s="127">
        <v>367</v>
      </c>
      <c r="L88" s="124">
        <v>0</v>
      </c>
      <c r="M88" s="121">
        <v>0</v>
      </c>
      <c r="N88" s="124">
        <v>4</v>
      </c>
      <c r="O88" s="124">
        <v>0</v>
      </c>
      <c r="P88" s="131">
        <v>149</v>
      </c>
      <c r="Q88" s="124">
        <v>0</v>
      </c>
      <c r="R88" s="124">
        <v>2.2000000000000002</v>
      </c>
      <c r="S88" s="124">
        <v>0</v>
      </c>
      <c r="T88" s="127">
        <v>3</v>
      </c>
      <c r="U88" s="121">
        <v>0</v>
      </c>
      <c r="V88" s="121">
        <v>158</v>
      </c>
      <c r="W88" s="121">
        <v>0</v>
      </c>
      <c r="X88" s="131">
        <v>0</v>
      </c>
      <c r="Y88" s="119">
        <v>126</v>
      </c>
      <c r="Z88" s="82">
        <v>0</v>
      </c>
      <c r="AA88" s="79">
        <v>0</v>
      </c>
      <c r="AB88" s="79">
        <v>0</v>
      </c>
      <c r="AC88" s="209">
        <v>0</v>
      </c>
      <c r="AD88" s="211">
        <v>0</v>
      </c>
      <c r="AE88" s="89">
        <v>0</v>
      </c>
      <c r="AF88" s="89">
        <v>8.9</v>
      </c>
      <c r="AG88" s="89">
        <f>SUMIF('PreliminaryHD AR - School Level'!A89:A1395, "=" &amp; A88,'PreliminaryHD AR - School Level'!M89:M1395)</f>
        <v>8.9</v>
      </c>
      <c r="AH88" s="89">
        <v>678.7</v>
      </c>
      <c r="AI88" s="89">
        <f t="shared" si="13"/>
        <v>0</v>
      </c>
      <c r="AJ88" s="89">
        <f t="shared" si="14"/>
        <v>0</v>
      </c>
      <c r="AK88" s="89">
        <f t="shared" si="15"/>
        <v>357</v>
      </c>
      <c r="AL88" s="89">
        <f t="shared" si="16"/>
        <v>4</v>
      </c>
      <c r="AM88" s="89">
        <f t="shared" si="17"/>
        <v>2.2000000000000002</v>
      </c>
      <c r="AN88" s="89">
        <f t="shared" si="18"/>
        <v>3</v>
      </c>
      <c r="AO88" s="89">
        <f t="shared" si="19"/>
        <v>149</v>
      </c>
      <c r="AP88" s="83">
        <f t="shared" si="20"/>
        <v>158</v>
      </c>
      <c r="AQ88" s="89">
        <f t="shared" si="21"/>
        <v>0</v>
      </c>
      <c r="AR88" s="89">
        <f t="shared" si="22"/>
        <v>126</v>
      </c>
      <c r="AS88" s="83">
        <f t="shared" si="23"/>
        <v>367</v>
      </c>
      <c r="AT88" s="89">
        <v>0</v>
      </c>
      <c r="AU88" s="89">
        <f t="shared" si="24"/>
        <v>8.9</v>
      </c>
      <c r="AV88" s="108">
        <v>3558576</v>
      </c>
      <c r="AW88" s="126">
        <v>678.7</v>
      </c>
      <c r="AX88" s="42">
        <v>678.7</v>
      </c>
      <c r="AY88" s="208">
        <f t="shared" si="25"/>
        <v>0</v>
      </c>
      <c r="AZ88" s="290">
        <v>282519</v>
      </c>
      <c r="BA88" s="42"/>
      <c r="BB88" s="42"/>
      <c r="BD88" s="129"/>
    </row>
    <row r="89" spans="1:56">
      <c r="A89" s="235" t="s">
        <v>282</v>
      </c>
      <c r="B89" s="121">
        <v>1</v>
      </c>
      <c r="C89" s="131">
        <v>88.5</v>
      </c>
      <c r="D89" s="131">
        <v>0</v>
      </c>
      <c r="E89" s="82">
        <v>0</v>
      </c>
      <c r="F89" s="131">
        <v>0</v>
      </c>
      <c r="G89" s="199">
        <v>0</v>
      </c>
      <c r="H89" s="131">
        <v>0</v>
      </c>
      <c r="I89" s="131">
        <v>0</v>
      </c>
      <c r="J89" s="208">
        <v>0</v>
      </c>
      <c r="K89" s="127">
        <v>96</v>
      </c>
      <c r="L89" s="124">
        <v>0</v>
      </c>
      <c r="M89" s="121">
        <v>0</v>
      </c>
      <c r="N89" s="124">
        <v>2.5</v>
      </c>
      <c r="O89" s="124">
        <v>0</v>
      </c>
      <c r="P89" s="131">
        <v>45</v>
      </c>
      <c r="Q89" s="124">
        <v>0</v>
      </c>
      <c r="R89" s="124">
        <v>0</v>
      </c>
      <c r="S89" s="124">
        <v>0</v>
      </c>
      <c r="T89" s="127">
        <v>0</v>
      </c>
      <c r="U89" s="121">
        <v>0</v>
      </c>
      <c r="V89" s="121">
        <v>70</v>
      </c>
      <c r="W89" s="121">
        <v>0</v>
      </c>
      <c r="X89" s="131">
        <v>0</v>
      </c>
      <c r="Y89" s="119">
        <v>25</v>
      </c>
      <c r="Z89" s="82">
        <v>0</v>
      </c>
      <c r="AA89" s="79">
        <v>0</v>
      </c>
      <c r="AB89" s="79">
        <v>0</v>
      </c>
      <c r="AC89" s="209">
        <v>0</v>
      </c>
      <c r="AD89" s="211">
        <v>0</v>
      </c>
      <c r="AE89" s="89">
        <v>0</v>
      </c>
      <c r="AF89" s="89">
        <v>7.3</v>
      </c>
      <c r="AG89" s="89">
        <f>SUMIF('PreliminaryHD AR - School Level'!A90:A1396, "=" &amp; A89,'PreliminaryHD AR - School Level'!M90:M1396)</f>
        <v>7.4</v>
      </c>
      <c r="AH89" s="89">
        <v>281.60000000000002</v>
      </c>
      <c r="AI89" s="89">
        <f t="shared" si="13"/>
        <v>0</v>
      </c>
      <c r="AJ89" s="89">
        <f t="shared" si="14"/>
        <v>0</v>
      </c>
      <c r="AK89" s="89">
        <f t="shared" si="15"/>
        <v>88.5</v>
      </c>
      <c r="AL89" s="89">
        <f t="shared" si="16"/>
        <v>2.5</v>
      </c>
      <c r="AM89" s="89">
        <f t="shared" si="17"/>
        <v>0</v>
      </c>
      <c r="AN89" s="89">
        <f t="shared" si="18"/>
        <v>0</v>
      </c>
      <c r="AO89" s="89">
        <f t="shared" si="19"/>
        <v>45</v>
      </c>
      <c r="AP89" s="83">
        <f t="shared" si="20"/>
        <v>70</v>
      </c>
      <c r="AQ89" s="89">
        <f t="shared" si="21"/>
        <v>0</v>
      </c>
      <c r="AR89" s="89">
        <f t="shared" si="22"/>
        <v>25</v>
      </c>
      <c r="AS89" s="83">
        <f t="shared" si="23"/>
        <v>96</v>
      </c>
      <c r="AT89" s="89">
        <v>0</v>
      </c>
      <c r="AU89" s="89">
        <f t="shared" si="24"/>
        <v>7.4</v>
      </c>
      <c r="AV89" s="108">
        <v>1528972</v>
      </c>
      <c r="AW89" s="126">
        <v>281.60000000000002</v>
      </c>
      <c r="AX89" s="42">
        <v>281.60000000000002</v>
      </c>
      <c r="AY89" s="208">
        <f t="shared" si="25"/>
        <v>0</v>
      </c>
      <c r="AZ89" s="290">
        <v>150157</v>
      </c>
      <c r="BA89" s="42"/>
      <c r="BB89" s="42"/>
      <c r="BD89" s="129"/>
    </row>
    <row r="90" spans="1:56">
      <c r="A90" s="235" t="s">
        <v>283</v>
      </c>
      <c r="B90" s="121">
        <v>1</v>
      </c>
      <c r="C90" s="131">
        <v>345.1</v>
      </c>
      <c r="D90" s="131">
        <v>0</v>
      </c>
      <c r="E90" s="82">
        <v>0</v>
      </c>
      <c r="F90" s="131">
        <v>0</v>
      </c>
      <c r="G90" s="199">
        <v>0</v>
      </c>
      <c r="H90" s="131">
        <v>0</v>
      </c>
      <c r="I90" s="131">
        <v>0</v>
      </c>
      <c r="J90" s="208">
        <v>0</v>
      </c>
      <c r="K90" s="127">
        <v>346</v>
      </c>
      <c r="L90" s="124">
        <v>0</v>
      </c>
      <c r="M90" s="121">
        <v>0</v>
      </c>
      <c r="N90" s="124">
        <v>0</v>
      </c>
      <c r="O90" s="124">
        <v>0</v>
      </c>
      <c r="P90" s="131">
        <v>93.3</v>
      </c>
      <c r="Q90" s="124">
        <v>0</v>
      </c>
      <c r="R90" s="124">
        <v>0</v>
      </c>
      <c r="S90" s="124">
        <v>0</v>
      </c>
      <c r="T90" s="127">
        <v>0</v>
      </c>
      <c r="U90" s="121">
        <v>0</v>
      </c>
      <c r="V90" s="121">
        <v>96</v>
      </c>
      <c r="W90" s="121">
        <v>0</v>
      </c>
      <c r="X90" s="131">
        <v>0</v>
      </c>
      <c r="Y90" s="119">
        <v>180</v>
      </c>
      <c r="Z90" s="82">
        <v>0</v>
      </c>
      <c r="AA90" s="79">
        <v>0</v>
      </c>
      <c r="AB90" s="79">
        <v>0.7</v>
      </c>
      <c r="AC90" s="209">
        <v>0</v>
      </c>
      <c r="AD90" s="211">
        <v>0</v>
      </c>
      <c r="AE90" s="89">
        <v>0</v>
      </c>
      <c r="AF90" s="89">
        <v>0</v>
      </c>
      <c r="AG90" s="89">
        <f>SUMIF('PreliminaryHD AR - School Level'!A91:A1397, "=" &amp; A90,'PreliminaryHD AR - School Level'!M91:M1397)</f>
        <v>0</v>
      </c>
      <c r="AH90" s="89">
        <v>626.9</v>
      </c>
      <c r="AI90" s="89">
        <f t="shared" si="13"/>
        <v>0</v>
      </c>
      <c r="AJ90" s="89">
        <f t="shared" si="14"/>
        <v>0</v>
      </c>
      <c r="AK90" s="89">
        <f t="shared" si="15"/>
        <v>345.1</v>
      </c>
      <c r="AL90" s="89">
        <f t="shared" si="16"/>
        <v>0</v>
      </c>
      <c r="AM90" s="89">
        <f t="shared" si="17"/>
        <v>0</v>
      </c>
      <c r="AN90" s="89">
        <f t="shared" si="18"/>
        <v>0</v>
      </c>
      <c r="AO90" s="89">
        <f t="shared" si="19"/>
        <v>93.3</v>
      </c>
      <c r="AP90" s="83">
        <f t="shared" si="20"/>
        <v>96</v>
      </c>
      <c r="AQ90" s="89">
        <f t="shared" si="21"/>
        <v>0</v>
      </c>
      <c r="AR90" s="89">
        <f t="shared" si="22"/>
        <v>180</v>
      </c>
      <c r="AS90" s="83">
        <f t="shared" si="23"/>
        <v>346</v>
      </c>
      <c r="AT90" s="89">
        <v>0</v>
      </c>
      <c r="AU90" s="89">
        <f t="shared" si="24"/>
        <v>0</v>
      </c>
      <c r="AV90" s="108">
        <v>2916333</v>
      </c>
      <c r="AW90" s="126">
        <v>626.9</v>
      </c>
      <c r="AX90" s="42">
        <v>626.9</v>
      </c>
      <c r="AY90" s="208">
        <f t="shared" si="25"/>
        <v>0</v>
      </c>
      <c r="AZ90" s="290">
        <v>279443</v>
      </c>
      <c r="BA90" s="42"/>
      <c r="BB90" s="42"/>
      <c r="BD90" s="129"/>
    </row>
    <row r="91" spans="1:56">
      <c r="A91" s="235" t="s">
        <v>284</v>
      </c>
      <c r="B91" s="121">
        <v>1</v>
      </c>
      <c r="C91" s="131">
        <v>134</v>
      </c>
      <c r="D91" s="131">
        <v>0</v>
      </c>
      <c r="E91" s="82">
        <v>0</v>
      </c>
      <c r="F91" s="131">
        <v>0</v>
      </c>
      <c r="G91" s="199">
        <v>0</v>
      </c>
      <c r="H91" s="131">
        <v>0</v>
      </c>
      <c r="I91" s="131">
        <v>0</v>
      </c>
      <c r="J91" s="208">
        <v>0</v>
      </c>
      <c r="K91" s="127">
        <v>137</v>
      </c>
      <c r="L91" s="124">
        <v>0</v>
      </c>
      <c r="M91" s="121">
        <v>0</v>
      </c>
      <c r="N91" s="124">
        <v>0</v>
      </c>
      <c r="O91" s="124">
        <v>0</v>
      </c>
      <c r="P91" s="131">
        <v>0</v>
      </c>
      <c r="Q91" s="124">
        <v>0</v>
      </c>
      <c r="R91" s="124">
        <v>0</v>
      </c>
      <c r="S91" s="124">
        <v>0</v>
      </c>
      <c r="T91" s="127">
        <v>0</v>
      </c>
      <c r="U91" s="121">
        <v>0</v>
      </c>
      <c r="V91" s="121">
        <v>69</v>
      </c>
      <c r="W91" s="121">
        <v>0</v>
      </c>
      <c r="X91" s="131">
        <v>0</v>
      </c>
      <c r="Y91" s="119">
        <v>16</v>
      </c>
      <c r="Z91" s="82">
        <v>0</v>
      </c>
      <c r="AA91" s="79">
        <v>0</v>
      </c>
      <c r="AB91" s="79">
        <v>0</v>
      </c>
      <c r="AC91" s="209">
        <v>0</v>
      </c>
      <c r="AD91" s="211">
        <v>0</v>
      </c>
      <c r="AE91" s="89">
        <v>0</v>
      </c>
      <c r="AF91" s="89">
        <v>7.2</v>
      </c>
      <c r="AG91" s="89">
        <f>SUMIF('PreliminaryHD AR - School Level'!A92:A1398, "=" &amp; A91,'PreliminaryHD AR - School Level'!M92:M1398)</f>
        <v>7.3</v>
      </c>
      <c r="AH91" s="89">
        <v>380.8</v>
      </c>
      <c r="AI91" s="89">
        <f t="shared" si="13"/>
        <v>0</v>
      </c>
      <c r="AJ91" s="89">
        <f t="shared" si="14"/>
        <v>0</v>
      </c>
      <c r="AK91" s="89">
        <f t="shared" si="15"/>
        <v>134</v>
      </c>
      <c r="AL91" s="89">
        <f t="shared" si="16"/>
        <v>0</v>
      </c>
      <c r="AM91" s="89">
        <f t="shared" si="17"/>
        <v>0</v>
      </c>
      <c r="AN91" s="89">
        <f t="shared" si="18"/>
        <v>0</v>
      </c>
      <c r="AO91" s="89">
        <f t="shared" si="19"/>
        <v>0</v>
      </c>
      <c r="AP91" s="83">
        <f t="shared" si="20"/>
        <v>69</v>
      </c>
      <c r="AQ91" s="89">
        <f t="shared" si="21"/>
        <v>0</v>
      </c>
      <c r="AR91" s="89">
        <f t="shared" si="22"/>
        <v>16</v>
      </c>
      <c r="AS91" s="83">
        <f t="shared" si="23"/>
        <v>137</v>
      </c>
      <c r="AT91" s="89">
        <v>0</v>
      </c>
      <c r="AU91" s="89">
        <f t="shared" si="24"/>
        <v>7.3</v>
      </c>
      <c r="AV91" s="108">
        <v>1838848</v>
      </c>
      <c r="AW91" s="126">
        <v>380.8</v>
      </c>
      <c r="AX91" s="42">
        <v>380.8</v>
      </c>
      <c r="AY91" s="208">
        <f t="shared" si="25"/>
        <v>0</v>
      </c>
      <c r="AZ91" s="290">
        <v>33409</v>
      </c>
      <c r="BA91" s="42"/>
      <c r="BB91" s="42"/>
      <c r="BD91" s="129"/>
    </row>
    <row r="92" spans="1:56">
      <c r="A92" s="235" t="s">
        <v>285</v>
      </c>
      <c r="B92" s="121">
        <v>1</v>
      </c>
      <c r="C92" s="131">
        <v>356.6</v>
      </c>
      <c r="D92" s="131">
        <v>0</v>
      </c>
      <c r="E92" s="82">
        <v>0</v>
      </c>
      <c r="F92" s="131">
        <v>0</v>
      </c>
      <c r="G92" s="199">
        <v>0</v>
      </c>
      <c r="H92" s="131">
        <v>0</v>
      </c>
      <c r="I92" s="131">
        <v>0</v>
      </c>
      <c r="J92" s="208">
        <v>0</v>
      </c>
      <c r="K92" s="127">
        <v>371</v>
      </c>
      <c r="L92" s="124">
        <v>0</v>
      </c>
      <c r="M92" s="121">
        <v>0</v>
      </c>
      <c r="N92" s="124">
        <v>3.5</v>
      </c>
      <c r="O92" s="124">
        <v>0</v>
      </c>
      <c r="P92" s="131">
        <v>55.8</v>
      </c>
      <c r="Q92" s="124">
        <v>0</v>
      </c>
      <c r="R92" s="124">
        <v>0</v>
      </c>
      <c r="S92" s="124">
        <v>0</v>
      </c>
      <c r="T92" s="127">
        <v>0</v>
      </c>
      <c r="U92" s="121">
        <v>0</v>
      </c>
      <c r="V92" s="121">
        <v>183</v>
      </c>
      <c r="W92" s="121">
        <v>0</v>
      </c>
      <c r="X92" s="131">
        <v>0</v>
      </c>
      <c r="Y92" s="119">
        <v>97</v>
      </c>
      <c r="Z92" s="82">
        <v>0</v>
      </c>
      <c r="AA92" s="79">
        <v>0</v>
      </c>
      <c r="AB92" s="79">
        <v>0</v>
      </c>
      <c r="AC92" s="209">
        <v>0</v>
      </c>
      <c r="AD92" s="211">
        <v>0</v>
      </c>
      <c r="AE92" s="89">
        <v>0</v>
      </c>
      <c r="AF92" s="89">
        <v>18.399999999999999</v>
      </c>
      <c r="AG92" s="89">
        <f>SUMIF('PreliminaryHD AR - School Level'!A93:A1399, "=" &amp; A92,'PreliminaryHD AR - School Level'!M93:M1399)</f>
        <v>16.100000000000001</v>
      </c>
      <c r="AH92" s="89">
        <v>682.7</v>
      </c>
      <c r="AI92" s="89">
        <f t="shared" si="13"/>
        <v>0</v>
      </c>
      <c r="AJ92" s="89">
        <f t="shared" si="14"/>
        <v>0</v>
      </c>
      <c r="AK92" s="89">
        <f t="shared" si="15"/>
        <v>356.6</v>
      </c>
      <c r="AL92" s="89">
        <f t="shared" si="16"/>
        <v>3.5</v>
      </c>
      <c r="AM92" s="89">
        <f t="shared" si="17"/>
        <v>0</v>
      </c>
      <c r="AN92" s="89">
        <f t="shared" si="18"/>
        <v>0</v>
      </c>
      <c r="AO92" s="89">
        <f t="shared" si="19"/>
        <v>55.8</v>
      </c>
      <c r="AP92" s="83">
        <f t="shared" si="20"/>
        <v>183</v>
      </c>
      <c r="AQ92" s="89">
        <f t="shared" si="21"/>
        <v>0</v>
      </c>
      <c r="AR92" s="89">
        <f t="shared" si="22"/>
        <v>97</v>
      </c>
      <c r="AS92" s="83">
        <f t="shared" si="23"/>
        <v>371</v>
      </c>
      <c r="AT92" s="89">
        <v>0</v>
      </c>
      <c r="AU92" s="89">
        <f t="shared" si="24"/>
        <v>18.399999999999999</v>
      </c>
      <c r="AV92" s="108">
        <v>3389065</v>
      </c>
      <c r="AW92" s="126">
        <v>682.7</v>
      </c>
      <c r="AX92" s="42">
        <v>682.7</v>
      </c>
      <c r="AY92" s="208">
        <f t="shared" si="25"/>
        <v>0</v>
      </c>
      <c r="AZ92" s="290">
        <v>174351</v>
      </c>
      <c r="BA92" s="42"/>
      <c r="BB92" s="42"/>
      <c r="BD92" s="129"/>
    </row>
    <row r="93" spans="1:56">
      <c r="A93" s="235" t="s">
        <v>286</v>
      </c>
      <c r="B93" s="121">
        <v>1</v>
      </c>
      <c r="C93" s="131">
        <v>610.5</v>
      </c>
      <c r="D93" s="131">
        <v>0</v>
      </c>
      <c r="E93" s="82">
        <v>0</v>
      </c>
      <c r="F93" s="131">
        <v>0</v>
      </c>
      <c r="G93" s="199">
        <v>0</v>
      </c>
      <c r="H93" s="131">
        <v>0</v>
      </c>
      <c r="I93" s="131">
        <v>0</v>
      </c>
      <c r="J93" s="208">
        <v>0</v>
      </c>
      <c r="K93" s="127">
        <v>630</v>
      </c>
      <c r="L93" s="124">
        <v>0</v>
      </c>
      <c r="M93" s="121">
        <v>0</v>
      </c>
      <c r="N93" s="124">
        <v>5</v>
      </c>
      <c r="O93" s="124">
        <v>0</v>
      </c>
      <c r="P93" s="131">
        <v>163.69999999999999</v>
      </c>
      <c r="Q93" s="124">
        <v>0</v>
      </c>
      <c r="R93" s="124">
        <v>0</v>
      </c>
      <c r="S93" s="124">
        <v>0</v>
      </c>
      <c r="T93" s="127">
        <v>0</v>
      </c>
      <c r="U93" s="121">
        <v>0</v>
      </c>
      <c r="V93" s="121">
        <v>247</v>
      </c>
      <c r="W93" s="121">
        <v>0</v>
      </c>
      <c r="X93" s="131">
        <v>0</v>
      </c>
      <c r="Y93" s="119">
        <v>424</v>
      </c>
      <c r="Z93" s="82">
        <v>0</v>
      </c>
      <c r="AA93" s="79">
        <v>0</v>
      </c>
      <c r="AB93" s="79">
        <v>0</v>
      </c>
      <c r="AC93" s="209">
        <v>0</v>
      </c>
      <c r="AD93" s="211">
        <v>0</v>
      </c>
      <c r="AE93" s="89">
        <v>0</v>
      </c>
      <c r="AF93" s="89">
        <v>7.3</v>
      </c>
      <c r="AG93" s="89">
        <f>SUMIF('PreliminaryHD AR - School Level'!A94:A1400, "=" &amp; A93,'PreliminaryHD AR - School Level'!M94:M1400)</f>
        <v>7.6</v>
      </c>
      <c r="AH93" s="89">
        <v>1059.5999999999999</v>
      </c>
      <c r="AI93" s="89">
        <f t="shared" si="13"/>
        <v>0</v>
      </c>
      <c r="AJ93" s="89">
        <f t="shared" si="14"/>
        <v>0</v>
      </c>
      <c r="AK93" s="89">
        <f t="shared" si="15"/>
        <v>610.5</v>
      </c>
      <c r="AL93" s="89">
        <f t="shared" si="16"/>
        <v>5</v>
      </c>
      <c r="AM93" s="89">
        <f t="shared" si="17"/>
        <v>0</v>
      </c>
      <c r="AN93" s="89">
        <f t="shared" si="18"/>
        <v>0</v>
      </c>
      <c r="AO93" s="89">
        <f t="shared" si="19"/>
        <v>163.69999999999999</v>
      </c>
      <c r="AP93" s="83">
        <f t="shared" si="20"/>
        <v>247</v>
      </c>
      <c r="AQ93" s="89">
        <f t="shared" si="21"/>
        <v>0</v>
      </c>
      <c r="AR93" s="89">
        <f t="shared" si="22"/>
        <v>424</v>
      </c>
      <c r="AS93" s="83">
        <f t="shared" si="23"/>
        <v>630</v>
      </c>
      <c r="AT93" s="89">
        <v>0</v>
      </c>
      <c r="AU93" s="89">
        <f t="shared" si="24"/>
        <v>7.6</v>
      </c>
      <c r="AV93" s="108">
        <v>5433243</v>
      </c>
      <c r="AW93" s="126">
        <v>1059.5999999999999</v>
      </c>
      <c r="AX93" s="42">
        <v>1059.5999999999999</v>
      </c>
      <c r="AY93" s="208">
        <f t="shared" si="25"/>
        <v>0</v>
      </c>
      <c r="AZ93" s="290">
        <v>301058</v>
      </c>
      <c r="BA93" s="42"/>
      <c r="BB93" s="42"/>
      <c r="BD93" s="129"/>
    </row>
    <row r="94" spans="1:56">
      <c r="A94" s="235" t="s">
        <v>287</v>
      </c>
      <c r="B94" s="121">
        <v>1</v>
      </c>
      <c r="C94" s="131">
        <v>499.5</v>
      </c>
      <c r="D94" s="131">
        <v>0</v>
      </c>
      <c r="E94" s="82">
        <v>0</v>
      </c>
      <c r="F94" s="131">
        <v>0</v>
      </c>
      <c r="G94" s="199">
        <v>0</v>
      </c>
      <c r="H94" s="131">
        <v>0</v>
      </c>
      <c r="I94" s="131">
        <v>0</v>
      </c>
      <c r="J94" s="208">
        <v>0</v>
      </c>
      <c r="K94" s="127">
        <v>512</v>
      </c>
      <c r="L94" s="124">
        <v>0</v>
      </c>
      <c r="M94" s="121">
        <v>0</v>
      </c>
      <c r="N94" s="124">
        <v>4.5</v>
      </c>
      <c r="O94" s="124">
        <v>0</v>
      </c>
      <c r="P94" s="131">
        <v>211</v>
      </c>
      <c r="Q94" s="124">
        <v>0</v>
      </c>
      <c r="R94" s="124">
        <v>0.5</v>
      </c>
      <c r="S94" s="124">
        <v>0</v>
      </c>
      <c r="T94" s="127">
        <v>1</v>
      </c>
      <c r="U94" s="121">
        <v>0</v>
      </c>
      <c r="V94" s="121">
        <v>233</v>
      </c>
      <c r="W94" s="121">
        <v>0</v>
      </c>
      <c r="X94" s="131">
        <v>0</v>
      </c>
      <c r="Y94" s="119">
        <v>378</v>
      </c>
      <c r="Z94" s="82">
        <v>0</v>
      </c>
      <c r="AA94" s="79">
        <v>9</v>
      </c>
      <c r="AB94" s="79">
        <v>0.9</v>
      </c>
      <c r="AC94" s="209">
        <v>0</v>
      </c>
      <c r="AD94" s="211">
        <v>0</v>
      </c>
      <c r="AE94" s="89">
        <v>0</v>
      </c>
      <c r="AF94" s="89">
        <v>17.100000000000001</v>
      </c>
      <c r="AG94" s="89">
        <f>SUMIF('PreliminaryHD AR - School Level'!A95:A1401, "=" &amp; A94,'PreliminaryHD AR - School Level'!M95:M1401)</f>
        <v>17</v>
      </c>
      <c r="AH94" s="89">
        <v>995</v>
      </c>
      <c r="AI94" s="89">
        <f t="shared" si="13"/>
        <v>0</v>
      </c>
      <c r="AJ94" s="89">
        <f t="shared" si="14"/>
        <v>0</v>
      </c>
      <c r="AK94" s="89">
        <f t="shared" si="15"/>
        <v>499.5</v>
      </c>
      <c r="AL94" s="89">
        <f t="shared" si="16"/>
        <v>4.5</v>
      </c>
      <c r="AM94" s="89">
        <f t="shared" si="17"/>
        <v>0.5</v>
      </c>
      <c r="AN94" s="89">
        <f t="shared" si="18"/>
        <v>1</v>
      </c>
      <c r="AO94" s="89">
        <f t="shared" si="19"/>
        <v>211</v>
      </c>
      <c r="AP94" s="83">
        <f t="shared" si="20"/>
        <v>233</v>
      </c>
      <c r="AQ94" s="89">
        <f t="shared" si="21"/>
        <v>0</v>
      </c>
      <c r="AR94" s="89">
        <f t="shared" si="22"/>
        <v>378</v>
      </c>
      <c r="AS94" s="83">
        <f t="shared" si="23"/>
        <v>512</v>
      </c>
      <c r="AT94" s="89">
        <v>0</v>
      </c>
      <c r="AU94" s="89">
        <f t="shared" si="24"/>
        <v>17.100000000000001</v>
      </c>
      <c r="AV94" s="108">
        <v>4918074</v>
      </c>
      <c r="AW94" s="126">
        <v>995</v>
      </c>
      <c r="AX94" s="42">
        <v>995</v>
      </c>
      <c r="AY94" s="208">
        <f t="shared" si="25"/>
        <v>0</v>
      </c>
      <c r="AZ94" s="290">
        <v>323101</v>
      </c>
      <c r="BA94" s="42"/>
      <c r="BB94" s="42"/>
      <c r="BD94" s="129"/>
    </row>
    <row r="95" spans="1:56">
      <c r="A95" s="235" t="s">
        <v>288</v>
      </c>
      <c r="B95" s="121">
        <v>1</v>
      </c>
      <c r="C95" s="131">
        <v>780</v>
      </c>
      <c r="D95" s="131">
        <v>0</v>
      </c>
      <c r="E95" s="82">
        <v>0</v>
      </c>
      <c r="F95" s="131">
        <v>0</v>
      </c>
      <c r="G95" s="199">
        <v>0</v>
      </c>
      <c r="H95" s="131">
        <v>0</v>
      </c>
      <c r="I95" s="131">
        <v>0</v>
      </c>
      <c r="J95" s="208">
        <v>0</v>
      </c>
      <c r="K95" s="127">
        <v>793</v>
      </c>
      <c r="L95" s="124">
        <v>0</v>
      </c>
      <c r="M95" s="121">
        <v>0</v>
      </c>
      <c r="N95" s="124">
        <v>0</v>
      </c>
      <c r="O95" s="124">
        <v>0</v>
      </c>
      <c r="P95" s="131">
        <v>276.7</v>
      </c>
      <c r="Q95" s="124">
        <v>0</v>
      </c>
      <c r="R95" s="124">
        <v>0</v>
      </c>
      <c r="S95" s="124">
        <v>0</v>
      </c>
      <c r="T95" s="127">
        <v>0</v>
      </c>
      <c r="U95" s="121">
        <v>0</v>
      </c>
      <c r="V95" s="121">
        <v>172</v>
      </c>
      <c r="W95" s="121">
        <v>0</v>
      </c>
      <c r="X95" s="131">
        <v>1</v>
      </c>
      <c r="Y95" s="119">
        <v>277.5</v>
      </c>
      <c r="Z95" s="82">
        <v>0</v>
      </c>
      <c r="AA95" s="79">
        <v>1</v>
      </c>
      <c r="AB95" s="79">
        <v>0</v>
      </c>
      <c r="AC95" s="209">
        <v>0</v>
      </c>
      <c r="AD95" s="211">
        <v>0</v>
      </c>
      <c r="AE95" s="89">
        <v>0</v>
      </c>
      <c r="AF95" s="89">
        <v>0</v>
      </c>
      <c r="AG95" s="89">
        <f>SUMIF('PreliminaryHD AR - School Level'!A96:A1402, "=" &amp; A95,'PreliminaryHD AR - School Level'!M96:M1402)</f>
        <v>0</v>
      </c>
      <c r="AH95" s="89">
        <v>1188.9000000000001</v>
      </c>
      <c r="AI95" s="89">
        <f t="shared" si="13"/>
        <v>0</v>
      </c>
      <c r="AJ95" s="89">
        <f t="shared" si="14"/>
        <v>0</v>
      </c>
      <c r="AK95" s="89">
        <f t="shared" si="15"/>
        <v>780</v>
      </c>
      <c r="AL95" s="89">
        <f t="shared" si="16"/>
        <v>0</v>
      </c>
      <c r="AM95" s="89">
        <f t="shared" si="17"/>
        <v>0</v>
      </c>
      <c r="AN95" s="89">
        <f t="shared" si="18"/>
        <v>0</v>
      </c>
      <c r="AO95" s="89">
        <f t="shared" si="19"/>
        <v>276.7</v>
      </c>
      <c r="AP95" s="83">
        <f t="shared" si="20"/>
        <v>172</v>
      </c>
      <c r="AQ95" s="89">
        <f t="shared" si="21"/>
        <v>0</v>
      </c>
      <c r="AR95" s="89">
        <f t="shared" si="22"/>
        <v>277.5</v>
      </c>
      <c r="AS95" s="83">
        <f t="shared" si="23"/>
        <v>793</v>
      </c>
      <c r="AT95" s="89">
        <v>0</v>
      </c>
      <c r="AU95" s="89">
        <f t="shared" si="24"/>
        <v>0</v>
      </c>
      <c r="AV95" s="108">
        <v>6008433</v>
      </c>
      <c r="AW95" s="126">
        <v>1188.9000000000001</v>
      </c>
      <c r="AX95" s="42">
        <v>1188.9000000000001</v>
      </c>
      <c r="AY95" s="208">
        <f t="shared" si="25"/>
        <v>0</v>
      </c>
      <c r="AZ95" s="290">
        <v>250887</v>
      </c>
      <c r="BA95" s="42"/>
      <c r="BB95" s="42"/>
      <c r="BD95" s="129"/>
    </row>
    <row r="96" spans="1:56" s="129" customFormat="1">
      <c r="A96" s="236" t="s">
        <v>289</v>
      </c>
      <c r="B96" s="121">
        <v>1</v>
      </c>
      <c r="C96" s="131">
        <v>2340</v>
      </c>
      <c r="D96" s="131">
        <v>0</v>
      </c>
      <c r="E96" s="82">
        <v>0</v>
      </c>
      <c r="F96" s="131">
        <v>0</v>
      </c>
      <c r="G96" s="199">
        <v>0</v>
      </c>
      <c r="H96" s="131">
        <v>0</v>
      </c>
      <c r="I96" s="131">
        <v>0</v>
      </c>
      <c r="J96" s="208">
        <v>0</v>
      </c>
      <c r="K96" s="127">
        <v>2399</v>
      </c>
      <c r="L96" s="124">
        <v>0</v>
      </c>
      <c r="M96" s="121">
        <v>0</v>
      </c>
      <c r="N96" s="124">
        <v>17</v>
      </c>
      <c r="O96" s="124">
        <v>0</v>
      </c>
      <c r="P96" s="131">
        <v>915.1</v>
      </c>
      <c r="Q96" s="124">
        <v>0</v>
      </c>
      <c r="R96" s="124">
        <v>15.5</v>
      </c>
      <c r="S96" s="124">
        <v>0</v>
      </c>
      <c r="T96" s="127">
        <v>20</v>
      </c>
      <c r="U96" s="121">
        <v>0</v>
      </c>
      <c r="V96" s="254">
        <v>963</v>
      </c>
      <c r="W96" s="121">
        <v>0</v>
      </c>
      <c r="X96" s="131">
        <v>0</v>
      </c>
      <c r="Y96" s="119">
        <v>121</v>
      </c>
      <c r="Z96" s="82">
        <v>0</v>
      </c>
      <c r="AA96" s="79">
        <v>19</v>
      </c>
      <c r="AB96" s="79">
        <v>0</v>
      </c>
      <c r="AC96" s="210">
        <v>0</v>
      </c>
      <c r="AD96" s="212">
        <v>600.20000000000005</v>
      </c>
      <c r="AE96" s="124">
        <v>0</v>
      </c>
      <c r="AF96" s="124">
        <v>34.700000000000003</v>
      </c>
      <c r="AG96" s="89">
        <f>SUMIF('PreliminaryHD AR - School Level'!A97:A1403, "=" &amp; A96,'PreliminaryHD AR - School Level'!M97:M1403)</f>
        <v>48.2</v>
      </c>
      <c r="AH96" s="124">
        <v>3340.7</v>
      </c>
      <c r="AI96" s="124">
        <f t="shared" si="13"/>
        <v>0</v>
      </c>
      <c r="AJ96" s="124">
        <f t="shared" si="14"/>
        <v>0</v>
      </c>
      <c r="AK96" s="124">
        <f t="shared" si="15"/>
        <v>2340</v>
      </c>
      <c r="AL96" s="124">
        <f t="shared" si="16"/>
        <v>17</v>
      </c>
      <c r="AM96" s="124">
        <f t="shared" si="17"/>
        <v>15.5</v>
      </c>
      <c r="AN96" s="124">
        <f t="shared" si="18"/>
        <v>20</v>
      </c>
      <c r="AO96" s="124">
        <f t="shared" si="19"/>
        <v>915.1</v>
      </c>
      <c r="AP96" s="127">
        <f t="shared" si="20"/>
        <v>963</v>
      </c>
      <c r="AQ96" s="124">
        <f t="shared" si="21"/>
        <v>600.20000000000005</v>
      </c>
      <c r="AR96" s="124">
        <f t="shared" si="22"/>
        <v>121</v>
      </c>
      <c r="AS96" s="127">
        <f t="shared" si="23"/>
        <v>2399</v>
      </c>
      <c r="AT96" s="89">
        <v>0</v>
      </c>
      <c r="AU96" s="89">
        <f t="shared" si="24"/>
        <v>48.2</v>
      </c>
      <c r="AV96" s="108">
        <v>16947260</v>
      </c>
      <c r="AW96" s="126">
        <v>3340.7</v>
      </c>
      <c r="AX96" s="42">
        <v>3340.7</v>
      </c>
      <c r="AY96" s="208">
        <f t="shared" si="25"/>
        <v>0</v>
      </c>
      <c r="AZ96" s="290">
        <v>399685</v>
      </c>
      <c r="BA96" s="42"/>
      <c r="BB96" s="42"/>
    </row>
    <row r="97" spans="1:56">
      <c r="A97" s="235" t="s">
        <v>290</v>
      </c>
      <c r="B97" s="121">
        <v>1</v>
      </c>
      <c r="C97" s="131">
        <v>70.900000000000006</v>
      </c>
      <c r="D97" s="131">
        <v>0</v>
      </c>
      <c r="E97" s="82">
        <v>0</v>
      </c>
      <c r="F97" s="131">
        <v>0</v>
      </c>
      <c r="G97" s="199">
        <v>0</v>
      </c>
      <c r="H97" s="131">
        <v>0</v>
      </c>
      <c r="I97" s="131">
        <v>0</v>
      </c>
      <c r="J97" s="208">
        <v>0</v>
      </c>
      <c r="K97" s="127">
        <v>77</v>
      </c>
      <c r="L97" s="124">
        <v>0</v>
      </c>
      <c r="M97" s="121">
        <v>0</v>
      </c>
      <c r="N97" s="124">
        <v>0</v>
      </c>
      <c r="O97" s="124">
        <v>0</v>
      </c>
      <c r="P97" s="131">
        <v>17.100000000000001</v>
      </c>
      <c r="Q97" s="124">
        <v>0</v>
      </c>
      <c r="R97" s="124">
        <v>0</v>
      </c>
      <c r="S97" s="124">
        <v>0</v>
      </c>
      <c r="T97" s="127">
        <v>0</v>
      </c>
      <c r="U97" s="121">
        <v>0</v>
      </c>
      <c r="V97" s="121">
        <v>27</v>
      </c>
      <c r="W97" s="121">
        <v>0</v>
      </c>
      <c r="X97" s="131">
        <v>0</v>
      </c>
      <c r="Y97" s="119">
        <v>26</v>
      </c>
      <c r="Z97" s="82">
        <v>0</v>
      </c>
      <c r="AA97" s="79">
        <v>0</v>
      </c>
      <c r="AB97" s="79">
        <v>0</v>
      </c>
      <c r="AC97" s="209">
        <v>0</v>
      </c>
      <c r="AD97" s="211">
        <v>0</v>
      </c>
      <c r="AE97" s="89">
        <v>0</v>
      </c>
      <c r="AF97" s="89">
        <v>0</v>
      </c>
      <c r="AG97" s="89">
        <f>SUMIF('PreliminaryHD AR - School Level'!A98:A1404, "=" &amp; A97,'PreliminaryHD AR - School Level'!M98:M1404)</f>
        <v>0.8</v>
      </c>
      <c r="AH97" s="89">
        <v>188.6</v>
      </c>
      <c r="AI97" s="89">
        <f t="shared" si="13"/>
        <v>0</v>
      </c>
      <c r="AJ97" s="89">
        <f t="shared" si="14"/>
        <v>0</v>
      </c>
      <c r="AK97" s="89">
        <f t="shared" si="15"/>
        <v>70.900000000000006</v>
      </c>
      <c r="AL97" s="89">
        <f t="shared" si="16"/>
        <v>0</v>
      </c>
      <c r="AM97" s="89">
        <f t="shared" si="17"/>
        <v>0</v>
      </c>
      <c r="AN97" s="89">
        <f t="shared" si="18"/>
        <v>0</v>
      </c>
      <c r="AO97" s="89">
        <f t="shared" si="19"/>
        <v>17.100000000000001</v>
      </c>
      <c r="AP97" s="83">
        <f t="shared" si="20"/>
        <v>27</v>
      </c>
      <c r="AQ97" s="89">
        <f t="shared" si="21"/>
        <v>0</v>
      </c>
      <c r="AR97" s="89">
        <f t="shared" si="22"/>
        <v>26</v>
      </c>
      <c r="AS97" s="83">
        <f t="shared" si="23"/>
        <v>77</v>
      </c>
      <c r="AT97" s="89">
        <v>0</v>
      </c>
      <c r="AU97" s="89">
        <f t="shared" si="24"/>
        <v>0.8</v>
      </c>
      <c r="AV97" s="108">
        <v>910053</v>
      </c>
      <c r="AW97" s="126">
        <v>188.6</v>
      </c>
      <c r="AX97" s="42">
        <v>188.6</v>
      </c>
      <c r="AY97" s="208">
        <f t="shared" si="25"/>
        <v>0</v>
      </c>
      <c r="AZ97" s="290">
        <v>59147</v>
      </c>
      <c r="BA97" s="42"/>
      <c r="BB97" s="42"/>
      <c r="BD97" s="129"/>
    </row>
    <row r="98" spans="1:56">
      <c r="A98" s="235" t="s">
        <v>291</v>
      </c>
      <c r="B98" s="121">
        <v>1</v>
      </c>
      <c r="C98" s="131">
        <v>100.5</v>
      </c>
      <c r="D98" s="131">
        <v>0</v>
      </c>
      <c r="E98" s="82">
        <v>0</v>
      </c>
      <c r="F98" s="131">
        <v>0</v>
      </c>
      <c r="G98" s="199">
        <v>0</v>
      </c>
      <c r="H98" s="131">
        <v>0</v>
      </c>
      <c r="I98" s="131">
        <v>0</v>
      </c>
      <c r="J98" s="208">
        <v>0</v>
      </c>
      <c r="K98" s="127">
        <v>101</v>
      </c>
      <c r="L98" s="124">
        <v>0</v>
      </c>
      <c r="M98" s="121">
        <v>0</v>
      </c>
      <c r="N98" s="124">
        <v>0</v>
      </c>
      <c r="O98" s="124">
        <v>0</v>
      </c>
      <c r="P98" s="131">
        <v>23.6</v>
      </c>
      <c r="Q98" s="124">
        <v>0</v>
      </c>
      <c r="R98" s="124">
        <v>0</v>
      </c>
      <c r="S98" s="124">
        <v>0</v>
      </c>
      <c r="T98" s="127">
        <v>0</v>
      </c>
      <c r="U98" s="121">
        <v>0</v>
      </c>
      <c r="V98" s="121">
        <v>30</v>
      </c>
      <c r="W98" s="121">
        <v>0</v>
      </c>
      <c r="X98" s="131">
        <v>0</v>
      </c>
      <c r="Y98" s="119">
        <v>56</v>
      </c>
      <c r="Z98" s="82">
        <v>0</v>
      </c>
      <c r="AA98" s="79">
        <v>0</v>
      </c>
      <c r="AB98" s="79">
        <v>0</v>
      </c>
      <c r="AC98" s="209">
        <v>0</v>
      </c>
      <c r="AD98" s="211">
        <v>0</v>
      </c>
      <c r="AE98" s="89">
        <v>0</v>
      </c>
      <c r="AF98" s="89">
        <v>0</v>
      </c>
      <c r="AG98" s="89">
        <f>SUMIF('PreliminaryHD AR - School Level'!A99:A1405, "=" &amp; A98,'PreliminaryHD AR - School Level'!M99:M1405)</f>
        <v>0.9</v>
      </c>
      <c r="AH98" s="89">
        <v>267.10000000000002</v>
      </c>
      <c r="AI98" s="89">
        <f t="shared" si="13"/>
        <v>0</v>
      </c>
      <c r="AJ98" s="89">
        <f t="shared" si="14"/>
        <v>0</v>
      </c>
      <c r="AK98" s="89">
        <f t="shared" si="15"/>
        <v>100.5</v>
      </c>
      <c r="AL98" s="89">
        <f t="shared" si="16"/>
        <v>0</v>
      </c>
      <c r="AM98" s="89">
        <f t="shared" si="17"/>
        <v>0</v>
      </c>
      <c r="AN98" s="89">
        <f t="shared" si="18"/>
        <v>0</v>
      </c>
      <c r="AO98" s="89">
        <f t="shared" si="19"/>
        <v>23.6</v>
      </c>
      <c r="AP98" s="83">
        <f t="shared" si="20"/>
        <v>30</v>
      </c>
      <c r="AQ98" s="89">
        <f t="shared" si="21"/>
        <v>0</v>
      </c>
      <c r="AR98" s="89">
        <f t="shared" si="22"/>
        <v>56</v>
      </c>
      <c r="AS98" s="83">
        <f t="shared" si="23"/>
        <v>101</v>
      </c>
      <c r="AT98" s="89">
        <v>0</v>
      </c>
      <c r="AU98" s="89">
        <f t="shared" si="24"/>
        <v>0.9</v>
      </c>
      <c r="AV98" s="108">
        <v>1268659</v>
      </c>
      <c r="AW98" s="126">
        <v>267.10000000000002</v>
      </c>
      <c r="AX98" s="42">
        <v>267.10000000000002</v>
      </c>
      <c r="AY98" s="208">
        <f t="shared" si="25"/>
        <v>0</v>
      </c>
      <c r="AZ98" s="290">
        <v>67804</v>
      </c>
      <c r="BA98" s="42"/>
      <c r="BB98" s="42"/>
      <c r="BD98" s="129"/>
    </row>
    <row r="99" spans="1:56">
      <c r="A99" s="235" t="s">
        <v>292</v>
      </c>
      <c r="B99" s="121">
        <v>1</v>
      </c>
      <c r="C99" s="131">
        <v>300</v>
      </c>
      <c r="D99" s="131">
        <v>0</v>
      </c>
      <c r="E99" s="82">
        <v>0</v>
      </c>
      <c r="F99" s="131">
        <v>0</v>
      </c>
      <c r="G99" s="199">
        <v>0</v>
      </c>
      <c r="H99" s="131">
        <v>0</v>
      </c>
      <c r="I99" s="131">
        <v>0</v>
      </c>
      <c r="J99" s="208">
        <v>0</v>
      </c>
      <c r="K99" s="127">
        <v>315</v>
      </c>
      <c r="L99" s="124">
        <v>0</v>
      </c>
      <c r="M99" s="121">
        <v>0</v>
      </c>
      <c r="N99" s="124">
        <v>4</v>
      </c>
      <c r="O99" s="124">
        <v>0</v>
      </c>
      <c r="P99" s="131">
        <v>48.3</v>
      </c>
      <c r="Q99" s="124">
        <v>0</v>
      </c>
      <c r="R99" s="124">
        <v>10.1</v>
      </c>
      <c r="S99" s="124">
        <v>0</v>
      </c>
      <c r="T99" s="127">
        <v>10</v>
      </c>
      <c r="U99" s="121">
        <v>0</v>
      </c>
      <c r="V99" s="121">
        <v>73</v>
      </c>
      <c r="W99" s="121">
        <v>0</v>
      </c>
      <c r="X99" s="131">
        <v>0</v>
      </c>
      <c r="Y99" s="119">
        <v>92</v>
      </c>
      <c r="Z99" s="82">
        <v>0</v>
      </c>
      <c r="AA99" s="79">
        <v>0</v>
      </c>
      <c r="AB99" s="79">
        <v>0</v>
      </c>
      <c r="AC99" s="209">
        <v>0</v>
      </c>
      <c r="AD99" s="211">
        <v>0</v>
      </c>
      <c r="AE99" s="89">
        <v>0</v>
      </c>
      <c r="AF99" s="89">
        <v>0</v>
      </c>
      <c r="AG99" s="89">
        <f>SUMIF('PreliminaryHD AR - School Level'!A100:A1406, "=" &amp; A99,'PreliminaryHD AR - School Level'!M100:M1406)</f>
        <v>0</v>
      </c>
      <c r="AH99" s="89">
        <v>513.70000000000005</v>
      </c>
      <c r="AI99" s="89">
        <f t="shared" si="13"/>
        <v>0</v>
      </c>
      <c r="AJ99" s="89">
        <f t="shared" si="14"/>
        <v>0</v>
      </c>
      <c r="AK99" s="89">
        <f t="shared" si="15"/>
        <v>300</v>
      </c>
      <c r="AL99" s="89">
        <f t="shared" si="16"/>
        <v>4</v>
      </c>
      <c r="AM99" s="89">
        <f t="shared" si="17"/>
        <v>10.1</v>
      </c>
      <c r="AN99" s="89">
        <f t="shared" si="18"/>
        <v>10</v>
      </c>
      <c r="AO99" s="89">
        <f t="shared" si="19"/>
        <v>48.3</v>
      </c>
      <c r="AP99" s="83">
        <f t="shared" si="20"/>
        <v>73</v>
      </c>
      <c r="AQ99" s="89">
        <f t="shared" si="21"/>
        <v>0</v>
      </c>
      <c r="AR99" s="89">
        <f t="shared" si="22"/>
        <v>92</v>
      </c>
      <c r="AS99" s="83">
        <f t="shared" si="23"/>
        <v>315</v>
      </c>
      <c r="AT99" s="89">
        <v>0</v>
      </c>
      <c r="AU99" s="89">
        <f t="shared" si="24"/>
        <v>0</v>
      </c>
      <c r="AV99" s="108">
        <v>2559393</v>
      </c>
      <c r="AW99" s="126">
        <v>513.70000000000005</v>
      </c>
      <c r="AX99" s="42">
        <v>513.70000000000005</v>
      </c>
      <c r="AY99" s="208">
        <f t="shared" si="25"/>
        <v>0</v>
      </c>
      <c r="AZ99" s="290">
        <v>135049</v>
      </c>
      <c r="BA99" s="42"/>
      <c r="BB99" s="42"/>
      <c r="BD99" s="129"/>
    </row>
    <row r="100" spans="1:56">
      <c r="A100" s="235" t="s">
        <v>293</v>
      </c>
      <c r="B100" s="121">
        <v>1</v>
      </c>
      <c r="C100" s="131">
        <v>336.7</v>
      </c>
      <c r="D100" s="131">
        <v>0</v>
      </c>
      <c r="E100" s="82">
        <v>0</v>
      </c>
      <c r="F100" s="131">
        <v>0</v>
      </c>
      <c r="G100" s="199">
        <v>0</v>
      </c>
      <c r="H100" s="131">
        <v>0</v>
      </c>
      <c r="I100" s="131">
        <v>0</v>
      </c>
      <c r="J100" s="208">
        <v>0</v>
      </c>
      <c r="K100" s="127">
        <v>350</v>
      </c>
      <c r="L100" s="124">
        <v>0</v>
      </c>
      <c r="M100" s="121">
        <v>0</v>
      </c>
      <c r="N100" s="124">
        <v>4</v>
      </c>
      <c r="O100" s="124">
        <v>0</v>
      </c>
      <c r="P100" s="131">
        <v>69.2</v>
      </c>
      <c r="Q100" s="124">
        <v>0</v>
      </c>
      <c r="R100" s="124">
        <v>0</v>
      </c>
      <c r="S100" s="124">
        <v>0</v>
      </c>
      <c r="T100" s="127">
        <v>0</v>
      </c>
      <c r="U100" s="121">
        <v>0</v>
      </c>
      <c r="V100" s="121">
        <v>112</v>
      </c>
      <c r="W100" s="121">
        <v>0</v>
      </c>
      <c r="X100" s="131">
        <v>0</v>
      </c>
      <c r="Y100" s="119">
        <v>85</v>
      </c>
      <c r="Z100" s="82">
        <v>0</v>
      </c>
      <c r="AA100" s="79">
        <v>0</v>
      </c>
      <c r="AB100" s="79">
        <v>0</v>
      </c>
      <c r="AC100" s="209">
        <v>0</v>
      </c>
      <c r="AD100" s="211">
        <v>0</v>
      </c>
      <c r="AE100" s="89">
        <v>0</v>
      </c>
      <c r="AF100" s="89">
        <v>0</v>
      </c>
      <c r="AG100" s="89">
        <f>SUMIF('PreliminaryHD AR - School Level'!A101:A1407, "=" &amp; A100,'PreliminaryHD AR - School Level'!M101:M1407)</f>
        <v>1.4</v>
      </c>
      <c r="AH100" s="89">
        <v>602.79999999999995</v>
      </c>
      <c r="AI100" s="89">
        <f t="shared" si="13"/>
        <v>0</v>
      </c>
      <c r="AJ100" s="89">
        <f t="shared" si="14"/>
        <v>0</v>
      </c>
      <c r="AK100" s="89">
        <f t="shared" si="15"/>
        <v>336.7</v>
      </c>
      <c r="AL100" s="89">
        <f t="shared" si="16"/>
        <v>4</v>
      </c>
      <c r="AM100" s="89">
        <f t="shared" si="17"/>
        <v>0</v>
      </c>
      <c r="AN100" s="89">
        <f t="shared" si="18"/>
        <v>0</v>
      </c>
      <c r="AO100" s="89">
        <f t="shared" si="19"/>
        <v>69.2</v>
      </c>
      <c r="AP100" s="83">
        <f t="shared" si="20"/>
        <v>112</v>
      </c>
      <c r="AQ100" s="89">
        <f t="shared" si="21"/>
        <v>0</v>
      </c>
      <c r="AR100" s="89">
        <f t="shared" si="22"/>
        <v>85</v>
      </c>
      <c r="AS100" s="83">
        <f t="shared" si="23"/>
        <v>350</v>
      </c>
      <c r="AT100" s="89">
        <v>0</v>
      </c>
      <c r="AU100" s="89">
        <f t="shared" si="24"/>
        <v>1.4</v>
      </c>
      <c r="AV100" s="108">
        <v>2923830</v>
      </c>
      <c r="AW100" s="126">
        <v>602.79999999999995</v>
      </c>
      <c r="AX100" s="42">
        <v>602.79999999999995</v>
      </c>
      <c r="AY100" s="208">
        <f t="shared" si="25"/>
        <v>0</v>
      </c>
      <c r="AZ100" s="290">
        <v>203029</v>
      </c>
      <c r="BA100" s="42"/>
      <c r="BB100" s="42"/>
      <c r="BD100" s="129"/>
    </row>
    <row r="101" spans="1:56">
      <c r="A101" s="235" t="s">
        <v>294</v>
      </c>
      <c r="B101" s="121">
        <v>1</v>
      </c>
      <c r="C101" s="131">
        <v>261.5</v>
      </c>
      <c r="D101" s="131">
        <v>0</v>
      </c>
      <c r="E101" s="82">
        <v>0</v>
      </c>
      <c r="F101" s="131">
        <v>0</v>
      </c>
      <c r="G101" s="199">
        <v>0</v>
      </c>
      <c r="H101" s="131">
        <v>0</v>
      </c>
      <c r="I101" s="131">
        <v>0</v>
      </c>
      <c r="J101" s="208">
        <v>0</v>
      </c>
      <c r="K101" s="127">
        <v>264</v>
      </c>
      <c r="L101" s="124">
        <v>0</v>
      </c>
      <c r="M101" s="121">
        <v>0</v>
      </c>
      <c r="N101" s="124">
        <v>0</v>
      </c>
      <c r="O101" s="124">
        <v>0</v>
      </c>
      <c r="P101" s="131">
        <v>83.1</v>
      </c>
      <c r="Q101" s="124">
        <v>0</v>
      </c>
      <c r="R101" s="124">
        <v>12.2</v>
      </c>
      <c r="S101" s="124">
        <v>0</v>
      </c>
      <c r="T101" s="127">
        <v>24</v>
      </c>
      <c r="U101" s="121">
        <v>0</v>
      </c>
      <c r="V101" s="121">
        <v>82</v>
      </c>
      <c r="W101" s="121">
        <v>0</v>
      </c>
      <c r="X101" s="131">
        <v>0</v>
      </c>
      <c r="Y101" s="119">
        <v>65</v>
      </c>
      <c r="Z101" s="82">
        <v>0</v>
      </c>
      <c r="AA101" s="79">
        <v>0</v>
      </c>
      <c r="AB101" s="79">
        <v>0</v>
      </c>
      <c r="AC101" s="209">
        <v>0</v>
      </c>
      <c r="AD101" s="211">
        <v>0</v>
      </c>
      <c r="AE101" s="89">
        <v>0</v>
      </c>
      <c r="AF101" s="89">
        <v>0</v>
      </c>
      <c r="AG101" s="89">
        <f>SUMIF('PreliminaryHD AR - School Level'!A102:A1408, "=" &amp; A101,'PreliminaryHD AR - School Level'!M102:M1408)</f>
        <v>0</v>
      </c>
      <c r="AH101" s="89">
        <v>508.1</v>
      </c>
      <c r="AI101" s="89">
        <f t="shared" si="13"/>
        <v>0</v>
      </c>
      <c r="AJ101" s="89">
        <f t="shared" si="14"/>
        <v>0</v>
      </c>
      <c r="AK101" s="89">
        <f t="shared" si="15"/>
        <v>261.5</v>
      </c>
      <c r="AL101" s="89">
        <f t="shared" si="16"/>
        <v>0</v>
      </c>
      <c r="AM101" s="89">
        <f t="shared" si="17"/>
        <v>12.2</v>
      </c>
      <c r="AN101" s="89">
        <f t="shared" si="18"/>
        <v>24</v>
      </c>
      <c r="AO101" s="89">
        <f t="shared" si="19"/>
        <v>83.1</v>
      </c>
      <c r="AP101" s="83">
        <f t="shared" si="20"/>
        <v>82</v>
      </c>
      <c r="AQ101" s="89">
        <f t="shared" si="21"/>
        <v>0</v>
      </c>
      <c r="AR101" s="89">
        <f t="shared" si="22"/>
        <v>65</v>
      </c>
      <c r="AS101" s="83">
        <f t="shared" si="23"/>
        <v>264</v>
      </c>
      <c r="AT101" s="89">
        <v>0</v>
      </c>
      <c r="AU101" s="89">
        <f t="shared" si="24"/>
        <v>0</v>
      </c>
      <c r="AV101" s="108">
        <v>2488171</v>
      </c>
      <c r="AW101" s="126">
        <v>508.1</v>
      </c>
      <c r="AX101" s="42">
        <v>508.1</v>
      </c>
      <c r="AY101" s="208">
        <f t="shared" si="25"/>
        <v>0</v>
      </c>
      <c r="AZ101" s="290">
        <v>96329</v>
      </c>
      <c r="BA101" s="42"/>
      <c r="BB101" s="42"/>
      <c r="BD101" s="129"/>
    </row>
    <row r="102" spans="1:56">
      <c r="A102" s="235" t="s">
        <v>295</v>
      </c>
      <c r="B102" s="121">
        <v>1</v>
      </c>
      <c r="C102" s="131">
        <v>331.1</v>
      </c>
      <c r="D102" s="131">
        <v>0</v>
      </c>
      <c r="E102" s="82">
        <v>0</v>
      </c>
      <c r="F102" s="131">
        <v>0</v>
      </c>
      <c r="G102" s="199">
        <v>0</v>
      </c>
      <c r="H102" s="131">
        <v>0</v>
      </c>
      <c r="I102" s="131">
        <v>0</v>
      </c>
      <c r="J102" s="208">
        <v>0</v>
      </c>
      <c r="K102" s="127">
        <v>345</v>
      </c>
      <c r="L102" s="124">
        <v>0</v>
      </c>
      <c r="M102" s="121">
        <v>0</v>
      </c>
      <c r="N102" s="124">
        <v>6</v>
      </c>
      <c r="O102" s="124">
        <v>0</v>
      </c>
      <c r="P102" s="131">
        <v>73.2</v>
      </c>
      <c r="Q102" s="124">
        <v>0</v>
      </c>
      <c r="R102" s="124">
        <v>1.3</v>
      </c>
      <c r="S102" s="124">
        <v>0</v>
      </c>
      <c r="T102" s="127">
        <v>2</v>
      </c>
      <c r="U102" s="121">
        <v>0</v>
      </c>
      <c r="V102" s="121">
        <v>125</v>
      </c>
      <c r="W102" s="121">
        <v>0</v>
      </c>
      <c r="X102" s="131">
        <v>0</v>
      </c>
      <c r="Y102" s="119">
        <v>125</v>
      </c>
      <c r="Z102" s="82">
        <v>0</v>
      </c>
      <c r="AA102" s="79">
        <v>0</v>
      </c>
      <c r="AB102" s="79">
        <v>0</v>
      </c>
      <c r="AC102" s="209">
        <v>0</v>
      </c>
      <c r="AD102" s="211">
        <v>0</v>
      </c>
      <c r="AE102" s="89">
        <v>0</v>
      </c>
      <c r="AF102" s="89">
        <v>1.1000000000000001</v>
      </c>
      <c r="AG102" s="89">
        <f>SUMIF('PreliminaryHD AR - School Level'!A103:A1409, "=" &amp; A102,'PreliminaryHD AR - School Level'!M103:M1409)</f>
        <v>1.4</v>
      </c>
      <c r="AH102" s="89">
        <v>617.4</v>
      </c>
      <c r="AI102" s="89">
        <f t="shared" si="13"/>
        <v>0</v>
      </c>
      <c r="AJ102" s="89">
        <f t="shared" si="14"/>
        <v>0</v>
      </c>
      <c r="AK102" s="89">
        <f t="shared" si="15"/>
        <v>331.1</v>
      </c>
      <c r="AL102" s="89">
        <f t="shared" si="16"/>
        <v>6</v>
      </c>
      <c r="AM102" s="89">
        <f t="shared" si="17"/>
        <v>1.3</v>
      </c>
      <c r="AN102" s="89">
        <f t="shared" si="18"/>
        <v>2</v>
      </c>
      <c r="AO102" s="89">
        <f t="shared" si="19"/>
        <v>73.2</v>
      </c>
      <c r="AP102" s="83">
        <f t="shared" si="20"/>
        <v>125</v>
      </c>
      <c r="AQ102" s="89">
        <f t="shared" si="21"/>
        <v>0</v>
      </c>
      <c r="AR102" s="89">
        <f t="shared" si="22"/>
        <v>125</v>
      </c>
      <c r="AS102" s="83">
        <f t="shared" si="23"/>
        <v>345</v>
      </c>
      <c r="AT102" s="89">
        <v>0</v>
      </c>
      <c r="AU102" s="89">
        <f t="shared" si="24"/>
        <v>1.4</v>
      </c>
      <c r="AV102" s="108">
        <v>3190807</v>
      </c>
      <c r="AW102" s="126">
        <v>617.4</v>
      </c>
      <c r="AX102" s="42">
        <v>617.4</v>
      </c>
      <c r="AY102" s="208">
        <f t="shared" si="25"/>
        <v>0</v>
      </c>
      <c r="AZ102" s="290">
        <v>311893</v>
      </c>
      <c r="BA102" s="42"/>
      <c r="BB102" s="42"/>
      <c r="BD102" s="129"/>
    </row>
    <row r="103" spans="1:56">
      <c r="A103" s="235" t="s">
        <v>296</v>
      </c>
      <c r="B103" s="121">
        <v>1</v>
      </c>
      <c r="C103" s="131">
        <v>230.1</v>
      </c>
      <c r="D103" s="131">
        <v>0</v>
      </c>
      <c r="E103" s="82">
        <v>0</v>
      </c>
      <c r="F103" s="131">
        <v>0</v>
      </c>
      <c r="G103" s="199">
        <v>0</v>
      </c>
      <c r="H103" s="131">
        <v>0</v>
      </c>
      <c r="I103" s="131">
        <v>0</v>
      </c>
      <c r="J103" s="208">
        <v>0</v>
      </c>
      <c r="K103" s="127">
        <v>241</v>
      </c>
      <c r="L103" s="124">
        <v>0</v>
      </c>
      <c r="M103" s="121">
        <v>0</v>
      </c>
      <c r="N103" s="124">
        <v>4.5</v>
      </c>
      <c r="O103" s="124">
        <v>0</v>
      </c>
      <c r="P103" s="131">
        <v>72.5</v>
      </c>
      <c r="Q103" s="124">
        <v>0</v>
      </c>
      <c r="R103" s="124">
        <v>0</v>
      </c>
      <c r="S103" s="124">
        <v>0</v>
      </c>
      <c r="T103" s="127">
        <v>0</v>
      </c>
      <c r="U103" s="121">
        <v>0</v>
      </c>
      <c r="V103" s="121">
        <v>91</v>
      </c>
      <c r="W103" s="121">
        <v>0</v>
      </c>
      <c r="X103" s="131">
        <v>0</v>
      </c>
      <c r="Y103" s="119">
        <v>161</v>
      </c>
      <c r="Z103" s="82">
        <v>0</v>
      </c>
      <c r="AA103" s="79">
        <v>0</v>
      </c>
      <c r="AB103" s="79">
        <v>0</v>
      </c>
      <c r="AC103" s="209">
        <v>0</v>
      </c>
      <c r="AD103" s="211">
        <v>0</v>
      </c>
      <c r="AE103" s="89">
        <v>0</v>
      </c>
      <c r="AF103" s="89">
        <v>1.8</v>
      </c>
      <c r="AG103" s="89">
        <f>SUMIF('PreliminaryHD AR - School Level'!A104:A1410, "=" &amp; A103,'PreliminaryHD AR - School Level'!M104:M1410)</f>
        <v>4.4000000000000004</v>
      </c>
      <c r="AH103" s="89">
        <v>509.8</v>
      </c>
      <c r="AI103" s="89">
        <f t="shared" si="13"/>
        <v>0</v>
      </c>
      <c r="AJ103" s="89">
        <f t="shared" si="14"/>
        <v>0</v>
      </c>
      <c r="AK103" s="89">
        <f t="shared" si="15"/>
        <v>230.1</v>
      </c>
      <c r="AL103" s="89">
        <f t="shared" si="16"/>
        <v>4.5</v>
      </c>
      <c r="AM103" s="89">
        <f t="shared" si="17"/>
        <v>0</v>
      </c>
      <c r="AN103" s="89">
        <f t="shared" si="18"/>
        <v>0</v>
      </c>
      <c r="AO103" s="89">
        <f t="shared" si="19"/>
        <v>72.5</v>
      </c>
      <c r="AP103" s="83">
        <f t="shared" si="20"/>
        <v>91</v>
      </c>
      <c r="AQ103" s="89">
        <f t="shared" si="21"/>
        <v>0</v>
      </c>
      <c r="AR103" s="89">
        <f t="shared" si="22"/>
        <v>161</v>
      </c>
      <c r="AS103" s="83">
        <f t="shared" si="23"/>
        <v>241</v>
      </c>
      <c r="AT103" s="89">
        <v>0</v>
      </c>
      <c r="AU103" s="89">
        <f t="shared" si="24"/>
        <v>4.4000000000000004</v>
      </c>
      <c r="AV103" s="108">
        <v>2387378</v>
      </c>
      <c r="AW103" s="126">
        <v>509.8</v>
      </c>
      <c r="AX103" s="42">
        <v>509.8</v>
      </c>
      <c r="AY103" s="208">
        <f t="shared" si="25"/>
        <v>0</v>
      </c>
      <c r="AZ103" s="290">
        <v>159891</v>
      </c>
      <c r="BA103" s="42"/>
      <c r="BB103" s="42"/>
      <c r="BD103" s="129"/>
    </row>
    <row r="104" spans="1:56">
      <c r="A104" s="235" t="s">
        <v>297</v>
      </c>
      <c r="B104" s="121">
        <v>1</v>
      </c>
      <c r="C104" s="131">
        <v>311.5</v>
      </c>
      <c r="D104" s="131">
        <v>0</v>
      </c>
      <c r="E104" s="82">
        <v>0</v>
      </c>
      <c r="F104" s="131">
        <v>0</v>
      </c>
      <c r="G104" s="199">
        <v>0</v>
      </c>
      <c r="H104" s="131">
        <v>0</v>
      </c>
      <c r="I104" s="131">
        <v>0</v>
      </c>
      <c r="J104" s="208">
        <v>0</v>
      </c>
      <c r="K104" s="127">
        <v>317</v>
      </c>
      <c r="L104" s="124">
        <v>0</v>
      </c>
      <c r="M104" s="121">
        <v>0</v>
      </c>
      <c r="N104" s="124">
        <v>0</v>
      </c>
      <c r="O104" s="124">
        <v>0</v>
      </c>
      <c r="P104" s="131">
        <v>49.8</v>
      </c>
      <c r="Q104" s="124">
        <v>0</v>
      </c>
      <c r="R104" s="124">
        <v>0</v>
      </c>
      <c r="S104" s="124">
        <v>0</v>
      </c>
      <c r="T104" s="127">
        <v>0</v>
      </c>
      <c r="U104" s="121">
        <v>0</v>
      </c>
      <c r="V104" s="121">
        <v>87</v>
      </c>
      <c r="W104" s="121">
        <v>0</v>
      </c>
      <c r="X104" s="131">
        <v>0</v>
      </c>
      <c r="Y104" s="119">
        <v>194.5</v>
      </c>
      <c r="Z104" s="82">
        <v>0</v>
      </c>
      <c r="AA104" s="79">
        <v>0</v>
      </c>
      <c r="AB104" s="79">
        <v>0</v>
      </c>
      <c r="AC104" s="209">
        <v>0</v>
      </c>
      <c r="AD104" s="211">
        <v>0</v>
      </c>
      <c r="AE104" s="89">
        <v>0</v>
      </c>
      <c r="AF104" s="89">
        <v>0</v>
      </c>
      <c r="AG104" s="89">
        <f>SUMIF('PreliminaryHD AR - School Level'!A105:A1411, "=" &amp; A104,'PreliminaryHD AR - School Level'!M105:M1411)</f>
        <v>0</v>
      </c>
      <c r="AH104" s="89">
        <v>590.4</v>
      </c>
      <c r="AI104" s="89">
        <f t="shared" si="13"/>
        <v>0</v>
      </c>
      <c r="AJ104" s="89">
        <f t="shared" si="14"/>
        <v>0</v>
      </c>
      <c r="AK104" s="89">
        <f t="shared" si="15"/>
        <v>311.5</v>
      </c>
      <c r="AL104" s="89">
        <f t="shared" si="16"/>
        <v>0</v>
      </c>
      <c r="AM104" s="89">
        <f t="shared" si="17"/>
        <v>0</v>
      </c>
      <c r="AN104" s="89">
        <f t="shared" si="18"/>
        <v>0</v>
      </c>
      <c r="AO104" s="89">
        <f t="shared" si="19"/>
        <v>49.8</v>
      </c>
      <c r="AP104" s="83">
        <f t="shared" si="20"/>
        <v>87</v>
      </c>
      <c r="AQ104" s="89">
        <f t="shared" si="21"/>
        <v>0</v>
      </c>
      <c r="AR104" s="89">
        <f t="shared" si="22"/>
        <v>194.5</v>
      </c>
      <c r="AS104" s="83">
        <f t="shared" si="23"/>
        <v>317</v>
      </c>
      <c r="AT104" s="89">
        <v>0</v>
      </c>
      <c r="AU104" s="89">
        <f t="shared" si="24"/>
        <v>0</v>
      </c>
      <c r="AV104" s="108">
        <v>3097307</v>
      </c>
      <c r="AW104" s="126">
        <v>590.4</v>
      </c>
      <c r="AX104" s="42">
        <v>590.4</v>
      </c>
      <c r="AY104" s="208">
        <f t="shared" si="25"/>
        <v>0</v>
      </c>
      <c r="AZ104" s="290">
        <v>264360</v>
      </c>
      <c r="BA104" s="42"/>
      <c r="BB104" s="42"/>
      <c r="BD104" s="129"/>
    </row>
    <row r="105" spans="1:56">
      <c r="A105" s="235" t="s">
        <v>298</v>
      </c>
      <c r="B105" s="121">
        <v>1</v>
      </c>
      <c r="C105" s="131">
        <v>277</v>
      </c>
      <c r="D105" s="131">
        <v>0</v>
      </c>
      <c r="E105" s="82">
        <v>0</v>
      </c>
      <c r="F105" s="131">
        <v>0</v>
      </c>
      <c r="G105" s="199">
        <v>0</v>
      </c>
      <c r="H105" s="131">
        <v>0</v>
      </c>
      <c r="I105" s="131">
        <v>0</v>
      </c>
      <c r="J105" s="208">
        <v>0</v>
      </c>
      <c r="K105" s="127">
        <v>292</v>
      </c>
      <c r="L105" s="124">
        <v>0</v>
      </c>
      <c r="M105" s="121">
        <v>0</v>
      </c>
      <c r="N105" s="124">
        <v>5</v>
      </c>
      <c r="O105" s="124">
        <v>0</v>
      </c>
      <c r="P105" s="131">
        <v>199.3</v>
      </c>
      <c r="Q105" s="124">
        <v>0</v>
      </c>
      <c r="R105" s="124">
        <v>124.8</v>
      </c>
      <c r="S105" s="124">
        <v>0</v>
      </c>
      <c r="T105" s="127">
        <v>47</v>
      </c>
      <c r="U105" s="121">
        <v>0</v>
      </c>
      <c r="V105" s="121">
        <v>88</v>
      </c>
      <c r="W105" s="121">
        <v>0</v>
      </c>
      <c r="X105" s="131">
        <v>0</v>
      </c>
      <c r="Y105" s="119">
        <v>25.5</v>
      </c>
      <c r="Z105" s="82">
        <v>0</v>
      </c>
      <c r="AA105" s="79">
        <v>0</v>
      </c>
      <c r="AB105" s="79">
        <v>0</v>
      </c>
      <c r="AC105" s="209">
        <v>0</v>
      </c>
      <c r="AD105" s="211">
        <v>0</v>
      </c>
      <c r="AE105" s="89">
        <v>0</v>
      </c>
      <c r="AF105" s="89">
        <v>0</v>
      </c>
      <c r="AG105" s="89">
        <f>SUMIF('PreliminaryHD AR - School Level'!A106:A1412, "=" &amp; A105,'PreliminaryHD AR - School Level'!M106:M1412)</f>
        <v>0</v>
      </c>
      <c r="AH105" s="89">
        <v>536.4</v>
      </c>
      <c r="AI105" s="89">
        <f t="shared" si="13"/>
        <v>0</v>
      </c>
      <c r="AJ105" s="89">
        <f t="shared" si="14"/>
        <v>0</v>
      </c>
      <c r="AK105" s="89">
        <f t="shared" si="15"/>
        <v>277</v>
      </c>
      <c r="AL105" s="89">
        <f t="shared" si="16"/>
        <v>5</v>
      </c>
      <c r="AM105" s="89">
        <f t="shared" si="17"/>
        <v>124.8</v>
      </c>
      <c r="AN105" s="89">
        <f t="shared" si="18"/>
        <v>47</v>
      </c>
      <c r="AO105" s="89">
        <f t="shared" si="19"/>
        <v>199.3</v>
      </c>
      <c r="AP105" s="83">
        <f t="shared" si="20"/>
        <v>88</v>
      </c>
      <c r="AQ105" s="89">
        <f t="shared" si="21"/>
        <v>0</v>
      </c>
      <c r="AR105" s="89">
        <f t="shared" si="22"/>
        <v>25.5</v>
      </c>
      <c r="AS105" s="83">
        <f t="shared" si="23"/>
        <v>292</v>
      </c>
      <c r="AT105" s="89">
        <v>0</v>
      </c>
      <c r="AU105" s="89">
        <f t="shared" si="24"/>
        <v>0</v>
      </c>
      <c r="AV105" s="108">
        <v>2520242</v>
      </c>
      <c r="AW105" s="126">
        <v>536.4</v>
      </c>
      <c r="AX105" s="42">
        <v>536.4</v>
      </c>
      <c r="AY105" s="208">
        <f t="shared" si="25"/>
        <v>0</v>
      </c>
      <c r="AZ105" s="290">
        <v>129673</v>
      </c>
      <c r="BA105" s="42"/>
      <c r="BB105" s="42"/>
      <c r="BD105" s="129"/>
    </row>
    <row r="106" spans="1:56">
      <c r="A106" s="235" t="s">
        <v>299</v>
      </c>
      <c r="B106" s="121">
        <v>1</v>
      </c>
      <c r="C106" s="131">
        <v>7031.5</v>
      </c>
      <c r="D106" s="131">
        <v>0</v>
      </c>
      <c r="E106" s="82">
        <v>0</v>
      </c>
      <c r="F106" s="131">
        <v>0</v>
      </c>
      <c r="G106" s="199">
        <v>0</v>
      </c>
      <c r="H106" s="131">
        <v>0</v>
      </c>
      <c r="I106" s="131">
        <v>0</v>
      </c>
      <c r="J106" s="208">
        <v>0</v>
      </c>
      <c r="K106" s="127">
        <v>7180</v>
      </c>
      <c r="L106" s="124">
        <v>0</v>
      </c>
      <c r="M106" s="121">
        <v>0</v>
      </c>
      <c r="N106" s="124">
        <v>28.5</v>
      </c>
      <c r="O106" s="124">
        <v>0</v>
      </c>
      <c r="P106" s="131">
        <v>1778.5</v>
      </c>
      <c r="Q106" s="124">
        <v>0</v>
      </c>
      <c r="R106" s="124">
        <v>1581</v>
      </c>
      <c r="S106" s="124">
        <v>0</v>
      </c>
      <c r="T106" s="127">
        <v>701</v>
      </c>
      <c r="U106" s="121">
        <v>0</v>
      </c>
      <c r="V106" s="121">
        <v>3261</v>
      </c>
      <c r="W106" s="121">
        <v>0</v>
      </c>
      <c r="X106" s="131">
        <v>1</v>
      </c>
      <c r="Y106" s="119">
        <v>1100</v>
      </c>
      <c r="Z106" s="82">
        <v>0</v>
      </c>
      <c r="AA106" s="79">
        <v>0</v>
      </c>
      <c r="AB106" s="79">
        <v>1.6</v>
      </c>
      <c r="AC106" s="209">
        <v>100</v>
      </c>
      <c r="AD106" s="211">
        <v>1195.9000000000001</v>
      </c>
      <c r="AE106" s="89">
        <v>0</v>
      </c>
      <c r="AF106" s="89">
        <v>237.9</v>
      </c>
      <c r="AG106" s="89">
        <f>SUMIF('PreliminaryHD AR - School Level'!A107:A1413, "=" &amp; A106,'PreliminaryHD AR - School Level'!M107:M1413)</f>
        <v>215.2</v>
      </c>
      <c r="AH106" s="89">
        <v>9982.1</v>
      </c>
      <c r="AI106" s="89">
        <f t="shared" si="13"/>
        <v>0</v>
      </c>
      <c r="AJ106" s="89">
        <f t="shared" si="14"/>
        <v>0</v>
      </c>
      <c r="AK106" s="89">
        <f t="shared" si="15"/>
        <v>7031.5</v>
      </c>
      <c r="AL106" s="89">
        <f t="shared" si="16"/>
        <v>28.5</v>
      </c>
      <c r="AM106" s="89">
        <f t="shared" si="17"/>
        <v>1581</v>
      </c>
      <c r="AN106" s="89">
        <f t="shared" si="18"/>
        <v>701</v>
      </c>
      <c r="AO106" s="89">
        <f t="shared" si="19"/>
        <v>1778.5</v>
      </c>
      <c r="AP106" s="83">
        <f t="shared" si="20"/>
        <v>3261</v>
      </c>
      <c r="AQ106" s="89">
        <f t="shared" si="21"/>
        <v>1195.9000000000001</v>
      </c>
      <c r="AR106" s="89">
        <f t="shared" si="22"/>
        <v>1100</v>
      </c>
      <c r="AS106" s="83">
        <f t="shared" si="23"/>
        <v>7180</v>
      </c>
      <c r="AT106" s="89">
        <v>0</v>
      </c>
      <c r="AU106" s="89">
        <f t="shared" si="24"/>
        <v>237.9</v>
      </c>
      <c r="AV106" s="108">
        <v>50991018</v>
      </c>
      <c r="AW106" s="126">
        <v>9982.1</v>
      </c>
      <c r="AX106" s="42">
        <v>9982.1</v>
      </c>
      <c r="AY106" s="208">
        <f t="shared" si="25"/>
        <v>0</v>
      </c>
      <c r="AZ106" s="290">
        <v>874153</v>
      </c>
      <c r="BA106" s="42"/>
      <c r="BB106" s="42"/>
      <c r="BD106" s="129"/>
    </row>
    <row r="107" spans="1:56">
      <c r="A107" s="235" t="s">
        <v>300</v>
      </c>
      <c r="B107" s="121">
        <v>1</v>
      </c>
      <c r="C107" s="131">
        <v>687.5</v>
      </c>
      <c r="D107" s="131">
        <v>0</v>
      </c>
      <c r="E107" s="82">
        <v>0</v>
      </c>
      <c r="F107" s="131">
        <v>0</v>
      </c>
      <c r="G107" s="199">
        <v>0</v>
      </c>
      <c r="H107" s="131">
        <v>0</v>
      </c>
      <c r="I107" s="131">
        <v>0</v>
      </c>
      <c r="J107" s="208">
        <v>0</v>
      </c>
      <c r="K107" s="127">
        <v>688</v>
      </c>
      <c r="L107" s="124">
        <v>0</v>
      </c>
      <c r="M107" s="121">
        <v>0</v>
      </c>
      <c r="N107" s="124">
        <v>0</v>
      </c>
      <c r="O107" s="124">
        <v>0</v>
      </c>
      <c r="P107" s="131">
        <v>270.89999999999998</v>
      </c>
      <c r="Q107" s="124">
        <v>0</v>
      </c>
      <c r="R107" s="124">
        <v>0</v>
      </c>
      <c r="S107" s="124">
        <v>0</v>
      </c>
      <c r="T107" s="127">
        <v>0</v>
      </c>
      <c r="U107" s="121">
        <v>0</v>
      </c>
      <c r="V107" s="121">
        <v>136</v>
      </c>
      <c r="W107" s="121">
        <v>0</v>
      </c>
      <c r="X107" s="131">
        <v>0</v>
      </c>
      <c r="Y107" s="119">
        <v>468</v>
      </c>
      <c r="Z107" s="82">
        <v>0</v>
      </c>
      <c r="AA107" s="79">
        <v>0</v>
      </c>
      <c r="AB107" s="79">
        <v>0</v>
      </c>
      <c r="AC107" s="209">
        <v>0</v>
      </c>
      <c r="AD107" s="211">
        <v>0</v>
      </c>
      <c r="AE107" s="89">
        <v>0</v>
      </c>
      <c r="AF107" s="89">
        <v>0</v>
      </c>
      <c r="AG107" s="89">
        <f>SUMIF('PreliminaryHD AR - School Level'!A108:A1414, "=" &amp; A107,'PreliminaryHD AR - School Level'!M108:M1414)</f>
        <v>0</v>
      </c>
      <c r="AH107" s="89">
        <v>1115.5</v>
      </c>
      <c r="AI107" s="89">
        <f t="shared" si="13"/>
        <v>0</v>
      </c>
      <c r="AJ107" s="89">
        <f t="shared" si="14"/>
        <v>0</v>
      </c>
      <c r="AK107" s="89">
        <f t="shared" si="15"/>
        <v>687.5</v>
      </c>
      <c r="AL107" s="89">
        <f t="shared" si="16"/>
        <v>0</v>
      </c>
      <c r="AM107" s="89">
        <f t="shared" si="17"/>
        <v>0</v>
      </c>
      <c r="AN107" s="89">
        <f t="shared" si="18"/>
        <v>0</v>
      </c>
      <c r="AO107" s="89">
        <f t="shared" si="19"/>
        <v>270.89999999999998</v>
      </c>
      <c r="AP107" s="83">
        <f t="shared" si="20"/>
        <v>136</v>
      </c>
      <c r="AQ107" s="89">
        <f t="shared" si="21"/>
        <v>0</v>
      </c>
      <c r="AR107" s="89">
        <f t="shared" si="22"/>
        <v>468</v>
      </c>
      <c r="AS107" s="83">
        <f t="shared" si="23"/>
        <v>688</v>
      </c>
      <c r="AT107" s="89">
        <v>0</v>
      </c>
      <c r="AU107" s="89">
        <f t="shared" si="24"/>
        <v>0</v>
      </c>
      <c r="AV107" s="108">
        <v>5287884</v>
      </c>
      <c r="AW107" s="126">
        <v>1115.5</v>
      </c>
      <c r="AX107" s="42">
        <v>1115.5</v>
      </c>
      <c r="AY107" s="208">
        <f t="shared" si="25"/>
        <v>0</v>
      </c>
      <c r="AZ107" s="290">
        <v>309672</v>
      </c>
      <c r="BA107" s="42"/>
      <c r="BB107" s="42"/>
      <c r="BD107" s="129"/>
    </row>
    <row r="108" spans="1:56">
      <c r="A108" s="235" t="s">
        <v>301</v>
      </c>
      <c r="B108" s="121">
        <v>1</v>
      </c>
      <c r="C108" s="131">
        <v>460.5</v>
      </c>
      <c r="D108" s="131">
        <v>0</v>
      </c>
      <c r="E108" s="82">
        <v>0</v>
      </c>
      <c r="F108" s="131">
        <v>0</v>
      </c>
      <c r="G108" s="199">
        <v>0</v>
      </c>
      <c r="H108" s="131">
        <v>0</v>
      </c>
      <c r="I108" s="131">
        <v>0</v>
      </c>
      <c r="J108" s="208">
        <v>0</v>
      </c>
      <c r="K108" s="127">
        <v>478</v>
      </c>
      <c r="L108" s="124">
        <v>0</v>
      </c>
      <c r="M108" s="121">
        <v>0</v>
      </c>
      <c r="N108" s="124">
        <v>7</v>
      </c>
      <c r="O108" s="124">
        <v>0</v>
      </c>
      <c r="P108" s="131">
        <v>148.80000000000001</v>
      </c>
      <c r="Q108" s="124">
        <v>0</v>
      </c>
      <c r="R108" s="124">
        <v>38</v>
      </c>
      <c r="S108" s="124">
        <v>0</v>
      </c>
      <c r="T108" s="127">
        <v>21</v>
      </c>
      <c r="U108" s="121">
        <v>0</v>
      </c>
      <c r="V108" s="121">
        <v>124</v>
      </c>
      <c r="W108" s="121">
        <v>0</v>
      </c>
      <c r="X108" s="131">
        <v>0</v>
      </c>
      <c r="Y108" s="119">
        <v>196</v>
      </c>
      <c r="Z108" s="82">
        <v>0</v>
      </c>
      <c r="AA108" s="79">
        <v>0</v>
      </c>
      <c r="AB108" s="79">
        <v>0</v>
      </c>
      <c r="AC108" s="209">
        <v>0</v>
      </c>
      <c r="AD108" s="211">
        <v>0</v>
      </c>
      <c r="AE108" s="89">
        <v>0</v>
      </c>
      <c r="AF108" s="89">
        <v>0</v>
      </c>
      <c r="AG108" s="89">
        <f>SUMIF('PreliminaryHD AR - School Level'!A109:A1415, "=" &amp; A108,'PreliminaryHD AR - School Level'!M109:M1415)</f>
        <v>0</v>
      </c>
      <c r="AH108" s="89">
        <v>797.5</v>
      </c>
      <c r="AI108" s="89">
        <f t="shared" si="13"/>
        <v>0</v>
      </c>
      <c r="AJ108" s="89">
        <f t="shared" si="14"/>
        <v>0</v>
      </c>
      <c r="AK108" s="89">
        <f t="shared" si="15"/>
        <v>460.5</v>
      </c>
      <c r="AL108" s="89">
        <f t="shared" si="16"/>
        <v>7</v>
      </c>
      <c r="AM108" s="89">
        <f t="shared" si="17"/>
        <v>38</v>
      </c>
      <c r="AN108" s="89">
        <f t="shared" si="18"/>
        <v>21</v>
      </c>
      <c r="AO108" s="89">
        <f t="shared" si="19"/>
        <v>148.80000000000001</v>
      </c>
      <c r="AP108" s="83">
        <f t="shared" si="20"/>
        <v>124</v>
      </c>
      <c r="AQ108" s="89">
        <f t="shared" si="21"/>
        <v>0</v>
      </c>
      <c r="AR108" s="89">
        <f t="shared" si="22"/>
        <v>196</v>
      </c>
      <c r="AS108" s="83">
        <f t="shared" si="23"/>
        <v>478</v>
      </c>
      <c r="AT108" s="89">
        <v>0</v>
      </c>
      <c r="AU108" s="89">
        <f t="shared" si="24"/>
        <v>0</v>
      </c>
      <c r="AV108" s="108">
        <v>3937641</v>
      </c>
      <c r="AW108" s="126">
        <v>797.5</v>
      </c>
      <c r="AX108" s="42">
        <v>797.5</v>
      </c>
      <c r="AY108" s="208">
        <f t="shared" si="25"/>
        <v>0</v>
      </c>
      <c r="AZ108" s="290">
        <v>207842</v>
      </c>
      <c r="BA108" s="42"/>
      <c r="BB108" s="42"/>
      <c r="BD108" s="129"/>
    </row>
    <row r="109" spans="1:56">
      <c r="A109" s="235" t="s">
        <v>302</v>
      </c>
      <c r="B109" s="121">
        <v>1</v>
      </c>
      <c r="C109" s="131">
        <v>4322.1000000000004</v>
      </c>
      <c r="D109" s="131">
        <v>0</v>
      </c>
      <c r="E109" s="82">
        <v>0</v>
      </c>
      <c r="F109" s="131">
        <v>0</v>
      </c>
      <c r="G109" s="199">
        <v>0</v>
      </c>
      <c r="H109" s="131">
        <v>0</v>
      </c>
      <c r="I109" s="131">
        <v>0</v>
      </c>
      <c r="J109" s="208">
        <v>0</v>
      </c>
      <c r="K109" s="127">
        <v>4435</v>
      </c>
      <c r="L109" s="124">
        <v>0</v>
      </c>
      <c r="M109" s="121">
        <v>0</v>
      </c>
      <c r="N109" s="124">
        <v>22.5</v>
      </c>
      <c r="O109" s="124">
        <v>0</v>
      </c>
      <c r="P109" s="131">
        <v>1444.3</v>
      </c>
      <c r="Q109" s="124">
        <v>0</v>
      </c>
      <c r="R109" s="124">
        <v>490.8</v>
      </c>
      <c r="S109" s="124">
        <v>0</v>
      </c>
      <c r="T109" s="127">
        <v>189</v>
      </c>
      <c r="U109" s="121">
        <v>0</v>
      </c>
      <c r="V109" s="121">
        <v>2389</v>
      </c>
      <c r="W109" s="121">
        <v>0</v>
      </c>
      <c r="X109" s="131">
        <v>0</v>
      </c>
      <c r="Y109" s="119">
        <v>23</v>
      </c>
      <c r="Z109" s="82">
        <v>0</v>
      </c>
      <c r="AA109" s="79">
        <v>0</v>
      </c>
      <c r="AB109" s="79">
        <v>0</v>
      </c>
      <c r="AC109" s="209">
        <v>6</v>
      </c>
      <c r="AD109" s="211">
        <v>0</v>
      </c>
      <c r="AE109" s="89">
        <v>0</v>
      </c>
      <c r="AF109" s="89">
        <v>250.8</v>
      </c>
      <c r="AG109" s="89">
        <f>SUMIF('PreliminaryHD AR - School Level'!A110:A1416, "=" &amp; A109,'PreliminaryHD AR - School Level'!M110:M1416)</f>
        <v>227.6</v>
      </c>
      <c r="AH109" s="89">
        <v>6220.7</v>
      </c>
      <c r="AI109" s="89">
        <f t="shared" si="13"/>
        <v>0</v>
      </c>
      <c r="AJ109" s="89">
        <f t="shared" si="14"/>
        <v>0</v>
      </c>
      <c r="AK109" s="89">
        <f t="shared" si="15"/>
        <v>4322.1000000000004</v>
      </c>
      <c r="AL109" s="89">
        <f t="shared" si="16"/>
        <v>22.5</v>
      </c>
      <c r="AM109" s="89">
        <f t="shared" si="17"/>
        <v>490.8</v>
      </c>
      <c r="AN109" s="89">
        <f t="shared" si="18"/>
        <v>189</v>
      </c>
      <c r="AO109" s="89">
        <f t="shared" si="19"/>
        <v>1444.3</v>
      </c>
      <c r="AP109" s="83">
        <f t="shared" si="20"/>
        <v>2389</v>
      </c>
      <c r="AQ109" s="89">
        <f t="shared" si="21"/>
        <v>0</v>
      </c>
      <c r="AR109" s="89">
        <f t="shared" si="22"/>
        <v>23</v>
      </c>
      <c r="AS109" s="83">
        <f t="shared" si="23"/>
        <v>4435</v>
      </c>
      <c r="AT109" s="89">
        <v>0</v>
      </c>
      <c r="AU109" s="89">
        <f t="shared" si="24"/>
        <v>250.8</v>
      </c>
      <c r="AV109" s="108">
        <v>31399359</v>
      </c>
      <c r="AW109" s="126">
        <v>6220.7</v>
      </c>
      <c r="AX109" s="42">
        <v>6220.7</v>
      </c>
      <c r="AY109" s="208">
        <f t="shared" si="25"/>
        <v>0</v>
      </c>
      <c r="AZ109" s="290">
        <v>240412</v>
      </c>
      <c r="BA109" s="42"/>
      <c r="BB109" s="42"/>
      <c r="BD109" s="129"/>
    </row>
    <row r="110" spans="1:56">
      <c r="A110" s="235" t="s">
        <v>303</v>
      </c>
      <c r="B110" s="121">
        <v>1</v>
      </c>
      <c r="C110" s="131">
        <v>1079</v>
      </c>
      <c r="D110" s="131">
        <v>0</v>
      </c>
      <c r="E110" s="82">
        <v>0</v>
      </c>
      <c r="F110" s="131">
        <v>0</v>
      </c>
      <c r="G110" s="199">
        <v>0</v>
      </c>
      <c r="H110" s="131">
        <v>0</v>
      </c>
      <c r="I110" s="131">
        <v>0</v>
      </c>
      <c r="J110" s="208">
        <v>0</v>
      </c>
      <c r="K110" s="127">
        <v>1113</v>
      </c>
      <c r="L110" s="124">
        <v>0</v>
      </c>
      <c r="M110" s="121">
        <v>0</v>
      </c>
      <c r="N110" s="124">
        <v>12.5</v>
      </c>
      <c r="O110" s="124">
        <v>0</v>
      </c>
      <c r="P110" s="131">
        <v>305</v>
      </c>
      <c r="Q110" s="124">
        <v>0</v>
      </c>
      <c r="R110" s="124">
        <v>37.700000000000003</v>
      </c>
      <c r="S110" s="124">
        <v>0</v>
      </c>
      <c r="T110" s="127">
        <v>19</v>
      </c>
      <c r="U110" s="121">
        <v>0</v>
      </c>
      <c r="V110" s="121">
        <v>543</v>
      </c>
      <c r="W110" s="121">
        <v>0</v>
      </c>
      <c r="X110" s="131">
        <v>0</v>
      </c>
      <c r="Y110" s="119">
        <v>451</v>
      </c>
      <c r="Z110" s="82">
        <v>0</v>
      </c>
      <c r="AA110" s="79">
        <v>34</v>
      </c>
      <c r="AB110" s="79">
        <v>0</v>
      </c>
      <c r="AC110" s="209">
        <v>5</v>
      </c>
      <c r="AD110" s="211">
        <v>0</v>
      </c>
      <c r="AE110" s="89">
        <v>0</v>
      </c>
      <c r="AF110" s="89">
        <v>52.4</v>
      </c>
      <c r="AG110" s="89">
        <f>SUMIF('PreliminaryHD AR - School Level'!A111:A1417, "=" &amp; A110,'PreliminaryHD AR - School Level'!M111:M1417)</f>
        <v>44.2</v>
      </c>
      <c r="AH110" s="89">
        <v>1788.1</v>
      </c>
      <c r="AI110" s="89">
        <f t="shared" si="13"/>
        <v>0</v>
      </c>
      <c r="AJ110" s="89">
        <f t="shared" si="14"/>
        <v>0</v>
      </c>
      <c r="AK110" s="89">
        <f t="shared" si="15"/>
        <v>1079</v>
      </c>
      <c r="AL110" s="89">
        <f t="shared" si="16"/>
        <v>12.5</v>
      </c>
      <c r="AM110" s="89">
        <f t="shared" si="17"/>
        <v>37.700000000000003</v>
      </c>
      <c r="AN110" s="89">
        <f t="shared" si="18"/>
        <v>19</v>
      </c>
      <c r="AO110" s="89">
        <f t="shared" si="19"/>
        <v>305</v>
      </c>
      <c r="AP110" s="83">
        <f t="shared" si="20"/>
        <v>543</v>
      </c>
      <c r="AQ110" s="89">
        <f t="shared" si="21"/>
        <v>0</v>
      </c>
      <c r="AR110" s="89">
        <f t="shared" si="22"/>
        <v>451</v>
      </c>
      <c r="AS110" s="83">
        <f t="shared" si="23"/>
        <v>1113</v>
      </c>
      <c r="AT110" s="89">
        <v>0</v>
      </c>
      <c r="AU110" s="89">
        <f t="shared" si="24"/>
        <v>52.4</v>
      </c>
      <c r="AV110" s="108">
        <v>8826248</v>
      </c>
      <c r="AW110" s="126">
        <v>1788.1</v>
      </c>
      <c r="AX110" s="42">
        <v>1788.1</v>
      </c>
      <c r="AY110" s="208">
        <f t="shared" si="25"/>
        <v>0</v>
      </c>
      <c r="AZ110" s="290">
        <v>583015</v>
      </c>
      <c r="BA110" s="42"/>
      <c r="BB110" s="42"/>
      <c r="BD110" s="129"/>
    </row>
    <row r="111" spans="1:56">
      <c r="A111" s="235" t="s">
        <v>304</v>
      </c>
      <c r="B111" s="121">
        <v>1</v>
      </c>
      <c r="C111" s="131">
        <v>277.5</v>
      </c>
      <c r="D111" s="131">
        <v>0</v>
      </c>
      <c r="E111" s="82">
        <v>0</v>
      </c>
      <c r="F111" s="131">
        <v>0</v>
      </c>
      <c r="G111" s="199">
        <v>0</v>
      </c>
      <c r="H111" s="131">
        <v>0</v>
      </c>
      <c r="I111" s="131">
        <v>0</v>
      </c>
      <c r="J111" s="208">
        <v>0</v>
      </c>
      <c r="K111" s="127">
        <v>300</v>
      </c>
      <c r="L111" s="124">
        <v>0</v>
      </c>
      <c r="M111" s="121">
        <v>0</v>
      </c>
      <c r="N111" s="124">
        <v>10.5</v>
      </c>
      <c r="O111" s="124">
        <v>0</v>
      </c>
      <c r="P111" s="131">
        <v>121.1</v>
      </c>
      <c r="Q111" s="124">
        <v>0</v>
      </c>
      <c r="R111" s="124">
        <v>17.3</v>
      </c>
      <c r="S111" s="124">
        <v>0</v>
      </c>
      <c r="T111" s="127">
        <v>17</v>
      </c>
      <c r="U111" s="121">
        <v>0</v>
      </c>
      <c r="V111" s="121">
        <v>151</v>
      </c>
      <c r="W111" s="121">
        <v>0</v>
      </c>
      <c r="X111" s="131">
        <v>0</v>
      </c>
      <c r="Y111" s="119">
        <v>278</v>
      </c>
      <c r="Z111" s="82">
        <v>0</v>
      </c>
      <c r="AA111" s="79">
        <v>0</v>
      </c>
      <c r="AB111" s="79">
        <v>0</v>
      </c>
      <c r="AC111" s="209">
        <v>0</v>
      </c>
      <c r="AD111" s="211">
        <v>0</v>
      </c>
      <c r="AE111" s="89">
        <v>0</v>
      </c>
      <c r="AF111" s="89">
        <v>15.9</v>
      </c>
      <c r="AG111" s="89">
        <f>SUMIF('PreliminaryHD AR - School Level'!A112:A1418, "=" &amp; A111,'PreliminaryHD AR - School Level'!M112:M1418)</f>
        <v>15.8</v>
      </c>
      <c r="AH111" s="89">
        <v>623.1</v>
      </c>
      <c r="AI111" s="89">
        <f t="shared" si="13"/>
        <v>0</v>
      </c>
      <c r="AJ111" s="89">
        <f t="shared" si="14"/>
        <v>0</v>
      </c>
      <c r="AK111" s="89">
        <f t="shared" si="15"/>
        <v>277.5</v>
      </c>
      <c r="AL111" s="89">
        <f t="shared" si="16"/>
        <v>10.5</v>
      </c>
      <c r="AM111" s="89">
        <f t="shared" si="17"/>
        <v>17.3</v>
      </c>
      <c r="AN111" s="89">
        <f t="shared" si="18"/>
        <v>17</v>
      </c>
      <c r="AO111" s="89">
        <f t="shared" si="19"/>
        <v>121.1</v>
      </c>
      <c r="AP111" s="83">
        <f t="shared" si="20"/>
        <v>151</v>
      </c>
      <c r="AQ111" s="89">
        <f t="shared" si="21"/>
        <v>0</v>
      </c>
      <c r="AR111" s="89">
        <f t="shared" si="22"/>
        <v>278</v>
      </c>
      <c r="AS111" s="83">
        <f t="shared" si="23"/>
        <v>300</v>
      </c>
      <c r="AT111" s="89">
        <v>0</v>
      </c>
      <c r="AU111" s="89">
        <f t="shared" si="24"/>
        <v>15.9</v>
      </c>
      <c r="AV111" s="108">
        <v>2937158</v>
      </c>
      <c r="AW111" s="126">
        <v>623.1</v>
      </c>
      <c r="AX111" s="42">
        <v>623.1</v>
      </c>
      <c r="AY111" s="208">
        <f t="shared" si="25"/>
        <v>0</v>
      </c>
      <c r="AZ111" s="290">
        <v>448518</v>
      </c>
      <c r="BA111" s="42"/>
      <c r="BB111" s="42"/>
      <c r="BD111" s="129"/>
    </row>
    <row r="112" spans="1:56">
      <c r="A112" s="235" t="s">
        <v>305</v>
      </c>
      <c r="B112" s="121">
        <v>1</v>
      </c>
      <c r="C112" s="131">
        <v>272</v>
      </c>
      <c r="D112" s="131">
        <v>0</v>
      </c>
      <c r="E112" s="82">
        <v>0</v>
      </c>
      <c r="F112" s="131">
        <v>0</v>
      </c>
      <c r="G112" s="199">
        <v>0</v>
      </c>
      <c r="H112" s="131">
        <v>0</v>
      </c>
      <c r="I112" s="131">
        <v>0</v>
      </c>
      <c r="J112" s="208">
        <v>0</v>
      </c>
      <c r="K112" s="127">
        <v>277</v>
      </c>
      <c r="L112" s="124">
        <v>0</v>
      </c>
      <c r="M112" s="121">
        <v>0</v>
      </c>
      <c r="N112" s="124">
        <v>2.5</v>
      </c>
      <c r="O112" s="124">
        <v>0</v>
      </c>
      <c r="P112" s="131">
        <v>144.19999999999999</v>
      </c>
      <c r="Q112" s="124">
        <v>0</v>
      </c>
      <c r="R112" s="124">
        <v>0</v>
      </c>
      <c r="S112" s="124">
        <v>0</v>
      </c>
      <c r="T112" s="127">
        <v>0</v>
      </c>
      <c r="U112" s="121">
        <v>0</v>
      </c>
      <c r="V112" s="121">
        <v>76</v>
      </c>
      <c r="W112" s="121">
        <v>0</v>
      </c>
      <c r="X112" s="131">
        <v>0</v>
      </c>
      <c r="Y112" s="119">
        <v>128</v>
      </c>
      <c r="Z112" s="82">
        <v>0</v>
      </c>
      <c r="AA112" s="79">
        <v>0</v>
      </c>
      <c r="AB112" s="79">
        <v>0</v>
      </c>
      <c r="AC112" s="209">
        <v>0</v>
      </c>
      <c r="AD112" s="211">
        <v>0</v>
      </c>
      <c r="AE112" s="89">
        <v>0</v>
      </c>
      <c r="AF112" s="89">
        <v>0</v>
      </c>
      <c r="AG112" s="89">
        <f>SUMIF('PreliminaryHD AR - School Level'!A113:A1419, "=" &amp; A112,'PreliminaryHD AR - School Level'!M113:M1419)</f>
        <v>0</v>
      </c>
      <c r="AH112" s="89">
        <v>496</v>
      </c>
      <c r="AI112" s="89">
        <f t="shared" si="13"/>
        <v>0</v>
      </c>
      <c r="AJ112" s="89">
        <f t="shared" si="14"/>
        <v>0</v>
      </c>
      <c r="AK112" s="89">
        <f t="shared" si="15"/>
        <v>272</v>
      </c>
      <c r="AL112" s="89">
        <f t="shared" si="16"/>
        <v>2.5</v>
      </c>
      <c r="AM112" s="89">
        <f t="shared" si="17"/>
        <v>0</v>
      </c>
      <c r="AN112" s="89">
        <f t="shared" si="18"/>
        <v>0</v>
      </c>
      <c r="AO112" s="89">
        <f t="shared" si="19"/>
        <v>144.19999999999999</v>
      </c>
      <c r="AP112" s="83">
        <f t="shared" si="20"/>
        <v>76</v>
      </c>
      <c r="AQ112" s="89">
        <f t="shared" si="21"/>
        <v>0</v>
      </c>
      <c r="AR112" s="89">
        <f t="shared" si="22"/>
        <v>128</v>
      </c>
      <c r="AS112" s="83">
        <f t="shared" si="23"/>
        <v>277</v>
      </c>
      <c r="AT112" s="89">
        <v>0</v>
      </c>
      <c r="AU112" s="89">
        <f t="shared" si="24"/>
        <v>0</v>
      </c>
      <c r="AV112" s="108">
        <v>2551896</v>
      </c>
      <c r="AW112" s="126">
        <v>496</v>
      </c>
      <c r="AX112" s="42">
        <v>496</v>
      </c>
      <c r="AY112" s="208">
        <f t="shared" si="25"/>
        <v>0</v>
      </c>
      <c r="AZ112" s="290">
        <v>117230</v>
      </c>
      <c r="BA112" s="42"/>
      <c r="BB112" s="42"/>
      <c r="BD112" s="129"/>
    </row>
    <row r="113" spans="1:56">
      <c r="A113" s="235" t="s">
        <v>306</v>
      </c>
      <c r="B113" s="121">
        <v>1</v>
      </c>
      <c r="C113" s="131">
        <v>738</v>
      </c>
      <c r="D113" s="131">
        <v>0</v>
      </c>
      <c r="E113" s="82">
        <v>0</v>
      </c>
      <c r="F113" s="131">
        <v>0</v>
      </c>
      <c r="G113" s="199">
        <v>0</v>
      </c>
      <c r="H113" s="131">
        <v>0</v>
      </c>
      <c r="I113" s="131">
        <v>0</v>
      </c>
      <c r="J113" s="208">
        <v>0</v>
      </c>
      <c r="K113" s="127">
        <v>769</v>
      </c>
      <c r="L113" s="124">
        <v>0</v>
      </c>
      <c r="M113" s="121">
        <v>0</v>
      </c>
      <c r="N113" s="124">
        <v>14</v>
      </c>
      <c r="O113" s="124">
        <v>0</v>
      </c>
      <c r="P113" s="131">
        <v>489.7</v>
      </c>
      <c r="Q113" s="124">
        <v>0</v>
      </c>
      <c r="R113" s="124">
        <v>134.19999999999999</v>
      </c>
      <c r="S113" s="124">
        <v>0</v>
      </c>
      <c r="T113" s="127">
        <v>37</v>
      </c>
      <c r="U113" s="121">
        <v>0</v>
      </c>
      <c r="V113" s="121">
        <v>241</v>
      </c>
      <c r="W113" s="121">
        <v>0</v>
      </c>
      <c r="X113" s="131">
        <v>0</v>
      </c>
      <c r="Y113" s="119">
        <v>418</v>
      </c>
      <c r="Z113" s="82">
        <v>0</v>
      </c>
      <c r="AA113" s="79">
        <v>43</v>
      </c>
      <c r="AB113" s="79">
        <v>0</v>
      </c>
      <c r="AC113" s="209">
        <v>36</v>
      </c>
      <c r="AD113" s="211">
        <v>179</v>
      </c>
      <c r="AE113" s="89">
        <v>0</v>
      </c>
      <c r="AF113" s="89">
        <v>0</v>
      </c>
      <c r="AG113" s="89">
        <f>SUMIF('PreliminaryHD AR - School Level'!A114:A1420, "=" &amp; A113,'PreliminaryHD AR - School Level'!M114:M1420)</f>
        <v>0.9</v>
      </c>
      <c r="AH113" s="89">
        <v>1391.8</v>
      </c>
      <c r="AI113" s="89">
        <f t="shared" si="13"/>
        <v>0</v>
      </c>
      <c r="AJ113" s="89">
        <f t="shared" si="14"/>
        <v>0</v>
      </c>
      <c r="AK113" s="89">
        <f t="shared" si="15"/>
        <v>738</v>
      </c>
      <c r="AL113" s="89">
        <f t="shared" si="16"/>
        <v>14</v>
      </c>
      <c r="AM113" s="89">
        <f t="shared" si="17"/>
        <v>134.19999999999999</v>
      </c>
      <c r="AN113" s="89">
        <f t="shared" si="18"/>
        <v>37</v>
      </c>
      <c r="AO113" s="89">
        <f t="shared" si="19"/>
        <v>489.7</v>
      </c>
      <c r="AP113" s="83">
        <f t="shared" si="20"/>
        <v>241</v>
      </c>
      <c r="AQ113" s="89">
        <f t="shared" si="21"/>
        <v>179</v>
      </c>
      <c r="AR113" s="89">
        <f t="shared" si="22"/>
        <v>418</v>
      </c>
      <c r="AS113" s="83">
        <f t="shared" si="23"/>
        <v>769</v>
      </c>
      <c r="AT113" s="89">
        <v>0</v>
      </c>
      <c r="AU113" s="89">
        <f t="shared" si="24"/>
        <v>0.9</v>
      </c>
      <c r="AV113" s="108">
        <v>7263763</v>
      </c>
      <c r="AW113" s="126">
        <v>1391.8</v>
      </c>
      <c r="AX113" s="42">
        <v>1391.8</v>
      </c>
      <c r="AY113" s="208">
        <f t="shared" si="25"/>
        <v>0</v>
      </c>
      <c r="AZ113" s="290">
        <v>236013</v>
      </c>
      <c r="BA113" s="42"/>
      <c r="BB113" s="42"/>
      <c r="BD113" s="129"/>
    </row>
    <row r="114" spans="1:56">
      <c r="A114" s="235" t="s">
        <v>307</v>
      </c>
      <c r="B114" s="121">
        <v>1</v>
      </c>
      <c r="C114" s="131">
        <v>2243</v>
      </c>
      <c r="D114" s="131">
        <v>0</v>
      </c>
      <c r="E114" s="82">
        <v>0</v>
      </c>
      <c r="F114" s="131">
        <v>0</v>
      </c>
      <c r="G114" s="199">
        <v>0</v>
      </c>
      <c r="H114" s="131">
        <v>0</v>
      </c>
      <c r="I114" s="131">
        <v>0</v>
      </c>
      <c r="J114" s="208">
        <v>0</v>
      </c>
      <c r="K114" s="127">
        <v>2296</v>
      </c>
      <c r="L114" s="124">
        <v>0</v>
      </c>
      <c r="M114" s="121">
        <v>0</v>
      </c>
      <c r="N114" s="124">
        <v>16</v>
      </c>
      <c r="O114" s="124">
        <v>0</v>
      </c>
      <c r="P114" s="131">
        <v>844.2</v>
      </c>
      <c r="Q114" s="124">
        <v>0</v>
      </c>
      <c r="R114" s="124">
        <v>40.200000000000003</v>
      </c>
      <c r="S114" s="124">
        <v>0</v>
      </c>
      <c r="T114" s="127">
        <v>25</v>
      </c>
      <c r="U114" s="121">
        <v>0</v>
      </c>
      <c r="V114" s="121">
        <v>601</v>
      </c>
      <c r="W114" s="121">
        <v>0</v>
      </c>
      <c r="X114" s="131">
        <v>0</v>
      </c>
      <c r="Y114" s="119">
        <v>1063</v>
      </c>
      <c r="Z114" s="82">
        <v>0</v>
      </c>
      <c r="AA114" s="79">
        <v>0</v>
      </c>
      <c r="AB114" s="79">
        <v>0</v>
      </c>
      <c r="AC114" s="209">
        <v>0</v>
      </c>
      <c r="AD114" s="211">
        <v>0</v>
      </c>
      <c r="AE114" s="89">
        <v>0</v>
      </c>
      <c r="AF114" s="89">
        <v>0</v>
      </c>
      <c r="AG114" s="89">
        <f>SUMIF('PreliminaryHD AR - School Level'!A115:A1421, "=" &amp; A114,'PreliminaryHD AR - School Level'!M115:M1421)</f>
        <v>0.8</v>
      </c>
      <c r="AH114" s="89">
        <v>2901.3</v>
      </c>
      <c r="AI114" s="89">
        <f t="shared" si="13"/>
        <v>0</v>
      </c>
      <c r="AJ114" s="89">
        <f t="shared" si="14"/>
        <v>0</v>
      </c>
      <c r="AK114" s="89">
        <f t="shared" si="15"/>
        <v>2243</v>
      </c>
      <c r="AL114" s="89">
        <f t="shared" si="16"/>
        <v>16</v>
      </c>
      <c r="AM114" s="89">
        <f t="shared" si="17"/>
        <v>40.200000000000003</v>
      </c>
      <c r="AN114" s="89">
        <f t="shared" si="18"/>
        <v>25</v>
      </c>
      <c r="AO114" s="89">
        <f t="shared" si="19"/>
        <v>844.2</v>
      </c>
      <c r="AP114" s="83">
        <f t="shared" si="20"/>
        <v>601</v>
      </c>
      <c r="AQ114" s="89">
        <f t="shared" si="21"/>
        <v>0</v>
      </c>
      <c r="AR114" s="89">
        <f t="shared" si="22"/>
        <v>1063</v>
      </c>
      <c r="AS114" s="83">
        <f t="shared" si="23"/>
        <v>2296</v>
      </c>
      <c r="AT114" s="89">
        <v>0</v>
      </c>
      <c r="AU114" s="89">
        <f t="shared" si="24"/>
        <v>0.8</v>
      </c>
      <c r="AV114" s="108">
        <v>14501697</v>
      </c>
      <c r="AW114" s="126">
        <v>2901.3</v>
      </c>
      <c r="AX114" s="42">
        <v>2901.3</v>
      </c>
      <c r="AY114" s="208">
        <f t="shared" si="25"/>
        <v>0</v>
      </c>
      <c r="AZ114" s="290">
        <v>717458</v>
      </c>
      <c r="BA114" s="42"/>
      <c r="BB114" s="42"/>
      <c r="BD114" s="129"/>
    </row>
    <row r="115" spans="1:56">
      <c r="A115" s="235" t="s">
        <v>308</v>
      </c>
      <c r="B115" s="121">
        <v>1</v>
      </c>
      <c r="C115" s="131">
        <v>115</v>
      </c>
      <c r="D115" s="131">
        <v>0</v>
      </c>
      <c r="E115" s="82">
        <v>0</v>
      </c>
      <c r="F115" s="131">
        <v>0</v>
      </c>
      <c r="G115" s="199">
        <v>0</v>
      </c>
      <c r="H115" s="131">
        <v>6</v>
      </c>
      <c r="I115" s="131">
        <v>0</v>
      </c>
      <c r="J115" s="208">
        <v>0</v>
      </c>
      <c r="K115" s="127">
        <v>117</v>
      </c>
      <c r="L115" s="124">
        <v>0</v>
      </c>
      <c r="M115" s="121">
        <v>0</v>
      </c>
      <c r="N115" s="124">
        <v>0</v>
      </c>
      <c r="O115" s="124">
        <v>0</v>
      </c>
      <c r="P115" s="131">
        <v>0</v>
      </c>
      <c r="Q115" s="124">
        <v>0</v>
      </c>
      <c r="R115" s="124">
        <v>0</v>
      </c>
      <c r="S115" s="124">
        <v>0</v>
      </c>
      <c r="T115" s="127">
        <v>0</v>
      </c>
      <c r="U115" s="121">
        <v>0</v>
      </c>
      <c r="V115" s="121">
        <v>39</v>
      </c>
      <c r="W115" s="121">
        <v>0</v>
      </c>
      <c r="X115" s="131">
        <v>0</v>
      </c>
      <c r="Y115" s="119">
        <v>31</v>
      </c>
      <c r="Z115" s="82">
        <v>0</v>
      </c>
      <c r="AA115" s="79">
        <v>10</v>
      </c>
      <c r="AB115" s="79">
        <v>0</v>
      </c>
      <c r="AC115" s="209">
        <v>0</v>
      </c>
      <c r="AD115" s="211">
        <v>0</v>
      </c>
      <c r="AE115" s="89">
        <v>0</v>
      </c>
      <c r="AF115" s="89">
        <v>0</v>
      </c>
      <c r="AG115" s="89">
        <f>SUMIF('PreliminaryHD AR - School Level'!A116:A1422, "=" &amp; A115,'PreliminaryHD AR - School Level'!M116:M1422)</f>
        <v>1.2</v>
      </c>
      <c r="AH115" s="89">
        <v>306.5</v>
      </c>
      <c r="AI115" s="89">
        <f t="shared" si="13"/>
        <v>0</v>
      </c>
      <c r="AJ115" s="89">
        <f t="shared" si="14"/>
        <v>0</v>
      </c>
      <c r="AK115" s="89">
        <f t="shared" si="15"/>
        <v>115</v>
      </c>
      <c r="AL115" s="89">
        <f t="shared" si="16"/>
        <v>0</v>
      </c>
      <c r="AM115" s="89">
        <f t="shared" si="17"/>
        <v>0</v>
      </c>
      <c r="AN115" s="89">
        <f t="shared" si="18"/>
        <v>0</v>
      </c>
      <c r="AO115" s="89">
        <f t="shared" si="19"/>
        <v>0</v>
      </c>
      <c r="AP115" s="83">
        <f t="shared" si="20"/>
        <v>39</v>
      </c>
      <c r="AQ115" s="89">
        <f t="shared" si="21"/>
        <v>0</v>
      </c>
      <c r="AR115" s="89">
        <f t="shared" si="22"/>
        <v>31</v>
      </c>
      <c r="AS115" s="83">
        <f t="shared" si="23"/>
        <v>117</v>
      </c>
      <c r="AT115" s="89">
        <v>6</v>
      </c>
      <c r="AU115" s="89">
        <f t="shared" si="24"/>
        <v>1.2</v>
      </c>
      <c r="AV115" s="108">
        <v>1499004</v>
      </c>
      <c r="AW115" s="126">
        <v>306.5</v>
      </c>
      <c r="AX115" s="42">
        <v>306.5</v>
      </c>
      <c r="AY115" s="208">
        <f t="shared" si="25"/>
        <v>0</v>
      </c>
      <c r="AZ115" s="290">
        <v>62886</v>
      </c>
      <c r="BA115" s="42"/>
      <c r="BB115" s="42"/>
      <c r="BD115" s="129"/>
    </row>
    <row r="116" spans="1:56">
      <c r="A116" s="235" t="s">
        <v>309</v>
      </c>
      <c r="B116" s="121">
        <v>1</v>
      </c>
      <c r="C116" s="131">
        <v>930.2</v>
      </c>
      <c r="D116" s="131">
        <v>0</v>
      </c>
      <c r="E116" s="82">
        <v>0</v>
      </c>
      <c r="F116" s="131">
        <v>0</v>
      </c>
      <c r="G116" s="199">
        <v>0</v>
      </c>
      <c r="H116" s="131">
        <v>0</v>
      </c>
      <c r="I116" s="131">
        <v>0</v>
      </c>
      <c r="J116" s="208">
        <v>0</v>
      </c>
      <c r="K116" s="127">
        <v>940</v>
      </c>
      <c r="L116" s="124">
        <v>0</v>
      </c>
      <c r="M116" s="121">
        <v>0</v>
      </c>
      <c r="N116" s="124">
        <v>0</v>
      </c>
      <c r="O116" s="124">
        <v>0</v>
      </c>
      <c r="P116" s="131">
        <v>326.2</v>
      </c>
      <c r="Q116" s="124">
        <v>0</v>
      </c>
      <c r="R116" s="124">
        <v>122.3</v>
      </c>
      <c r="S116" s="124">
        <v>0</v>
      </c>
      <c r="T116" s="127">
        <v>51</v>
      </c>
      <c r="U116" s="121">
        <v>0</v>
      </c>
      <c r="V116" s="121">
        <v>244</v>
      </c>
      <c r="W116" s="121">
        <v>0</v>
      </c>
      <c r="X116" s="131">
        <v>0</v>
      </c>
      <c r="Y116" s="119">
        <v>171</v>
      </c>
      <c r="Z116" s="82">
        <v>0</v>
      </c>
      <c r="AA116" s="79">
        <v>1</v>
      </c>
      <c r="AB116" s="79">
        <v>0</v>
      </c>
      <c r="AC116" s="209">
        <v>15</v>
      </c>
      <c r="AD116" s="211">
        <v>0</v>
      </c>
      <c r="AE116" s="89">
        <v>0</v>
      </c>
      <c r="AF116" s="89">
        <v>0</v>
      </c>
      <c r="AG116" s="89">
        <f>SUMIF('PreliminaryHD AR - School Level'!A117:A1423, "=" &amp; A116,'PreliminaryHD AR - School Level'!M117:M1423)</f>
        <v>0</v>
      </c>
      <c r="AH116" s="89">
        <v>1351.7</v>
      </c>
      <c r="AI116" s="89">
        <f t="shared" si="13"/>
        <v>0</v>
      </c>
      <c r="AJ116" s="89">
        <f t="shared" si="14"/>
        <v>0</v>
      </c>
      <c r="AK116" s="89">
        <f t="shared" si="15"/>
        <v>930.2</v>
      </c>
      <c r="AL116" s="89">
        <f t="shared" si="16"/>
        <v>0</v>
      </c>
      <c r="AM116" s="89">
        <f t="shared" si="17"/>
        <v>122.3</v>
      </c>
      <c r="AN116" s="89">
        <f t="shared" si="18"/>
        <v>51</v>
      </c>
      <c r="AO116" s="89">
        <f t="shared" si="19"/>
        <v>326.2</v>
      </c>
      <c r="AP116" s="83">
        <f t="shared" si="20"/>
        <v>244</v>
      </c>
      <c r="AQ116" s="89">
        <f t="shared" si="21"/>
        <v>0</v>
      </c>
      <c r="AR116" s="89">
        <f t="shared" si="22"/>
        <v>171</v>
      </c>
      <c r="AS116" s="83">
        <f t="shared" si="23"/>
        <v>940</v>
      </c>
      <c r="AT116" s="89">
        <v>0</v>
      </c>
      <c r="AU116" s="89">
        <f t="shared" si="24"/>
        <v>0</v>
      </c>
      <c r="AV116" s="108">
        <v>6422760</v>
      </c>
      <c r="AW116" s="126">
        <v>1351.7</v>
      </c>
      <c r="AX116" s="42">
        <v>1351.7</v>
      </c>
      <c r="AY116" s="208">
        <f t="shared" si="25"/>
        <v>0</v>
      </c>
      <c r="AZ116" s="290">
        <v>182373</v>
      </c>
      <c r="BA116" s="42"/>
      <c r="BB116" s="42"/>
      <c r="BD116" s="129"/>
    </row>
    <row r="117" spans="1:56">
      <c r="A117" s="235" t="s">
        <v>310</v>
      </c>
      <c r="B117" s="121">
        <v>1</v>
      </c>
      <c r="C117" s="131">
        <v>176.5</v>
      </c>
      <c r="D117" s="131">
        <v>0</v>
      </c>
      <c r="E117" s="82">
        <v>0</v>
      </c>
      <c r="F117" s="131">
        <v>0</v>
      </c>
      <c r="G117" s="199">
        <v>0</v>
      </c>
      <c r="H117" s="131">
        <v>0</v>
      </c>
      <c r="I117" s="131">
        <v>0</v>
      </c>
      <c r="J117" s="208">
        <v>0</v>
      </c>
      <c r="K117" s="127">
        <v>184</v>
      </c>
      <c r="L117" s="124">
        <v>0</v>
      </c>
      <c r="M117" s="121">
        <v>0</v>
      </c>
      <c r="N117" s="124">
        <v>2</v>
      </c>
      <c r="O117" s="124">
        <v>0</v>
      </c>
      <c r="P117" s="131">
        <v>21.4</v>
      </c>
      <c r="Q117" s="124">
        <v>0</v>
      </c>
      <c r="R117" s="124">
        <v>58.1</v>
      </c>
      <c r="S117" s="124">
        <v>0</v>
      </c>
      <c r="T117" s="127">
        <v>32</v>
      </c>
      <c r="U117" s="121">
        <v>0</v>
      </c>
      <c r="V117" s="121">
        <v>120</v>
      </c>
      <c r="W117" s="121">
        <v>0</v>
      </c>
      <c r="X117" s="131">
        <v>0</v>
      </c>
      <c r="Y117" s="119">
        <v>74.5</v>
      </c>
      <c r="Z117" s="82">
        <v>0</v>
      </c>
      <c r="AA117" s="79">
        <v>0</v>
      </c>
      <c r="AB117" s="79">
        <v>0</v>
      </c>
      <c r="AC117" s="209">
        <v>0</v>
      </c>
      <c r="AD117" s="211">
        <v>0</v>
      </c>
      <c r="AE117" s="89">
        <v>0</v>
      </c>
      <c r="AF117" s="89">
        <v>12.6</v>
      </c>
      <c r="AG117" s="89">
        <f>SUMIF('PreliminaryHD AR - School Level'!A118:A1424, "=" &amp; A117,'PreliminaryHD AR - School Level'!M118:M1424)</f>
        <v>12.7</v>
      </c>
      <c r="AH117" s="89">
        <v>427.9</v>
      </c>
      <c r="AI117" s="89">
        <f t="shared" si="13"/>
        <v>0</v>
      </c>
      <c r="AJ117" s="89">
        <f t="shared" si="14"/>
        <v>0</v>
      </c>
      <c r="AK117" s="89">
        <f t="shared" si="15"/>
        <v>176.5</v>
      </c>
      <c r="AL117" s="89">
        <f t="shared" si="16"/>
        <v>2</v>
      </c>
      <c r="AM117" s="89">
        <f t="shared" si="17"/>
        <v>58.1</v>
      </c>
      <c r="AN117" s="89">
        <f t="shared" si="18"/>
        <v>32</v>
      </c>
      <c r="AO117" s="89">
        <f t="shared" si="19"/>
        <v>21.4</v>
      </c>
      <c r="AP117" s="83">
        <f t="shared" si="20"/>
        <v>120</v>
      </c>
      <c r="AQ117" s="89">
        <f t="shared" si="21"/>
        <v>0</v>
      </c>
      <c r="AR117" s="89">
        <f t="shared" si="22"/>
        <v>74.5</v>
      </c>
      <c r="AS117" s="83">
        <f t="shared" si="23"/>
        <v>184</v>
      </c>
      <c r="AT117" s="89">
        <v>0</v>
      </c>
      <c r="AU117" s="89">
        <f t="shared" si="24"/>
        <v>12.7</v>
      </c>
      <c r="AV117" s="108">
        <v>2051679</v>
      </c>
      <c r="AW117" s="126">
        <v>427.9</v>
      </c>
      <c r="AX117" s="42">
        <v>427.9</v>
      </c>
      <c r="AY117" s="208">
        <f t="shared" si="25"/>
        <v>0</v>
      </c>
      <c r="AZ117" s="290">
        <v>183936</v>
      </c>
      <c r="BA117" s="42"/>
      <c r="BB117" s="42"/>
      <c r="BD117" s="129"/>
    </row>
    <row r="118" spans="1:56">
      <c r="A118" s="235" t="s">
        <v>311</v>
      </c>
      <c r="B118" s="121">
        <v>1</v>
      </c>
      <c r="C118" s="131">
        <v>1513.1</v>
      </c>
      <c r="D118" s="131">
        <v>0</v>
      </c>
      <c r="E118" s="82">
        <v>0</v>
      </c>
      <c r="F118" s="131">
        <v>0</v>
      </c>
      <c r="G118" s="199">
        <v>0</v>
      </c>
      <c r="H118" s="131">
        <v>0</v>
      </c>
      <c r="I118" s="131">
        <v>0</v>
      </c>
      <c r="J118" s="208">
        <v>0</v>
      </c>
      <c r="K118" s="127">
        <v>1533</v>
      </c>
      <c r="L118" s="124">
        <v>0</v>
      </c>
      <c r="M118" s="121">
        <v>0</v>
      </c>
      <c r="N118" s="124">
        <v>0</v>
      </c>
      <c r="O118" s="124">
        <v>0</v>
      </c>
      <c r="P118" s="131">
        <v>301.5</v>
      </c>
      <c r="Q118" s="124">
        <v>0</v>
      </c>
      <c r="R118" s="124">
        <v>20.8</v>
      </c>
      <c r="S118" s="124">
        <v>0</v>
      </c>
      <c r="T118" s="127">
        <v>15</v>
      </c>
      <c r="U118" s="121">
        <v>0</v>
      </c>
      <c r="V118" s="121">
        <v>317</v>
      </c>
      <c r="W118" s="121">
        <v>0</v>
      </c>
      <c r="X118" s="131">
        <v>0</v>
      </c>
      <c r="Y118" s="119">
        <v>450</v>
      </c>
      <c r="Z118" s="82">
        <v>0</v>
      </c>
      <c r="AA118" s="79">
        <v>7</v>
      </c>
      <c r="AB118" s="79">
        <v>0</v>
      </c>
      <c r="AC118" s="209">
        <v>50</v>
      </c>
      <c r="AD118" s="211">
        <v>0</v>
      </c>
      <c r="AE118" s="89">
        <v>0</v>
      </c>
      <c r="AF118" s="89">
        <v>0</v>
      </c>
      <c r="AG118" s="89">
        <f>SUMIF('PreliminaryHD AR - School Level'!A119:A1425, "=" &amp; A118,'PreliminaryHD AR - School Level'!M119:M1425)</f>
        <v>0</v>
      </c>
      <c r="AH118" s="89">
        <v>1884.4</v>
      </c>
      <c r="AI118" s="89">
        <f t="shared" si="13"/>
        <v>0</v>
      </c>
      <c r="AJ118" s="89">
        <f t="shared" si="14"/>
        <v>0</v>
      </c>
      <c r="AK118" s="89">
        <f t="shared" si="15"/>
        <v>1513.1</v>
      </c>
      <c r="AL118" s="89">
        <f t="shared" si="16"/>
        <v>0</v>
      </c>
      <c r="AM118" s="89">
        <f t="shared" si="17"/>
        <v>20.8</v>
      </c>
      <c r="AN118" s="89">
        <f t="shared" si="18"/>
        <v>15</v>
      </c>
      <c r="AO118" s="89">
        <f t="shared" si="19"/>
        <v>301.5</v>
      </c>
      <c r="AP118" s="83">
        <f t="shared" si="20"/>
        <v>317</v>
      </c>
      <c r="AQ118" s="89">
        <f t="shared" si="21"/>
        <v>0</v>
      </c>
      <c r="AR118" s="89">
        <f t="shared" si="22"/>
        <v>450</v>
      </c>
      <c r="AS118" s="83">
        <f t="shared" si="23"/>
        <v>1533</v>
      </c>
      <c r="AT118" s="89">
        <v>0</v>
      </c>
      <c r="AU118" s="89">
        <f t="shared" si="24"/>
        <v>0</v>
      </c>
      <c r="AV118" s="108">
        <v>9667208</v>
      </c>
      <c r="AW118" s="126">
        <v>1884.4</v>
      </c>
      <c r="AX118" s="42">
        <v>1884.4</v>
      </c>
      <c r="AY118" s="208">
        <f t="shared" si="25"/>
        <v>0</v>
      </c>
      <c r="AZ118" s="290">
        <v>500251</v>
      </c>
      <c r="BA118" s="42"/>
      <c r="BB118" s="42"/>
      <c r="BD118" s="129"/>
    </row>
    <row r="119" spans="1:56">
      <c r="A119" s="235" t="s">
        <v>312</v>
      </c>
      <c r="B119" s="121">
        <v>1</v>
      </c>
      <c r="C119" s="131">
        <v>1079.5</v>
      </c>
      <c r="D119" s="131">
        <v>0</v>
      </c>
      <c r="E119" s="82">
        <v>0</v>
      </c>
      <c r="F119" s="131">
        <v>0</v>
      </c>
      <c r="G119" s="199">
        <v>0</v>
      </c>
      <c r="H119" s="131">
        <v>0</v>
      </c>
      <c r="I119" s="131">
        <v>0</v>
      </c>
      <c r="J119" s="208">
        <v>0</v>
      </c>
      <c r="K119" s="127">
        <v>1117</v>
      </c>
      <c r="L119" s="124">
        <v>0</v>
      </c>
      <c r="M119" s="121">
        <v>0</v>
      </c>
      <c r="N119" s="124">
        <v>10</v>
      </c>
      <c r="O119" s="124">
        <v>0</v>
      </c>
      <c r="P119" s="131">
        <v>235.7</v>
      </c>
      <c r="Q119" s="124">
        <v>0</v>
      </c>
      <c r="R119" s="124">
        <v>0</v>
      </c>
      <c r="S119" s="124">
        <v>0</v>
      </c>
      <c r="T119" s="127">
        <v>3</v>
      </c>
      <c r="U119" s="121">
        <v>0</v>
      </c>
      <c r="V119" s="121">
        <v>311</v>
      </c>
      <c r="W119" s="121">
        <v>0</v>
      </c>
      <c r="X119" s="131">
        <v>0</v>
      </c>
      <c r="Y119" s="119">
        <v>378</v>
      </c>
      <c r="Z119" s="82">
        <v>0</v>
      </c>
      <c r="AA119" s="79">
        <v>0</v>
      </c>
      <c r="AB119" s="79">
        <v>0</v>
      </c>
      <c r="AC119" s="209">
        <v>0</v>
      </c>
      <c r="AD119" s="211">
        <v>0</v>
      </c>
      <c r="AE119" s="89">
        <v>0</v>
      </c>
      <c r="AF119" s="89">
        <v>0</v>
      </c>
      <c r="AG119" s="89">
        <f>SUMIF('PreliminaryHD AR - School Level'!A120:A1426, "=" &amp; A119,'PreliminaryHD AR - School Level'!M120:M1426)</f>
        <v>0</v>
      </c>
      <c r="AH119" s="89">
        <v>1650.5</v>
      </c>
      <c r="AI119" s="89">
        <f t="shared" si="13"/>
        <v>0</v>
      </c>
      <c r="AJ119" s="89">
        <f t="shared" si="14"/>
        <v>0</v>
      </c>
      <c r="AK119" s="89">
        <f t="shared" si="15"/>
        <v>1079.5</v>
      </c>
      <c r="AL119" s="89">
        <f t="shared" si="16"/>
        <v>10</v>
      </c>
      <c r="AM119" s="89">
        <f t="shared" si="17"/>
        <v>0</v>
      </c>
      <c r="AN119" s="89">
        <f t="shared" si="18"/>
        <v>3</v>
      </c>
      <c r="AO119" s="89">
        <f t="shared" si="19"/>
        <v>235.7</v>
      </c>
      <c r="AP119" s="83">
        <f t="shared" si="20"/>
        <v>311</v>
      </c>
      <c r="AQ119" s="89">
        <f t="shared" si="21"/>
        <v>0</v>
      </c>
      <c r="AR119" s="89">
        <f t="shared" si="22"/>
        <v>378</v>
      </c>
      <c r="AS119" s="83">
        <f t="shared" si="23"/>
        <v>1117</v>
      </c>
      <c r="AT119" s="89">
        <v>0</v>
      </c>
      <c r="AU119" s="89">
        <f t="shared" si="24"/>
        <v>0</v>
      </c>
      <c r="AV119" s="108">
        <v>8725259</v>
      </c>
      <c r="AW119" s="126">
        <v>1650.5</v>
      </c>
      <c r="AX119" s="42">
        <v>1650.5</v>
      </c>
      <c r="AY119" s="208">
        <f t="shared" si="25"/>
        <v>0</v>
      </c>
      <c r="AZ119" s="290">
        <v>156728</v>
      </c>
      <c r="BA119" s="42"/>
      <c r="BB119" s="42"/>
      <c r="BD119" s="129"/>
    </row>
    <row r="120" spans="1:56">
      <c r="A120" s="235" t="s">
        <v>313</v>
      </c>
      <c r="B120" s="121">
        <v>1</v>
      </c>
      <c r="C120" s="131">
        <v>294.5</v>
      </c>
      <c r="D120" s="131">
        <v>0</v>
      </c>
      <c r="E120" s="82">
        <v>0</v>
      </c>
      <c r="F120" s="131">
        <v>0</v>
      </c>
      <c r="G120" s="199">
        <v>0</v>
      </c>
      <c r="H120" s="131">
        <v>0</v>
      </c>
      <c r="I120" s="131">
        <v>0</v>
      </c>
      <c r="J120" s="208">
        <v>0</v>
      </c>
      <c r="K120" s="127">
        <v>317</v>
      </c>
      <c r="L120" s="124">
        <v>0</v>
      </c>
      <c r="M120" s="121">
        <v>0</v>
      </c>
      <c r="N120" s="124">
        <v>10.5</v>
      </c>
      <c r="O120" s="124">
        <v>0</v>
      </c>
      <c r="P120" s="131">
        <v>55.5</v>
      </c>
      <c r="Q120" s="124">
        <v>0</v>
      </c>
      <c r="R120" s="124">
        <v>0</v>
      </c>
      <c r="S120" s="124">
        <v>0</v>
      </c>
      <c r="T120" s="127">
        <v>0</v>
      </c>
      <c r="U120" s="121">
        <v>0</v>
      </c>
      <c r="V120" s="121">
        <v>97</v>
      </c>
      <c r="W120" s="121">
        <v>0</v>
      </c>
      <c r="X120" s="131">
        <v>0</v>
      </c>
      <c r="Y120" s="119">
        <v>140</v>
      </c>
      <c r="Z120" s="82">
        <v>0</v>
      </c>
      <c r="AA120" s="79">
        <v>0</v>
      </c>
      <c r="AB120" s="79">
        <v>0</v>
      </c>
      <c r="AC120" s="209">
        <v>0</v>
      </c>
      <c r="AD120" s="211">
        <v>0</v>
      </c>
      <c r="AE120" s="89">
        <v>0</v>
      </c>
      <c r="AF120" s="89">
        <v>0</v>
      </c>
      <c r="AG120" s="89">
        <f>SUMIF('PreliminaryHD AR - School Level'!A121:A1427, "=" &amp; A120,'PreliminaryHD AR - School Level'!M121:M1427)</f>
        <v>0</v>
      </c>
      <c r="AH120" s="89">
        <v>549.29999999999995</v>
      </c>
      <c r="AI120" s="89">
        <f t="shared" si="13"/>
        <v>0</v>
      </c>
      <c r="AJ120" s="89">
        <f t="shared" si="14"/>
        <v>0</v>
      </c>
      <c r="AK120" s="89">
        <f t="shared" si="15"/>
        <v>294.5</v>
      </c>
      <c r="AL120" s="89">
        <f t="shared" si="16"/>
        <v>10.5</v>
      </c>
      <c r="AM120" s="89">
        <f t="shared" si="17"/>
        <v>0</v>
      </c>
      <c r="AN120" s="89">
        <f t="shared" si="18"/>
        <v>0</v>
      </c>
      <c r="AO120" s="89">
        <f t="shared" si="19"/>
        <v>55.5</v>
      </c>
      <c r="AP120" s="83">
        <f t="shared" si="20"/>
        <v>97</v>
      </c>
      <c r="AQ120" s="89">
        <f t="shared" si="21"/>
        <v>0</v>
      </c>
      <c r="AR120" s="89">
        <f t="shared" si="22"/>
        <v>140</v>
      </c>
      <c r="AS120" s="83">
        <f t="shared" si="23"/>
        <v>317</v>
      </c>
      <c r="AT120" s="89">
        <v>0</v>
      </c>
      <c r="AU120" s="89">
        <f t="shared" si="24"/>
        <v>0</v>
      </c>
      <c r="AV120" s="108">
        <v>2612288</v>
      </c>
      <c r="AW120" s="126">
        <v>549.29999999999995</v>
      </c>
      <c r="AX120" s="42">
        <v>549.29999999999995</v>
      </c>
      <c r="AY120" s="208">
        <f t="shared" si="25"/>
        <v>0</v>
      </c>
      <c r="AZ120" s="290">
        <v>156602</v>
      </c>
      <c r="BA120" s="42"/>
      <c r="BB120" s="42"/>
      <c r="BD120" s="129"/>
    </row>
    <row r="121" spans="1:56">
      <c r="A121" s="235" t="s">
        <v>314</v>
      </c>
      <c r="B121" s="121">
        <v>1</v>
      </c>
      <c r="C121" s="131">
        <v>1081</v>
      </c>
      <c r="D121" s="131">
        <v>0</v>
      </c>
      <c r="E121" s="82">
        <v>0</v>
      </c>
      <c r="F121" s="131">
        <v>0</v>
      </c>
      <c r="G121" s="199">
        <v>0</v>
      </c>
      <c r="H121" s="131">
        <v>0</v>
      </c>
      <c r="I121" s="131">
        <v>0</v>
      </c>
      <c r="J121" s="208">
        <v>0</v>
      </c>
      <c r="K121" s="127">
        <v>1087</v>
      </c>
      <c r="L121" s="124">
        <v>0</v>
      </c>
      <c r="M121" s="121">
        <v>0</v>
      </c>
      <c r="N121" s="124">
        <v>0</v>
      </c>
      <c r="O121" s="124">
        <v>0</v>
      </c>
      <c r="P121" s="131">
        <v>166.6</v>
      </c>
      <c r="Q121" s="124">
        <v>0</v>
      </c>
      <c r="R121" s="124">
        <v>16.600000000000001</v>
      </c>
      <c r="S121" s="124">
        <v>0</v>
      </c>
      <c r="T121" s="127">
        <v>11</v>
      </c>
      <c r="U121" s="121">
        <v>0</v>
      </c>
      <c r="V121" s="121">
        <v>186</v>
      </c>
      <c r="W121" s="121">
        <v>0</v>
      </c>
      <c r="X121" s="131">
        <v>0</v>
      </c>
      <c r="Y121" s="119">
        <v>657.5</v>
      </c>
      <c r="Z121" s="82">
        <v>0</v>
      </c>
      <c r="AA121" s="79">
        <v>0</v>
      </c>
      <c r="AB121" s="79">
        <v>0</v>
      </c>
      <c r="AC121" s="209">
        <v>0</v>
      </c>
      <c r="AD121" s="211">
        <v>0</v>
      </c>
      <c r="AE121" s="89">
        <v>0</v>
      </c>
      <c r="AF121" s="89">
        <v>0</v>
      </c>
      <c r="AG121" s="89">
        <f>SUMIF('PreliminaryHD AR - School Level'!A122:A1428, "=" &amp; A121,'PreliminaryHD AR - School Level'!M122:M1428)</f>
        <v>0</v>
      </c>
      <c r="AH121" s="89">
        <v>1530.1</v>
      </c>
      <c r="AI121" s="89">
        <f t="shared" si="13"/>
        <v>0</v>
      </c>
      <c r="AJ121" s="89">
        <f t="shared" si="14"/>
        <v>0</v>
      </c>
      <c r="AK121" s="89">
        <f t="shared" si="15"/>
        <v>1081</v>
      </c>
      <c r="AL121" s="89">
        <f t="shared" si="16"/>
        <v>0</v>
      </c>
      <c r="AM121" s="89">
        <f t="shared" si="17"/>
        <v>16.600000000000001</v>
      </c>
      <c r="AN121" s="89">
        <f t="shared" si="18"/>
        <v>11</v>
      </c>
      <c r="AO121" s="89">
        <f t="shared" si="19"/>
        <v>166.6</v>
      </c>
      <c r="AP121" s="83">
        <f t="shared" si="20"/>
        <v>186</v>
      </c>
      <c r="AQ121" s="89">
        <f t="shared" si="21"/>
        <v>0</v>
      </c>
      <c r="AR121" s="89">
        <f t="shared" si="22"/>
        <v>657.5</v>
      </c>
      <c r="AS121" s="83">
        <f t="shared" si="23"/>
        <v>1087</v>
      </c>
      <c r="AT121" s="89">
        <v>0</v>
      </c>
      <c r="AU121" s="89">
        <f t="shared" si="24"/>
        <v>0</v>
      </c>
      <c r="AV121" s="108">
        <v>7665266</v>
      </c>
      <c r="AW121" s="126">
        <v>1530.1</v>
      </c>
      <c r="AX121" s="42">
        <v>1530.1</v>
      </c>
      <c r="AY121" s="208">
        <f t="shared" si="25"/>
        <v>0</v>
      </c>
      <c r="AZ121" s="290">
        <v>337881</v>
      </c>
      <c r="BA121" s="42"/>
      <c r="BB121" s="42"/>
      <c r="BD121" s="129"/>
    </row>
    <row r="122" spans="1:56">
      <c r="A122" s="235" t="s">
        <v>315</v>
      </c>
      <c r="B122" s="121">
        <v>1</v>
      </c>
      <c r="C122" s="131">
        <v>595</v>
      </c>
      <c r="D122" s="131">
        <v>0</v>
      </c>
      <c r="E122" s="82">
        <v>0</v>
      </c>
      <c r="F122" s="131">
        <v>0</v>
      </c>
      <c r="G122" s="199">
        <v>0</v>
      </c>
      <c r="H122" s="131">
        <v>0</v>
      </c>
      <c r="I122" s="131">
        <v>0</v>
      </c>
      <c r="J122" s="208">
        <v>0</v>
      </c>
      <c r="K122" s="127">
        <v>604</v>
      </c>
      <c r="L122" s="124">
        <v>0</v>
      </c>
      <c r="M122" s="121">
        <v>0</v>
      </c>
      <c r="N122" s="124">
        <v>0</v>
      </c>
      <c r="O122" s="124">
        <v>0</v>
      </c>
      <c r="P122" s="131">
        <v>245.7</v>
      </c>
      <c r="Q122" s="124">
        <v>0</v>
      </c>
      <c r="R122" s="124">
        <v>0</v>
      </c>
      <c r="S122" s="124">
        <v>0</v>
      </c>
      <c r="T122" s="127">
        <v>0</v>
      </c>
      <c r="U122" s="121">
        <v>0</v>
      </c>
      <c r="V122" s="121">
        <v>168</v>
      </c>
      <c r="W122" s="121">
        <v>0</v>
      </c>
      <c r="X122" s="131">
        <v>1</v>
      </c>
      <c r="Y122" s="119">
        <v>118.5</v>
      </c>
      <c r="Z122" s="82">
        <v>0</v>
      </c>
      <c r="AA122" s="79">
        <v>0</v>
      </c>
      <c r="AB122" s="79">
        <v>0</v>
      </c>
      <c r="AC122" s="209">
        <v>0</v>
      </c>
      <c r="AD122" s="211">
        <v>0</v>
      </c>
      <c r="AE122" s="89">
        <v>0</v>
      </c>
      <c r="AF122" s="89">
        <v>0</v>
      </c>
      <c r="AG122" s="89">
        <f>SUMIF('PreliminaryHD AR - School Level'!A123:A1429, "=" &amp; A122,'PreliminaryHD AR - School Level'!M123:M1429)</f>
        <v>0</v>
      </c>
      <c r="AH122" s="89">
        <v>993.9</v>
      </c>
      <c r="AI122" s="89">
        <f t="shared" si="13"/>
        <v>0</v>
      </c>
      <c r="AJ122" s="89">
        <f t="shared" si="14"/>
        <v>0</v>
      </c>
      <c r="AK122" s="89">
        <f t="shared" si="15"/>
        <v>595</v>
      </c>
      <c r="AL122" s="89">
        <f t="shared" si="16"/>
        <v>0</v>
      </c>
      <c r="AM122" s="89">
        <f t="shared" si="17"/>
        <v>0</v>
      </c>
      <c r="AN122" s="89">
        <f t="shared" si="18"/>
        <v>0</v>
      </c>
      <c r="AO122" s="89">
        <f t="shared" si="19"/>
        <v>245.7</v>
      </c>
      <c r="AP122" s="83">
        <f t="shared" si="20"/>
        <v>168</v>
      </c>
      <c r="AQ122" s="89">
        <f t="shared" si="21"/>
        <v>0</v>
      </c>
      <c r="AR122" s="89">
        <f t="shared" si="22"/>
        <v>118.5</v>
      </c>
      <c r="AS122" s="83">
        <f t="shared" si="23"/>
        <v>604</v>
      </c>
      <c r="AT122" s="89">
        <v>0</v>
      </c>
      <c r="AU122" s="89">
        <f t="shared" si="24"/>
        <v>0</v>
      </c>
      <c r="AV122" s="108">
        <v>4963431</v>
      </c>
      <c r="AW122" s="126">
        <v>993.9</v>
      </c>
      <c r="AX122" s="42">
        <v>993.9</v>
      </c>
      <c r="AY122" s="208">
        <f t="shared" si="25"/>
        <v>0</v>
      </c>
      <c r="AZ122" s="290">
        <v>156430</v>
      </c>
      <c r="BA122" s="42"/>
      <c r="BB122" s="42"/>
      <c r="BD122" s="129"/>
    </row>
    <row r="123" spans="1:56">
      <c r="A123" s="235" t="s">
        <v>316</v>
      </c>
      <c r="B123" s="121">
        <v>1</v>
      </c>
      <c r="C123" s="131">
        <v>136.5</v>
      </c>
      <c r="D123" s="131">
        <v>0</v>
      </c>
      <c r="E123" s="82">
        <v>0</v>
      </c>
      <c r="F123" s="131">
        <v>0</v>
      </c>
      <c r="G123" s="199">
        <v>0</v>
      </c>
      <c r="H123" s="131">
        <v>0</v>
      </c>
      <c r="I123" s="131">
        <v>0</v>
      </c>
      <c r="J123" s="208">
        <v>0</v>
      </c>
      <c r="K123" s="127">
        <v>141</v>
      </c>
      <c r="L123" s="124">
        <v>0</v>
      </c>
      <c r="M123" s="121">
        <v>0</v>
      </c>
      <c r="N123" s="124">
        <v>2</v>
      </c>
      <c r="O123" s="124">
        <v>0</v>
      </c>
      <c r="P123" s="131">
        <v>67.5</v>
      </c>
      <c r="Q123" s="124">
        <v>0</v>
      </c>
      <c r="R123" s="124">
        <v>0</v>
      </c>
      <c r="S123" s="124">
        <v>0</v>
      </c>
      <c r="T123" s="127">
        <v>1</v>
      </c>
      <c r="U123" s="121">
        <v>0</v>
      </c>
      <c r="V123" s="121">
        <v>35</v>
      </c>
      <c r="W123" s="121">
        <v>0</v>
      </c>
      <c r="X123" s="131">
        <v>0</v>
      </c>
      <c r="Y123" s="119">
        <v>50</v>
      </c>
      <c r="Z123" s="82">
        <v>0</v>
      </c>
      <c r="AA123" s="79">
        <v>0</v>
      </c>
      <c r="AB123" s="79">
        <v>0</v>
      </c>
      <c r="AC123" s="209">
        <v>0</v>
      </c>
      <c r="AD123" s="211">
        <v>0</v>
      </c>
      <c r="AE123" s="89">
        <v>0</v>
      </c>
      <c r="AF123" s="89">
        <v>0</v>
      </c>
      <c r="AG123" s="89">
        <f>SUMIF('PreliminaryHD AR - School Level'!A124:A1430, "=" &amp; A123,'PreliminaryHD AR - School Level'!M124:M1430)</f>
        <v>0</v>
      </c>
      <c r="AH123" s="89">
        <v>330.7</v>
      </c>
      <c r="AI123" s="89">
        <f t="shared" si="13"/>
        <v>0</v>
      </c>
      <c r="AJ123" s="89">
        <f t="shared" si="14"/>
        <v>0</v>
      </c>
      <c r="AK123" s="89">
        <f t="shared" si="15"/>
        <v>136.5</v>
      </c>
      <c r="AL123" s="89">
        <f t="shared" si="16"/>
        <v>2</v>
      </c>
      <c r="AM123" s="89">
        <f t="shared" si="17"/>
        <v>0</v>
      </c>
      <c r="AN123" s="89">
        <f t="shared" si="18"/>
        <v>1</v>
      </c>
      <c r="AO123" s="89">
        <f t="shared" si="19"/>
        <v>67.5</v>
      </c>
      <c r="AP123" s="83">
        <f t="shared" si="20"/>
        <v>35</v>
      </c>
      <c r="AQ123" s="89">
        <f t="shared" si="21"/>
        <v>0</v>
      </c>
      <c r="AR123" s="89">
        <f t="shared" si="22"/>
        <v>50</v>
      </c>
      <c r="AS123" s="83">
        <f t="shared" si="23"/>
        <v>141</v>
      </c>
      <c r="AT123" s="89">
        <v>0</v>
      </c>
      <c r="AU123" s="89">
        <f t="shared" si="24"/>
        <v>0</v>
      </c>
      <c r="AV123" s="108">
        <v>1615187</v>
      </c>
      <c r="AW123" s="126">
        <v>330.7</v>
      </c>
      <c r="AX123" s="42">
        <v>330.7</v>
      </c>
      <c r="AY123" s="208">
        <f t="shared" si="25"/>
        <v>0</v>
      </c>
      <c r="AZ123" s="290">
        <v>61349</v>
      </c>
      <c r="BA123" s="42"/>
      <c r="BB123" s="42"/>
      <c r="BD123" s="129"/>
    </row>
    <row r="124" spans="1:56">
      <c r="A124" s="235" t="s">
        <v>317</v>
      </c>
      <c r="B124" s="121">
        <v>1</v>
      </c>
      <c r="C124" s="131">
        <v>634.79999999999995</v>
      </c>
      <c r="D124" s="131">
        <v>0</v>
      </c>
      <c r="E124" s="82">
        <v>0</v>
      </c>
      <c r="F124" s="131">
        <v>0</v>
      </c>
      <c r="G124" s="199">
        <v>0</v>
      </c>
      <c r="H124" s="131">
        <v>0</v>
      </c>
      <c r="I124" s="131">
        <v>0</v>
      </c>
      <c r="J124" s="208">
        <v>0</v>
      </c>
      <c r="K124" s="127">
        <v>640</v>
      </c>
      <c r="L124" s="124">
        <v>0</v>
      </c>
      <c r="M124" s="121">
        <v>0</v>
      </c>
      <c r="N124" s="124">
        <v>0</v>
      </c>
      <c r="O124" s="124">
        <v>0</v>
      </c>
      <c r="P124" s="131">
        <v>135</v>
      </c>
      <c r="Q124" s="124">
        <v>0</v>
      </c>
      <c r="R124" s="124">
        <v>0</v>
      </c>
      <c r="S124" s="124">
        <v>0</v>
      </c>
      <c r="T124" s="127">
        <v>6</v>
      </c>
      <c r="U124" s="121">
        <v>0</v>
      </c>
      <c r="V124" s="121">
        <v>150</v>
      </c>
      <c r="W124" s="121">
        <v>0</v>
      </c>
      <c r="X124" s="131">
        <v>0</v>
      </c>
      <c r="Y124" s="119">
        <v>257</v>
      </c>
      <c r="Z124" s="82">
        <v>0</v>
      </c>
      <c r="AA124" s="79">
        <v>0</v>
      </c>
      <c r="AB124" s="79">
        <v>0</v>
      </c>
      <c r="AC124" s="209">
        <v>0</v>
      </c>
      <c r="AD124" s="211">
        <v>0</v>
      </c>
      <c r="AE124" s="89">
        <v>0</v>
      </c>
      <c r="AF124" s="89">
        <v>0</v>
      </c>
      <c r="AG124" s="89">
        <f>SUMIF('PreliminaryHD AR - School Level'!A125:A1431, "=" &amp; A124,'PreliminaryHD AR - School Level'!M125:M1431)</f>
        <v>0</v>
      </c>
      <c r="AH124" s="89">
        <v>1035.4000000000001</v>
      </c>
      <c r="AI124" s="89">
        <f t="shared" si="13"/>
        <v>0</v>
      </c>
      <c r="AJ124" s="89">
        <f t="shared" si="14"/>
        <v>0</v>
      </c>
      <c r="AK124" s="89">
        <f t="shared" si="15"/>
        <v>634.79999999999995</v>
      </c>
      <c r="AL124" s="89">
        <f t="shared" si="16"/>
        <v>0</v>
      </c>
      <c r="AM124" s="89">
        <f t="shared" si="17"/>
        <v>0</v>
      </c>
      <c r="AN124" s="89">
        <f t="shared" si="18"/>
        <v>6</v>
      </c>
      <c r="AO124" s="89">
        <f t="shared" si="19"/>
        <v>135</v>
      </c>
      <c r="AP124" s="83">
        <f t="shared" si="20"/>
        <v>150</v>
      </c>
      <c r="AQ124" s="89">
        <f t="shared" si="21"/>
        <v>0</v>
      </c>
      <c r="AR124" s="89">
        <f t="shared" si="22"/>
        <v>257</v>
      </c>
      <c r="AS124" s="83">
        <f t="shared" si="23"/>
        <v>640</v>
      </c>
      <c r="AT124" s="89">
        <v>0</v>
      </c>
      <c r="AU124" s="89">
        <f t="shared" si="24"/>
        <v>0</v>
      </c>
      <c r="AV124" s="108">
        <v>5042982</v>
      </c>
      <c r="AW124" s="126">
        <v>1035.4000000000001</v>
      </c>
      <c r="AX124" s="42">
        <v>1035.4000000000001</v>
      </c>
      <c r="AY124" s="208">
        <f t="shared" si="25"/>
        <v>0</v>
      </c>
      <c r="AZ124" s="290">
        <v>182094</v>
      </c>
      <c r="BA124" s="42"/>
      <c r="BB124" s="42"/>
      <c r="BD124" s="129"/>
    </row>
    <row r="125" spans="1:56">
      <c r="A125" s="235" t="s">
        <v>318</v>
      </c>
      <c r="B125" s="121">
        <v>1</v>
      </c>
      <c r="C125" s="131">
        <v>447.1</v>
      </c>
      <c r="D125" s="131">
        <v>0</v>
      </c>
      <c r="E125" s="82">
        <v>0</v>
      </c>
      <c r="F125" s="131">
        <v>0</v>
      </c>
      <c r="G125" s="199">
        <v>0</v>
      </c>
      <c r="H125" s="131">
        <v>0</v>
      </c>
      <c r="I125" s="131">
        <v>0</v>
      </c>
      <c r="J125" s="208">
        <v>0</v>
      </c>
      <c r="K125" s="127">
        <v>453</v>
      </c>
      <c r="L125" s="124">
        <v>0</v>
      </c>
      <c r="M125" s="121">
        <v>0</v>
      </c>
      <c r="N125" s="124">
        <v>0</v>
      </c>
      <c r="O125" s="124">
        <v>0</v>
      </c>
      <c r="P125" s="131">
        <v>255.4</v>
      </c>
      <c r="Q125" s="124">
        <v>0</v>
      </c>
      <c r="R125" s="124">
        <v>0</v>
      </c>
      <c r="S125" s="124">
        <v>0</v>
      </c>
      <c r="T125" s="127">
        <v>0</v>
      </c>
      <c r="U125" s="121">
        <v>0</v>
      </c>
      <c r="V125" s="121">
        <v>77</v>
      </c>
      <c r="W125" s="121">
        <v>0</v>
      </c>
      <c r="X125" s="131">
        <v>0</v>
      </c>
      <c r="Y125" s="119">
        <v>287</v>
      </c>
      <c r="Z125" s="82">
        <v>0</v>
      </c>
      <c r="AA125" s="79">
        <v>0</v>
      </c>
      <c r="AB125" s="79">
        <v>0</v>
      </c>
      <c r="AC125" s="209">
        <v>0</v>
      </c>
      <c r="AD125" s="211">
        <v>0</v>
      </c>
      <c r="AE125" s="89">
        <v>0</v>
      </c>
      <c r="AF125" s="89">
        <v>0</v>
      </c>
      <c r="AG125" s="89">
        <f>SUMIF('PreliminaryHD AR - School Level'!A126:A1432, "=" &amp; A125,'PreliminaryHD AR - School Level'!M126:M1432)</f>
        <v>0</v>
      </c>
      <c r="AH125" s="89">
        <v>779.7</v>
      </c>
      <c r="AI125" s="89">
        <f t="shared" si="13"/>
        <v>0</v>
      </c>
      <c r="AJ125" s="89">
        <f t="shared" si="14"/>
        <v>0</v>
      </c>
      <c r="AK125" s="89">
        <f t="shared" si="15"/>
        <v>447.1</v>
      </c>
      <c r="AL125" s="89">
        <f t="shared" si="16"/>
        <v>0</v>
      </c>
      <c r="AM125" s="89">
        <f t="shared" si="17"/>
        <v>0</v>
      </c>
      <c r="AN125" s="89">
        <f t="shared" si="18"/>
        <v>0</v>
      </c>
      <c r="AO125" s="89">
        <f t="shared" si="19"/>
        <v>255.4</v>
      </c>
      <c r="AP125" s="83">
        <f t="shared" si="20"/>
        <v>77</v>
      </c>
      <c r="AQ125" s="89">
        <f t="shared" si="21"/>
        <v>0</v>
      </c>
      <c r="AR125" s="89">
        <f t="shared" si="22"/>
        <v>287</v>
      </c>
      <c r="AS125" s="83">
        <f t="shared" si="23"/>
        <v>453</v>
      </c>
      <c r="AT125" s="89">
        <v>0</v>
      </c>
      <c r="AU125" s="89">
        <f t="shared" si="24"/>
        <v>0</v>
      </c>
      <c r="AV125" s="108">
        <v>3711432</v>
      </c>
      <c r="AW125" s="126">
        <v>779.7</v>
      </c>
      <c r="AX125" s="42">
        <v>779.7</v>
      </c>
      <c r="AY125" s="208">
        <f t="shared" si="25"/>
        <v>0</v>
      </c>
      <c r="AZ125" s="290">
        <v>220674</v>
      </c>
      <c r="BA125" s="42"/>
      <c r="BB125" s="42"/>
      <c r="BD125" s="129"/>
    </row>
    <row r="126" spans="1:56">
      <c r="A126" s="235" t="s">
        <v>319</v>
      </c>
      <c r="B126" s="121">
        <v>1</v>
      </c>
      <c r="C126" s="131">
        <v>433.7</v>
      </c>
      <c r="D126" s="131">
        <v>0</v>
      </c>
      <c r="E126" s="82">
        <v>0</v>
      </c>
      <c r="F126" s="131">
        <v>0</v>
      </c>
      <c r="G126" s="199">
        <v>0</v>
      </c>
      <c r="H126" s="131">
        <v>0</v>
      </c>
      <c r="I126" s="131">
        <v>0</v>
      </c>
      <c r="J126" s="208">
        <v>0</v>
      </c>
      <c r="K126" s="127">
        <v>439</v>
      </c>
      <c r="L126" s="124">
        <v>0</v>
      </c>
      <c r="M126" s="121">
        <v>0</v>
      </c>
      <c r="N126" s="124">
        <v>0</v>
      </c>
      <c r="O126" s="124">
        <v>0</v>
      </c>
      <c r="P126" s="131">
        <v>276.5</v>
      </c>
      <c r="Q126" s="124">
        <v>0</v>
      </c>
      <c r="R126" s="124">
        <v>0</v>
      </c>
      <c r="S126" s="124">
        <v>0</v>
      </c>
      <c r="T126" s="127">
        <v>0</v>
      </c>
      <c r="U126" s="121">
        <v>0</v>
      </c>
      <c r="V126" s="121">
        <v>110</v>
      </c>
      <c r="W126" s="121">
        <v>0</v>
      </c>
      <c r="X126" s="131">
        <v>0</v>
      </c>
      <c r="Y126" s="119">
        <v>335.6</v>
      </c>
      <c r="Z126" s="82">
        <v>0</v>
      </c>
      <c r="AA126" s="79">
        <v>0</v>
      </c>
      <c r="AB126" s="79">
        <v>0</v>
      </c>
      <c r="AC126" s="209">
        <v>0</v>
      </c>
      <c r="AD126" s="211">
        <v>0</v>
      </c>
      <c r="AE126" s="89">
        <v>0</v>
      </c>
      <c r="AF126" s="89">
        <v>0</v>
      </c>
      <c r="AG126" s="89">
        <f>SUMIF('PreliminaryHD AR - School Level'!A127:A1433, "=" &amp; A126,'PreliminaryHD AR - School Level'!M127:M1433)</f>
        <v>0</v>
      </c>
      <c r="AH126" s="89">
        <v>873.3</v>
      </c>
      <c r="AI126" s="89">
        <f t="shared" si="13"/>
        <v>0</v>
      </c>
      <c r="AJ126" s="89">
        <f t="shared" si="14"/>
        <v>0</v>
      </c>
      <c r="AK126" s="89">
        <f t="shared" si="15"/>
        <v>433.7</v>
      </c>
      <c r="AL126" s="89">
        <f t="shared" si="16"/>
        <v>0</v>
      </c>
      <c r="AM126" s="89">
        <f t="shared" si="17"/>
        <v>0</v>
      </c>
      <c r="AN126" s="89">
        <f t="shared" si="18"/>
        <v>0</v>
      </c>
      <c r="AO126" s="89">
        <f t="shared" si="19"/>
        <v>276.5</v>
      </c>
      <c r="AP126" s="83">
        <f t="shared" si="20"/>
        <v>110</v>
      </c>
      <c r="AQ126" s="89">
        <f t="shared" si="21"/>
        <v>0</v>
      </c>
      <c r="AR126" s="89">
        <f t="shared" si="22"/>
        <v>335.6</v>
      </c>
      <c r="AS126" s="83">
        <f t="shared" si="23"/>
        <v>439</v>
      </c>
      <c r="AT126" s="89">
        <v>0</v>
      </c>
      <c r="AU126" s="89">
        <f t="shared" si="24"/>
        <v>0</v>
      </c>
      <c r="AV126" s="108">
        <v>4541100</v>
      </c>
      <c r="AW126" s="126">
        <v>873.3</v>
      </c>
      <c r="AX126" s="42">
        <v>873.3</v>
      </c>
      <c r="AY126" s="208">
        <f t="shared" si="25"/>
        <v>0</v>
      </c>
      <c r="AZ126" s="290">
        <v>364118</v>
      </c>
      <c r="BA126" s="42"/>
      <c r="BB126" s="42"/>
      <c r="BD126" s="129"/>
    </row>
    <row r="127" spans="1:56">
      <c r="A127" s="235" t="s">
        <v>320</v>
      </c>
      <c r="B127" s="121">
        <v>1</v>
      </c>
      <c r="C127" s="131">
        <v>858.2</v>
      </c>
      <c r="D127" s="131">
        <v>0</v>
      </c>
      <c r="E127" s="82">
        <v>0</v>
      </c>
      <c r="F127" s="131">
        <v>0</v>
      </c>
      <c r="G127" s="199">
        <v>0</v>
      </c>
      <c r="H127" s="131">
        <v>0</v>
      </c>
      <c r="I127" s="131">
        <v>0</v>
      </c>
      <c r="J127" s="208">
        <v>0</v>
      </c>
      <c r="K127" s="127">
        <v>930</v>
      </c>
      <c r="L127" s="124">
        <v>0</v>
      </c>
      <c r="M127" s="121">
        <v>0</v>
      </c>
      <c r="N127" s="124">
        <v>16</v>
      </c>
      <c r="O127" s="124">
        <v>0</v>
      </c>
      <c r="P127" s="131">
        <v>452</v>
      </c>
      <c r="Q127" s="124">
        <v>0</v>
      </c>
      <c r="R127" s="124">
        <v>0</v>
      </c>
      <c r="S127" s="124">
        <v>0</v>
      </c>
      <c r="T127" s="127">
        <v>1</v>
      </c>
      <c r="U127" s="121">
        <v>0</v>
      </c>
      <c r="V127" s="121">
        <v>328</v>
      </c>
      <c r="W127" s="121">
        <v>0</v>
      </c>
      <c r="X127" s="131">
        <v>0</v>
      </c>
      <c r="Y127" s="119">
        <v>278.39999999999998</v>
      </c>
      <c r="Z127" s="82">
        <v>0</v>
      </c>
      <c r="AA127" s="79">
        <v>21</v>
      </c>
      <c r="AB127" s="79">
        <v>0</v>
      </c>
      <c r="AC127" s="209">
        <v>50</v>
      </c>
      <c r="AD127" s="211">
        <v>0</v>
      </c>
      <c r="AE127" s="89">
        <v>0</v>
      </c>
      <c r="AF127" s="89">
        <v>0.6</v>
      </c>
      <c r="AG127" s="89">
        <f>SUMIF('PreliminaryHD AR - School Level'!A128:A1434, "=" &amp; A127,'PreliminaryHD AR - School Level'!M128:M1434)</f>
        <v>17.3</v>
      </c>
      <c r="AH127" s="89">
        <v>1472.7</v>
      </c>
      <c r="AI127" s="89">
        <f t="shared" si="13"/>
        <v>0</v>
      </c>
      <c r="AJ127" s="89">
        <f t="shared" si="14"/>
        <v>0</v>
      </c>
      <c r="AK127" s="89">
        <f t="shared" si="15"/>
        <v>858.2</v>
      </c>
      <c r="AL127" s="89">
        <f t="shared" si="16"/>
        <v>16</v>
      </c>
      <c r="AM127" s="89">
        <f t="shared" si="17"/>
        <v>0</v>
      </c>
      <c r="AN127" s="89">
        <f t="shared" si="18"/>
        <v>1</v>
      </c>
      <c r="AO127" s="89">
        <f t="shared" si="19"/>
        <v>452</v>
      </c>
      <c r="AP127" s="83">
        <f t="shared" si="20"/>
        <v>328</v>
      </c>
      <c r="AQ127" s="89">
        <f t="shared" si="21"/>
        <v>0</v>
      </c>
      <c r="AR127" s="89">
        <f t="shared" si="22"/>
        <v>278.39999999999998</v>
      </c>
      <c r="AS127" s="83">
        <f t="shared" si="23"/>
        <v>930</v>
      </c>
      <c r="AT127" s="89">
        <v>0</v>
      </c>
      <c r="AU127" s="89">
        <f t="shared" si="24"/>
        <v>17.3</v>
      </c>
      <c r="AV127" s="108">
        <v>7585583</v>
      </c>
      <c r="AW127" s="126">
        <v>1472.7</v>
      </c>
      <c r="AX127" s="42">
        <v>1472.7</v>
      </c>
      <c r="AY127" s="208">
        <f t="shared" si="25"/>
        <v>0</v>
      </c>
      <c r="AZ127" s="290">
        <v>381214</v>
      </c>
      <c r="BA127" s="42"/>
      <c r="BB127" s="42"/>
      <c r="BD127" s="129"/>
    </row>
    <row r="128" spans="1:56">
      <c r="A128" s="235" t="s">
        <v>321</v>
      </c>
      <c r="B128" s="121">
        <v>1</v>
      </c>
      <c r="C128" s="131">
        <v>170</v>
      </c>
      <c r="D128" s="131">
        <v>0</v>
      </c>
      <c r="E128" s="82">
        <v>0</v>
      </c>
      <c r="F128" s="131">
        <v>0</v>
      </c>
      <c r="G128" s="199">
        <v>0</v>
      </c>
      <c r="H128" s="131">
        <v>0</v>
      </c>
      <c r="I128" s="131">
        <v>0</v>
      </c>
      <c r="J128" s="208">
        <v>0</v>
      </c>
      <c r="K128" s="127">
        <v>178</v>
      </c>
      <c r="L128" s="124">
        <v>0</v>
      </c>
      <c r="M128" s="121">
        <v>0</v>
      </c>
      <c r="N128" s="124">
        <v>1.5</v>
      </c>
      <c r="O128" s="124">
        <v>0</v>
      </c>
      <c r="P128" s="131">
        <v>20.5</v>
      </c>
      <c r="Q128" s="124">
        <v>0</v>
      </c>
      <c r="R128" s="124">
        <v>0</v>
      </c>
      <c r="S128" s="124">
        <v>0</v>
      </c>
      <c r="T128" s="127">
        <v>0</v>
      </c>
      <c r="U128" s="121">
        <v>0</v>
      </c>
      <c r="V128" s="121">
        <v>48</v>
      </c>
      <c r="W128" s="121">
        <v>0</v>
      </c>
      <c r="X128" s="131">
        <v>0</v>
      </c>
      <c r="Y128" s="119">
        <v>74</v>
      </c>
      <c r="Z128" s="82">
        <v>0</v>
      </c>
      <c r="AA128" s="79">
        <v>0</v>
      </c>
      <c r="AB128" s="79">
        <v>0</v>
      </c>
      <c r="AC128" s="209">
        <v>0</v>
      </c>
      <c r="AD128" s="211">
        <v>0</v>
      </c>
      <c r="AE128" s="89">
        <v>0</v>
      </c>
      <c r="AF128" s="89">
        <v>0</v>
      </c>
      <c r="AG128" s="89">
        <f>SUMIF('PreliminaryHD AR - School Level'!A129:A1435, "=" &amp; A128,'PreliminaryHD AR - School Level'!M129:M1435)</f>
        <v>1</v>
      </c>
      <c r="AH128" s="89">
        <v>345.7</v>
      </c>
      <c r="AI128" s="89">
        <f t="shared" si="13"/>
        <v>0</v>
      </c>
      <c r="AJ128" s="89">
        <f t="shared" si="14"/>
        <v>0</v>
      </c>
      <c r="AK128" s="89">
        <f t="shared" si="15"/>
        <v>170</v>
      </c>
      <c r="AL128" s="89">
        <f t="shared" si="16"/>
        <v>1.5</v>
      </c>
      <c r="AM128" s="89">
        <f t="shared" si="17"/>
        <v>0</v>
      </c>
      <c r="AN128" s="89">
        <f t="shared" si="18"/>
        <v>0</v>
      </c>
      <c r="AO128" s="89">
        <f t="shared" si="19"/>
        <v>20.5</v>
      </c>
      <c r="AP128" s="83">
        <f t="shared" si="20"/>
        <v>48</v>
      </c>
      <c r="AQ128" s="89">
        <f t="shared" si="21"/>
        <v>0</v>
      </c>
      <c r="AR128" s="89">
        <f t="shared" si="22"/>
        <v>74</v>
      </c>
      <c r="AS128" s="83">
        <f t="shared" si="23"/>
        <v>178</v>
      </c>
      <c r="AT128" s="89">
        <v>0</v>
      </c>
      <c r="AU128" s="89">
        <f t="shared" si="24"/>
        <v>1</v>
      </c>
      <c r="AV128" s="108">
        <v>1708483</v>
      </c>
      <c r="AW128" s="126">
        <v>345.7</v>
      </c>
      <c r="AX128" s="42">
        <v>345.7</v>
      </c>
      <c r="AY128" s="208">
        <f t="shared" si="25"/>
        <v>0</v>
      </c>
      <c r="AZ128" s="290">
        <v>117928</v>
      </c>
      <c r="BA128" s="42"/>
      <c r="BB128" s="42"/>
      <c r="BD128" s="129"/>
    </row>
    <row r="129" spans="1:56">
      <c r="A129" s="235" t="s">
        <v>322</v>
      </c>
      <c r="B129" s="121">
        <v>1</v>
      </c>
      <c r="C129" s="131">
        <v>1119.5999999999999</v>
      </c>
      <c r="D129" s="131">
        <v>0</v>
      </c>
      <c r="E129" s="82">
        <v>0</v>
      </c>
      <c r="F129" s="131">
        <v>0</v>
      </c>
      <c r="G129" s="199">
        <v>0</v>
      </c>
      <c r="H129" s="131">
        <v>0</v>
      </c>
      <c r="I129" s="131">
        <v>0</v>
      </c>
      <c r="J129" s="208">
        <v>0</v>
      </c>
      <c r="K129" s="127">
        <v>1148</v>
      </c>
      <c r="L129" s="124">
        <v>0</v>
      </c>
      <c r="M129" s="121">
        <v>0</v>
      </c>
      <c r="N129" s="124">
        <v>10.5</v>
      </c>
      <c r="O129" s="124">
        <v>0</v>
      </c>
      <c r="P129" s="131">
        <v>286.8</v>
      </c>
      <c r="Q129" s="124">
        <v>0</v>
      </c>
      <c r="R129" s="124">
        <v>6.2</v>
      </c>
      <c r="S129" s="124">
        <v>0</v>
      </c>
      <c r="T129" s="127">
        <v>25</v>
      </c>
      <c r="U129" s="121">
        <v>0</v>
      </c>
      <c r="V129" s="121">
        <v>415</v>
      </c>
      <c r="W129" s="121">
        <v>0</v>
      </c>
      <c r="X129" s="131">
        <v>0</v>
      </c>
      <c r="Y129" s="119">
        <v>176</v>
      </c>
      <c r="Z129" s="82">
        <v>0</v>
      </c>
      <c r="AA129" s="79">
        <v>0</v>
      </c>
      <c r="AB129" s="79">
        <v>0</v>
      </c>
      <c r="AC129" s="209">
        <v>0</v>
      </c>
      <c r="AD129" s="211">
        <v>0</v>
      </c>
      <c r="AE129" s="89">
        <v>0</v>
      </c>
      <c r="AF129" s="89">
        <v>3.3</v>
      </c>
      <c r="AG129" s="89">
        <f>SUMIF('PreliminaryHD AR - School Level'!A130:A1436, "=" &amp; A129,'PreliminaryHD AR - School Level'!M130:M1436)</f>
        <v>14.1</v>
      </c>
      <c r="AH129" s="89">
        <v>1626.6</v>
      </c>
      <c r="AI129" s="89">
        <f t="shared" si="13"/>
        <v>0</v>
      </c>
      <c r="AJ129" s="89">
        <f t="shared" si="14"/>
        <v>0</v>
      </c>
      <c r="AK129" s="89">
        <f t="shared" si="15"/>
        <v>1119.5999999999999</v>
      </c>
      <c r="AL129" s="89">
        <f t="shared" si="16"/>
        <v>10.5</v>
      </c>
      <c r="AM129" s="89">
        <f t="shared" si="17"/>
        <v>6.2</v>
      </c>
      <c r="AN129" s="89">
        <f t="shared" si="18"/>
        <v>25</v>
      </c>
      <c r="AO129" s="89">
        <f t="shared" si="19"/>
        <v>286.8</v>
      </c>
      <c r="AP129" s="83">
        <f t="shared" si="20"/>
        <v>415</v>
      </c>
      <c r="AQ129" s="89">
        <f t="shared" si="21"/>
        <v>0</v>
      </c>
      <c r="AR129" s="89">
        <f t="shared" si="22"/>
        <v>176</v>
      </c>
      <c r="AS129" s="83">
        <f t="shared" si="23"/>
        <v>1148</v>
      </c>
      <c r="AT129" s="89">
        <v>0</v>
      </c>
      <c r="AU129" s="89">
        <f t="shared" si="24"/>
        <v>14.1</v>
      </c>
      <c r="AV129" s="108">
        <v>8089680</v>
      </c>
      <c r="AW129" s="126">
        <v>1626.6</v>
      </c>
      <c r="AX129" s="42">
        <v>1626.6</v>
      </c>
      <c r="AY129" s="208">
        <f t="shared" si="25"/>
        <v>0</v>
      </c>
      <c r="AZ129" s="290">
        <v>347354</v>
      </c>
      <c r="BA129" s="42"/>
      <c r="BB129" s="42"/>
      <c r="BD129" s="129"/>
    </row>
    <row r="130" spans="1:56">
      <c r="A130" s="235" t="s">
        <v>323</v>
      </c>
      <c r="B130" s="121">
        <v>1</v>
      </c>
      <c r="C130" s="131">
        <v>154.5</v>
      </c>
      <c r="D130" s="131">
        <v>0</v>
      </c>
      <c r="E130" s="82">
        <v>0</v>
      </c>
      <c r="F130" s="131">
        <v>0</v>
      </c>
      <c r="G130" s="199">
        <v>0</v>
      </c>
      <c r="H130" s="131">
        <v>0</v>
      </c>
      <c r="I130" s="131">
        <v>0</v>
      </c>
      <c r="J130" s="208">
        <v>0</v>
      </c>
      <c r="K130" s="127">
        <v>156</v>
      </c>
      <c r="L130" s="124">
        <v>0</v>
      </c>
      <c r="M130" s="121">
        <v>0</v>
      </c>
      <c r="N130" s="124">
        <v>0.5</v>
      </c>
      <c r="O130" s="124">
        <v>0</v>
      </c>
      <c r="P130" s="131">
        <v>25.7</v>
      </c>
      <c r="Q130" s="124">
        <v>0</v>
      </c>
      <c r="R130" s="124">
        <v>0</v>
      </c>
      <c r="S130" s="124">
        <v>0</v>
      </c>
      <c r="T130" s="127">
        <v>0</v>
      </c>
      <c r="U130" s="121">
        <v>0</v>
      </c>
      <c r="V130" s="121">
        <v>81</v>
      </c>
      <c r="W130" s="121">
        <v>0</v>
      </c>
      <c r="X130" s="131">
        <v>0</v>
      </c>
      <c r="Y130" s="119">
        <v>36</v>
      </c>
      <c r="Z130" s="82">
        <v>0</v>
      </c>
      <c r="AA130" s="79">
        <v>2</v>
      </c>
      <c r="AB130" s="79">
        <v>0</v>
      </c>
      <c r="AC130" s="209">
        <v>0</v>
      </c>
      <c r="AD130" s="211">
        <v>0</v>
      </c>
      <c r="AE130" s="89">
        <v>0</v>
      </c>
      <c r="AF130" s="89">
        <v>8.5</v>
      </c>
      <c r="AG130" s="89">
        <f>SUMIF('PreliminaryHD AR - School Level'!A131:A1437, "=" &amp; A130,'PreliminaryHD AR - School Level'!M131:M1437)</f>
        <v>8</v>
      </c>
      <c r="AH130" s="89">
        <v>384.2</v>
      </c>
      <c r="AI130" s="89">
        <f t="shared" si="13"/>
        <v>0</v>
      </c>
      <c r="AJ130" s="89">
        <f t="shared" si="14"/>
        <v>0</v>
      </c>
      <c r="AK130" s="89">
        <f t="shared" si="15"/>
        <v>154.5</v>
      </c>
      <c r="AL130" s="89">
        <f t="shared" si="16"/>
        <v>0.5</v>
      </c>
      <c r="AM130" s="89">
        <f t="shared" si="17"/>
        <v>0</v>
      </c>
      <c r="AN130" s="89">
        <f t="shared" si="18"/>
        <v>0</v>
      </c>
      <c r="AO130" s="89">
        <f t="shared" si="19"/>
        <v>25.7</v>
      </c>
      <c r="AP130" s="83">
        <f t="shared" si="20"/>
        <v>81</v>
      </c>
      <c r="AQ130" s="89">
        <f t="shared" si="21"/>
        <v>0</v>
      </c>
      <c r="AR130" s="89">
        <f t="shared" si="22"/>
        <v>36</v>
      </c>
      <c r="AS130" s="83">
        <f t="shared" si="23"/>
        <v>156</v>
      </c>
      <c r="AT130" s="89">
        <v>0</v>
      </c>
      <c r="AU130" s="89">
        <f t="shared" si="24"/>
        <v>8.5</v>
      </c>
      <c r="AV130" s="108">
        <v>1998803</v>
      </c>
      <c r="AW130" s="126">
        <v>384.2</v>
      </c>
      <c r="AX130" s="42">
        <v>384.2</v>
      </c>
      <c r="AY130" s="208">
        <f t="shared" si="25"/>
        <v>0</v>
      </c>
      <c r="AZ130" s="290">
        <v>141176</v>
      </c>
      <c r="BA130" s="42"/>
      <c r="BB130" s="42"/>
      <c r="BD130" s="129"/>
    </row>
    <row r="131" spans="1:56">
      <c r="A131" s="235" t="s">
        <v>324</v>
      </c>
      <c r="B131" s="121">
        <v>1</v>
      </c>
      <c r="C131" s="131">
        <v>371.5</v>
      </c>
      <c r="D131" s="131">
        <v>0</v>
      </c>
      <c r="E131" s="82">
        <v>0</v>
      </c>
      <c r="F131" s="131">
        <v>0</v>
      </c>
      <c r="G131" s="199">
        <v>0</v>
      </c>
      <c r="H131" s="131">
        <v>0</v>
      </c>
      <c r="I131" s="131">
        <v>0</v>
      </c>
      <c r="J131" s="208">
        <v>0</v>
      </c>
      <c r="K131" s="127">
        <v>393</v>
      </c>
      <c r="L131" s="124">
        <v>0</v>
      </c>
      <c r="M131" s="121">
        <v>0</v>
      </c>
      <c r="N131" s="124">
        <v>7</v>
      </c>
      <c r="O131" s="124">
        <v>0</v>
      </c>
      <c r="P131" s="131">
        <v>178.8</v>
      </c>
      <c r="Q131" s="124">
        <v>0</v>
      </c>
      <c r="R131" s="124">
        <v>0</v>
      </c>
      <c r="S131" s="124">
        <v>0</v>
      </c>
      <c r="T131" s="127">
        <v>0</v>
      </c>
      <c r="U131" s="121">
        <v>0</v>
      </c>
      <c r="V131" s="121">
        <v>115</v>
      </c>
      <c r="W131" s="121">
        <v>0</v>
      </c>
      <c r="X131" s="131">
        <v>0</v>
      </c>
      <c r="Y131" s="119">
        <v>297</v>
      </c>
      <c r="Z131" s="82">
        <v>0</v>
      </c>
      <c r="AA131" s="79">
        <v>0</v>
      </c>
      <c r="AB131" s="79">
        <v>0</v>
      </c>
      <c r="AC131" s="209">
        <v>0</v>
      </c>
      <c r="AD131" s="211">
        <v>0</v>
      </c>
      <c r="AE131" s="89">
        <v>0</v>
      </c>
      <c r="AF131" s="89">
        <v>0</v>
      </c>
      <c r="AG131" s="89">
        <f>SUMIF('PreliminaryHD AR - School Level'!A132:A1438, "=" &amp; A131,'PreliminaryHD AR - School Level'!M132:M1438)</f>
        <v>0</v>
      </c>
      <c r="AH131" s="89">
        <v>692.5</v>
      </c>
      <c r="AI131" s="89">
        <f t="shared" si="13"/>
        <v>0</v>
      </c>
      <c r="AJ131" s="89">
        <f t="shared" si="14"/>
        <v>0</v>
      </c>
      <c r="AK131" s="89">
        <f t="shared" si="15"/>
        <v>371.5</v>
      </c>
      <c r="AL131" s="89">
        <f t="shared" si="16"/>
        <v>7</v>
      </c>
      <c r="AM131" s="89">
        <f t="shared" si="17"/>
        <v>0</v>
      </c>
      <c r="AN131" s="89">
        <f t="shared" si="18"/>
        <v>0</v>
      </c>
      <c r="AO131" s="89">
        <f t="shared" si="19"/>
        <v>178.8</v>
      </c>
      <c r="AP131" s="83">
        <f t="shared" si="20"/>
        <v>115</v>
      </c>
      <c r="AQ131" s="89">
        <f t="shared" si="21"/>
        <v>0</v>
      </c>
      <c r="AR131" s="89">
        <f t="shared" si="22"/>
        <v>297</v>
      </c>
      <c r="AS131" s="83">
        <f t="shared" si="23"/>
        <v>393</v>
      </c>
      <c r="AT131" s="89">
        <v>0</v>
      </c>
      <c r="AU131" s="89">
        <f t="shared" si="24"/>
        <v>0</v>
      </c>
      <c r="AV131" s="108">
        <v>3299097</v>
      </c>
      <c r="AW131" s="126">
        <v>692.5</v>
      </c>
      <c r="AX131" s="42">
        <v>692.5</v>
      </c>
      <c r="AY131" s="208">
        <f t="shared" si="25"/>
        <v>0</v>
      </c>
      <c r="AZ131" s="290">
        <v>396326</v>
      </c>
      <c r="BA131" s="42"/>
      <c r="BB131" s="42"/>
      <c r="BD131" s="129"/>
    </row>
    <row r="132" spans="1:56">
      <c r="A132" s="235" t="s">
        <v>325</v>
      </c>
      <c r="B132" s="121">
        <v>1</v>
      </c>
      <c r="C132" s="131">
        <v>1077</v>
      </c>
      <c r="D132" s="131">
        <v>0</v>
      </c>
      <c r="E132" s="82">
        <v>0</v>
      </c>
      <c r="F132" s="131">
        <v>0</v>
      </c>
      <c r="G132" s="199">
        <v>0</v>
      </c>
      <c r="H132" s="131">
        <v>0</v>
      </c>
      <c r="I132" s="131">
        <v>0</v>
      </c>
      <c r="J132" s="208">
        <v>0</v>
      </c>
      <c r="K132" s="127">
        <v>1093</v>
      </c>
      <c r="L132" s="124">
        <v>0</v>
      </c>
      <c r="M132" s="121">
        <v>0</v>
      </c>
      <c r="N132" s="124">
        <v>4</v>
      </c>
      <c r="O132" s="124">
        <v>0</v>
      </c>
      <c r="P132" s="131">
        <v>351.1</v>
      </c>
      <c r="Q132" s="124">
        <v>0</v>
      </c>
      <c r="R132" s="124">
        <v>57</v>
      </c>
      <c r="S132" s="124">
        <v>0</v>
      </c>
      <c r="T132" s="127">
        <v>37</v>
      </c>
      <c r="U132" s="121">
        <v>0</v>
      </c>
      <c r="V132" s="121">
        <v>349</v>
      </c>
      <c r="W132" s="121">
        <v>0</v>
      </c>
      <c r="X132" s="131">
        <v>0</v>
      </c>
      <c r="Y132" s="119">
        <v>371</v>
      </c>
      <c r="Z132" s="82">
        <v>0</v>
      </c>
      <c r="AA132" s="79">
        <v>7</v>
      </c>
      <c r="AB132" s="79">
        <v>0</v>
      </c>
      <c r="AC132" s="209">
        <v>180</v>
      </c>
      <c r="AD132" s="211">
        <v>0</v>
      </c>
      <c r="AE132" s="89">
        <v>0</v>
      </c>
      <c r="AF132" s="89">
        <v>0</v>
      </c>
      <c r="AG132" s="89">
        <f>SUMIF('PreliminaryHD AR - School Level'!A133:A1439, "=" &amp; A132,'PreliminaryHD AR - School Level'!M133:M1439)</f>
        <v>0.2</v>
      </c>
      <c r="AH132" s="89">
        <v>1610.8</v>
      </c>
      <c r="AI132" s="89">
        <f t="shared" si="13"/>
        <v>0</v>
      </c>
      <c r="AJ132" s="89">
        <f t="shared" si="14"/>
        <v>0</v>
      </c>
      <c r="AK132" s="89">
        <f t="shared" si="15"/>
        <v>1077</v>
      </c>
      <c r="AL132" s="89">
        <f t="shared" si="16"/>
        <v>4</v>
      </c>
      <c r="AM132" s="89">
        <f t="shared" si="17"/>
        <v>57</v>
      </c>
      <c r="AN132" s="89">
        <f t="shared" si="18"/>
        <v>37</v>
      </c>
      <c r="AO132" s="89">
        <f t="shared" si="19"/>
        <v>351.1</v>
      </c>
      <c r="AP132" s="83">
        <f t="shared" si="20"/>
        <v>349</v>
      </c>
      <c r="AQ132" s="89">
        <f t="shared" si="21"/>
        <v>0</v>
      </c>
      <c r="AR132" s="89">
        <f t="shared" si="22"/>
        <v>371</v>
      </c>
      <c r="AS132" s="83">
        <f t="shared" si="23"/>
        <v>1093</v>
      </c>
      <c r="AT132" s="89">
        <v>0</v>
      </c>
      <c r="AU132" s="89">
        <f t="shared" si="24"/>
        <v>0.2</v>
      </c>
      <c r="AV132" s="108">
        <v>7939088</v>
      </c>
      <c r="AW132" s="126">
        <v>1610.8</v>
      </c>
      <c r="AX132" s="42">
        <v>1610.8</v>
      </c>
      <c r="AY132" s="208">
        <f t="shared" si="25"/>
        <v>0</v>
      </c>
      <c r="AZ132" s="290">
        <v>364943</v>
      </c>
      <c r="BA132" s="42"/>
      <c r="BB132" s="42"/>
      <c r="BD132" s="129"/>
    </row>
    <row r="133" spans="1:56">
      <c r="A133" s="235" t="s">
        <v>326</v>
      </c>
      <c r="B133" s="121">
        <v>1</v>
      </c>
      <c r="C133" s="131">
        <v>807</v>
      </c>
      <c r="D133" s="131">
        <v>0</v>
      </c>
      <c r="E133" s="82">
        <v>0</v>
      </c>
      <c r="F133" s="131">
        <v>0</v>
      </c>
      <c r="G133" s="199">
        <v>0</v>
      </c>
      <c r="H133" s="131">
        <v>0</v>
      </c>
      <c r="I133" s="131">
        <v>0</v>
      </c>
      <c r="J133" s="208">
        <v>0</v>
      </c>
      <c r="K133" s="127">
        <v>834</v>
      </c>
      <c r="L133" s="124">
        <v>0</v>
      </c>
      <c r="M133" s="121">
        <v>0</v>
      </c>
      <c r="N133" s="124">
        <v>8</v>
      </c>
      <c r="O133" s="124">
        <v>0</v>
      </c>
      <c r="P133" s="131">
        <v>242.7</v>
      </c>
      <c r="Q133" s="124">
        <v>0</v>
      </c>
      <c r="R133" s="124">
        <v>0</v>
      </c>
      <c r="S133" s="124">
        <v>0</v>
      </c>
      <c r="T133" s="127">
        <v>0</v>
      </c>
      <c r="U133" s="121">
        <v>0</v>
      </c>
      <c r="V133" s="121">
        <v>332</v>
      </c>
      <c r="W133" s="121">
        <v>0</v>
      </c>
      <c r="X133" s="131">
        <v>0</v>
      </c>
      <c r="Y133" s="119">
        <v>576.5</v>
      </c>
      <c r="Z133" s="82">
        <v>0</v>
      </c>
      <c r="AA133" s="79">
        <v>0</v>
      </c>
      <c r="AB133" s="79">
        <v>0</v>
      </c>
      <c r="AC133" s="209">
        <v>0</v>
      </c>
      <c r="AD133" s="211">
        <v>0</v>
      </c>
      <c r="AE133" s="89">
        <v>0</v>
      </c>
      <c r="AF133" s="89">
        <v>11.2</v>
      </c>
      <c r="AG133" s="89">
        <f>SUMIF('PreliminaryHD AR - School Level'!A134:A1440, "=" &amp; A133,'PreliminaryHD AR - School Level'!M134:M1440)</f>
        <v>13.2</v>
      </c>
      <c r="AH133" s="89">
        <v>1403.9</v>
      </c>
      <c r="AI133" s="89">
        <f t="shared" ref="AI133:AI196" si="26">D133-I133</f>
        <v>0</v>
      </c>
      <c r="AJ133" s="89">
        <f t="shared" ref="AJ133:AJ196" si="27">E133-J133</f>
        <v>0</v>
      </c>
      <c r="AK133" s="89">
        <f t="shared" ref="AK133:AK196" si="28">C133+F133</f>
        <v>807</v>
      </c>
      <c r="AL133" s="89">
        <f t="shared" ref="AL133:AL196" si="29">N133+O133</f>
        <v>8</v>
      </c>
      <c r="AM133" s="89">
        <f t="shared" ref="AM133:AM196" si="30">R133+S133</f>
        <v>0</v>
      </c>
      <c r="AN133" s="89">
        <f t="shared" ref="AN133:AN196" si="31">T133+U133</f>
        <v>0</v>
      </c>
      <c r="AO133" s="89">
        <f t="shared" ref="AO133:AO196" si="32">P133+Q133</f>
        <v>242.7</v>
      </c>
      <c r="AP133" s="83">
        <f t="shared" ref="AP133:AP196" si="33">V133+W133</f>
        <v>332</v>
      </c>
      <c r="AQ133" s="89">
        <f t="shared" ref="AQ133:AQ196" si="34">AD133+AE133</f>
        <v>0</v>
      </c>
      <c r="AR133" s="89">
        <f t="shared" ref="AR133:AR196" si="35">Y133+Z133</f>
        <v>576.5</v>
      </c>
      <c r="AS133" s="83">
        <f t="shared" ref="AS133:AS196" si="36">K133+M133</f>
        <v>834</v>
      </c>
      <c r="AT133" s="89">
        <v>0</v>
      </c>
      <c r="AU133" s="89">
        <f t="shared" ref="AU133:AU196" si="37">MAX(AF133,AG133)</f>
        <v>13.2</v>
      </c>
      <c r="AV133" s="108">
        <v>6762711</v>
      </c>
      <c r="AW133" s="126">
        <v>1403.9</v>
      </c>
      <c r="AX133" s="42">
        <v>1403.9</v>
      </c>
      <c r="AY133" s="208">
        <f t="shared" ref="AY133:AY196" si="38">AX133-AH133</f>
        <v>0</v>
      </c>
      <c r="AZ133" s="290">
        <v>382100</v>
      </c>
      <c r="BA133" s="42"/>
      <c r="BB133" s="42"/>
      <c r="BD133" s="129"/>
    </row>
    <row r="134" spans="1:56">
      <c r="A134" s="235" t="s">
        <v>327</v>
      </c>
      <c r="B134" s="121">
        <v>1</v>
      </c>
      <c r="C134" s="131">
        <v>363</v>
      </c>
      <c r="D134" s="131">
        <v>0</v>
      </c>
      <c r="E134" s="82">
        <v>0</v>
      </c>
      <c r="F134" s="131">
        <v>0</v>
      </c>
      <c r="G134" s="199">
        <v>0</v>
      </c>
      <c r="H134" s="131">
        <v>0</v>
      </c>
      <c r="I134" s="131">
        <v>0</v>
      </c>
      <c r="J134" s="208">
        <v>0</v>
      </c>
      <c r="K134" s="127">
        <v>375</v>
      </c>
      <c r="L134" s="124">
        <v>0</v>
      </c>
      <c r="M134" s="121">
        <v>0</v>
      </c>
      <c r="N134" s="124">
        <v>3.5</v>
      </c>
      <c r="O134" s="124">
        <v>0</v>
      </c>
      <c r="P134" s="131">
        <v>69.5</v>
      </c>
      <c r="Q134" s="124">
        <v>0</v>
      </c>
      <c r="R134" s="124">
        <v>0</v>
      </c>
      <c r="S134" s="124">
        <v>0</v>
      </c>
      <c r="T134" s="127">
        <v>0</v>
      </c>
      <c r="U134" s="121">
        <v>0</v>
      </c>
      <c r="V134" s="121">
        <v>95</v>
      </c>
      <c r="W134" s="121">
        <v>0</v>
      </c>
      <c r="X134" s="131">
        <v>0</v>
      </c>
      <c r="Y134" s="119">
        <v>120</v>
      </c>
      <c r="Z134" s="82">
        <v>0</v>
      </c>
      <c r="AA134" s="79">
        <v>0</v>
      </c>
      <c r="AB134" s="79">
        <v>0</v>
      </c>
      <c r="AC134" s="209">
        <v>0</v>
      </c>
      <c r="AD134" s="211">
        <v>0</v>
      </c>
      <c r="AE134" s="89">
        <v>0</v>
      </c>
      <c r="AF134" s="89">
        <v>0</v>
      </c>
      <c r="AG134" s="89">
        <f>SUMIF('PreliminaryHD AR - School Level'!A135:A1441, "=" &amp; A134,'PreliminaryHD AR - School Level'!M135:M1441)</f>
        <v>0</v>
      </c>
      <c r="AH134" s="89">
        <v>628</v>
      </c>
      <c r="AI134" s="89">
        <f t="shared" si="26"/>
        <v>0</v>
      </c>
      <c r="AJ134" s="89">
        <f t="shared" si="27"/>
        <v>0</v>
      </c>
      <c r="AK134" s="89">
        <f t="shared" si="28"/>
        <v>363</v>
      </c>
      <c r="AL134" s="89">
        <f t="shared" si="29"/>
        <v>3.5</v>
      </c>
      <c r="AM134" s="89">
        <f t="shared" si="30"/>
        <v>0</v>
      </c>
      <c r="AN134" s="89">
        <f t="shared" si="31"/>
        <v>0</v>
      </c>
      <c r="AO134" s="89">
        <f t="shared" si="32"/>
        <v>69.5</v>
      </c>
      <c r="AP134" s="83">
        <f t="shared" si="33"/>
        <v>95</v>
      </c>
      <c r="AQ134" s="89">
        <f t="shared" si="34"/>
        <v>0</v>
      </c>
      <c r="AR134" s="89">
        <f t="shared" si="35"/>
        <v>120</v>
      </c>
      <c r="AS134" s="83">
        <f t="shared" si="36"/>
        <v>375</v>
      </c>
      <c r="AT134" s="89">
        <v>0</v>
      </c>
      <c r="AU134" s="89">
        <f t="shared" si="37"/>
        <v>0</v>
      </c>
      <c r="AV134" s="108">
        <v>3347827</v>
      </c>
      <c r="AW134" s="126">
        <v>628</v>
      </c>
      <c r="AX134" s="42">
        <v>628</v>
      </c>
      <c r="AY134" s="208">
        <f t="shared" si="38"/>
        <v>0</v>
      </c>
      <c r="AZ134" s="290">
        <v>175491</v>
      </c>
      <c r="BA134" s="42"/>
      <c r="BB134" s="42"/>
      <c r="BD134" s="129"/>
    </row>
    <row r="135" spans="1:56">
      <c r="A135" s="235" t="s">
        <v>328</v>
      </c>
      <c r="B135" s="121">
        <v>1</v>
      </c>
      <c r="C135" s="131">
        <v>447.5</v>
      </c>
      <c r="D135" s="131">
        <v>0</v>
      </c>
      <c r="E135" s="82">
        <v>0</v>
      </c>
      <c r="F135" s="131">
        <v>0</v>
      </c>
      <c r="G135" s="199">
        <v>0</v>
      </c>
      <c r="H135" s="131">
        <v>0</v>
      </c>
      <c r="I135" s="131">
        <v>0</v>
      </c>
      <c r="J135" s="208">
        <v>0</v>
      </c>
      <c r="K135" s="127">
        <v>466</v>
      </c>
      <c r="L135" s="124">
        <v>0</v>
      </c>
      <c r="M135" s="121">
        <v>0</v>
      </c>
      <c r="N135" s="124">
        <v>7</v>
      </c>
      <c r="O135" s="124">
        <v>0</v>
      </c>
      <c r="P135" s="131">
        <v>69.099999999999994</v>
      </c>
      <c r="Q135" s="124">
        <v>0</v>
      </c>
      <c r="R135" s="124">
        <v>0</v>
      </c>
      <c r="S135" s="124">
        <v>0</v>
      </c>
      <c r="T135" s="127">
        <v>0</v>
      </c>
      <c r="U135" s="121">
        <v>0</v>
      </c>
      <c r="V135" s="121">
        <v>119</v>
      </c>
      <c r="W135" s="121">
        <v>0</v>
      </c>
      <c r="X135" s="131">
        <v>0</v>
      </c>
      <c r="Y135" s="119">
        <v>207.5</v>
      </c>
      <c r="Z135" s="82">
        <v>0</v>
      </c>
      <c r="AA135" s="79">
        <v>0</v>
      </c>
      <c r="AB135" s="79">
        <v>0</v>
      </c>
      <c r="AC135" s="209">
        <v>0</v>
      </c>
      <c r="AD135" s="211">
        <v>0</v>
      </c>
      <c r="AE135" s="89">
        <v>0</v>
      </c>
      <c r="AF135" s="89">
        <v>0</v>
      </c>
      <c r="AG135" s="89">
        <f>SUMIF('PreliminaryHD AR - School Level'!A136:A1442, "=" &amp; A135,'PreliminaryHD AR - School Level'!M136:M1442)</f>
        <v>0</v>
      </c>
      <c r="AH135" s="89">
        <v>764.1</v>
      </c>
      <c r="AI135" s="89">
        <f t="shared" si="26"/>
        <v>0</v>
      </c>
      <c r="AJ135" s="89">
        <f t="shared" si="27"/>
        <v>0</v>
      </c>
      <c r="AK135" s="89">
        <f t="shared" si="28"/>
        <v>447.5</v>
      </c>
      <c r="AL135" s="89">
        <f t="shared" si="29"/>
        <v>7</v>
      </c>
      <c r="AM135" s="89">
        <f t="shared" si="30"/>
        <v>0</v>
      </c>
      <c r="AN135" s="89">
        <f t="shared" si="31"/>
        <v>0</v>
      </c>
      <c r="AO135" s="89">
        <f t="shared" si="32"/>
        <v>69.099999999999994</v>
      </c>
      <c r="AP135" s="83">
        <f t="shared" si="33"/>
        <v>119</v>
      </c>
      <c r="AQ135" s="89">
        <f t="shared" si="34"/>
        <v>0</v>
      </c>
      <c r="AR135" s="89">
        <f t="shared" si="35"/>
        <v>207.5</v>
      </c>
      <c r="AS135" s="83">
        <f t="shared" si="36"/>
        <v>466</v>
      </c>
      <c r="AT135" s="89">
        <v>0</v>
      </c>
      <c r="AU135" s="89">
        <f t="shared" si="37"/>
        <v>0</v>
      </c>
      <c r="AV135" s="108">
        <v>4033386</v>
      </c>
      <c r="AW135" s="126">
        <v>764.1</v>
      </c>
      <c r="AX135" s="42">
        <v>764.1</v>
      </c>
      <c r="AY135" s="208">
        <f t="shared" si="38"/>
        <v>0</v>
      </c>
      <c r="AZ135" s="290">
        <v>220680</v>
      </c>
      <c r="BA135" s="42"/>
      <c r="BB135" s="42"/>
      <c r="BD135" s="129"/>
    </row>
    <row r="136" spans="1:56">
      <c r="A136" s="235" t="s">
        <v>329</v>
      </c>
      <c r="B136" s="121">
        <v>1</v>
      </c>
      <c r="C136" s="131">
        <v>841.7</v>
      </c>
      <c r="D136" s="131">
        <v>0</v>
      </c>
      <c r="E136" s="82">
        <v>0</v>
      </c>
      <c r="F136" s="131">
        <v>0</v>
      </c>
      <c r="G136" s="199">
        <v>0</v>
      </c>
      <c r="H136" s="131">
        <v>0</v>
      </c>
      <c r="I136" s="131">
        <v>0</v>
      </c>
      <c r="J136" s="208">
        <v>0</v>
      </c>
      <c r="K136" s="127">
        <v>847</v>
      </c>
      <c r="L136" s="124">
        <v>0</v>
      </c>
      <c r="M136" s="121">
        <v>0</v>
      </c>
      <c r="N136" s="124">
        <v>0</v>
      </c>
      <c r="O136" s="124">
        <v>0</v>
      </c>
      <c r="P136" s="131">
        <v>239.8</v>
      </c>
      <c r="Q136" s="124">
        <v>0</v>
      </c>
      <c r="R136" s="124">
        <v>0</v>
      </c>
      <c r="S136" s="124">
        <v>0</v>
      </c>
      <c r="T136" s="127">
        <v>0</v>
      </c>
      <c r="U136" s="121">
        <v>0</v>
      </c>
      <c r="V136" s="121">
        <v>192</v>
      </c>
      <c r="W136" s="121">
        <v>0</v>
      </c>
      <c r="X136" s="131">
        <v>1</v>
      </c>
      <c r="Y136" s="119">
        <v>490</v>
      </c>
      <c r="Z136" s="82">
        <v>0</v>
      </c>
      <c r="AA136" s="79">
        <v>0</v>
      </c>
      <c r="AB136" s="79">
        <v>0</v>
      </c>
      <c r="AC136" s="209">
        <v>0</v>
      </c>
      <c r="AD136" s="211">
        <v>0</v>
      </c>
      <c r="AE136" s="89">
        <v>0</v>
      </c>
      <c r="AF136" s="89">
        <v>0</v>
      </c>
      <c r="AG136" s="89">
        <f>SUMIF('PreliminaryHD AR - School Level'!A137:A1443, "=" &amp; A136,'PreliminaryHD AR - School Level'!M137:M1443)</f>
        <v>0</v>
      </c>
      <c r="AH136" s="89">
        <v>1303.3</v>
      </c>
      <c r="AI136" s="89">
        <f t="shared" si="26"/>
        <v>0</v>
      </c>
      <c r="AJ136" s="89">
        <f t="shared" si="27"/>
        <v>0</v>
      </c>
      <c r="AK136" s="89">
        <f t="shared" si="28"/>
        <v>841.7</v>
      </c>
      <c r="AL136" s="89">
        <f t="shared" si="29"/>
        <v>0</v>
      </c>
      <c r="AM136" s="89">
        <f t="shared" si="30"/>
        <v>0</v>
      </c>
      <c r="AN136" s="89">
        <f t="shared" si="31"/>
        <v>0</v>
      </c>
      <c r="AO136" s="89">
        <f t="shared" si="32"/>
        <v>239.8</v>
      </c>
      <c r="AP136" s="83">
        <f t="shared" si="33"/>
        <v>192</v>
      </c>
      <c r="AQ136" s="89">
        <f t="shared" si="34"/>
        <v>0</v>
      </c>
      <c r="AR136" s="89">
        <f t="shared" si="35"/>
        <v>490</v>
      </c>
      <c r="AS136" s="83">
        <f t="shared" si="36"/>
        <v>847</v>
      </c>
      <c r="AT136" s="89">
        <v>0</v>
      </c>
      <c r="AU136" s="89">
        <f t="shared" si="37"/>
        <v>0</v>
      </c>
      <c r="AV136" s="108">
        <v>6965130</v>
      </c>
      <c r="AW136" s="126">
        <v>1303.3</v>
      </c>
      <c r="AX136" s="42">
        <v>1303.3</v>
      </c>
      <c r="AY136" s="208">
        <f t="shared" si="38"/>
        <v>0</v>
      </c>
      <c r="AZ136" s="290">
        <v>419773</v>
      </c>
      <c r="BA136" s="42"/>
      <c r="BB136" s="42"/>
      <c r="BD136" s="129"/>
    </row>
    <row r="137" spans="1:56">
      <c r="A137" s="235" t="s">
        <v>330</v>
      </c>
      <c r="B137" s="121">
        <v>1</v>
      </c>
      <c r="C137" s="131">
        <v>579</v>
      </c>
      <c r="D137" s="131">
        <v>0</v>
      </c>
      <c r="E137" s="82">
        <v>0</v>
      </c>
      <c r="F137" s="131">
        <v>0</v>
      </c>
      <c r="G137" s="199">
        <v>0</v>
      </c>
      <c r="H137" s="131">
        <v>0</v>
      </c>
      <c r="I137" s="131">
        <v>0</v>
      </c>
      <c r="J137" s="208">
        <v>0</v>
      </c>
      <c r="K137" s="127">
        <v>603</v>
      </c>
      <c r="L137" s="124">
        <v>0</v>
      </c>
      <c r="M137" s="121">
        <v>0</v>
      </c>
      <c r="N137" s="124">
        <v>9.5</v>
      </c>
      <c r="O137" s="124">
        <v>0</v>
      </c>
      <c r="P137" s="131">
        <v>92.9</v>
      </c>
      <c r="Q137" s="124">
        <v>0</v>
      </c>
      <c r="R137" s="124">
        <v>0</v>
      </c>
      <c r="S137" s="124">
        <v>0</v>
      </c>
      <c r="T137" s="127">
        <v>0</v>
      </c>
      <c r="U137" s="121">
        <v>0</v>
      </c>
      <c r="V137" s="121">
        <v>251</v>
      </c>
      <c r="W137" s="121">
        <v>0</v>
      </c>
      <c r="X137" s="131">
        <v>0</v>
      </c>
      <c r="Y137" s="119">
        <v>300</v>
      </c>
      <c r="Z137" s="82">
        <v>0</v>
      </c>
      <c r="AA137" s="79">
        <v>0</v>
      </c>
      <c r="AB137" s="79">
        <v>0</v>
      </c>
      <c r="AC137" s="209">
        <v>0</v>
      </c>
      <c r="AD137" s="211">
        <v>0</v>
      </c>
      <c r="AE137" s="89">
        <v>0</v>
      </c>
      <c r="AF137" s="89">
        <v>11.6</v>
      </c>
      <c r="AG137" s="89">
        <f>SUMIF('PreliminaryHD AR - School Level'!A138:A1444, "=" &amp; A137,'PreliminaryHD AR - School Level'!M138:M1444)</f>
        <v>12.1</v>
      </c>
      <c r="AH137" s="89">
        <v>1020.8</v>
      </c>
      <c r="AI137" s="89">
        <f t="shared" si="26"/>
        <v>0</v>
      </c>
      <c r="AJ137" s="89">
        <f t="shared" si="27"/>
        <v>0</v>
      </c>
      <c r="AK137" s="89">
        <f t="shared" si="28"/>
        <v>579</v>
      </c>
      <c r="AL137" s="89">
        <f t="shared" si="29"/>
        <v>9.5</v>
      </c>
      <c r="AM137" s="89">
        <f t="shared" si="30"/>
        <v>0</v>
      </c>
      <c r="AN137" s="89">
        <f t="shared" si="31"/>
        <v>0</v>
      </c>
      <c r="AO137" s="89">
        <f t="shared" si="32"/>
        <v>92.9</v>
      </c>
      <c r="AP137" s="83">
        <f t="shared" si="33"/>
        <v>251</v>
      </c>
      <c r="AQ137" s="89">
        <f t="shared" si="34"/>
        <v>0</v>
      </c>
      <c r="AR137" s="89">
        <f t="shared" si="35"/>
        <v>300</v>
      </c>
      <c r="AS137" s="83">
        <f t="shared" si="36"/>
        <v>603</v>
      </c>
      <c r="AT137" s="89">
        <v>0</v>
      </c>
      <c r="AU137" s="89">
        <f t="shared" si="37"/>
        <v>12.1</v>
      </c>
      <c r="AV137" s="108">
        <v>5525289</v>
      </c>
      <c r="AW137" s="126">
        <v>1020.8</v>
      </c>
      <c r="AX137" s="42">
        <v>1020.8</v>
      </c>
      <c r="AY137" s="208">
        <f t="shared" si="38"/>
        <v>0</v>
      </c>
      <c r="AZ137" s="290">
        <v>383067</v>
      </c>
      <c r="BA137" s="42"/>
      <c r="BB137" s="42"/>
      <c r="BD137" s="129"/>
    </row>
    <row r="138" spans="1:56">
      <c r="A138" s="235" t="s">
        <v>331</v>
      </c>
      <c r="B138" s="121">
        <v>1</v>
      </c>
      <c r="C138" s="131">
        <v>465.6</v>
      </c>
      <c r="D138" s="131">
        <v>0</v>
      </c>
      <c r="E138" s="82">
        <v>0</v>
      </c>
      <c r="F138" s="131">
        <v>0</v>
      </c>
      <c r="G138" s="199">
        <v>0</v>
      </c>
      <c r="H138" s="131">
        <v>0</v>
      </c>
      <c r="I138" s="131">
        <v>0</v>
      </c>
      <c r="J138" s="208">
        <v>0</v>
      </c>
      <c r="K138" s="127">
        <v>500</v>
      </c>
      <c r="L138" s="124">
        <v>0</v>
      </c>
      <c r="M138" s="121">
        <v>0</v>
      </c>
      <c r="N138" s="124">
        <v>13.5</v>
      </c>
      <c r="O138" s="124">
        <v>0</v>
      </c>
      <c r="P138" s="131">
        <v>155.5</v>
      </c>
      <c r="Q138" s="124">
        <v>0</v>
      </c>
      <c r="R138" s="124">
        <v>0</v>
      </c>
      <c r="S138" s="124">
        <v>0</v>
      </c>
      <c r="T138" s="127">
        <v>0</v>
      </c>
      <c r="U138" s="121">
        <v>0</v>
      </c>
      <c r="V138" s="121">
        <v>145</v>
      </c>
      <c r="W138" s="121">
        <v>0</v>
      </c>
      <c r="X138" s="131">
        <v>0</v>
      </c>
      <c r="Y138" s="119">
        <v>238.5</v>
      </c>
      <c r="Z138" s="82">
        <v>0</v>
      </c>
      <c r="AA138" s="79">
        <v>0</v>
      </c>
      <c r="AB138" s="79">
        <v>0</v>
      </c>
      <c r="AC138" s="209">
        <v>0</v>
      </c>
      <c r="AD138" s="211">
        <v>0</v>
      </c>
      <c r="AE138" s="89">
        <v>0</v>
      </c>
      <c r="AF138" s="89">
        <v>0</v>
      </c>
      <c r="AG138" s="89">
        <f>SUMIF('PreliminaryHD AR - School Level'!A139:A1445, "=" &amp; A138,'PreliminaryHD AR - School Level'!M139:M1445)</f>
        <v>0</v>
      </c>
      <c r="AH138" s="89">
        <v>814.8</v>
      </c>
      <c r="AI138" s="89">
        <f t="shared" si="26"/>
        <v>0</v>
      </c>
      <c r="AJ138" s="89">
        <f t="shared" si="27"/>
        <v>0</v>
      </c>
      <c r="AK138" s="89">
        <f t="shared" si="28"/>
        <v>465.6</v>
      </c>
      <c r="AL138" s="89">
        <f t="shared" si="29"/>
        <v>13.5</v>
      </c>
      <c r="AM138" s="89">
        <f t="shared" si="30"/>
        <v>0</v>
      </c>
      <c r="AN138" s="89">
        <f t="shared" si="31"/>
        <v>0</v>
      </c>
      <c r="AO138" s="89">
        <f t="shared" si="32"/>
        <v>155.5</v>
      </c>
      <c r="AP138" s="83">
        <f t="shared" si="33"/>
        <v>145</v>
      </c>
      <c r="AQ138" s="89">
        <f t="shared" si="34"/>
        <v>0</v>
      </c>
      <c r="AR138" s="89">
        <f t="shared" si="35"/>
        <v>238.5</v>
      </c>
      <c r="AS138" s="83">
        <f t="shared" si="36"/>
        <v>500</v>
      </c>
      <c r="AT138" s="89">
        <v>0</v>
      </c>
      <c r="AU138" s="89">
        <f t="shared" si="37"/>
        <v>0</v>
      </c>
      <c r="AV138" s="108">
        <v>4336598</v>
      </c>
      <c r="AW138" s="126">
        <v>814.8</v>
      </c>
      <c r="AX138" s="42">
        <v>814.8</v>
      </c>
      <c r="AY138" s="208">
        <f t="shared" si="38"/>
        <v>0</v>
      </c>
      <c r="AZ138" s="290">
        <v>204259</v>
      </c>
      <c r="BA138" s="42"/>
      <c r="BB138" s="42"/>
      <c r="BD138" s="129"/>
    </row>
    <row r="139" spans="1:56">
      <c r="A139" s="235" t="s">
        <v>332</v>
      </c>
      <c r="B139" s="121">
        <v>1</v>
      </c>
      <c r="C139" s="131">
        <v>740.5</v>
      </c>
      <c r="D139" s="131">
        <v>0</v>
      </c>
      <c r="E139" s="82">
        <v>0</v>
      </c>
      <c r="F139" s="131">
        <v>0</v>
      </c>
      <c r="G139" s="199">
        <v>0</v>
      </c>
      <c r="H139" s="131">
        <v>0</v>
      </c>
      <c r="I139" s="131">
        <v>0</v>
      </c>
      <c r="J139" s="208">
        <v>0</v>
      </c>
      <c r="K139" s="127">
        <v>770</v>
      </c>
      <c r="L139" s="124">
        <v>0</v>
      </c>
      <c r="M139" s="121">
        <v>0</v>
      </c>
      <c r="N139" s="124">
        <v>11.5</v>
      </c>
      <c r="O139" s="124">
        <v>0</v>
      </c>
      <c r="P139" s="131">
        <v>146.19999999999999</v>
      </c>
      <c r="Q139" s="124">
        <v>0</v>
      </c>
      <c r="R139" s="124">
        <v>0</v>
      </c>
      <c r="S139" s="124">
        <v>0</v>
      </c>
      <c r="T139" s="127">
        <v>0</v>
      </c>
      <c r="U139" s="121">
        <v>0</v>
      </c>
      <c r="V139" s="121">
        <v>203</v>
      </c>
      <c r="W139" s="121">
        <v>0</v>
      </c>
      <c r="X139" s="131">
        <v>0</v>
      </c>
      <c r="Y139" s="119">
        <v>482.5</v>
      </c>
      <c r="Z139" s="82">
        <v>0</v>
      </c>
      <c r="AA139" s="79">
        <v>0</v>
      </c>
      <c r="AB139" s="79">
        <v>0</v>
      </c>
      <c r="AC139" s="209">
        <v>0</v>
      </c>
      <c r="AD139" s="211">
        <v>0</v>
      </c>
      <c r="AE139" s="89">
        <v>0</v>
      </c>
      <c r="AF139" s="89">
        <v>0</v>
      </c>
      <c r="AG139" s="89">
        <f>SUMIF('PreliminaryHD AR - School Level'!A140:A1446, "=" &amp; A139,'PreliminaryHD AR - School Level'!M140:M1446)</f>
        <v>0</v>
      </c>
      <c r="AH139" s="89">
        <v>1199.0999999999999</v>
      </c>
      <c r="AI139" s="89">
        <f t="shared" si="26"/>
        <v>0</v>
      </c>
      <c r="AJ139" s="89">
        <f t="shared" si="27"/>
        <v>0</v>
      </c>
      <c r="AK139" s="89">
        <f t="shared" si="28"/>
        <v>740.5</v>
      </c>
      <c r="AL139" s="89">
        <f t="shared" si="29"/>
        <v>11.5</v>
      </c>
      <c r="AM139" s="89">
        <f t="shared" si="30"/>
        <v>0</v>
      </c>
      <c r="AN139" s="89">
        <f t="shared" si="31"/>
        <v>0</v>
      </c>
      <c r="AO139" s="89">
        <f t="shared" si="32"/>
        <v>146.19999999999999</v>
      </c>
      <c r="AP139" s="83">
        <f t="shared" si="33"/>
        <v>203</v>
      </c>
      <c r="AQ139" s="89">
        <f t="shared" si="34"/>
        <v>0</v>
      </c>
      <c r="AR139" s="89">
        <f t="shared" si="35"/>
        <v>482.5</v>
      </c>
      <c r="AS139" s="83">
        <f t="shared" si="36"/>
        <v>770</v>
      </c>
      <c r="AT139" s="89">
        <v>0</v>
      </c>
      <c r="AU139" s="89">
        <f t="shared" si="37"/>
        <v>0</v>
      </c>
      <c r="AV139" s="108">
        <v>6150456</v>
      </c>
      <c r="AW139" s="126">
        <v>1199.0999999999999</v>
      </c>
      <c r="AX139" s="42">
        <v>1199.0999999999999</v>
      </c>
      <c r="AY139" s="208">
        <f t="shared" si="38"/>
        <v>0</v>
      </c>
      <c r="AZ139" s="290">
        <v>367307</v>
      </c>
      <c r="BA139" s="42"/>
      <c r="BB139" s="42"/>
      <c r="BD139" s="129"/>
    </row>
    <row r="140" spans="1:56">
      <c r="A140" s="235" t="s">
        <v>333</v>
      </c>
      <c r="B140" s="121">
        <v>1</v>
      </c>
      <c r="C140" s="131">
        <v>356</v>
      </c>
      <c r="D140" s="131">
        <v>0</v>
      </c>
      <c r="E140" s="82">
        <v>0</v>
      </c>
      <c r="F140" s="131">
        <v>0</v>
      </c>
      <c r="G140" s="199">
        <v>0</v>
      </c>
      <c r="H140" s="131">
        <v>0</v>
      </c>
      <c r="I140" s="131">
        <v>0</v>
      </c>
      <c r="J140" s="208">
        <v>0</v>
      </c>
      <c r="K140" s="127">
        <v>372</v>
      </c>
      <c r="L140" s="124">
        <v>0</v>
      </c>
      <c r="M140" s="121">
        <v>0</v>
      </c>
      <c r="N140" s="124">
        <v>6.5</v>
      </c>
      <c r="O140" s="124">
        <v>0</v>
      </c>
      <c r="P140" s="131">
        <v>109.7</v>
      </c>
      <c r="Q140" s="124">
        <v>0</v>
      </c>
      <c r="R140" s="124">
        <v>0</v>
      </c>
      <c r="S140" s="124">
        <v>0</v>
      </c>
      <c r="T140" s="127">
        <v>0</v>
      </c>
      <c r="U140" s="121">
        <v>0</v>
      </c>
      <c r="V140" s="121">
        <v>138</v>
      </c>
      <c r="W140" s="121">
        <v>0</v>
      </c>
      <c r="X140" s="131">
        <v>0</v>
      </c>
      <c r="Y140" s="119">
        <v>59</v>
      </c>
      <c r="Z140" s="82">
        <v>0</v>
      </c>
      <c r="AA140" s="79">
        <v>0</v>
      </c>
      <c r="AB140" s="79">
        <v>0</v>
      </c>
      <c r="AC140" s="209">
        <v>0</v>
      </c>
      <c r="AD140" s="211">
        <v>0</v>
      </c>
      <c r="AE140" s="89">
        <v>0</v>
      </c>
      <c r="AF140" s="89">
        <v>2</v>
      </c>
      <c r="AG140" s="89">
        <f>SUMIF('PreliminaryHD AR - School Level'!A141:A1447, "=" &amp; A140,'PreliminaryHD AR - School Level'!M141:M1447)</f>
        <v>3.4</v>
      </c>
      <c r="AH140" s="89">
        <v>631.1</v>
      </c>
      <c r="AI140" s="89">
        <f t="shared" si="26"/>
        <v>0</v>
      </c>
      <c r="AJ140" s="89">
        <f t="shared" si="27"/>
        <v>0</v>
      </c>
      <c r="AK140" s="89">
        <f t="shared" si="28"/>
        <v>356</v>
      </c>
      <c r="AL140" s="89">
        <f t="shared" si="29"/>
        <v>6.5</v>
      </c>
      <c r="AM140" s="89">
        <f t="shared" si="30"/>
        <v>0</v>
      </c>
      <c r="AN140" s="89">
        <f t="shared" si="31"/>
        <v>0</v>
      </c>
      <c r="AO140" s="89">
        <f t="shared" si="32"/>
        <v>109.7</v>
      </c>
      <c r="AP140" s="83">
        <f t="shared" si="33"/>
        <v>138</v>
      </c>
      <c r="AQ140" s="89">
        <f t="shared" si="34"/>
        <v>0</v>
      </c>
      <c r="AR140" s="89">
        <f t="shared" si="35"/>
        <v>59</v>
      </c>
      <c r="AS140" s="83">
        <f t="shared" si="36"/>
        <v>372</v>
      </c>
      <c r="AT140" s="89">
        <v>0</v>
      </c>
      <c r="AU140" s="89">
        <f t="shared" si="37"/>
        <v>3.4</v>
      </c>
      <c r="AV140" s="108">
        <v>3012128</v>
      </c>
      <c r="AW140" s="126">
        <v>631.1</v>
      </c>
      <c r="AX140" s="42">
        <v>631.1</v>
      </c>
      <c r="AY140" s="208">
        <f t="shared" si="38"/>
        <v>0</v>
      </c>
      <c r="AZ140" s="290">
        <v>91909</v>
      </c>
      <c r="BA140" s="42"/>
      <c r="BB140" s="42"/>
      <c r="BD140" s="129"/>
    </row>
    <row r="141" spans="1:56">
      <c r="A141" s="235" t="s">
        <v>334</v>
      </c>
      <c r="B141" s="121">
        <v>1</v>
      </c>
      <c r="C141" s="131">
        <v>3809.5</v>
      </c>
      <c r="D141" s="131">
        <v>0</v>
      </c>
      <c r="E141" s="82">
        <v>0</v>
      </c>
      <c r="F141" s="131">
        <v>0</v>
      </c>
      <c r="G141" s="199">
        <v>0</v>
      </c>
      <c r="H141" s="131">
        <v>0</v>
      </c>
      <c r="I141" s="131">
        <v>0</v>
      </c>
      <c r="J141" s="208">
        <v>0</v>
      </c>
      <c r="K141" s="127">
        <v>3925</v>
      </c>
      <c r="L141" s="124">
        <v>0</v>
      </c>
      <c r="M141" s="121">
        <v>0</v>
      </c>
      <c r="N141" s="124">
        <v>38.5</v>
      </c>
      <c r="O141" s="124">
        <v>0</v>
      </c>
      <c r="P141" s="131">
        <v>1505.4</v>
      </c>
      <c r="Q141" s="124">
        <v>0</v>
      </c>
      <c r="R141" s="124">
        <v>22.8</v>
      </c>
      <c r="S141" s="124">
        <v>0</v>
      </c>
      <c r="T141" s="127">
        <v>29</v>
      </c>
      <c r="U141" s="121">
        <v>0</v>
      </c>
      <c r="V141" s="121">
        <v>1029</v>
      </c>
      <c r="W141" s="121">
        <v>0</v>
      </c>
      <c r="X141" s="131">
        <v>0</v>
      </c>
      <c r="Y141" s="119">
        <v>1908.2</v>
      </c>
      <c r="Z141" s="82">
        <v>0</v>
      </c>
      <c r="AA141" s="79">
        <v>2</v>
      </c>
      <c r="AB141" s="79">
        <v>0</v>
      </c>
      <c r="AC141" s="209">
        <v>29.5</v>
      </c>
      <c r="AD141" s="211">
        <v>0</v>
      </c>
      <c r="AE141" s="89">
        <v>0</v>
      </c>
      <c r="AF141" s="89">
        <v>0</v>
      </c>
      <c r="AG141" s="89">
        <f>SUMIF('PreliminaryHD AR - School Level'!A142:A1448, "=" &amp; A141,'PreliminaryHD AR - School Level'!M142:M1448)</f>
        <v>34.5</v>
      </c>
      <c r="AH141" s="89">
        <v>4923.8999999999996</v>
      </c>
      <c r="AI141" s="89">
        <f t="shared" si="26"/>
        <v>0</v>
      </c>
      <c r="AJ141" s="89">
        <f t="shared" si="27"/>
        <v>0</v>
      </c>
      <c r="AK141" s="89">
        <f t="shared" si="28"/>
        <v>3809.5</v>
      </c>
      <c r="AL141" s="89">
        <f t="shared" si="29"/>
        <v>38.5</v>
      </c>
      <c r="AM141" s="89">
        <f t="shared" si="30"/>
        <v>22.8</v>
      </c>
      <c r="AN141" s="89">
        <f t="shared" si="31"/>
        <v>29</v>
      </c>
      <c r="AO141" s="89">
        <f t="shared" si="32"/>
        <v>1505.4</v>
      </c>
      <c r="AP141" s="83">
        <f t="shared" si="33"/>
        <v>1029</v>
      </c>
      <c r="AQ141" s="89">
        <f t="shared" si="34"/>
        <v>0</v>
      </c>
      <c r="AR141" s="89">
        <f t="shared" si="35"/>
        <v>1908.2</v>
      </c>
      <c r="AS141" s="83">
        <f t="shared" si="36"/>
        <v>3925</v>
      </c>
      <c r="AT141" s="89">
        <v>0</v>
      </c>
      <c r="AU141" s="89">
        <f t="shared" si="37"/>
        <v>34.5</v>
      </c>
      <c r="AV141" s="108">
        <v>25448179</v>
      </c>
      <c r="AW141" s="126">
        <v>4923.8999999999996</v>
      </c>
      <c r="AX141" s="42">
        <v>4923.8999999999996</v>
      </c>
      <c r="AY141" s="208">
        <f t="shared" si="38"/>
        <v>0</v>
      </c>
      <c r="AZ141" s="290">
        <v>1466001</v>
      </c>
      <c r="BA141" s="42"/>
      <c r="BB141" s="42"/>
      <c r="BD141" s="129"/>
    </row>
    <row r="142" spans="1:56">
      <c r="A142" s="235" t="s">
        <v>335</v>
      </c>
      <c r="B142" s="121">
        <v>1</v>
      </c>
      <c r="C142" s="131">
        <v>567.5</v>
      </c>
      <c r="D142" s="131">
        <v>0</v>
      </c>
      <c r="E142" s="82">
        <v>0</v>
      </c>
      <c r="F142" s="131">
        <v>0</v>
      </c>
      <c r="G142" s="199">
        <v>0</v>
      </c>
      <c r="H142" s="131">
        <v>0</v>
      </c>
      <c r="I142" s="131">
        <v>0</v>
      </c>
      <c r="J142" s="208">
        <v>0</v>
      </c>
      <c r="K142" s="127">
        <v>589</v>
      </c>
      <c r="L142" s="124">
        <v>0</v>
      </c>
      <c r="M142" s="121">
        <v>0</v>
      </c>
      <c r="N142" s="124">
        <v>7</v>
      </c>
      <c r="O142" s="124">
        <v>0</v>
      </c>
      <c r="P142" s="131">
        <v>178.6</v>
      </c>
      <c r="Q142" s="124">
        <v>0</v>
      </c>
      <c r="R142" s="124">
        <v>0.4</v>
      </c>
      <c r="S142" s="124">
        <v>0</v>
      </c>
      <c r="T142" s="127">
        <v>8</v>
      </c>
      <c r="U142" s="121">
        <v>0</v>
      </c>
      <c r="V142" s="121">
        <v>268</v>
      </c>
      <c r="W142" s="121">
        <v>0</v>
      </c>
      <c r="X142" s="131">
        <v>0</v>
      </c>
      <c r="Y142" s="119">
        <v>340</v>
      </c>
      <c r="Z142" s="82">
        <v>0</v>
      </c>
      <c r="AA142" s="79">
        <v>4</v>
      </c>
      <c r="AB142" s="79">
        <v>0</v>
      </c>
      <c r="AC142" s="209">
        <v>0</v>
      </c>
      <c r="AD142" s="211">
        <v>0</v>
      </c>
      <c r="AE142" s="89">
        <v>0</v>
      </c>
      <c r="AF142" s="89">
        <v>19.7</v>
      </c>
      <c r="AG142" s="89">
        <f>SUMIF('PreliminaryHD AR - School Level'!A143:A1449, "=" &amp; A142,'PreliminaryHD AR - School Level'!M143:M1449)</f>
        <v>20.7</v>
      </c>
      <c r="AH142" s="89">
        <v>1048.7</v>
      </c>
      <c r="AI142" s="89">
        <f t="shared" si="26"/>
        <v>0</v>
      </c>
      <c r="AJ142" s="89">
        <f t="shared" si="27"/>
        <v>0</v>
      </c>
      <c r="AK142" s="89">
        <f t="shared" si="28"/>
        <v>567.5</v>
      </c>
      <c r="AL142" s="89">
        <f t="shared" si="29"/>
        <v>7</v>
      </c>
      <c r="AM142" s="89">
        <f t="shared" si="30"/>
        <v>0.4</v>
      </c>
      <c r="AN142" s="89">
        <f t="shared" si="31"/>
        <v>8</v>
      </c>
      <c r="AO142" s="89">
        <f t="shared" si="32"/>
        <v>178.6</v>
      </c>
      <c r="AP142" s="83">
        <f t="shared" si="33"/>
        <v>268</v>
      </c>
      <c r="AQ142" s="89">
        <f t="shared" si="34"/>
        <v>0</v>
      </c>
      <c r="AR142" s="89">
        <f t="shared" si="35"/>
        <v>340</v>
      </c>
      <c r="AS142" s="83">
        <f t="shared" si="36"/>
        <v>589</v>
      </c>
      <c r="AT142" s="89">
        <v>0</v>
      </c>
      <c r="AU142" s="89">
        <f t="shared" si="37"/>
        <v>20.7</v>
      </c>
      <c r="AV142" s="108">
        <v>5249480</v>
      </c>
      <c r="AW142" s="126">
        <v>1048.7</v>
      </c>
      <c r="AX142" s="42">
        <v>1048.7</v>
      </c>
      <c r="AY142" s="208">
        <f t="shared" si="38"/>
        <v>0</v>
      </c>
      <c r="AZ142" s="290">
        <v>311221</v>
      </c>
      <c r="BA142" s="42"/>
      <c r="BB142" s="42"/>
      <c r="BD142" s="129"/>
    </row>
    <row r="143" spans="1:56">
      <c r="A143" s="235" t="s">
        <v>336</v>
      </c>
      <c r="B143" s="121">
        <v>1</v>
      </c>
      <c r="C143" s="131">
        <v>304</v>
      </c>
      <c r="D143" s="131">
        <v>0</v>
      </c>
      <c r="E143" s="82">
        <v>0</v>
      </c>
      <c r="F143" s="131">
        <v>0</v>
      </c>
      <c r="G143" s="199">
        <v>0</v>
      </c>
      <c r="H143" s="131">
        <v>0</v>
      </c>
      <c r="I143" s="131">
        <v>0</v>
      </c>
      <c r="J143" s="208">
        <v>0</v>
      </c>
      <c r="K143" s="127">
        <v>329</v>
      </c>
      <c r="L143" s="124">
        <v>0</v>
      </c>
      <c r="M143" s="121">
        <v>0</v>
      </c>
      <c r="N143" s="124">
        <v>11.5</v>
      </c>
      <c r="O143" s="124">
        <v>0</v>
      </c>
      <c r="P143" s="131">
        <v>152.1</v>
      </c>
      <c r="Q143" s="124">
        <v>0</v>
      </c>
      <c r="R143" s="124">
        <v>220.4</v>
      </c>
      <c r="S143" s="124">
        <v>0</v>
      </c>
      <c r="T143" s="127">
        <v>54</v>
      </c>
      <c r="U143" s="121">
        <v>0</v>
      </c>
      <c r="V143" s="121">
        <v>141</v>
      </c>
      <c r="W143" s="121">
        <v>0</v>
      </c>
      <c r="X143" s="131">
        <v>0</v>
      </c>
      <c r="Y143" s="119">
        <v>146</v>
      </c>
      <c r="Z143" s="82">
        <v>0</v>
      </c>
      <c r="AA143" s="79">
        <v>0</v>
      </c>
      <c r="AB143" s="79">
        <v>0</v>
      </c>
      <c r="AC143" s="209">
        <v>0</v>
      </c>
      <c r="AD143" s="211">
        <v>0</v>
      </c>
      <c r="AE143" s="89">
        <v>0</v>
      </c>
      <c r="AF143" s="89">
        <v>7.8</v>
      </c>
      <c r="AG143" s="89">
        <f>SUMIF('PreliminaryHD AR - School Level'!A144:A1450, "=" &amp; A143,'PreliminaryHD AR - School Level'!M144:M1450)</f>
        <v>7.8</v>
      </c>
      <c r="AH143" s="89">
        <v>659.5</v>
      </c>
      <c r="AI143" s="89">
        <f t="shared" si="26"/>
        <v>0</v>
      </c>
      <c r="AJ143" s="89">
        <f t="shared" si="27"/>
        <v>0</v>
      </c>
      <c r="AK143" s="89">
        <f t="shared" si="28"/>
        <v>304</v>
      </c>
      <c r="AL143" s="89">
        <f t="shared" si="29"/>
        <v>11.5</v>
      </c>
      <c r="AM143" s="89">
        <f t="shared" si="30"/>
        <v>220.4</v>
      </c>
      <c r="AN143" s="89">
        <f t="shared" si="31"/>
        <v>54</v>
      </c>
      <c r="AO143" s="89">
        <f t="shared" si="32"/>
        <v>152.1</v>
      </c>
      <c r="AP143" s="83">
        <f t="shared" si="33"/>
        <v>141</v>
      </c>
      <c r="AQ143" s="89">
        <f t="shared" si="34"/>
        <v>0</v>
      </c>
      <c r="AR143" s="89">
        <f t="shared" si="35"/>
        <v>146</v>
      </c>
      <c r="AS143" s="83">
        <f t="shared" si="36"/>
        <v>329</v>
      </c>
      <c r="AT143" s="89">
        <v>0</v>
      </c>
      <c r="AU143" s="89">
        <f t="shared" si="37"/>
        <v>7.8</v>
      </c>
      <c r="AV143" s="108">
        <v>3117919</v>
      </c>
      <c r="AW143" s="126">
        <v>659.5</v>
      </c>
      <c r="AX143" s="42">
        <v>659.5</v>
      </c>
      <c r="AY143" s="208">
        <f t="shared" si="38"/>
        <v>0</v>
      </c>
      <c r="AZ143" s="290">
        <v>184004</v>
      </c>
      <c r="BA143" s="42"/>
      <c r="BB143" s="42"/>
      <c r="BD143" s="129"/>
    </row>
    <row r="144" spans="1:56">
      <c r="A144" s="235" t="s">
        <v>337</v>
      </c>
      <c r="B144" s="121">
        <v>1</v>
      </c>
      <c r="C144" s="131">
        <v>1344.8</v>
      </c>
      <c r="D144" s="131">
        <v>0</v>
      </c>
      <c r="E144" s="82">
        <v>0</v>
      </c>
      <c r="F144" s="131">
        <v>0</v>
      </c>
      <c r="G144" s="199">
        <v>0</v>
      </c>
      <c r="H144" s="131">
        <v>0</v>
      </c>
      <c r="I144" s="131">
        <v>0</v>
      </c>
      <c r="J144" s="208">
        <v>0</v>
      </c>
      <c r="K144" s="127">
        <v>1385</v>
      </c>
      <c r="L144" s="124">
        <v>0</v>
      </c>
      <c r="M144" s="121">
        <v>0</v>
      </c>
      <c r="N144" s="124">
        <v>12.5</v>
      </c>
      <c r="O144" s="124">
        <v>0</v>
      </c>
      <c r="P144" s="131">
        <v>327.60000000000002</v>
      </c>
      <c r="Q144" s="124">
        <v>0</v>
      </c>
      <c r="R144" s="124">
        <v>0</v>
      </c>
      <c r="S144" s="124">
        <v>0</v>
      </c>
      <c r="T144" s="127">
        <v>0</v>
      </c>
      <c r="U144" s="121">
        <v>0</v>
      </c>
      <c r="V144" s="121">
        <v>283</v>
      </c>
      <c r="W144" s="121">
        <v>0</v>
      </c>
      <c r="X144" s="131">
        <v>0</v>
      </c>
      <c r="Y144" s="119">
        <v>460</v>
      </c>
      <c r="Z144" s="82">
        <v>0</v>
      </c>
      <c r="AA144" s="79">
        <v>6</v>
      </c>
      <c r="AB144" s="79">
        <v>0.7</v>
      </c>
      <c r="AC144" s="209">
        <v>0</v>
      </c>
      <c r="AD144" s="211">
        <v>0</v>
      </c>
      <c r="AE144" s="89">
        <v>0</v>
      </c>
      <c r="AF144" s="89">
        <v>0</v>
      </c>
      <c r="AG144" s="89">
        <f>SUMIF('PreliminaryHD AR - School Level'!A145:A1451, "=" &amp; A144,'PreliminaryHD AR - School Level'!M145:M1451)</f>
        <v>0</v>
      </c>
      <c r="AH144" s="89">
        <v>1804.2</v>
      </c>
      <c r="AI144" s="89">
        <f t="shared" si="26"/>
        <v>0</v>
      </c>
      <c r="AJ144" s="89">
        <f t="shared" si="27"/>
        <v>0</v>
      </c>
      <c r="AK144" s="89">
        <f t="shared" si="28"/>
        <v>1344.8</v>
      </c>
      <c r="AL144" s="89">
        <f t="shared" si="29"/>
        <v>12.5</v>
      </c>
      <c r="AM144" s="89">
        <f t="shared" si="30"/>
        <v>0</v>
      </c>
      <c r="AN144" s="89">
        <f t="shared" si="31"/>
        <v>0</v>
      </c>
      <c r="AO144" s="89">
        <f t="shared" si="32"/>
        <v>327.60000000000002</v>
      </c>
      <c r="AP144" s="83">
        <f t="shared" si="33"/>
        <v>283</v>
      </c>
      <c r="AQ144" s="89">
        <f t="shared" si="34"/>
        <v>0</v>
      </c>
      <c r="AR144" s="89">
        <f t="shared" si="35"/>
        <v>460</v>
      </c>
      <c r="AS144" s="83">
        <f t="shared" si="36"/>
        <v>1385</v>
      </c>
      <c r="AT144" s="89">
        <v>0</v>
      </c>
      <c r="AU144" s="89">
        <f t="shared" si="37"/>
        <v>0</v>
      </c>
      <c r="AV144" s="108">
        <v>9285800</v>
      </c>
      <c r="AW144" s="126">
        <v>1804.2</v>
      </c>
      <c r="AX144" s="42">
        <v>1804.2</v>
      </c>
      <c r="AY144" s="208">
        <f t="shared" si="38"/>
        <v>0</v>
      </c>
      <c r="AZ144" s="290">
        <v>409312</v>
      </c>
      <c r="BA144" s="42"/>
      <c r="BB144" s="42"/>
      <c r="BD144" s="129"/>
    </row>
    <row r="145" spans="1:56">
      <c r="A145" s="235" t="s">
        <v>338</v>
      </c>
      <c r="B145" s="121">
        <v>1</v>
      </c>
      <c r="C145" s="131">
        <v>243.8</v>
      </c>
      <c r="D145" s="131">
        <v>0</v>
      </c>
      <c r="E145" s="82">
        <v>0</v>
      </c>
      <c r="F145" s="131">
        <v>0</v>
      </c>
      <c r="G145" s="199">
        <v>0</v>
      </c>
      <c r="H145" s="131">
        <v>0</v>
      </c>
      <c r="I145" s="131">
        <v>0</v>
      </c>
      <c r="J145" s="208">
        <v>0</v>
      </c>
      <c r="K145" s="127">
        <v>268</v>
      </c>
      <c r="L145" s="124">
        <v>0</v>
      </c>
      <c r="M145" s="121">
        <v>0</v>
      </c>
      <c r="N145" s="124">
        <v>9</v>
      </c>
      <c r="O145" s="124">
        <v>0</v>
      </c>
      <c r="P145" s="131">
        <v>163.19999999999999</v>
      </c>
      <c r="Q145" s="124">
        <v>0</v>
      </c>
      <c r="R145" s="124">
        <v>27.9</v>
      </c>
      <c r="S145" s="124">
        <v>0</v>
      </c>
      <c r="T145" s="127">
        <v>20</v>
      </c>
      <c r="U145" s="121">
        <v>0</v>
      </c>
      <c r="V145" s="254">
        <v>109</v>
      </c>
      <c r="W145" s="121">
        <v>0</v>
      </c>
      <c r="X145" s="131">
        <v>0</v>
      </c>
      <c r="Y145" s="119">
        <v>9</v>
      </c>
      <c r="Z145" s="82">
        <v>0</v>
      </c>
      <c r="AA145" s="79">
        <v>0</v>
      </c>
      <c r="AB145" s="79">
        <v>0</v>
      </c>
      <c r="AC145" s="209">
        <v>0</v>
      </c>
      <c r="AD145" s="211">
        <v>0</v>
      </c>
      <c r="AE145" s="89">
        <v>0</v>
      </c>
      <c r="AF145" s="89">
        <v>4.3</v>
      </c>
      <c r="AG145" s="89">
        <f>SUMIF('PreliminaryHD AR - School Level'!A146:A1452, "=" &amp; A145,'PreliminaryHD AR - School Level'!M146:M1452)</f>
        <v>9.6</v>
      </c>
      <c r="AH145" s="89">
        <v>484.3</v>
      </c>
      <c r="AI145" s="89">
        <f t="shared" si="26"/>
        <v>0</v>
      </c>
      <c r="AJ145" s="89">
        <f t="shared" si="27"/>
        <v>0</v>
      </c>
      <c r="AK145" s="89">
        <f t="shared" si="28"/>
        <v>243.8</v>
      </c>
      <c r="AL145" s="89">
        <f t="shared" si="29"/>
        <v>9</v>
      </c>
      <c r="AM145" s="89">
        <f t="shared" si="30"/>
        <v>27.9</v>
      </c>
      <c r="AN145" s="89">
        <f t="shared" si="31"/>
        <v>20</v>
      </c>
      <c r="AO145" s="89">
        <f t="shared" si="32"/>
        <v>163.19999999999999</v>
      </c>
      <c r="AP145" s="83">
        <f t="shared" si="33"/>
        <v>109</v>
      </c>
      <c r="AQ145" s="89">
        <f t="shared" si="34"/>
        <v>0</v>
      </c>
      <c r="AR145" s="89">
        <f t="shared" si="35"/>
        <v>9</v>
      </c>
      <c r="AS145" s="83">
        <f t="shared" si="36"/>
        <v>268</v>
      </c>
      <c r="AT145" s="89">
        <v>0</v>
      </c>
      <c r="AU145" s="89">
        <f t="shared" si="37"/>
        <v>9.6</v>
      </c>
      <c r="AV145" s="108">
        <v>2365304</v>
      </c>
      <c r="AW145" s="126">
        <v>484.3</v>
      </c>
      <c r="AX145" s="42">
        <v>484.3</v>
      </c>
      <c r="AY145" s="208">
        <f t="shared" si="38"/>
        <v>0</v>
      </c>
      <c r="AZ145" s="290">
        <v>14839</v>
      </c>
      <c r="BA145" s="42"/>
      <c r="BB145" s="42"/>
      <c r="BD145" s="129"/>
    </row>
    <row r="146" spans="1:56">
      <c r="A146" s="235" t="s">
        <v>339</v>
      </c>
      <c r="B146" s="121">
        <v>1</v>
      </c>
      <c r="C146" s="131">
        <v>316</v>
      </c>
      <c r="D146" s="131">
        <v>0</v>
      </c>
      <c r="E146" s="82">
        <v>0</v>
      </c>
      <c r="F146" s="131">
        <v>0</v>
      </c>
      <c r="G146" s="199">
        <v>0</v>
      </c>
      <c r="H146" s="131">
        <v>0</v>
      </c>
      <c r="I146" s="131">
        <v>0</v>
      </c>
      <c r="J146" s="208">
        <v>0</v>
      </c>
      <c r="K146" s="127">
        <v>339</v>
      </c>
      <c r="L146" s="124">
        <v>0</v>
      </c>
      <c r="M146" s="121">
        <v>0</v>
      </c>
      <c r="N146" s="124">
        <v>10</v>
      </c>
      <c r="O146" s="124">
        <v>0</v>
      </c>
      <c r="P146" s="131">
        <v>84.2</v>
      </c>
      <c r="Q146" s="124">
        <v>0</v>
      </c>
      <c r="R146" s="124">
        <v>94.3</v>
      </c>
      <c r="S146" s="124">
        <v>0</v>
      </c>
      <c r="T146" s="127">
        <v>46</v>
      </c>
      <c r="U146" s="121">
        <v>0</v>
      </c>
      <c r="V146" s="121">
        <v>135</v>
      </c>
      <c r="W146" s="121">
        <v>0</v>
      </c>
      <c r="X146" s="131">
        <v>0</v>
      </c>
      <c r="Y146" s="119">
        <v>61.5</v>
      </c>
      <c r="Z146" s="82">
        <v>0</v>
      </c>
      <c r="AA146" s="79">
        <v>0</v>
      </c>
      <c r="AB146" s="79">
        <v>0</v>
      </c>
      <c r="AC146" s="209">
        <v>0</v>
      </c>
      <c r="AD146" s="211">
        <v>0</v>
      </c>
      <c r="AE146" s="89">
        <v>0</v>
      </c>
      <c r="AF146" s="89">
        <v>4.5999999999999996</v>
      </c>
      <c r="AG146" s="89">
        <f>SUMIF('PreliminaryHD AR - School Level'!A147:A1453, "=" &amp; A146,'PreliminaryHD AR - School Level'!M147:M1453)</f>
        <v>4.5999999999999996</v>
      </c>
      <c r="AH146" s="89">
        <v>598.5</v>
      </c>
      <c r="AI146" s="89">
        <f t="shared" si="26"/>
        <v>0</v>
      </c>
      <c r="AJ146" s="89">
        <f t="shared" si="27"/>
        <v>0</v>
      </c>
      <c r="AK146" s="89">
        <f t="shared" si="28"/>
        <v>316</v>
      </c>
      <c r="AL146" s="89">
        <f t="shared" si="29"/>
        <v>10</v>
      </c>
      <c r="AM146" s="89">
        <f t="shared" si="30"/>
        <v>94.3</v>
      </c>
      <c r="AN146" s="89">
        <f t="shared" si="31"/>
        <v>46</v>
      </c>
      <c r="AO146" s="89">
        <f t="shared" si="32"/>
        <v>84.2</v>
      </c>
      <c r="AP146" s="83">
        <f t="shared" si="33"/>
        <v>135</v>
      </c>
      <c r="AQ146" s="89">
        <f t="shared" si="34"/>
        <v>0</v>
      </c>
      <c r="AR146" s="89">
        <f t="shared" si="35"/>
        <v>61.5</v>
      </c>
      <c r="AS146" s="83">
        <f t="shared" si="36"/>
        <v>339</v>
      </c>
      <c r="AT146" s="89">
        <v>0</v>
      </c>
      <c r="AU146" s="89">
        <f t="shared" si="37"/>
        <v>4.5999999999999996</v>
      </c>
      <c r="AV146" s="108">
        <v>2949237</v>
      </c>
      <c r="AW146" s="126">
        <v>598.5</v>
      </c>
      <c r="AX146" s="95">
        <v>598.5</v>
      </c>
      <c r="AY146" s="208">
        <f t="shared" si="38"/>
        <v>0</v>
      </c>
      <c r="AZ146" s="290">
        <v>91377</v>
      </c>
      <c r="BA146" s="42" t="s">
        <v>3623</v>
      </c>
      <c r="BB146" s="42"/>
      <c r="BD146" s="129"/>
    </row>
    <row r="147" spans="1:56">
      <c r="A147" s="235" t="s">
        <v>340</v>
      </c>
      <c r="B147" s="121">
        <v>1</v>
      </c>
      <c r="C147" s="131">
        <v>214</v>
      </c>
      <c r="D147" s="131">
        <v>0</v>
      </c>
      <c r="E147" s="82">
        <v>0</v>
      </c>
      <c r="F147" s="131">
        <v>0</v>
      </c>
      <c r="G147" s="199">
        <v>0</v>
      </c>
      <c r="H147" s="131">
        <v>0</v>
      </c>
      <c r="I147" s="131">
        <v>0</v>
      </c>
      <c r="J147" s="208">
        <v>0</v>
      </c>
      <c r="K147" s="127">
        <v>221</v>
      </c>
      <c r="L147" s="124">
        <v>0</v>
      </c>
      <c r="M147" s="121">
        <v>0</v>
      </c>
      <c r="N147" s="124">
        <v>2.5</v>
      </c>
      <c r="O147" s="124">
        <v>0</v>
      </c>
      <c r="P147" s="131">
        <v>22</v>
      </c>
      <c r="Q147" s="124">
        <v>0</v>
      </c>
      <c r="R147" s="124">
        <v>187</v>
      </c>
      <c r="S147" s="124">
        <v>0</v>
      </c>
      <c r="T147" s="127">
        <v>50</v>
      </c>
      <c r="U147" s="121">
        <v>0</v>
      </c>
      <c r="V147" s="121">
        <v>108</v>
      </c>
      <c r="W147" s="121">
        <v>0</v>
      </c>
      <c r="X147" s="131">
        <v>0</v>
      </c>
      <c r="Y147" s="119">
        <v>73</v>
      </c>
      <c r="Z147" s="82">
        <v>0</v>
      </c>
      <c r="AA147" s="79">
        <v>0</v>
      </c>
      <c r="AB147" s="79">
        <v>0</v>
      </c>
      <c r="AC147" s="209">
        <v>0</v>
      </c>
      <c r="AD147" s="211">
        <v>0</v>
      </c>
      <c r="AE147" s="89">
        <v>0</v>
      </c>
      <c r="AF147" s="89">
        <v>10.5</v>
      </c>
      <c r="AG147" s="89">
        <f>SUMIF('PreliminaryHD AR - School Level'!A148:A1454, "=" &amp; A147,'PreliminaryHD AR - School Level'!M148:M1454)</f>
        <v>7.7</v>
      </c>
      <c r="AH147" s="89">
        <v>491.8</v>
      </c>
      <c r="AI147" s="89">
        <f t="shared" si="26"/>
        <v>0</v>
      </c>
      <c r="AJ147" s="89">
        <f t="shared" si="27"/>
        <v>0</v>
      </c>
      <c r="AK147" s="89">
        <f t="shared" si="28"/>
        <v>214</v>
      </c>
      <c r="AL147" s="89">
        <f t="shared" si="29"/>
        <v>2.5</v>
      </c>
      <c r="AM147" s="89">
        <f t="shared" si="30"/>
        <v>187</v>
      </c>
      <c r="AN147" s="89">
        <f t="shared" si="31"/>
        <v>50</v>
      </c>
      <c r="AO147" s="89">
        <f t="shared" si="32"/>
        <v>22</v>
      </c>
      <c r="AP147" s="83">
        <f t="shared" si="33"/>
        <v>108</v>
      </c>
      <c r="AQ147" s="89">
        <f t="shared" si="34"/>
        <v>0</v>
      </c>
      <c r="AR147" s="89">
        <f t="shared" si="35"/>
        <v>73</v>
      </c>
      <c r="AS147" s="83">
        <f t="shared" si="36"/>
        <v>221</v>
      </c>
      <c r="AT147" s="89">
        <v>0</v>
      </c>
      <c r="AU147" s="89">
        <f t="shared" si="37"/>
        <v>10.5</v>
      </c>
      <c r="AV147" s="108">
        <v>2536485</v>
      </c>
      <c r="AW147" s="126">
        <v>491.8</v>
      </c>
      <c r="AX147" s="42">
        <v>491.8</v>
      </c>
      <c r="AY147" s="208">
        <f t="shared" si="38"/>
        <v>0</v>
      </c>
      <c r="AZ147" s="290">
        <v>132700</v>
      </c>
      <c r="BA147" s="42"/>
      <c r="BB147" s="42"/>
      <c r="BD147" s="129"/>
    </row>
    <row r="148" spans="1:56">
      <c r="A148" s="235" t="s">
        <v>341</v>
      </c>
      <c r="B148" s="121">
        <v>1</v>
      </c>
      <c r="C148" s="131">
        <v>902.5</v>
      </c>
      <c r="D148" s="131">
        <v>0</v>
      </c>
      <c r="E148" s="82">
        <v>0</v>
      </c>
      <c r="F148" s="131">
        <v>0</v>
      </c>
      <c r="G148" s="199">
        <v>0</v>
      </c>
      <c r="H148" s="131">
        <v>0</v>
      </c>
      <c r="I148" s="131">
        <v>0</v>
      </c>
      <c r="J148" s="208">
        <v>0</v>
      </c>
      <c r="K148" s="127">
        <v>943</v>
      </c>
      <c r="L148" s="124">
        <v>0</v>
      </c>
      <c r="M148" s="121">
        <v>0</v>
      </c>
      <c r="N148" s="124">
        <v>15</v>
      </c>
      <c r="O148" s="124">
        <v>0</v>
      </c>
      <c r="P148" s="131">
        <v>233.5</v>
      </c>
      <c r="Q148" s="124">
        <v>0</v>
      </c>
      <c r="R148" s="124">
        <v>279.2</v>
      </c>
      <c r="S148" s="124">
        <v>0</v>
      </c>
      <c r="T148" s="127">
        <v>74</v>
      </c>
      <c r="U148" s="121">
        <v>0</v>
      </c>
      <c r="V148" s="121">
        <v>387</v>
      </c>
      <c r="W148" s="121">
        <v>0</v>
      </c>
      <c r="X148" s="131">
        <v>0</v>
      </c>
      <c r="Y148" s="119">
        <v>160</v>
      </c>
      <c r="Z148" s="82">
        <v>0</v>
      </c>
      <c r="AA148" s="79">
        <v>10</v>
      </c>
      <c r="AB148" s="79">
        <v>0</v>
      </c>
      <c r="AC148" s="209">
        <v>0</v>
      </c>
      <c r="AD148" s="211">
        <v>0</v>
      </c>
      <c r="AE148" s="89">
        <v>0</v>
      </c>
      <c r="AF148" s="89">
        <v>16.399999999999999</v>
      </c>
      <c r="AG148" s="89">
        <f>SUMIF('PreliminaryHD AR - School Level'!A149:A1455, "=" &amp; A148,'PreliminaryHD AR - School Level'!M149:M1455)</f>
        <v>11.7</v>
      </c>
      <c r="AH148" s="89">
        <v>1470.5</v>
      </c>
      <c r="AI148" s="89">
        <f t="shared" si="26"/>
        <v>0</v>
      </c>
      <c r="AJ148" s="89">
        <f t="shared" si="27"/>
        <v>0</v>
      </c>
      <c r="AK148" s="89">
        <f t="shared" si="28"/>
        <v>902.5</v>
      </c>
      <c r="AL148" s="89">
        <f t="shared" si="29"/>
        <v>15</v>
      </c>
      <c r="AM148" s="89">
        <f t="shared" si="30"/>
        <v>279.2</v>
      </c>
      <c r="AN148" s="89">
        <f t="shared" si="31"/>
        <v>74</v>
      </c>
      <c r="AO148" s="89">
        <f t="shared" si="32"/>
        <v>233.5</v>
      </c>
      <c r="AP148" s="83">
        <f t="shared" si="33"/>
        <v>387</v>
      </c>
      <c r="AQ148" s="89">
        <f t="shared" si="34"/>
        <v>0</v>
      </c>
      <c r="AR148" s="89">
        <f t="shared" si="35"/>
        <v>160</v>
      </c>
      <c r="AS148" s="83">
        <f t="shared" si="36"/>
        <v>943</v>
      </c>
      <c r="AT148" s="89">
        <v>0</v>
      </c>
      <c r="AU148" s="89">
        <f t="shared" si="37"/>
        <v>16.399999999999999</v>
      </c>
      <c r="AV148" s="108">
        <v>7085179</v>
      </c>
      <c r="AW148" s="126">
        <v>1470.5</v>
      </c>
      <c r="AX148" s="42">
        <v>1470.5</v>
      </c>
      <c r="AY148" s="208">
        <f t="shared" si="38"/>
        <v>0</v>
      </c>
      <c r="AZ148" s="290">
        <v>173122</v>
      </c>
      <c r="BA148" s="42"/>
      <c r="BB148" s="42"/>
      <c r="BD148" s="129"/>
    </row>
    <row r="149" spans="1:56">
      <c r="A149" s="235" t="s">
        <v>342</v>
      </c>
      <c r="B149" s="121">
        <v>1</v>
      </c>
      <c r="C149" s="131">
        <v>1555.9</v>
      </c>
      <c r="D149" s="131">
        <v>0</v>
      </c>
      <c r="E149" s="82">
        <v>0</v>
      </c>
      <c r="F149" s="131">
        <v>0</v>
      </c>
      <c r="G149" s="199">
        <v>0</v>
      </c>
      <c r="H149" s="131">
        <v>0</v>
      </c>
      <c r="I149" s="131">
        <v>0</v>
      </c>
      <c r="J149" s="208">
        <v>0</v>
      </c>
      <c r="K149" s="127">
        <v>1580</v>
      </c>
      <c r="L149" s="124">
        <v>0</v>
      </c>
      <c r="M149" s="121">
        <v>0</v>
      </c>
      <c r="N149" s="124">
        <v>2.5</v>
      </c>
      <c r="O149" s="124">
        <v>0</v>
      </c>
      <c r="P149" s="131">
        <v>286.5</v>
      </c>
      <c r="Q149" s="124">
        <v>0</v>
      </c>
      <c r="R149" s="124">
        <v>9.6999999999999993</v>
      </c>
      <c r="S149" s="124">
        <v>0</v>
      </c>
      <c r="T149" s="127">
        <v>21</v>
      </c>
      <c r="U149" s="121">
        <v>0</v>
      </c>
      <c r="V149" s="121">
        <v>702</v>
      </c>
      <c r="W149" s="121">
        <v>0</v>
      </c>
      <c r="X149" s="131">
        <v>0</v>
      </c>
      <c r="Y149" s="119">
        <v>229</v>
      </c>
      <c r="Z149" s="82">
        <v>0</v>
      </c>
      <c r="AA149" s="79">
        <v>0</v>
      </c>
      <c r="AB149" s="79">
        <v>0</v>
      </c>
      <c r="AC149" s="209">
        <v>0</v>
      </c>
      <c r="AD149" s="211">
        <v>0</v>
      </c>
      <c r="AE149" s="89">
        <v>0</v>
      </c>
      <c r="AF149" s="89">
        <v>46.3</v>
      </c>
      <c r="AG149" s="89">
        <f>SUMIF('PreliminaryHD AR - School Level'!A150:A1456, "=" &amp; A149,'PreliminaryHD AR - School Level'!M150:M1456)</f>
        <v>41.5</v>
      </c>
      <c r="AH149" s="89">
        <v>2130.5</v>
      </c>
      <c r="AI149" s="89">
        <f t="shared" si="26"/>
        <v>0</v>
      </c>
      <c r="AJ149" s="89">
        <f t="shared" si="27"/>
        <v>0</v>
      </c>
      <c r="AK149" s="89">
        <f t="shared" si="28"/>
        <v>1555.9</v>
      </c>
      <c r="AL149" s="89">
        <f t="shared" si="29"/>
        <v>2.5</v>
      </c>
      <c r="AM149" s="89">
        <f t="shared" si="30"/>
        <v>9.6999999999999993</v>
      </c>
      <c r="AN149" s="89">
        <f t="shared" si="31"/>
        <v>21</v>
      </c>
      <c r="AO149" s="89">
        <f t="shared" si="32"/>
        <v>286.5</v>
      </c>
      <c r="AP149" s="83">
        <f t="shared" si="33"/>
        <v>702</v>
      </c>
      <c r="AQ149" s="89">
        <f t="shared" si="34"/>
        <v>0</v>
      </c>
      <c r="AR149" s="89">
        <f t="shared" si="35"/>
        <v>229</v>
      </c>
      <c r="AS149" s="83">
        <f t="shared" si="36"/>
        <v>1580</v>
      </c>
      <c r="AT149" s="89">
        <v>0</v>
      </c>
      <c r="AU149" s="89">
        <f t="shared" si="37"/>
        <v>46.3</v>
      </c>
      <c r="AV149" s="108">
        <v>11297146</v>
      </c>
      <c r="AW149" s="126">
        <v>2130.5</v>
      </c>
      <c r="AX149" s="42">
        <v>2130.5</v>
      </c>
      <c r="AY149" s="208">
        <f t="shared" si="38"/>
        <v>0</v>
      </c>
      <c r="AZ149" s="290">
        <v>284321</v>
      </c>
      <c r="BA149" s="42"/>
      <c r="BB149" s="42"/>
      <c r="BD149" s="129"/>
    </row>
    <row r="150" spans="1:56">
      <c r="A150" s="235" t="s">
        <v>343</v>
      </c>
      <c r="B150" s="121">
        <v>1</v>
      </c>
      <c r="C150" s="131">
        <v>449.9</v>
      </c>
      <c r="D150" s="131">
        <v>0</v>
      </c>
      <c r="E150" s="82">
        <v>0</v>
      </c>
      <c r="F150" s="131">
        <v>0</v>
      </c>
      <c r="G150" s="199">
        <v>0</v>
      </c>
      <c r="H150" s="131">
        <v>0</v>
      </c>
      <c r="I150" s="131">
        <v>0</v>
      </c>
      <c r="J150" s="208">
        <v>0</v>
      </c>
      <c r="K150" s="127">
        <v>509</v>
      </c>
      <c r="L150" s="124">
        <v>0</v>
      </c>
      <c r="M150" s="121">
        <v>0</v>
      </c>
      <c r="N150" s="124">
        <v>0</v>
      </c>
      <c r="O150" s="124">
        <v>0</v>
      </c>
      <c r="P150" s="131">
        <v>174.1</v>
      </c>
      <c r="Q150" s="124">
        <v>0</v>
      </c>
      <c r="R150" s="124">
        <v>0</v>
      </c>
      <c r="S150" s="124">
        <v>0</v>
      </c>
      <c r="T150" s="127">
        <v>0</v>
      </c>
      <c r="U150" s="121">
        <v>0</v>
      </c>
      <c r="V150" s="121">
        <v>147</v>
      </c>
      <c r="W150" s="121">
        <v>0</v>
      </c>
      <c r="X150" s="131">
        <v>0</v>
      </c>
      <c r="Y150" s="119">
        <v>82</v>
      </c>
      <c r="Z150" s="82">
        <v>0</v>
      </c>
      <c r="AA150" s="79">
        <v>0</v>
      </c>
      <c r="AB150" s="79">
        <v>0</v>
      </c>
      <c r="AC150" s="209">
        <v>0</v>
      </c>
      <c r="AD150" s="211">
        <v>0</v>
      </c>
      <c r="AE150" s="89">
        <v>0</v>
      </c>
      <c r="AF150" s="89">
        <v>0</v>
      </c>
      <c r="AG150" s="89">
        <f>SUMIF('PreliminaryHD AR - School Level'!A151:A1457, "=" &amp; A150,'PreliminaryHD AR - School Level'!M151:M1457)</f>
        <v>0</v>
      </c>
      <c r="AH150" s="89">
        <v>752.1</v>
      </c>
      <c r="AI150" s="89">
        <f t="shared" si="26"/>
        <v>0</v>
      </c>
      <c r="AJ150" s="89">
        <f t="shared" si="27"/>
        <v>0</v>
      </c>
      <c r="AK150" s="89">
        <f t="shared" si="28"/>
        <v>449.9</v>
      </c>
      <c r="AL150" s="89">
        <f t="shared" si="29"/>
        <v>0</v>
      </c>
      <c r="AM150" s="89">
        <f t="shared" si="30"/>
        <v>0</v>
      </c>
      <c r="AN150" s="89">
        <f t="shared" si="31"/>
        <v>0</v>
      </c>
      <c r="AO150" s="89">
        <f t="shared" si="32"/>
        <v>174.1</v>
      </c>
      <c r="AP150" s="83">
        <f t="shared" si="33"/>
        <v>147</v>
      </c>
      <c r="AQ150" s="89">
        <f t="shared" si="34"/>
        <v>0</v>
      </c>
      <c r="AR150" s="89">
        <f t="shared" si="35"/>
        <v>82</v>
      </c>
      <c r="AS150" s="83">
        <f t="shared" si="36"/>
        <v>509</v>
      </c>
      <c r="AT150" s="89">
        <v>0</v>
      </c>
      <c r="AU150" s="89">
        <f t="shared" si="37"/>
        <v>0</v>
      </c>
      <c r="AV150" s="108">
        <v>3910102</v>
      </c>
      <c r="AW150" s="126">
        <v>752.1</v>
      </c>
      <c r="AX150" s="42">
        <v>752.1</v>
      </c>
      <c r="AY150" s="208">
        <f t="shared" si="38"/>
        <v>0</v>
      </c>
      <c r="AZ150" s="290">
        <v>112021</v>
      </c>
      <c r="BA150" s="42"/>
      <c r="BB150" s="42"/>
      <c r="BD150" s="129"/>
    </row>
    <row r="151" spans="1:56">
      <c r="A151" s="235" t="s">
        <v>344</v>
      </c>
      <c r="B151" s="121">
        <v>1</v>
      </c>
      <c r="C151" s="131">
        <v>429</v>
      </c>
      <c r="D151" s="131">
        <v>0</v>
      </c>
      <c r="E151" s="82">
        <v>0</v>
      </c>
      <c r="F151" s="131">
        <v>0</v>
      </c>
      <c r="G151" s="199">
        <v>0</v>
      </c>
      <c r="H151" s="131">
        <v>0</v>
      </c>
      <c r="I151" s="131">
        <v>0</v>
      </c>
      <c r="J151" s="208">
        <v>0</v>
      </c>
      <c r="K151" s="127">
        <v>513</v>
      </c>
      <c r="L151" s="124">
        <v>0</v>
      </c>
      <c r="M151" s="121">
        <v>0</v>
      </c>
      <c r="N151" s="124">
        <v>0</v>
      </c>
      <c r="O151" s="124">
        <v>0</v>
      </c>
      <c r="P151" s="131">
        <v>162.69999999999999</v>
      </c>
      <c r="Q151" s="124">
        <v>0</v>
      </c>
      <c r="R151" s="124">
        <v>0</v>
      </c>
      <c r="S151" s="124">
        <v>0</v>
      </c>
      <c r="T151" s="127">
        <v>0</v>
      </c>
      <c r="U151" s="121">
        <v>0</v>
      </c>
      <c r="V151" s="121">
        <v>88</v>
      </c>
      <c r="W151" s="121">
        <v>0</v>
      </c>
      <c r="X151" s="131">
        <v>0</v>
      </c>
      <c r="Y151" s="119">
        <v>135.9</v>
      </c>
      <c r="Z151" s="82">
        <v>0</v>
      </c>
      <c r="AA151" s="79">
        <v>1</v>
      </c>
      <c r="AB151" s="79">
        <v>0</v>
      </c>
      <c r="AC151" s="209">
        <v>0</v>
      </c>
      <c r="AD151" s="211">
        <v>0</v>
      </c>
      <c r="AE151" s="89">
        <v>0</v>
      </c>
      <c r="AF151" s="89">
        <v>0</v>
      </c>
      <c r="AG151" s="89">
        <f>SUMIF('PreliminaryHD AR - School Level'!A152:A1458, "=" &amp; A151,'PreliminaryHD AR - School Level'!M152:M1458)</f>
        <v>0</v>
      </c>
      <c r="AH151" s="89">
        <v>762.5</v>
      </c>
      <c r="AI151" s="89">
        <f t="shared" si="26"/>
        <v>0</v>
      </c>
      <c r="AJ151" s="89">
        <f t="shared" si="27"/>
        <v>0</v>
      </c>
      <c r="AK151" s="89">
        <f t="shared" si="28"/>
        <v>429</v>
      </c>
      <c r="AL151" s="89">
        <f t="shared" si="29"/>
        <v>0</v>
      </c>
      <c r="AM151" s="89">
        <f t="shared" si="30"/>
        <v>0</v>
      </c>
      <c r="AN151" s="89">
        <f t="shared" si="31"/>
        <v>0</v>
      </c>
      <c r="AO151" s="89">
        <f t="shared" si="32"/>
        <v>162.69999999999999</v>
      </c>
      <c r="AP151" s="83">
        <f t="shared" si="33"/>
        <v>88</v>
      </c>
      <c r="AQ151" s="89">
        <f t="shared" si="34"/>
        <v>0</v>
      </c>
      <c r="AR151" s="89">
        <f t="shared" si="35"/>
        <v>135.9</v>
      </c>
      <c r="AS151" s="83">
        <f t="shared" si="36"/>
        <v>513</v>
      </c>
      <c r="AT151" s="89">
        <v>0</v>
      </c>
      <c r="AU151" s="89">
        <f t="shared" si="37"/>
        <v>0</v>
      </c>
      <c r="AV151" s="108">
        <v>3774323</v>
      </c>
      <c r="AW151" s="126">
        <v>762.5</v>
      </c>
      <c r="AX151" s="42">
        <v>762.5</v>
      </c>
      <c r="AY151" s="208">
        <f t="shared" si="38"/>
        <v>0</v>
      </c>
      <c r="AZ151" s="290">
        <v>76692</v>
      </c>
      <c r="BA151" s="42"/>
      <c r="BB151" s="42"/>
      <c r="BD151" s="129"/>
    </row>
    <row r="152" spans="1:56">
      <c r="A152" s="235" t="s">
        <v>345</v>
      </c>
      <c r="B152" s="121">
        <v>1</v>
      </c>
      <c r="C152" s="131">
        <v>603.5</v>
      </c>
      <c r="D152" s="131">
        <v>0</v>
      </c>
      <c r="E152" s="82">
        <v>0</v>
      </c>
      <c r="F152" s="131">
        <v>0</v>
      </c>
      <c r="G152" s="199">
        <v>0</v>
      </c>
      <c r="H152" s="131">
        <v>0</v>
      </c>
      <c r="I152" s="131">
        <v>0</v>
      </c>
      <c r="J152" s="208">
        <v>0</v>
      </c>
      <c r="K152" s="127">
        <v>637</v>
      </c>
      <c r="L152" s="124">
        <v>0</v>
      </c>
      <c r="M152" s="121">
        <v>0</v>
      </c>
      <c r="N152" s="124">
        <v>9.5</v>
      </c>
      <c r="O152" s="124">
        <v>0</v>
      </c>
      <c r="P152" s="131">
        <v>118.3</v>
      </c>
      <c r="Q152" s="124">
        <v>0</v>
      </c>
      <c r="R152" s="124">
        <v>0</v>
      </c>
      <c r="S152" s="124">
        <v>0</v>
      </c>
      <c r="T152" s="127">
        <v>0</v>
      </c>
      <c r="U152" s="121">
        <v>0</v>
      </c>
      <c r="V152" s="121">
        <v>199</v>
      </c>
      <c r="W152" s="121">
        <v>0</v>
      </c>
      <c r="X152" s="131">
        <v>0</v>
      </c>
      <c r="Y152" s="119">
        <v>177.5</v>
      </c>
      <c r="Z152" s="82">
        <v>0</v>
      </c>
      <c r="AA152" s="79">
        <v>3</v>
      </c>
      <c r="AB152" s="79">
        <v>0.9</v>
      </c>
      <c r="AC152" s="209">
        <v>30</v>
      </c>
      <c r="AD152" s="211">
        <v>131.5</v>
      </c>
      <c r="AE152" s="89">
        <v>0</v>
      </c>
      <c r="AF152" s="89">
        <v>0</v>
      </c>
      <c r="AG152" s="89">
        <f>SUMIF('PreliminaryHD AR - School Level'!A153:A1459, "=" &amp; A152,'PreliminaryHD AR - School Level'!M153:M1459)</f>
        <v>3.3</v>
      </c>
      <c r="AH152" s="89">
        <v>1037.5999999999999</v>
      </c>
      <c r="AI152" s="89">
        <f t="shared" si="26"/>
        <v>0</v>
      </c>
      <c r="AJ152" s="89">
        <f t="shared" si="27"/>
        <v>0</v>
      </c>
      <c r="AK152" s="89">
        <f t="shared" si="28"/>
        <v>603.5</v>
      </c>
      <c r="AL152" s="89">
        <f t="shared" si="29"/>
        <v>9.5</v>
      </c>
      <c r="AM152" s="89">
        <f t="shared" si="30"/>
        <v>0</v>
      </c>
      <c r="AN152" s="89">
        <f t="shared" si="31"/>
        <v>0</v>
      </c>
      <c r="AO152" s="89">
        <f t="shared" si="32"/>
        <v>118.3</v>
      </c>
      <c r="AP152" s="83">
        <f t="shared" si="33"/>
        <v>199</v>
      </c>
      <c r="AQ152" s="89">
        <f t="shared" si="34"/>
        <v>131.5</v>
      </c>
      <c r="AR152" s="89">
        <f t="shared" si="35"/>
        <v>177.5</v>
      </c>
      <c r="AS152" s="83">
        <f t="shared" si="36"/>
        <v>637</v>
      </c>
      <c r="AT152" s="89">
        <v>0</v>
      </c>
      <c r="AU152" s="89">
        <f t="shared" si="37"/>
        <v>3.3</v>
      </c>
      <c r="AV152" s="108">
        <v>5422676</v>
      </c>
      <c r="AW152" s="126">
        <v>1037.5999999999999</v>
      </c>
      <c r="AX152" s="42">
        <v>1037.5999999999999</v>
      </c>
      <c r="AY152" s="208">
        <f t="shared" si="38"/>
        <v>0</v>
      </c>
      <c r="AZ152" s="290">
        <v>157210</v>
      </c>
      <c r="BA152" s="42"/>
      <c r="BB152" s="42"/>
      <c r="BD152" s="129"/>
    </row>
    <row r="153" spans="1:56">
      <c r="A153" s="235" t="s">
        <v>346</v>
      </c>
      <c r="B153" s="121">
        <v>1</v>
      </c>
      <c r="C153" s="131">
        <v>375.5</v>
      </c>
      <c r="D153" s="131">
        <v>0</v>
      </c>
      <c r="E153" s="82">
        <v>0</v>
      </c>
      <c r="F153" s="131">
        <v>0</v>
      </c>
      <c r="G153" s="199">
        <v>0</v>
      </c>
      <c r="H153" s="131">
        <v>0</v>
      </c>
      <c r="I153" s="131">
        <v>0</v>
      </c>
      <c r="J153" s="208">
        <v>0</v>
      </c>
      <c r="K153" s="127">
        <v>391</v>
      </c>
      <c r="L153" s="124">
        <v>0</v>
      </c>
      <c r="M153" s="121">
        <v>0</v>
      </c>
      <c r="N153" s="124">
        <v>2.5</v>
      </c>
      <c r="O153" s="124">
        <v>0</v>
      </c>
      <c r="P153" s="131">
        <v>130.9</v>
      </c>
      <c r="Q153" s="124">
        <v>0</v>
      </c>
      <c r="R153" s="124">
        <v>0.5</v>
      </c>
      <c r="S153" s="124">
        <v>0</v>
      </c>
      <c r="T153" s="127">
        <v>2</v>
      </c>
      <c r="U153" s="121">
        <v>0</v>
      </c>
      <c r="V153" s="121">
        <v>121</v>
      </c>
      <c r="W153" s="121">
        <v>0</v>
      </c>
      <c r="X153" s="131">
        <v>0</v>
      </c>
      <c r="Y153" s="119">
        <v>87.5</v>
      </c>
      <c r="Z153" s="82">
        <v>0</v>
      </c>
      <c r="AA153" s="79">
        <v>50</v>
      </c>
      <c r="AB153" s="79">
        <v>3.1</v>
      </c>
      <c r="AC153" s="209">
        <v>100</v>
      </c>
      <c r="AD153" s="211">
        <v>0</v>
      </c>
      <c r="AE153" s="89">
        <v>0</v>
      </c>
      <c r="AF153" s="89">
        <v>0</v>
      </c>
      <c r="AG153" s="89">
        <f>SUMIF('PreliminaryHD AR - School Level'!A154:A1460, "=" &amp; A153,'PreliminaryHD AR - School Level'!M154:M1460)</f>
        <v>4.5</v>
      </c>
      <c r="AH153" s="89">
        <v>644.29999999999995</v>
      </c>
      <c r="AI153" s="89">
        <f t="shared" si="26"/>
        <v>0</v>
      </c>
      <c r="AJ153" s="89">
        <f t="shared" si="27"/>
        <v>0</v>
      </c>
      <c r="AK153" s="89">
        <f t="shared" si="28"/>
        <v>375.5</v>
      </c>
      <c r="AL153" s="89">
        <f t="shared" si="29"/>
        <v>2.5</v>
      </c>
      <c r="AM153" s="89">
        <f t="shared" si="30"/>
        <v>0.5</v>
      </c>
      <c r="AN153" s="89">
        <f t="shared" si="31"/>
        <v>2</v>
      </c>
      <c r="AO153" s="89">
        <f t="shared" si="32"/>
        <v>130.9</v>
      </c>
      <c r="AP153" s="83">
        <f t="shared" si="33"/>
        <v>121</v>
      </c>
      <c r="AQ153" s="89">
        <f t="shared" si="34"/>
        <v>0</v>
      </c>
      <c r="AR153" s="89">
        <f t="shared" si="35"/>
        <v>87.5</v>
      </c>
      <c r="AS153" s="83">
        <f t="shared" si="36"/>
        <v>391</v>
      </c>
      <c r="AT153" s="89">
        <v>0</v>
      </c>
      <c r="AU153" s="89">
        <f t="shared" si="37"/>
        <v>4.5</v>
      </c>
      <c r="AV153" s="108">
        <v>3628646</v>
      </c>
      <c r="AW153" s="126">
        <v>644.29999999999995</v>
      </c>
      <c r="AX153" s="42">
        <v>644.29999999999995</v>
      </c>
      <c r="AY153" s="208">
        <f t="shared" si="38"/>
        <v>0</v>
      </c>
      <c r="AZ153" s="290">
        <v>115964</v>
      </c>
      <c r="BA153" s="42"/>
      <c r="BB153" s="42"/>
      <c r="BD153" s="129"/>
    </row>
    <row r="154" spans="1:56">
      <c r="A154" s="235" t="s">
        <v>347</v>
      </c>
      <c r="B154" s="121">
        <v>1</v>
      </c>
      <c r="C154" s="131">
        <v>171.5</v>
      </c>
      <c r="D154" s="131">
        <v>0</v>
      </c>
      <c r="E154" s="82">
        <v>0</v>
      </c>
      <c r="F154" s="131">
        <v>0</v>
      </c>
      <c r="G154" s="199">
        <v>0</v>
      </c>
      <c r="H154" s="131">
        <v>0</v>
      </c>
      <c r="I154" s="131">
        <v>0</v>
      </c>
      <c r="J154" s="208">
        <v>0</v>
      </c>
      <c r="K154" s="127">
        <v>177</v>
      </c>
      <c r="L154" s="124">
        <v>0</v>
      </c>
      <c r="M154" s="121">
        <v>0</v>
      </c>
      <c r="N154" s="124">
        <v>2</v>
      </c>
      <c r="O154" s="124">
        <v>0</v>
      </c>
      <c r="P154" s="131">
        <v>72</v>
      </c>
      <c r="Q154" s="124">
        <v>0</v>
      </c>
      <c r="R154" s="124">
        <v>0</v>
      </c>
      <c r="S154" s="124">
        <v>0</v>
      </c>
      <c r="T154" s="127">
        <v>0</v>
      </c>
      <c r="U154" s="121">
        <v>0</v>
      </c>
      <c r="V154" s="121">
        <v>69</v>
      </c>
      <c r="W154" s="121">
        <v>0</v>
      </c>
      <c r="X154" s="131">
        <v>0</v>
      </c>
      <c r="Y154" s="119">
        <v>39.5</v>
      </c>
      <c r="Z154" s="82">
        <v>0</v>
      </c>
      <c r="AA154" s="79">
        <v>0</v>
      </c>
      <c r="AB154" s="79">
        <v>0</v>
      </c>
      <c r="AC154" s="209">
        <v>0</v>
      </c>
      <c r="AD154" s="211">
        <v>0</v>
      </c>
      <c r="AE154" s="89">
        <v>0</v>
      </c>
      <c r="AF154" s="89">
        <v>1.9</v>
      </c>
      <c r="AG154" s="89">
        <f>SUMIF('PreliminaryHD AR - School Level'!A155:A1461, "=" &amp; A154,'PreliminaryHD AR - School Level'!M155:M1461)</f>
        <v>2.5</v>
      </c>
      <c r="AH154" s="89">
        <v>394.2</v>
      </c>
      <c r="AI154" s="89">
        <f t="shared" si="26"/>
        <v>0</v>
      </c>
      <c r="AJ154" s="89">
        <f t="shared" si="27"/>
        <v>0</v>
      </c>
      <c r="AK154" s="89">
        <f t="shared" si="28"/>
        <v>171.5</v>
      </c>
      <c r="AL154" s="89">
        <f t="shared" si="29"/>
        <v>2</v>
      </c>
      <c r="AM154" s="89">
        <f t="shared" si="30"/>
        <v>0</v>
      </c>
      <c r="AN154" s="89">
        <f t="shared" si="31"/>
        <v>0</v>
      </c>
      <c r="AO154" s="89">
        <f t="shared" si="32"/>
        <v>72</v>
      </c>
      <c r="AP154" s="83">
        <f t="shared" si="33"/>
        <v>69</v>
      </c>
      <c r="AQ154" s="89">
        <f t="shared" si="34"/>
        <v>0</v>
      </c>
      <c r="AR154" s="89">
        <f t="shared" si="35"/>
        <v>39.5</v>
      </c>
      <c r="AS154" s="83">
        <f t="shared" si="36"/>
        <v>177</v>
      </c>
      <c r="AT154" s="89">
        <v>0</v>
      </c>
      <c r="AU154" s="89">
        <f t="shared" si="37"/>
        <v>2.5</v>
      </c>
      <c r="AV154" s="108">
        <v>1967130</v>
      </c>
      <c r="AW154" s="126">
        <v>394.2</v>
      </c>
      <c r="AX154" s="42">
        <v>394.2</v>
      </c>
      <c r="AY154" s="208">
        <f t="shared" si="38"/>
        <v>0</v>
      </c>
      <c r="AZ154" s="290">
        <v>66381</v>
      </c>
      <c r="BA154" s="42"/>
      <c r="BB154" s="42"/>
      <c r="BD154" s="129"/>
    </row>
    <row r="155" spans="1:56">
      <c r="A155" s="235" t="s">
        <v>348</v>
      </c>
      <c r="B155" s="121">
        <v>1</v>
      </c>
      <c r="C155" s="131">
        <v>247</v>
      </c>
      <c r="D155" s="131">
        <v>0</v>
      </c>
      <c r="E155" s="82">
        <v>0</v>
      </c>
      <c r="F155" s="131">
        <v>0</v>
      </c>
      <c r="G155" s="199">
        <v>0</v>
      </c>
      <c r="H155" s="131">
        <v>0</v>
      </c>
      <c r="I155" s="131">
        <v>0</v>
      </c>
      <c r="J155" s="208">
        <v>0</v>
      </c>
      <c r="K155" s="127">
        <v>268</v>
      </c>
      <c r="L155" s="124">
        <v>0</v>
      </c>
      <c r="M155" s="121">
        <v>0</v>
      </c>
      <c r="N155" s="124">
        <v>8</v>
      </c>
      <c r="O155" s="124">
        <v>0</v>
      </c>
      <c r="P155" s="131">
        <v>120.8</v>
      </c>
      <c r="Q155" s="124">
        <v>0</v>
      </c>
      <c r="R155" s="124">
        <v>0</v>
      </c>
      <c r="S155" s="124">
        <v>0</v>
      </c>
      <c r="T155" s="127">
        <v>0</v>
      </c>
      <c r="U155" s="121">
        <v>0</v>
      </c>
      <c r="V155" s="121">
        <v>126</v>
      </c>
      <c r="W155" s="121">
        <v>0</v>
      </c>
      <c r="X155" s="131">
        <v>0</v>
      </c>
      <c r="Y155" s="119">
        <v>38</v>
      </c>
      <c r="Z155" s="82">
        <v>0</v>
      </c>
      <c r="AA155" s="79">
        <v>2</v>
      </c>
      <c r="AB155" s="79">
        <v>0</v>
      </c>
      <c r="AC155" s="209">
        <v>0</v>
      </c>
      <c r="AD155" s="211">
        <v>0</v>
      </c>
      <c r="AE155" s="89">
        <v>0</v>
      </c>
      <c r="AF155" s="89">
        <v>10.6</v>
      </c>
      <c r="AG155" s="89">
        <f>SUMIF('PreliminaryHD AR - School Level'!A156:A1462, "=" &amp; A155,'PreliminaryHD AR - School Level'!M156:M1462)</f>
        <v>9</v>
      </c>
      <c r="AH155" s="89">
        <v>498.1</v>
      </c>
      <c r="AI155" s="89">
        <f t="shared" si="26"/>
        <v>0</v>
      </c>
      <c r="AJ155" s="89">
        <f t="shared" si="27"/>
        <v>0</v>
      </c>
      <c r="AK155" s="89">
        <f t="shared" si="28"/>
        <v>247</v>
      </c>
      <c r="AL155" s="89">
        <f t="shared" si="29"/>
        <v>8</v>
      </c>
      <c r="AM155" s="89">
        <f t="shared" si="30"/>
        <v>0</v>
      </c>
      <c r="AN155" s="89">
        <f t="shared" si="31"/>
        <v>0</v>
      </c>
      <c r="AO155" s="89">
        <f t="shared" si="32"/>
        <v>120.8</v>
      </c>
      <c r="AP155" s="83">
        <f t="shared" si="33"/>
        <v>126</v>
      </c>
      <c r="AQ155" s="89">
        <f t="shared" si="34"/>
        <v>0</v>
      </c>
      <c r="AR155" s="89">
        <f t="shared" si="35"/>
        <v>38</v>
      </c>
      <c r="AS155" s="83">
        <f t="shared" si="36"/>
        <v>268</v>
      </c>
      <c r="AT155" s="89">
        <v>0</v>
      </c>
      <c r="AU155" s="89">
        <f t="shared" si="37"/>
        <v>10.6</v>
      </c>
      <c r="AV155" s="108">
        <v>2403380</v>
      </c>
      <c r="AW155" s="126">
        <v>498.1</v>
      </c>
      <c r="AX155" s="42">
        <v>498.1</v>
      </c>
      <c r="AY155" s="208">
        <f t="shared" si="38"/>
        <v>0</v>
      </c>
      <c r="AZ155" s="290">
        <v>39019</v>
      </c>
      <c r="BA155" s="42"/>
      <c r="BB155" s="42"/>
      <c r="BD155" s="129"/>
    </row>
    <row r="156" spans="1:56">
      <c r="A156" s="235" t="s">
        <v>349</v>
      </c>
      <c r="B156" s="121">
        <v>1</v>
      </c>
      <c r="C156" s="131">
        <v>781.9</v>
      </c>
      <c r="D156" s="131">
        <v>0</v>
      </c>
      <c r="E156" s="82">
        <v>0</v>
      </c>
      <c r="F156" s="131">
        <v>0</v>
      </c>
      <c r="G156" s="199">
        <v>0</v>
      </c>
      <c r="H156" s="131">
        <v>0</v>
      </c>
      <c r="I156" s="131">
        <v>0</v>
      </c>
      <c r="J156" s="208">
        <v>0</v>
      </c>
      <c r="K156" s="127">
        <v>826</v>
      </c>
      <c r="L156" s="124">
        <v>0</v>
      </c>
      <c r="M156" s="121">
        <v>0</v>
      </c>
      <c r="N156" s="124">
        <v>14.5</v>
      </c>
      <c r="O156" s="124">
        <v>0</v>
      </c>
      <c r="P156" s="131">
        <v>111.5</v>
      </c>
      <c r="Q156" s="124">
        <v>0</v>
      </c>
      <c r="R156" s="124">
        <v>145.1</v>
      </c>
      <c r="S156" s="124">
        <v>0</v>
      </c>
      <c r="T156" s="127">
        <v>57</v>
      </c>
      <c r="U156" s="121">
        <v>0</v>
      </c>
      <c r="V156" s="121">
        <v>388</v>
      </c>
      <c r="W156" s="121">
        <v>0</v>
      </c>
      <c r="X156" s="131">
        <v>0</v>
      </c>
      <c r="Y156" s="119">
        <v>379.5</v>
      </c>
      <c r="Z156" s="82">
        <v>0</v>
      </c>
      <c r="AA156" s="79">
        <v>0</v>
      </c>
      <c r="AB156" s="79">
        <v>2.2000000000000002</v>
      </c>
      <c r="AC156" s="209">
        <v>0</v>
      </c>
      <c r="AD156" s="211">
        <v>0</v>
      </c>
      <c r="AE156" s="89">
        <v>0</v>
      </c>
      <c r="AF156" s="89">
        <v>32.5</v>
      </c>
      <c r="AG156" s="89">
        <f>SUMIF('PreliminaryHD AR - School Level'!A157:A1463, "=" &amp; A156,'PreliminaryHD AR - School Level'!M157:M1463)</f>
        <v>29</v>
      </c>
      <c r="AH156" s="89">
        <v>1403.3</v>
      </c>
      <c r="AI156" s="89">
        <f t="shared" si="26"/>
        <v>0</v>
      </c>
      <c r="AJ156" s="89">
        <f t="shared" si="27"/>
        <v>0</v>
      </c>
      <c r="AK156" s="89">
        <f t="shared" si="28"/>
        <v>781.9</v>
      </c>
      <c r="AL156" s="89">
        <f t="shared" si="29"/>
        <v>14.5</v>
      </c>
      <c r="AM156" s="89">
        <f t="shared" si="30"/>
        <v>145.1</v>
      </c>
      <c r="AN156" s="89">
        <f t="shared" si="31"/>
        <v>57</v>
      </c>
      <c r="AO156" s="89">
        <f t="shared" si="32"/>
        <v>111.5</v>
      </c>
      <c r="AP156" s="83">
        <f t="shared" si="33"/>
        <v>388</v>
      </c>
      <c r="AQ156" s="89">
        <f t="shared" si="34"/>
        <v>0</v>
      </c>
      <c r="AR156" s="89">
        <f t="shared" si="35"/>
        <v>379.5</v>
      </c>
      <c r="AS156" s="83">
        <f t="shared" si="36"/>
        <v>826</v>
      </c>
      <c r="AT156" s="89">
        <v>0</v>
      </c>
      <c r="AU156" s="89">
        <f t="shared" si="37"/>
        <v>32.5</v>
      </c>
      <c r="AV156" s="108">
        <v>7146555</v>
      </c>
      <c r="AW156" s="126">
        <v>1403.3</v>
      </c>
      <c r="AX156" s="42">
        <v>1403.3</v>
      </c>
      <c r="AY156" s="208">
        <f t="shared" si="38"/>
        <v>0</v>
      </c>
      <c r="AZ156" s="290">
        <v>628652</v>
      </c>
      <c r="BA156" s="42"/>
      <c r="BB156" s="42"/>
      <c r="BD156" s="129"/>
    </row>
    <row r="157" spans="1:56">
      <c r="A157" s="235" t="s">
        <v>350</v>
      </c>
      <c r="B157" s="121">
        <v>1</v>
      </c>
      <c r="C157" s="131">
        <v>858.4</v>
      </c>
      <c r="D157" s="131">
        <v>0</v>
      </c>
      <c r="E157" s="82">
        <v>0</v>
      </c>
      <c r="F157" s="131">
        <v>0</v>
      </c>
      <c r="G157" s="199">
        <v>0</v>
      </c>
      <c r="H157" s="131">
        <v>0</v>
      </c>
      <c r="I157" s="131">
        <v>0</v>
      </c>
      <c r="J157" s="208">
        <v>0</v>
      </c>
      <c r="K157" s="127">
        <v>870</v>
      </c>
      <c r="L157" s="124">
        <v>0</v>
      </c>
      <c r="M157" s="121">
        <v>0</v>
      </c>
      <c r="N157" s="124">
        <v>0</v>
      </c>
      <c r="O157" s="124">
        <v>0</v>
      </c>
      <c r="P157" s="131">
        <v>201</v>
      </c>
      <c r="Q157" s="124">
        <v>0</v>
      </c>
      <c r="R157" s="124">
        <v>2</v>
      </c>
      <c r="S157" s="124">
        <v>0</v>
      </c>
      <c r="T157" s="127">
        <v>9</v>
      </c>
      <c r="U157" s="121">
        <v>0</v>
      </c>
      <c r="V157" s="121">
        <v>313</v>
      </c>
      <c r="W157" s="121">
        <v>0</v>
      </c>
      <c r="X157" s="131">
        <v>0</v>
      </c>
      <c r="Y157" s="119">
        <v>628</v>
      </c>
      <c r="Z157" s="82">
        <v>0</v>
      </c>
      <c r="AA157" s="79">
        <v>0</v>
      </c>
      <c r="AB157" s="79">
        <v>0.2</v>
      </c>
      <c r="AC157" s="209">
        <v>0</v>
      </c>
      <c r="AD157" s="211">
        <v>0</v>
      </c>
      <c r="AE157" s="89">
        <v>0</v>
      </c>
      <c r="AF157" s="89">
        <v>2.2000000000000002</v>
      </c>
      <c r="AG157" s="89">
        <f>SUMIF('PreliminaryHD AR - School Level'!A158:A1464, "=" &amp; A157,'PreliminaryHD AR - School Level'!M158:M1464)</f>
        <v>8.3000000000000007</v>
      </c>
      <c r="AH157" s="89">
        <v>1477.7</v>
      </c>
      <c r="AI157" s="89">
        <f t="shared" si="26"/>
        <v>0</v>
      </c>
      <c r="AJ157" s="89">
        <f t="shared" si="27"/>
        <v>0</v>
      </c>
      <c r="AK157" s="89">
        <f t="shared" si="28"/>
        <v>858.4</v>
      </c>
      <c r="AL157" s="89">
        <f t="shared" si="29"/>
        <v>0</v>
      </c>
      <c r="AM157" s="89">
        <f t="shared" si="30"/>
        <v>2</v>
      </c>
      <c r="AN157" s="89">
        <f t="shared" si="31"/>
        <v>9</v>
      </c>
      <c r="AO157" s="89">
        <f t="shared" si="32"/>
        <v>201</v>
      </c>
      <c r="AP157" s="83">
        <f t="shared" si="33"/>
        <v>313</v>
      </c>
      <c r="AQ157" s="89">
        <f t="shared" si="34"/>
        <v>0</v>
      </c>
      <c r="AR157" s="89">
        <f t="shared" si="35"/>
        <v>628</v>
      </c>
      <c r="AS157" s="83">
        <f t="shared" si="36"/>
        <v>870</v>
      </c>
      <c r="AT157" s="89">
        <v>0</v>
      </c>
      <c r="AU157" s="89">
        <f t="shared" si="37"/>
        <v>8.3000000000000007</v>
      </c>
      <c r="AV157" s="108">
        <v>7861858</v>
      </c>
      <c r="AW157" s="126">
        <v>1477.7</v>
      </c>
      <c r="AX157" s="42">
        <v>1477.7</v>
      </c>
      <c r="AY157" s="208">
        <f t="shared" si="38"/>
        <v>0</v>
      </c>
      <c r="AZ157" s="290">
        <v>433007</v>
      </c>
      <c r="BA157" s="42"/>
      <c r="BB157" s="42"/>
      <c r="BD157" s="129"/>
    </row>
    <row r="158" spans="1:56">
      <c r="A158" s="235" t="s">
        <v>351</v>
      </c>
      <c r="B158" s="121">
        <v>1</v>
      </c>
      <c r="C158" s="131">
        <v>924.6</v>
      </c>
      <c r="D158" s="131">
        <v>0</v>
      </c>
      <c r="E158" s="82">
        <v>0</v>
      </c>
      <c r="F158" s="131">
        <v>0</v>
      </c>
      <c r="G158" s="199">
        <v>0</v>
      </c>
      <c r="H158" s="131">
        <v>0</v>
      </c>
      <c r="I158" s="131">
        <v>0</v>
      </c>
      <c r="J158" s="208">
        <v>0</v>
      </c>
      <c r="K158" s="127">
        <v>952</v>
      </c>
      <c r="L158" s="124">
        <v>0</v>
      </c>
      <c r="M158" s="121">
        <v>0</v>
      </c>
      <c r="N158" s="124">
        <v>10.5</v>
      </c>
      <c r="O158" s="124">
        <v>0</v>
      </c>
      <c r="P158" s="131">
        <v>141.5</v>
      </c>
      <c r="Q158" s="124">
        <v>0</v>
      </c>
      <c r="R158" s="124">
        <v>537.5</v>
      </c>
      <c r="S158" s="124">
        <v>0</v>
      </c>
      <c r="T158" s="127">
        <v>152</v>
      </c>
      <c r="U158" s="121">
        <v>0</v>
      </c>
      <c r="V158" s="121">
        <v>344</v>
      </c>
      <c r="W158" s="121">
        <v>0</v>
      </c>
      <c r="X158" s="131">
        <v>0</v>
      </c>
      <c r="Y158" s="119">
        <v>62</v>
      </c>
      <c r="Z158" s="82">
        <v>0</v>
      </c>
      <c r="AA158" s="79">
        <v>0</v>
      </c>
      <c r="AB158" s="79">
        <v>0</v>
      </c>
      <c r="AC158" s="209">
        <v>0</v>
      </c>
      <c r="AD158" s="211">
        <v>0</v>
      </c>
      <c r="AE158" s="89">
        <v>0</v>
      </c>
      <c r="AF158" s="89">
        <v>2.7</v>
      </c>
      <c r="AG158" s="89">
        <f>SUMIF('PreliminaryHD AR - School Level'!A159:A1465, "=" &amp; A158,'PreliminaryHD AR - School Level'!M159:M1465)</f>
        <v>5.3</v>
      </c>
      <c r="AH158" s="89">
        <v>1481</v>
      </c>
      <c r="AI158" s="89">
        <f t="shared" si="26"/>
        <v>0</v>
      </c>
      <c r="AJ158" s="89">
        <f t="shared" si="27"/>
        <v>0</v>
      </c>
      <c r="AK158" s="89">
        <f t="shared" si="28"/>
        <v>924.6</v>
      </c>
      <c r="AL158" s="89">
        <f t="shared" si="29"/>
        <v>10.5</v>
      </c>
      <c r="AM158" s="89">
        <f t="shared" si="30"/>
        <v>537.5</v>
      </c>
      <c r="AN158" s="89">
        <f t="shared" si="31"/>
        <v>152</v>
      </c>
      <c r="AO158" s="89">
        <f t="shared" si="32"/>
        <v>141.5</v>
      </c>
      <c r="AP158" s="83">
        <f t="shared" si="33"/>
        <v>344</v>
      </c>
      <c r="AQ158" s="89">
        <f t="shared" si="34"/>
        <v>0</v>
      </c>
      <c r="AR158" s="89">
        <f t="shared" si="35"/>
        <v>62</v>
      </c>
      <c r="AS158" s="83">
        <f t="shared" si="36"/>
        <v>952</v>
      </c>
      <c r="AT158" s="89">
        <v>0</v>
      </c>
      <c r="AU158" s="89">
        <f t="shared" si="37"/>
        <v>5.3</v>
      </c>
      <c r="AV158" s="108">
        <v>7074253</v>
      </c>
      <c r="AW158" s="126">
        <v>1481</v>
      </c>
      <c r="AX158" s="42">
        <v>1481</v>
      </c>
      <c r="AY158" s="208">
        <f t="shared" si="38"/>
        <v>0</v>
      </c>
      <c r="AZ158" s="290">
        <v>176307</v>
      </c>
      <c r="BA158" s="42"/>
      <c r="BB158" s="42"/>
      <c r="BD158" s="129"/>
    </row>
    <row r="159" spans="1:56">
      <c r="A159" s="235" t="s">
        <v>352</v>
      </c>
      <c r="B159" s="121">
        <v>1</v>
      </c>
      <c r="C159" s="131">
        <v>741</v>
      </c>
      <c r="D159" s="131">
        <v>0</v>
      </c>
      <c r="E159" s="82">
        <v>0</v>
      </c>
      <c r="F159" s="131">
        <v>0</v>
      </c>
      <c r="G159" s="199">
        <v>0</v>
      </c>
      <c r="H159" s="131">
        <v>0</v>
      </c>
      <c r="I159" s="131">
        <v>0</v>
      </c>
      <c r="J159" s="208">
        <v>0</v>
      </c>
      <c r="K159" s="127">
        <v>795</v>
      </c>
      <c r="L159" s="124">
        <v>0</v>
      </c>
      <c r="M159" s="121">
        <v>0</v>
      </c>
      <c r="N159" s="124">
        <v>9.5</v>
      </c>
      <c r="O159" s="124">
        <v>0</v>
      </c>
      <c r="P159" s="131">
        <v>349.4</v>
      </c>
      <c r="Q159" s="124">
        <v>0</v>
      </c>
      <c r="R159" s="124">
        <v>0</v>
      </c>
      <c r="S159" s="124">
        <v>0</v>
      </c>
      <c r="T159" s="127">
        <v>6</v>
      </c>
      <c r="U159" s="121">
        <v>0</v>
      </c>
      <c r="V159" s="121">
        <v>244</v>
      </c>
      <c r="W159" s="121">
        <v>0</v>
      </c>
      <c r="X159" s="131">
        <v>0</v>
      </c>
      <c r="Y159" s="119">
        <v>210</v>
      </c>
      <c r="Z159" s="82">
        <v>0</v>
      </c>
      <c r="AA159" s="79">
        <v>0</v>
      </c>
      <c r="AB159" s="79">
        <v>0</v>
      </c>
      <c r="AC159" s="209">
        <v>0</v>
      </c>
      <c r="AD159" s="211">
        <v>0</v>
      </c>
      <c r="AE159" s="89">
        <v>0</v>
      </c>
      <c r="AF159" s="89">
        <v>0</v>
      </c>
      <c r="AG159" s="89">
        <f>SUMIF('PreliminaryHD AR - School Level'!A160:A1466, "=" &amp; A159,'PreliminaryHD AR - School Level'!M160:M1466)</f>
        <v>3</v>
      </c>
      <c r="AH159" s="89">
        <v>1197.5999999999999</v>
      </c>
      <c r="AI159" s="89">
        <f t="shared" si="26"/>
        <v>0</v>
      </c>
      <c r="AJ159" s="89">
        <f t="shared" si="27"/>
        <v>0</v>
      </c>
      <c r="AK159" s="89">
        <f t="shared" si="28"/>
        <v>741</v>
      </c>
      <c r="AL159" s="89">
        <f t="shared" si="29"/>
        <v>9.5</v>
      </c>
      <c r="AM159" s="89">
        <f t="shared" si="30"/>
        <v>0</v>
      </c>
      <c r="AN159" s="89">
        <f t="shared" si="31"/>
        <v>6</v>
      </c>
      <c r="AO159" s="89">
        <f t="shared" si="32"/>
        <v>349.4</v>
      </c>
      <c r="AP159" s="83">
        <f t="shared" si="33"/>
        <v>244</v>
      </c>
      <c r="AQ159" s="89">
        <f t="shared" si="34"/>
        <v>0</v>
      </c>
      <c r="AR159" s="89">
        <f t="shared" si="35"/>
        <v>210</v>
      </c>
      <c r="AS159" s="83">
        <f t="shared" si="36"/>
        <v>795</v>
      </c>
      <c r="AT159" s="89">
        <v>0</v>
      </c>
      <c r="AU159" s="89">
        <f t="shared" si="37"/>
        <v>3</v>
      </c>
      <c r="AV159" s="108">
        <v>5687724</v>
      </c>
      <c r="AW159" s="126">
        <v>1197.5999999999999</v>
      </c>
      <c r="AX159" s="42">
        <v>1197.5999999999999</v>
      </c>
      <c r="AY159" s="208">
        <f t="shared" si="38"/>
        <v>0</v>
      </c>
      <c r="AZ159" s="290">
        <v>172569</v>
      </c>
      <c r="BA159" s="42"/>
      <c r="BB159" s="42"/>
      <c r="BD159" s="129"/>
    </row>
    <row r="160" spans="1:56">
      <c r="A160" s="235" t="s">
        <v>353</v>
      </c>
      <c r="B160" s="121">
        <v>1</v>
      </c>
      <c r="C160" s="131">
        <v>977</v>
      </c>
      <c r="D160" s="131">
        <v>0</v>
      </c>
      <c r="E160" s="82">
        <v>0</v>
      </c>
      <c r="F160" s="131">
        <v>0</v>
      </c>
      <c r="G160" s="199">
        <v>0</v>
      </c>
      <c r="H160" s="131">
        <v>0</v>
      </c>
      <c r="I160" s="131">
        <v>0</v>
      </c>
      <c r="J160" s="208">
        <v>0</v>
      </c>
      <c r="K160" s="127">
        <v>1003</v>
      </c>
      <c r="L160" s="124">
        <v>0</v>
      </c>
      <c r="M160" s="121">
        <v>0</v>
      </c>
      <c r="N160" s="124">
        <v>8.5</v>
      </c>
      <c r="O160" s="124">
        <v>0</v>
      </c>
      <c r="P160" s="131">
        <v>218.4</v>
      </c>
      <c r="Q160" s="124">
        <v>0</v>
      </c>
      <c r="R160" s="124">
        <v>0</v>
      </c>
      <c r="S160" s="124">
        <v>0</v>
      </c>
      <c r="T160" s="127">
        <v>0</v>
      </c>
      <c r="U160" s="121">
        <v>0</v>
      </c>
      <c r="V160" s="121">
        <v>367</v>
      </c>
      <c r="W160" s="121">
        <v>0</v>
      </c>
      <c r="X160" s="131">
        <v>0</v>
      </c>
      <c r="Y160" s="119">
        <v>349</v>
      </c>
      <c r="Z160" s="82">
        <v>0</v>
      </c>
      <c r="AA160" s="79">
        <v>1</v>
      </c>
      <c r="AB160" s="79">
        <v>1.2</v>
      </c>
      <c r="AC160" s="209">
        <v>0</v>
      </c>
      <c r="AD160" s="211">
        <v>0</v>
      </c>
      <c r="AE160" s="89">
        <v>0</v>
      </c>
      <c r="AF160" s="89">
        <v>4.0999999999999996</v>
      </c>
      <c r="AG160" s="89">
        <f>SUMIF('PreliminaryHD AR - School Level'!A161:A1467, "=" &amp; A160,'PreliminaryHD AR - School Level'!M161:M1467)</f>
        <v>12.1</v>
      </c>
      <c r="AH160" s="89">
        <v>1553.5</v>
      </c>
      <c r="AI160" s="89">
        <f t="shared" si="26"/>
        <v>0</v>
      </c>
      <c r="AJ160" s="89">
        <f t="shared" si="27"/>
        <v>0</v>
      </c>
      <c r="AK160" s="89">
        <f t="shared" si="28"/>
        <v>977</v>
      </c>
      <c r="AL160" s="89">
        <f t="shared" si="29"/>
        <v>8.5</v>
      </c>
      <c r="AM160" s="89">
        <f t="shared" si="30"/>
        <v>0</v>
      </c>
      <c r="AN160" s="89">
        <f t="shared" si="31"/>
        <v>0</v>
      </c>
      <c r="AO160" s="89">
        <f t="shared" si="32"/>
        <v>218.4</v>
      </c>
      <c r="AP160" s="83">
        <f t="shared" si="33"/>
        <v>367</v>
      </c>
      <c r="AQ160" s="89">
        <f t="shared" si="34"/>
        <v>0</v>
      </c>
      <c r="AR160" s="89">
        <f t="shared" si="35"/>
        <v>349</v>
      </c>
      <c r="AS160" s="83">
        <f t="shared" si="36"/>
        <v>1003</v>
      </c>
      <c r="AT160" s="89">
        <v>0</v>
      </c>
      <c r="AU160" s="89">
        <f t="shared" si="37"/>
        <v>12.1</v>
      </c>
      <c r="AV160" s="108">
        <v>7442022</v>
      </c>
      <c r="AW160" s="126">
        <v>1553.5</v>
      </c>
      <c r="AX160" s="42">
        <v>1553.5</v>
      </c>
      <c r="AY160" s="208">
        <f t="shared" si="38"/>
        <v>0</v>
      </c>
      <c r="AZ160" s="290">
        <v>635227</v>
      </c>
      <c r="BA160" s="42"/>
      <c r="BB160" s="42"/>
      <c r="BD160" s="129"/>
    </row>
    <row r="161" spans="1:56">
      <c r="A161" s="235" t="s">
        <v>354</v>
      </c>
      <c r="B161" s="121">
        <v>1</v>
      </c>
      <c r="C161" s="131">
        <v>431.5</v>
      </c>
      <c r="D161" s="131">
        <v>0</v>
      </c>
      <c r="E161" s="82">
        <v>0</v>
      </c>
      <c r="F161" s="131">
        <v>0</v>
      </c>
      <c r="G161" s="199">
        <v>0</v>
      </c>
      <c r="H161" s="131">
        <v>0</v>
      </c>
      <c r="I161" s="131">
        <v>0</v>
      </c>
      <c r="J161" s="208">
        <v>0</v>
      </c>
      <c r="K161" s="127">
        <v>451</v>
      </c>
      <c r="L161" s="124">
        <v>0</v>
      </c>
      <c r="M161" s="121">
        <v>0</v>
      </c>
      <c r="N161" s="124">
        <v>7</v>
      </c>
      <c r="O161" s="124">
        <v>0</v>
      </c>
      <c r="P161" s="131">
        <v>80.8</v>
      </c>
      <c r="Q161" s="124">
        <v>0</v>
      </c>
      <c r="R161" s="124">
        <v>0</v>
      </c>
      <c r="S161" s="124">
        <v>0</v>
      </c>
      <c r="T161" s="127">
        <v>0</v>
      </c>
      <c r="U161" s="121">
        <v>0</v>
      </c>
      <c r="V161" s="121">
        <v>210</v>
      </c>
      <c r="W161" s="121">
        <v>0</v>
      </c>
      <c r="X161" s="131">
        <v>0</v>
      </c>
      <c r="Y161" s="119">
        <v>165</v>
      </c>
      <c r="Z161" s="82">
        <v>0</v>
      </c>
      <c r="AA161" s="79">
        <v>2</v>
      </c>
      <c r="AB161" s="79">
        <v>0</v>
      </c>
      <c r="AC161" s="209">
        <v>0</v>
      </c>
      <c r="AD161" s="211">
        <v>0</v>
      </c>
      <c r="AE161" s="89">
        <v>0</v>
      </c>
      <c r="AF161" s="89">
        <v>17</v>
      </c>
      <c r="AG161" s="89">
        <f>SUMIF('PreliminaryHD AR - School Level'!A162:A1468, "=" &amp; A161,'PreliminaryHD AR - School Level'!M162:M1468)</f>
        <v>17.399999999999999</v>
      </c>
      <c r="AH161" s="89">
        <v>839.5</v>
      </c>
      <c r="AI161" s="89">
        <f t="shared" si="26"/>
        <v>0</v>
      </c>
      <c r="AJ161" s="89">
        <f t="shared" si="27"/>
        <v>0</v>
      </c>
      <c r="AK161" s="89">
        <f t="shared" si="28"/>
        <v>431.5</v>
      </c>
      <c r="AL161" s="89">
        <f t="shared" si="29"/>
        <v>7</v>
      </c>
      <c r="AM161" s="89">
        <f t="shared" si="30"/>
        <v>0</v>
      </c>
      <c r="AN161" s="89">
        <f t="shared" si="31"/>
        <v>0</v>
      </c>
      <c r="AO161" s="89">
        <f t="shared" si="32"/>
        <v>80.8</v>
      </c>
      <c r="AP161" s="83">
        <f t="shared" si="33"/>
        <v>210</v>
      </c>
      <c r="AQ161" s="89">
        <f t="shared" si="34"/>
        <v>0</v>
      </c>
      <c r="AR161" s="89">
        <f t="shared" si="35"/>
        <v>165</v>
      </c>
      <c r="AS161" s="83">
        <f t="shared" si="36"/>
        <v>451</v>
      </c>
      <c r="AT161" s="89">
        <v>0</v>
      </c>
      <c r="AU161" s="89">
        <f t="shared" si="37"/>
        <v>17.399999999999999</v>
      </c>
      <c r="AV161" s="108">
        <v>4329596</v>
      </c>
      <c r="AW161" s="126">
        <v>839.5</v>
      </c>
      <c r="AX161" s="42">
        <v>839.5</v>
      </c>
      <c r="AY161" s="208">
        <f t="shared" si="38"/>
        <v>0</v>
      </c>
      <c r="AZ161" s="290">
        <v>165397</v>
      </c>
      <c r="BA161" s="42"/>
      <c r="BB161" s="42"/>
      <c r="BD161" s="129"/>
    </row>
    <row r="162" spans="1:56">
      <c r="A162" s="235" t="s">
        <v>355</v>
      </c>
      <c r="B162" s="121">
        <v>1</v>
      </c>
      <c r="C162" s="131">
        <v>1096.5</v>
      </c>
      <c r="D162" s="131">
        <v>0</v>
      </c>
      <c r="E162" s="82">
        <v>0</v>
      </c>
      <c r="F162" s="131">
        <v>0</v>
      </c>
      <c r="G162" s="199">
        <v>0</v>
      </c>
      <c r="H162" s="131">
        <v>0</v>
      </c>
      <c r="I162" s="131">
        <v>0</v>
      </c>
      <c r="J162" s="208">
        <v>0</v>
      </c>
      <c r="K162" s="127">
        <v>1148</v>
      </c>
      <c r="L162" s="124">
        <v>0</v>
      </c>
      <c r="M162" s="121">
        <v>0</v>
      </c>
      <c r="N162" s="124">
        <v>14</v>
      </c>
      <c r="O162" s="124">
        <v>0</v>
      </c>
      <c r="P162" s="131">
        <v>299</v>
      </c>
      <c r="Q162" s="124">
        <v>0</v>
      </c>
      <c r="R162" s="124">
        <v>0</v>
      </c>
      <c r="S162" s="124">
        <v>0</v>
      </c>
      <c r="T162" s="127">
        <v>0</v>
      </c>
      <c r="U162" s="121">
        <v>0</v>
      </c>
      <c r="V162" s="121">
        <v>610</v>
      </c>
      <c r="W162" s="121">
        <v>0</v>
      </c>
      <c r="X162" s="131">
        <v>0</v>
      </c>
      <c r="Y162" s="119">
        <v>173</v>
      </c>
      <c r="Z162" s="82">
        <v>0</v>
      </c>
      <c r="AA162" s="79">
        <v>0</v>
      </c>
      <c r="AB162" s="79">
        <v>0</v>
      </c>
      <c r="AC162" s="209">
        <v>0</v>
      </c>
      <c r="AD162" s="211">
        <v>0</v>
      </c>
      <c r="AE162" s="89">
        <v>0</v>
      </c>
      <c r="AF162" s="89">
        <v>64</v>
      </c>
      <c r="AG162" s="89">
        <f>SUMIF('PreliminaryHD AR - School Level'!A163:A1469, "=" &amp; A162,'PreliminaryHD AR - School Level'!M163:M1469)</f>
        <v>61.8</v>
      </c>
      <c r="AH162" s="89">
        <v>1791.6</v>
      </c>
      <c r="AI162" s="89">
        <f t="shared" si="26"/>
        <v>0</v>
      </c>
      <c r="AJ162" s="89">
        <f t="shared" si="27"/>
        <v>0</v>
      </c>
      <c r="AK162" s="89">
        <f t="shared" si="28"/>
        <v>1096.5</v>
      </c>
      <c r="AL162" s="89">
        <f t="shared" si="29"/>
        <v>14</v>
      </c>
      <c r="AM162" s="89">
        <f t="shared" si="30"/>
        <v>0</v>
      </c>
      <c r="AN162" s="89">
        <f t="shared" si="31"/>
        <v>0</v>
      </c>
      <c r="AO162" s="89">
        <f t="shared" si="32"/>
        <v>299</v>
      </c>
      <c r="AP162" s="83">
        <f t="shared" si="33"/>
        <v>610</v>
      </c>
      <c r="AQ162" s="89">
        <f t="shared" si="34"/>
        <v>0</v>
      </c>
      <c r="AR162" s="89">
        <f t="shared" si="35"/>
        <v>173</v>
      </c>
      <c r="AS162" s="83">
        <f t="shared" si="36"/>
        <v>1148</v>
      </c>
      <c r="AT162" s="89">
        <v>0</v>
      </c>
      <c r="AU162" s="89">
        <f t="shared" si="37"/>
        <v>64</v>
      </c>
      <c r="AV162" s="108">
        <v>9328351</v>
      </c>
      <c r="AW162" s="126">
        <v>1791.7</v>
      </c>
      <c r="AX162" s="42">
        <v>1791.7</v>
      </c>
      <c r="AY162" s="208">
        <f t="shared" si="38"/>
        <v>0.1</v>
      </c>
      <c r="AZ162" s="290">
        <v>289795</v>
      </c>
      <c r="BA162" s="273" t="s">
        <v>3624</v>
      </c>
      <c r="BB162" s="42"/>
      <c r="BD162" s="129"/>
    </row>
    <row r="163" spans="1:56">
      <c r="A163" s="235" t="s">
        <v>356</v>
      </c>
      <c r="B163" s="121">
        <v>1</v>
      </c>
      <c r="C163" s="131">
        <v>1938</v>
      </c>
      <c r="D163" s="131">
        <v>0</v>
      </c>
      <c r="E163" s="82">
        <v>0</v>
      </c>
      <c r="F163" s="131">
        <v>0</v>
      </c>
      <c r="G163" s="199">
        <v>0</v>
      </c>
      <c r="H163" s="131">
        <v>0</v>
      </c>
      <c r="I163" s="131">
        <v>0</v>
      </c>
      <c r="J163" s="208">
        <v>0</v>
      </c>
      <c r="K163" s="127">
        <v>1957</v>
      </c>
      <c r="L163" s="124">
        <v>0</v>
      </c>
      <c r="M163" s="121">
        <v>0</v>
      </c>
      <c r="N163" s="124">
        <v>0</v>
      </c>
      <c r="O163" s="124">
        <v>0</v>
      </c>
      <c r="P163" s="131">
        <v>506</v>
      </c>
      <c r="Q163" s="124">
        <v>0</v>
      </c>
      <c r="R163" s="124">
        <v>17.2</v>
      </c>
      <c r="S163" s="124">
        <v>0</v>
      </c>
      <c r="T163" s="127">
        <v>18</v>
      </c>
      <c r="U163" s="121">
        <v>0</v>
      </c>
      <c r="V163" s="121">
        <v>579</v>
      </c>
      <c r="W163" s="121">
        <v>0</v>
      </c>
      <c r="X163" s="131">
        <v>0</v>
      </c>
      <c r="Y163" s="119">
        <v>794.4</v>
      </c>
      <c r="Z163" s="82">
        <v>0</v>
      </c>
      <c r="AA163" s="79">
        <v>3</v>
      </c>
      <c r="AB163" s="79">
        <v>0</v>
      </c>
      <c r="AC163" s="209">
        <v>0</v>
      </c>
      <c r="AD163" s="211">
        <v>0</v>
      </c>
      <c r="AE163" s="89">
        <v>0</v>
      </c>
      <c r="AF163" s="89">
        <v>0</v>
      </c>
      <c r="AG163" s="89">
        <f>SUMIF('PreliminaryHD AR - School Level'!A164:A1470, "=" &amp; A163,'PreliminaryHD AR - School Level'!M164:M1470)</f>
        <v>0</v>
      </c>
      <c r="AH163" s="89">
        <v>2568.8000000000002</v>
      </c>
      <c r="AI163" s="89">
        <f t="shared" si="26"/>
        <v>0</v>
      </c>
      <c r="AJ163" s="89">
        <f t="shared" si="27"/>
        <v>0</v>
      </c>
      <c r="AK163" s="89">
        <f t="shared" si="28"/>
        <v>1938</v>
      </c>
      <c r="AL163" s="89">
        <f t="shared" si="29"/>
        <v>0</v>
      </c>
      <c r="AM163" s="89">
        <f t="shared" si="30"/>
        <v>17.2</v>
      </c>
      <c r="AN163" s="89">
        <f t="shared" si="31"/>
        <v>18</v>
      </c>
      <c r="AO163" s="89">
        <f t="shared" si="32"/>
        <v>506</v>
      </c>
      <c r="AP163" s="83">
        <f t="shared" si="33"/>
        <v>579</v>
      </c>
      <c r="AQ163" s="89">
        <f t="shared" si="34"/>
        <v>0</v>
      </c>
      <c r="AR163" s="89">
        <f t="shared" si="35"/>
        <v>794.4</v>
      </c>
      <c r="AS163" s="83">
        <f t="shared" si="36"/>
        <v>1957</v>
      </c>
      <c r="AT163" s="89">
        <v>0</v>
      </c>
      <c r="AU163" s="89">
        <f t="shared" si="37"/>
        <v>0</v>
      </c>
      <c r="AV163" s="108">
        <v>13439236</v>
      </c>
      <c r="AW163" s="126">
        <v>2568.8000000000002</v>
      </c>
      <c r="AX163" s="42">
        <v>2568.8000000000002</v>
      </c>
      <c r="AY163" s="208">
        <f t="shared" si="38"/>
        <v>0</v>
      </c>
      <c r="AZ163" s="290">
        <v>651833</v>
      </c>
      <c r="BA163" s="42"/>
      <c r="BB163" s="42"/>
      <c r="BD163" s="129"/>
    </row>
    <row r="164" spans="1:56">
      <c r="A164" s="235" t="s">
        <v>357</v>
      </c>
      <c r="B164" s="121">
        <v>1</v>
      </c>
      <c r="C164" s="131">
        <v>220</v>
      </c>
      <c r="D164" s="131">
        <v>0</v>
      </c>
      <c r="E164" s="82">
        <v>0</v>
      </c>
      <c r="F164" s="131">
        <v>0</v>
      </c>
      <c r="G164" s="199">
        <v>0</v>
      </c>
      <c r="H164" s="131">
        <v>0</v>
      </c>
      <c r="I164" s="131">
        <v>0</v>
      </c>
      <c r="J164" s="208">
        <v>0</v>
      </c>
      <c r="K164" s="127">
        <v>228</v>
      </c>
      <c r="L164" s="124">
        <v>0</v>
      </c>
      <c r="M164" s="121">
        <v>0</v>
      </c>
      <c r="N164" s="124">
        <v>4</v>
      </c>
      <c r="O164" s="124">
        <v>0</v>
      </c>
      <c r="P164" s="131">
        <v>70.7</v>
      </c>
      <c r="Q164" s="124">
        <v>0</v>
      </c>
      <c r="R164" s="124">
        <v>1.1000000000000001</v>
      </c>
      <c r="S164" s="124">
        <v>0</v>
      </c>
      <c r="T164" s="127">
        <v>8</v>
      </c>
      <c r="U164" s="121">
        <v>0</v>
      </c>
      <c r="V164" s="121">
        <v>92</v>
      </c>
      <c r="W164" s="121">
        <v>0</v>
      </c>
      <c r="X164" s="131">
        <v>0</v>
      </c>
      <c r="Y164" s="119">
        <v>39</v>
      </c>
      <c r="Z164" s="82">
        <v>0</v>
      </c>
      <c r="AA164" s="79">
        <v>0</v>
      </c>
      <c r="AB164" s="79">
        <v>0</v>
      </c>
      <c r="AC164" s="209">
        <v>0</v>
      </c>
      <c r="AD164" s="211">
        <v>0</v>
      </c>
      <c r="AE164" s="89">
        <v>0</v>
      </c>
      <c r="AF164" s="89">
        <v>3.5</v>
      </c>
      <c r="AG164" s="89">
        <f>SUMIF('PreliminaryHD AR - School Level'!A165:A1471, "=" &amp; A164,'PreliminaryHD AR - School Level'!M165:M1471)</f>
        <v>3.7</v>
      </c>
      <c r="AH164" s="89">
        <v>458.4</v>
      </c>
      <c r="AI164" s="89">
        <f t="shared" si="26"/>
        <v>0</v>
      </c>
      <c r="AJ164" s="89">
        <f t="shared" si="27"/>
        <v>0</v>
      </c>
      <c r="AK164" s="89">
        <f t="shared" si="28"/>
        <v>220</v>
      </c>
      <c r="AL164" s="89">
        <f t="shared" si="29"/>
        <v>4</v>
      </c>
      <c r="AM164" s="89">
        <f t="shared" si="30"/>
        <v>1.1000000000000001</v>
      </c>
      <c r="AN164" s="89">
        <f t="shared" si="31"/>
        <v>8</v>
      </c>
      <c r="AO164" s="89">
        <f t="shared" si="32"/>
        <v>70.7</v>
      </c>
      <c r="AP164" s="83">
        <f t="shared" si="33"/>
        <v>92</v>
      </c>
      <c r="AQ164" s="89">
        <f t="shared" si="34"/>
        <v>0</v>
      </c>
      <c r="AR164" s="89">
        <f t="shared" si="35"/>
        <v>39</v>
      </c>
      <c r="AS164" s="83">
        <f t="shared" si="36"/>
        <v>228</v>
      </c>
      <c r="AT164" s="89">
        <v>0</v>
      </c>
      <c r="AU164" s="89">
        <f t="shared" si="37"/>
        <v>3.7</v>
      </c>
      <c r="AV164" s="108">
        <v>2254515</v>
      </c>
      <c r="AW164" s="126">
        <v>458.4</v>
      </c>
      <c r="AX164" s="42">
        <v>458.4</v>
      </c>
      <c r="AY164" s="208">
        <f t="shared" si="38"/>
        <v>0</v>
      </c>
      <c r="AZ164" s="290">
        <v>105940</v>
      </c>
      <c r="BA164" s="42"/>
      <c r="BB164" s="42"/>
      <c r="BD164" s="129"/>
    </row>
    <row r="165" spans="1:56">
      <c r="A165" s="235" t="s">
        <v>358</v>
      </c>
      <c r="B165" s="121">
        <v>1</v>
      </c>
      <c r="C165" s="131">
        <v>184.5</v>
      </c>
      <c r="D165" s="131">
        <v>0</v>
      </c>
      <c r="E165" s="82">
        <v>0</v>
      </c>
      <c r="F165" s="131">
        <v>0</v>
      </c>
      <c r="G165" s="199">
        <v>0</v>
      </c>
      <c r="H165" s="131">
        <v>0</v>
      </c>
      <c r="I165" s="131">
        <v>0</v>
      </c>
      <c r="J165" s="208">
        <v>0</v>
      </c>
      <c r="K165" s="127">
        <v>190</v>
      </c>
      <c r="L165" s="124">
        <v>0</v>
      </c>
      <c r="M165" s="121">
        <v>0</v>
      </c>
      <c r="N165" s="124">
        <v>2.5</v>
      </c>
      <c r="O165" s="124">
        <v>0</v>
      </c>
      <c r="P165" s="131">
        <v>130.6</v>
      </c>
      <c r="Q165" s="124">
        <v>0</v>
      </c>
      <c r="R165" s="124">
        <v>196</v>
      </c>
      <c r="S165" s="124">
        <v>0</v>
      </c>
      <c r="T165" s="127">
        <v>35</v>
      </c>
      <c r="U165" s="121">
        <v>0</v>
      </c>
      <c r="V165" s="121">
        <v>41</v>
      </c>
      <c r="W165" s="121">
        <v>0</v>
      </c>
      <c r="X165" s="131">
        <v>0</v>
      </c>
      <c r="Y165" s="119">
        <v>77</v>
      </c>
      <c r="Z165" s="82">
        <v>0</v>
      </c>
      <c r="AA165" s="79">
        <v>3</v>
      </c>
      <c r="AB165" s="79">
        <v>0</v>
      </c>
      <c r="AC165" s="209">
        <v>20</v>
      </c>
      <c r="AD165" s="211">
        <v>0</v>
      </c>
      <c r="AE165" s="89">
        <v>0</v>
      </c>
      <c r="AF165" s="89">
        <v>0</v>
      </c>
      <c r="AG165" s="89">
        <f>SUMIF('PreliminaryHD AR - School Level'!A166:A1472, "=" &amp; A165,'PreliminaryHD AR - School Level'!M166:M1472)</f>
        <v>0</v>
      </c>
      <c r="AH165" s="89">
        <v>419.6</v>
      </c>
      <c r="AI165" s="89">
        <f t="shared" si="26"/>
        <v>0</v>
      </c>
      <c r="AJ165" s="89">
        <f t="shared" si="27"/>
        <v>0</v>
      </c>
      <c r="AK165" s="89">
        <f t="shared" si="28"/>
        <v>184.5</v>
      </c>
      <c r="AL165" s="89">
        <f t="shared" si="29"/>
        <v>2.5</v>
      </c>
      <c r="AM165" s="89">
        <f t="shared" si="30"/>
        <v>196</v>
      </c>
      <c r="AN165" s="89">
        <f t="shared" si="31"/>
        <v>35</v>
      </c>
      <c r="AO165" s="89">
        <f t="shared" si="32"/>
        <v>130.6</v>
      </c>
      <c r="AP165" s="83">
        <f t="shared" si="33"/>
        <v>41</v>
      </c>
      <c r="AQ165" s="89">
        <f t="shared" si="34"/>
        <v>0</v>
      </c>
      <c r="AR165" s="89">
        <f t="shared" si="35"/>
        <v>77</v>
      </c>
      <c r="AS165" s="83">
        <f t="shared" si="36"/>
        <v>190</v>
      </c>
      <c r="AT165" s="89">
        <v>0</v>
      </c>
      <c r="AU165" s="89">
        <f t="shared" si="37"/>
        <v>0</v>
      </c>
      <c r="AV165" s="108">
        <v>2003187</v>
      </c>
      <c r="AW165" s="126">
        <v>419.6</v>
      </c>
      <c r="AX165" s="42">
        <v>419.6</v>
      </c>
      <c r="AY165" s="208">
        <f t="shared" si="38"/>
        <v>0</v>
      </c>
      <c r="AZ165" s="290">
        <v>103499</v>
      </c>
      <c r="BA165" s="42"/>
      <c r="BB165" s="42"/>
      <c r="BD165" s="129"/>
    </row>
    <row r="166" spans="1:56">
      <c r="A166" s="235" t="s">
        <v>359</v>
      </c>
      <c r="B166" s="121">
        <v>1</v>
      </c>
      <c r="C166" s="131">
        <v>694.5</v>
      </c>
      <c r="D166" s="131">
        <v>0</v>
      </c>
      <c r="E166" s="82">
        <v>0</v>
      </c>
      <c r="F166" s="131">
        <v>0</v>
      </c>
      <c r="G166" s="199">
        <v>0</v>
      </c>
      <c r="H166" s="131">
        <v>0</v>
      </c>
      <c r="I166" s="131">
        <v>0</v>
      </c>
      <c r="J166" s="208">
        <v>0</v>
      </c>
      <c r="K166" s="127">
        <v>719</v>
      </c>
      <c r="L166" s="124">
        <v>0</v>
      </c>
      <c r="M166" s="121">
        <v>0</v>
      </c>
      <c r="N166" s="124">
        <v>9</v>
      </c>
      <c r="O166" s="124">
        <v>0</v>
      </c>
      <c r="P166" s="131">
        <v>68.599999999999994</v>
      </c>
      <c r="Q166" s="124">
        <v>0</v>
      </c>
      <c r="R166" s="124">
        <v>0</v>
      </c>
      <c r="S166" s="124">
        <v>0</v>
      </c>
      <c r="T166" s="127">
        <v>0</v>
      </c>
      <c r="U166" s="121">
        <v>0</v>
      </c>
      <c r="V166" s="121">
        <v>82</v>
      </c>
      <c r="W166" s="121">
        <v>0</v>
      </c>
      <c r="X166" s="131">
        <v>0</v>
      </c>
      <c r="Y166" s="119">
        <v>290</v>
      </c>
      <c r="Z166" s="82">
        <v>0</v>
      </c>
      <c r="AA166" s="79">
        <v>0</v>
      </c>
      <c r="AB166" s="79">
        <v>0</v>
      </c>
      <c r="AC166" s="209">
        <v>0</v>
      </c>
      <c r="AD166" s="211">
        <v>0</v>
      </c>
      <c r="AE166" s="89">
        <v>0</v>
      </c>
      <c r="AF166" s="89">
        <v>0</v>
      </c>
      <c r="AG166" s="89">
        <f>SUMIF('PreliminaryHD AR - School Level'!A167:A1473, "=" &amp; A166,'PreliminaryHD AR - School Level'!M167:M1473)</f>
        <v>0</v>
      </c>
      <c r="AH166" s="89">
        <v>1062.5</v>
      </c>
      <c r="AI166" s="89">
        <f t="shared" si="26"/>
        <v>0</v>
      </c>
      <c r="AJ166" s="89">
        <f t="shared" si="27"/>
        <v>0</v>
      </c>
      <c r="AK166" s="89">
        <f t="shared" si="28"/>
        <v>694.5</v>
      </c>
      <c r="AL166" s="89">
        <f t="shared" si="29"/>
        <v>9</v>
      </c>
      <c r="AM166" s="89">
        <f t="shared" si="30"/>
        <v>0</v>
      </c>
      <c r="AN166" s="89">
        <f t="shared" si="31"/>
        <v>0</v>
      </c>
      <c r="AO166" s="89">
        <f t="shared" si="32"/>
        <v>68.599999999999994</v>
      </c>
      <c r="AP166" s="83">
        <f t="shared" si="33"/>
        <v>82</v>
      </c>
      <c r="AQ166" s="89">
        <f t="shared" si="34"/>
        <v>0</v>
      </c>
      <c r="AR166" s="89">
        <f t="shared" si="35"/>
        <v>290</v>
      </c>
      <c r="AS166" s="83">
        <f t="shared" si="36"/>
        <v>719</v>
      </c>
      <c r="AT166" s="89">
        <v>0</v>
      </c>
      <c r="AU166" s="89">
        <f t="shared" si="37"/>
        <v>0</v>
      </c>
      <c r="AV166" s="108">
        <v>5064022</v>
      </c>
      <c r="AW166" s="126">
        <v>1062.5</v>
      </c>
      <c r="AX166" s="42">
        <v>1062.5</v>
      </c>
      <c r="AY166" s="208">
        <f t="shared" si="38"/>
        <v>0</v>
      </c>
      <c r="AZ166" s="290">
        <v>180250</v>
      </c>
      <c r="BA166" s="42"/>
      <c r="BB166" s="42"/>
      <c r="BD166" s="129"/>
    </row>
    <row r="167" spans="1:56">
      <c r="A167" s="235" t="s">
        <v>360</v>
      </c>
      <c r="B167" s="121">
        <v>1</v>
      </c>
      <c r="C167" s="131">
        <v>3325.3</v>
      </c>
      <c r="D167" s="131">
        <v>0</v>
      </c>
      <c r="E167" s="82">
        <v>0</v>
      </c>
      <c r="F167" s="131">
        <v>0</v>
      </c>
      <c r="G167" s="199">
        <v>0</v>
      </c>
      <c r="H167" s="131">
        <v>0</v>
      </c>
      <c r="I167" s="131">
        <v>0</v>
      </c>
      <c r="J167" s="208">
        <v>0</v>
      </c>
      <c r="K167" s="127">
        <v>3533</v>
      </c>
      <c r="L167" s="124">
        <v>0</v>
      </c>
      <c r="M167" s="121">
        <v>0</v>
      </c>
      <c r="N167" s="124">
        <v>28</v>
      </c>
      <c r="O167" s="124">
        <v>0</v>
      </c>
      <c r="P167" s="131">
        <v>544.29999999999995</v>
      </c>
      <c r="Q167" s="124">
        <v>0</v>
      </c>
      <c r="R167" s="124">
        <v>464.8</v>
      </c>
      <c r="S167" s="124">
        <v>0</v>
      </c>
      <c r="T167" s="127">
        <v>202</v>
      </c>
      <c r="U167" s="121">
        <v>0</v>
      </c>
      <c r="V167" s="121">
        <v>1459</v>
      </c>
      <c r="W167" s="121">
        <v>0</v>
      </c>
      <c r="X167" s="131">
        <v>0</v>
      </c>
      <c r="Y167" s="119">
        <v>1120</v>
      </c>
      <c r="Z167" s="82">
        <v>0</v>
      </c>
      <c r="AA167" s="79">
        <v>9</v>
      </c>
      <c r="AB167" s="79">
        <v>3.1</v>
      </c>
      <c r="AC167" s="209">
        <v>0</v>
      </c>
      <c r="AD167" s="211">
        <v>0</v>
      </c>
      <c r="AE167" s="89">
        <v>0</v>
      </c>
      <c r="AF167" s="89">
        <v>64.3</v>
      </c>
      <c r="AG167" s="89">
        <f>SUMIF('PreliminaryHD AR - School Level'!A168:A1474, "=" &amp; A167,'PreliminaryHD AR - School Level'!M168:M1474)</f>
        <v>75</v>
      </c>
      <c r="AH167" s="89">
        <v>4514.7</v>
      </c>
      <c r="AI167" s="89">
        <f t="shared" si="26"/>
        <v>0</v>
      </c>
      <c r="AJ167" s="89">
        <f t="shared" si="27"/>
        <v>0</v>
      </c>
      <c r="AK167" s="89">
        <f t="shared" si="28"/>
        <v>3325.3</v>
      </c>
      <c r="AL167" s="89">
        <f t="shared" si="29"/>
        <v>28</v>
      </c>
      <c r="AM167" s="89">
        <f t="shared" si="30"/>
        <v>464.8</v>
      </c>
      <c r="AN167" s="89">
        <f t="shared" si="31"/>
        <v>202</v>
      </c>
      <c r="AO167" s="89">
        <f t="shared" si="32"/>
        <v>544.29999999999995</v>
      </c>
      <c r="AP167" s="83">
        <f t="shared" si="33"/>
        <v>1459</v>
      </c>
      <c r="AQ167" s="89">
        <f t="shared" si="34"/>
        <v>0</v>
      </c>
      <c r="AR167" s="89">
        <f t="shared" si="35"/>
        <v>1120</v>
      </c>
      <c r="AS167" s="83">
        <f t="shared" si="36"/>
        <v>3533</v>
      </c>
      <c r="AT167" s="89">
        <v>0</v>
      </c>
      <c r="AU167" s="89">
        <f t="shared" si="37"/>
        <v>75</v>
      </c>
      <c r="AV167" s="108">
        <v>21729366</v>
      </c>
      <c r="AW167" s="126">
        <v>4514.7</v>
      </c>
      <c r="AX167" s="42">
        <v>4514.7</v>
      </c>
      <c r="AY167" s="208">
        <f t="shared" si="38"/>
        <v>0</v>
      </c>
      <c r="AZ167" s="290">
        <v>560560</v>
      </c>
      <c r="BA167" s="42"/>
      <c r="BB167" s="42"/>
      <c r="BD167" s="129"/>
    </row>
    <row r="168" spans="1:56">
      <c r="A168" s="235" t="s">
        <v>361</v>
      </c>
      <c r="B168" s="121">
        <v>1</v>
      </c>
      <c r="C168" s="131">
        <v>392.7</v>
      </c>
      <c r="D168" s="131">
        <v>0</v>
      </c>
      <c r="E168" s="82">
        <v>0</v>
      </c>
      <c r="F168" s="131">
        <v>0</v>
      </c>
      <c r="G168" s="199">
        <v>0</v>
      </c>
      <c r="H168" s="131">
        <v>0</v>
      </c>
      <c r="I168" s="131">
        <v>0</v>
      </c>
      <c r="J168" s="208">
        <v>0</v>
      </c>
      <c r="K168" s="127">
        <v>414</v>
      </c>
      <c r="L168" s="124">
        <v>0</v>
      </c>
      <c r="M168" s="121">
        <v>0</v>
      </c>
      <c r="N168" s="124">
        <v>8.5</v>
      </c>
      <c r="O168" s="124">
        <v>0</v>
      </c>
      <c r="P168" s="131">
        <v>85.4</v>
      </c>
      <c r="Q168" s="124">
        <v>0</v>
      </c>
      <c r="R168" s="124">
        <v>719.1</v>
      </c>
      <c r="S168" s="124">
        <v>0</v>
      </c>
      <c r="T168" s="127">
        <v>128</v>
      </c>
      <c r="U168" s="121">
        <v>0</v>
      </c>
      <c r="V168" s="121">
        <v>203</v>
      </c>
      <c r="W168" s="121">
        <v>0</v>
      </c>
      <c r="X168" s="131">
        <v>0</v>
      </c>
      <c r="Y168" s="119">
        <v>80</v>
      </c>
      <c r="Z168" s="82">
        <v>0</v>
      </c>
      <c r="AA168" s="79">
        <v>0</v>
      </c>
      <c r="AB168" s="79">
        <v>0</v>
      </c>
      <c r="AC168" s="209">
        <v>0</v>
      </c>
      <c r="AD168" s="211">
        <v>0</v>
      </c>
      <c r="AE168" s="89">
        <v>0</v>
      </c>
      <c r="AF168" s="89">
        <v>19.899999999999999</v>
      </c>
      <c r="AG168" s="89">
        <f>SUMIF('PreliminaryHD AR - School Level'!A169:A1475, "=" &amp; A168,'PreliminaryHD AR - School Level'!M169:M1475)</f>
        <v>17.5</v>
      </c>
      <c r="AH168" s="89">
        <v>845.1</v>
      </c>
      <c r="AI168" s="89">
        <f t="shared" si="26"/>
        <v>0</v>
      </c>
      <c r="AJ168" s="89">
        <f t="shared" si="27"/>
        <v>0</v>
      </c>
      <c r="AK168" s="89">
        <f t="shared" si="28"/>
        <v>392.7</v>
      </c>
      <c r="AL168" s="89">
        <f t="shared" si="29"/>
        <v>8.5</v>
      </c>
      <c r="AM168" s="89">
        <f t="shared" si="30"/>
        <v>719.1</v>
      </c>
      <c r="AN168" s="89">
        <f t="shared" si="31"/>
        <v>128</v>
      </c>
      <c r="AO168" s="89">
        <f t="shared" si="32"/>
        <v>85.4</v>
      </c>
      <c r="AP168" s="83">
        <f t="shared" si="33"/>
        <v>203</v>
      </c>
      <c r="AQ168" s="89">
        <f t="shared" si="34"/>
        <v>0</v>
      </c>
      <c r="AR168" s="89">
        <f t="shared" si="35"/>
        <v>80</v>
      </c>
      <c r="AS168" s="83">
        <f t="shared" si="36"/>
        <v>414</v>
      </c>
      <c r="AT168" s="89">
        <v>0</v>
      </c>
      <c r="AU168" s="89">
        <f t="shared" si="37"/>
        <v>19.899999999999999</v>
      </c>
      <c r="AV168" s="108">
        <v>3857623</v>
      </c>
      <c r="AW168" s="126">
        <v>845.1</v>
      </c>
      <c r="AX168" s="42">
        <v>845.1</v>
      </c>
      <c r="AY168" s="208">
        <f t="shared" si="38"/>
        <v>0</v>
      </c>
      <c r="AZ168" s="290">
        <v>140445</v>
      </c>
      <c r="BA168" s="42"/>
      <c r="BB168" s="42"/>
      <c r="BD168" s="129"/>
    </row>
    <row r="169" spans="1:56">
      <c r="A169" s="235" t="s">
        <v>362</v>
      </c>
      <c r="B169" s="121">
        <v>1</v>
      </c>
      <c r="C169" s="131">
        <v>1936.8</v>
      </c>
      <c r="D169" s="131">
        <v>0</v>
      </c>
      <c r="E169" s="82">
        <v>0</v>
      </c>
      <c r="F169" s="131">
        <v>0</v>
      </c>
      <c r="G169" s="199">
        <v>0</v>
      </c>
      <c r="H169" s="131">
        <v>0</v>
      </c>
      <c r="I169" s="131">
        <v>0</v>
      </c>
      <c r="J169" s="208">
        <v>0</v>
      </c>
      <c r="K169" s="127">
        <v>1972</v>
      </c>
      <c r="L169" s="124">
        <v>0</v>
      </c>
      <c r="M169" s="121">
        <v>0</v>
      </c>
      <c r="N169" s="124">
        <v>9.5</v>
      </c>
      <c r="O169" s="124">
        <v>0</v>
      </c>
      <c r="P169" s="131">
        <v>604.9</v>
      </c>
      <c r="Q169" s="124">
        <v>0</v>
      </c>
      <c r="R169" s="124">
        <v>6.9</v>
      </c>
      <c r="S169" s="124">
        <v>0</v>
      </c>
      <c r="T169" s="127">
        <v>19</v>
      </c>
      <c r="U169" s="121">
        <v>0</v>
      </c>
      <c r="V169" s="121">
        <v>442</v>
      </c>
      <c r="W169" s="121">
        <v>0</v>
      </c>
      <c r="X169" s="131">
        <v>0</v>
      </c>
      <c r="Y169" s="119">
        <v>687.4</v>
      </c>
      <c r="Z169" s="82">
        <v>0</v>
      </c>
      <c r="AA169" s="79">
        <v>6</v>
      </c>
      <c r="AB169" s="79">
        <v>0.4</v>
      </c>
      <c r="AC169" s="209">
        <v>34</v>
      </c>
      <c r="AD169" s="211">
        <v>0</v>
      </c>
      <c r="AE169" s="89">
        <v>0</v>
      </c>
      <c r="AF169" s="89">
        <v>0</v>
      </c>
      <c r="AG169" s="89">
        <f>SUMIF('PreliminaryHD AR - School Level'!A170:A1476, "=" &amp; A169,'PreliminaryHD AR - School Level'!M170:M1476)</f>
        <v>1</v>
      </c>
      <c r="AH169" s="89">
        <v>2392.6999999999998</v>
      </c>
      <c r="AI169" s="89">
        <f t="shared" si="26"/>
        <v>0</v>
      </c>
      <c r="AJ169" s="89">
        <f t="shared" si="27"/>
        <v>0</v>
      </c>
      <c r="AK169" s="89">
        <f t="shared" si="28"/>
        <v>1936.8</v>
      </c>
      <c r="AL169" s="89">
        <f t="shared" si="29"/>
        <v>9.5</v>
      </c>
      <c r="AM169" s="89">
        <f t="shared" si="30"/>
        <v>6.9</v>
      </c>
      <c r="AN169" s="89">
        <f t="shared" si="31"/>
        <v>19</v>
      </c>
      <c r="AO169" s="89">
        <f t="shared" si="32"/>
        <v>604.9</v>
      </c>
      <c r="AP169" s="83">
        <f t="shared" si="33"/>
        <v>442</v>
      </c>
      <c r="AQ169" s="89">
        <f t="shared" si="34"/>
        <v>0</v>
      </c>
      <c r="AR169" s="89">
        <f t="shared" si="35"/>
        <v>687.4</v>
      </c>
      <c r="AS169" s="83">
        <f t="shared" si="36"/>
        <v>1972</v>
      </c>
      <c r="AT169" s="89">
        <v>0</v>
      </c>
      <c r="AU169" s="89">
        <f t="shared" si="37"/>
        <v>1</v>
      </c>
      <c r="AV169" s="108">
        <v>11786699</v>
      </c>
      <c r="AW169" s="126">
        <v>2392.6999999999998</v>
      </c>
      <c r="AX169" s="42">
        <v>2392.6999999999998</v>
      </c>
      <c r="AY169" s="208">
        <f t="shared" si="38"/>
        <v>0</v>
      </c>
      <c r="AZ169" s="290">
        <v>378680</v>
      </c>
      <c r="BA169" s="42"/>
      <c r="BB169" s="42"/>
      <c r="BD169" s="129"/>
    </row>
    <row r="170" spans="1:56">
      <c r="A170" s="235" t="s">
        <v>363</v>
      </c>
      <c r="B170" s="121">
        <v>1</v>
      </c>
      <c r="C170" s="131">
        <v>483.5</v>
      </c>
      <c r="D170" s="131">
        <v>0</v>
      </c>
      <c r="E170" s="82">
        <v>0</v>
      </c>
      <c r="F170" s="131">
        <v>0</v>
      </c>
      <c r="G170" s="199">
        <v>0</v>
      </c>
      <c r="H170" s="131">
        <v>0</v>
      </c>
      <c r="I170" s="131">
        <v>0</v>
      </c>
      <c r="J170" s="208">
        <v>0</v>
      </c>
      <c r="K170" s="127">
        <v>495</v>
      </c>
      <c r="L170" s="124">
        <v>0</v>
      </c>
      <c r="M170" s="121">
        <v>0</v>
      </c>
      <c r="N170" s="124">
        <v>4</v>
      </c>
      <c r="O170" s="124">
        <v>0</v>
      </c>
      <c r="P170" s="131">
        <v>143.4</v>
      </c>
      <c r="Q170" s="124">
        <v>0</v>
      </c>
      <c r="R170" s="124">
        <v>0</v>
      </c>
      <c r="S170" s="124">
        <v>0</v>
      </c>
      <c r="T170" s="127">
        <v>2</v>
      </c>
      <c r="U170" s="121">
        <v>0</v>
      </c>
      <c r="V170" s="121">
        <v>136</v>
      </c>
      <c r="W170" s="121">
        <v>0</v>
      </c>
      <c r="X170" s="131">
        <v>0</v>
      </c>
      <c r="Y170" s="119">
        <v>108</v>
      </c>
      <c r="Z170" s="82">
        <v>0</v>
      </c>
      <c r="AA170" s="79">
        <v>0</v>
      </c>
      <c r="AB170" s="79">
        <v>0</v>
      </c>
      <c r="AC170" s="209">
        <v>0</v>
      </c>
      <c r="AD170" s="211">
        <v>0</v>
      </c>
      <c r="AE170" s="89">
        <v>0</v>
      </c>
      <c r="AF170" s="89">
        <v>0</v>
      </c>
      <c r="AG170" s="89">
        <f>SUMIF('PreliminaryHD AR - School Level'!A171:A1477, "=" &amp; A170,'PreliminaryHD AR - School Level'!M171:M1477)</f>
        <v>0</v>
      </c>
      <c r="AH170" s="89">
        <v>826.2</v>
      </c>
      <c r="AI170" s="89">
        <f t="shared" si="26"/>
        <v>0</v>
      </c>
      <c r="AJ170" s="89">
        <f t="shared" si="27"/>
        <v>0</v>
      </c>
      <c r="AK170" s="89">
        <f t="shared" si="28"/>
        <v>483.5</v>
      </c>
      <c r="AL170" s="89">
        <f t="shared" si="29"/>
        <v>4</v>
      </c>
      <c r="AM170" s="89">
        <f t="shared" si="30"/>
        <v>0</v>
      </c>
      <c r="AN170" s="89">
        <f t="shared" si="31"/>
        <v>2</v>
      </c>
      <c r="AO170" s="89">
        <f t="shared" si="32"/>
        <v>143.4</v>
      </c>
      <c r="AP170" s="83">
        <f t="shared" si="33"/>
        <v>136</v>
      </c>
      <c r="AQ170" s="89">
        <f t="shared" si="34"/>
        <v>0</v>
      </c>
      <c r="AR170" s="89">
        <f t="shared" si="35"/>
        <v>108</v>
      </c>
      <c r="AS170" s="83">
        <f t="shared" si="36"/>
        <v>495</v>
      </c>
      <c r="AT170" s="89">
        <v>0</v>
      </c>
      <c r="AU170" s="89">
        <f t="shared" si="37"/>
        <v>0</v>
      </c>
      <c r="AV170" s="108">
        <v>4124600</v>
      </c>
      <c r="AW170" s="126">
        <v>826.2</v>
      </c>
      <c r="AX170" s="42">
        <v>826.2</v>
      </c>
      <c r="AY170" s="208">
        <f t="shared" si="38"/>
        <v>0</v>
      </c>
      <c r="AZ170" s="290">
        <v>81060</v>
      </c>
      <c r="BA170" s="42"/>
      <c r="BB170" s="42"/>
      <c r="BD170" s="129"/>
    </row>
    <row r="171" spans="1:56">
      <c r="A171" s="235" t="s">
        <v>364</v>
      </c>
      <c r="B171" s="121">
        <v>1</v>
      </c>
      <c r="C171" s="131">
        <v>480</v>
      </c>
      <c r="D171" s="131">
        <v>0</v>
      </c>
      <c r="E171" s="82">
        <v>0</v>
      </c>
      <c r="F171" s="131">
        <v>0</v>
      </c>
      <c r="G171" s="199">
        <v>0</v>
      </c>
      <c r="H171" s="131">
        <v>0</v>
      </c>
      <c r="I171" s="131">
        <v>0</v>
      </c>
      <c r="J171" s="208">
        <v>0</v>
      </c>
      <c r="K171" s="127">
        <v>491</v>
      </c>
      <c r="L171" s="124">
        <v>0</v>
      </c>
      <c r="M171" s="121">
        <v>0</v>
      </c>
      <c r="N171" s="124">
        <v>4</v>
      </c>
      <c r="O171" s="124">
        <v>0</v>
      </c>
      <c r="P171" s="131">
        <v>158.80000000000001</v>
      </c>
      <c r="Q171" s="124">
        <v>0</v>
      </c>
      <c r="R171" s="124">
        <v>0</v>
      </c>
      <c r="S171" s="124">
        <v>0</v>
      </c>
      <c r="T171" s="127">
        <v>2</v>
      </c>
      <c r="U171" s="121">
        <v>0</v>
      </c>
      <c r="V171" s="121">
        <v>158</v>
      </c>
      <c r="W171" s="121">
        <v>0</v>
      </c>
      <c r="X171" s="131">
        <v>0</v>
      </c>
      <c r="Y171" s="119">
        <v>302.5</v>
      </c>
      <c r="Z171" s="82">
        <v>0</v>
      </c>
      <c r="AA171" s="79">
        <v>0</v>
      </c>
      <c r="AB171" s="79">
        <v>0</v>
      </c>
      <c r="AC171" s="209">
        <v>0</v>
      </c>
      <c r="AD171" s="211">
        <v>0</v>
      </c>
      <c r="AE171" s="89">
        <v>0</v>
      </c>
      <c r="AF171" s="89">
        <v>0</v>
      </c>
      <c r="AG171" s="89">
        <f>SUMIF('PreliminaryHD AR - School Level'!A172:A1478, "=" &amp; A171,'PreliminaryHD AR - School Level'!M172:M1478)</f>
        <v>0.1</v>
      </c>
      <c r="AH171" s="89">
        <v>910.4</v>
      </c>
      <c r="AI171" s="89">
        <f t="shared" si="26"/>
        <v>0</v>
      </c>
      <c r="AJ171" s="89">
        <f t="shared" si="27"/>
        <v>0</v>
      </c>
      <c r="AK171" s="89">
        <f t="shared" si="28"/>
        <v>480</v>
      </c>
      <c r="AL171" s="89">
        <f t="shared" si="29"/>
        <v>4</v>
      </c>
      <c r="AM171" s="89">
        <f t="shared" si="30"/>
        <v>0</v>
      </c>
      <c r="AN171" s="89">
        <f t="shared" si="31"/>
        <v>2</v>
      </c>
      <c r="AO171" s="89">
        <f t="shared" si="32"/>
        <v>158.80000000000001</v>
      </c>
      <c r="AP171" s="83">
        <f t="shared" si="33"/>
        <v>158</v>
      </c>
      <c r="AQ171" s="89">
        <f t="shared" si="34"/>
        <v>0</v>
      </c>
      <c r="AR171" s="89">
        <f t="shared" si="35"/>
        <v>302.5</v>
      </c>
      <c r="AS171" s="83">
        <f t="shared" si="36"/>
        <v>491</v>
      </c>
      <c r="AT171" s="89">
        <v>0</v>
      </c>
      <c r="AU171" s="89">
        <f t="shared" si="37"/>
        <v>0.1</v>
      </c>
      <c r="AV171" s="108">
        <v>4737277</v>
      </c>
      <c r="AW171" s="126">
        <v>910.4</v>
      </c>
      <c r="AX171" s="42">
        <v>910.4</v>
      </c>
      <c r="AY171" s="208">
        <f t="shared" si="38"/>
        <v>0</v>
      </c>
      <c r="AZ171" s="290">
        <v>603464</v>
      </c>
      <c r="BA171" s="42"/>
      <c r="BB171" s="42"/>
      <c r="BD171" s="129"/>
    </row>
    <row r="172" spans="1:56">
      <c r="A172" s="235" t="s">
        <v>365</v>
      </c>
      <c r="B172" s="121">
        <v>1</v>
      </c>
      <c r="C172" s="131">
        <v>663.5</v>
      </c>
      <c r="D172" s="131">
        <v>0</v>
      </c>
      <c r="E172" s="82">
        <v>0</v>
      </c>
      <c r="F172" s="131">
        <v>0</v>
      </c>
      <c r="G172" s="199">
        <v>0</v>
      </c>
      <c r="H172" s="131">
        <v>0</v>
      </c>
      <c r="I172" s="131">
        <v>0</v>
      </c>
      <c r="J172" s="208">
        <v>0</v>
      </c>
      <c r="K172" s="127">
        <v>669</v>
      </c>
      <c r="L172" s="124">
        <v>0</v>
      </c>
      <c r="M172" s="121">
        <v>0</v>
      </c>
      <c r="N172" s="124">
        <v>0</v>
      </c>
      <c r="O172" s="124">
        <v>0</v>
      </c>
      <c r="P172" s="131">
        <v>177.1</v>
      </c>
      <c r="Q172" s="124">
        <v>0</v>
      </c>
      <c r="R172" s="124">
        <v>0</v>
      </c>
      <c r="S172" s="124">
        <v>0</v>
      </c>
      <c r="T172" s="127">
        <v>5</v>
      </c>
      <c r="U172" s="121">
        <v>0</v>
      </c>
      <c r="V172" s="121">
        <v>142</v>
      </c>
      <c r="W172" s="121">
        <v>0</v>
      </c>
      <c r="X172" s="131">
        <v>0</v>
      </c>
      <c r="Y172" s="119">
        <v>409.7</v>
      </c>
      <c r="Z172" s="82">
        <v>0</v>
      </c>
      <c r="AA172" s="79">
        <v>0</v>
      </c>
      <c r="AB172" s="79">
        <v>0</v>
      </c>
      <c r="AC172" s="209">
        <v>0</v>
      </c>
      <c r="AD172" s="211">
        <v>0</v>
      </c>
      <c r="AE172" s="89">
        <v>0</v>
      </c>
      <c r="AF172" s="89">
        <v>0</v>
      </c>
      <c r="AG172" s="89">
        <f>SUMIF('PreliminaryHD AR - School Level'!A173:A1479, "=" &amp; A172,'PreliminaryHD AR - School Level'!M173:M1479)</f>
        <v>0</v>
      </c>
      <c r="AH172" s="89">
        <v>1086.5999999999999</v>
      </c>
      <c r="AI172" s="89">
        <f t="shared" si="26"/>
        <v>0</v>
      </c>
      <c r="AJ172" s="89">
        <f t="shared" si="27"/>
        <v>0</v>
      </c>
      <c r="AK172" s="89">
        <f t="shared" si="28"/>
        <v>663.5</v>
      </c>
      <c r="AL172" s="89">
        <f t="shared" si="29"/>
        <v>0</v>
      </c>
      <c r="AM172" s="89">
        <f t="shared" si="30"/>
        <v>0</v>
      </c>
      <c r="AN172" s="89">
        <f t="shared" si="31"/>
        <v>5</v>
      </c>
      <c r="AO172" s="89">
        <f t="shared" si="32"/>
        <v>177.1</v>
      </c>
      <c r="AP172" s="83">
        <f t="shared" si="33"/>
        <v>142</v>
      </c>
      <c r="AQ172" s="89">
        <f t="shared" si="34"/>
        <v>0</v>
      </c>
      <c r="AR172" s="89">
        <f t="shared" si="35"/>
        <v>409.7</v>
      </c>
      <c r="AS172" s="83">
        <f t="shared" si="36"/>
        <v>669</v>
      </c>
      <c r="AT172" s="89">
        <v>0</v>
      </c>
      <c r="AU172" s="89">
        <f t="shared" si="37"/>
        <v>0</v>
      </c>
      <c r="AV172" s="108">
        <v>5420748</v>
      </c>
      <c r="AW172" s="126">
        <v>1086.5999999999999</v>
      </c>
      <c r="AX172" s="42">
        <v>1086.5999999999999</v>
      </c>
      <c r="AY172" s="208">
        <f t="shared" si="38"/>
        <v>0</v>
      </c>
      <c r="AZ172" s="290">
        <v>315505</v>
      </c>
      <c r="BA172" s="42"/>
      <c r="BB172" s="42"/>
      <c r="BD172" s="129"/>
    </row>
    <row r="173" spans="1:56">
      <c r="A173" s="235" t="s">
        <v>366</v>
      </c>
      <c r="B173" s="121">
        <v>1</v>
      </c>
      <c r="C173" s="131">
        <v>1293.5999999999999</v>
      </c>
      <c r="D173" s="131">
        <v>0</v>
      </c>
      <c r="E173" s="82">
        <v>0</v>
      </c>
      <c r="F173" s="131">
        <v>0</v>
      </c>
      <c r="G173" s="199">
        <v>0</v>
      </c>
      <c r="H173" s="131">
        <v>0</v>
      </c>
      <c r="I173" s="131">
        <v>0</v>
      </c>
      <c r="J173" s="208">
        <v>0</v>
      </c>
      <c r="K173" s="127">
        <v>1314</v>
      </c>
      <c r="L173" s="124">
        <v>0</v>
      </c>
      <c r="M173" s="121">
        <v>0</v>
      </c>
      <c r="N173" s="124">
        <v>2</v>
      </c>
      <c r="O173" s="124">
        <v>0</v>
      </c>
      <c r="P173" s="131">
        <v>492.6</v>
      </c>
      <c r="Q173" s="124">
        <v>0</v>
      </c>
      <c r="R173" s="124">
        <v>7.1</v>
      </c>
      <c r="S173" s="124">
        <v>0</v>
      </c>
      <c r="T173" s="127">
        <v>4</v>
      </c>
      <c r="U173" s="121">
        <v>0</v>
      </c>
      <c r="V173" s="121">
        <v>395</v>
      </c>
      <c r="W173" s="121">
        <v>0</v>
      </c>
      <c r="X173" s="131">
        <v>0</v>
      </c>
      <c r="Y173" s="119">
        <v>384</v>
      </c>
      <c r="Z173" s="82">
        <v>0</v>
      </c>
      <c r="AA173" s="79">
        <v>6</v>
      </c>
      <c r="AB173" s="79">
        <v>0.8</v>
      </c>
      <c r="AC173" s="209">
        <v>4</v>
      </c>
      <c r="AD173" s="211">
        <v>0</v>
      </c>
      <c r="AE173" s="89">
        <v>0</v>
      </c>
      <c r="AF173" s="89">
        <v>0</v>
      </c>
      <c r="AG173" s="89">
        <f>SUMIF('PreliminaryHD AR - School Level'!A174:A1480, "=" &amp; A173,'PreliminaryHD AR - School Level'!M174:M1480)</f>
        <v>0</v>
      </c>
      <c r="AH173" s="89">
        <v>1860.4</v>
      </c>
      <c r="AI173" s="89">
        <f t="shared" si="26"/>
        <v>0</v>
      </c>
      <c r="AJ173" s="89">
        <f t="shared" si="27"/>
        <v>0</v>
      </c>
      <c r="AK173" s="89">
        <f t="shared" si="28"/>
        <v>1293.5999999999999</v>
      </c>
      <c r="AL173" s="89">
        <f t="shared" si="29"/>
        <v>2</v>
      </c>
      <c r="AM173" s="89">
        <f t="shared" si="30"/>
        <v>7.1</v>
      </c>
      <c r="AN173" s="89">
        <f t="shared" si="31"/>
        <v>4</v>
      </c>
      <c r="AO173" s="89">
        <f t="shared" si="32"/>
        <v>492.6</v>
      </c>
      <c r="AP173" s="83">
        <f t="shared" si="33"/>
        <v>395</v>
      </c>
      <c r="AQ173" s="89">
        <f t="shared" si="34"/>
        <v>0</v>
      </c>
      <c r="AR173" s="89">
        <f t="shared" si="35"/>
        <v>384</v>
      </c>
      <c r="AS173" s="83">
        <f t="shared" si="36"/>
        <v>1314</v>
      </c>
      <c r="AT173" s="89">
        <v>0</v>
      </c>
      <c r="AU173" s="89">
        <f t="shared" si="37"/>
        <v>0</v>
      </c>
      <c r="AV173" s="108">
        <v>9469653</v>
      </c>
      <c r="AW173" s="126">
        <v>1860.4</v>
      </c>
      <c r="AX173" s="42">
        <v>1860.4</v>
      </c>
      <c r="AY173" s="208">
        <f t="shared" si="38"/>
        <v>0</v>
      </c>
      <c r="AZ173" s="290">
        <v>513623</v>
      </c>
      <c r="BA173" s="42"/>
      <c r="BB173" s="42"/>
      <c r="BD173" s="129"/>
    </row>
    <row r="174" spans="1:56">
      <c r="A174" s="235" t="s">
        <v>367</v>
      </c>
      <c r="B174" s="121">
        <v>1</v>
      </c>
      <c r="C174" s="131">
        <v>528.70000000000005</v>
      </c>
      <c r="D174" s="131">
        <v>0</v>
      </c>
      <c r="E174" s="82">
        <v>0</v>
      </c>
      <c r="F174" s="131">
        <v>0</v>
      </c>
      <c r="G174" s="199">
        <v>0</v>
      </c>
      <c r="H174" s="131">
        <v>0</v>
      </c>
      <c r="I174" s="131">
        <v>0</v>
      </c>
      <c r="J174" s="208">
        <v>0</v>
      </c>
      <c r="K174" s="127">
        <v>559</v>
      </c>
      <c r="L174" s="124">
        <v>0</v>
      </c>
      <c r="M174" s="121">
        <v>0</v>
      </c>
      <c r="N174" s="124">
        <v>12.5</v>
      </c>
      <c r="O174" s="124">
        <v>0</v>
      </c>
      <c r="P174" s="131">
        <v>177</v>
      </c>
      <c r="Q174" s="124">
        <v>0</v>
      </c>
      <c r="R174" s="124">
        <v>0</v>
      </c>
      <c r="S174" s="124">
        <v>0</v>
      </c>
      <c r="T174" s="127">
        <v>1</v>
      </c>
      <c r="U174" s="121">
        <v>0</v>
      </c>
      <c r="V174" s="121">
        <v>104</v>
      </c>
      <c r="W174" s="121">
        <v>0</v>
      </c>
      <c r="X174" s="131">
        <v>0</v>
      </c>
      <c r="Y174" s="119">
        <v>287</v>
      </c>
      <c r="Z174" s="82">
        <v>0</v>
      </c>
      <c r="AA174" s="79">
        <v>0</v>
      </c>
      <c r="AB174" s="79">
        <v>0</v>
      </c>
      <c r="AC174" s="209">
        <v>0</v>
      </c>
      <c r="AD174" s="211">
        <v>0</v>
      </c>
      <c r="AE174" s="89">
        <v>0</v>
      </c>
      <c r="AF174" s="89">
        <v>0</v>
      </c>
      <c r="AG174" s="89">
        <f>SUMIF('PreliminaryHD AR - School Level'!A175:A1481, "=" &amp; A174,'PreliminaryHD AR - School Level'!M175:M1481)</f>
        <v>0</v>
      </c>
      <c r="AH174" s="89">
        <v>937.3</v>
      </c>
      <c r="AI174" s="89">
        <f t="shared" si="26"/>
        <v>0</v>
      </c>
      <c r="AJ174" s="89">
        <f t="shared" si="27"/>
        <v>0</v>
      </c>
      <c r="AK174" s="89">
        <f t="shared" si="28"/>
        <v>528.70000000000005</v>
      </c>
      <c r="AL174" s="89">
        <f t="shared" si="29"/>
        <v>12.5</v>
      </c>
      <c r="AM174" s="89">
        <f t="shared" si="30"/>
        <v>0</v>
      </c>
      <c r="AN174" s="89">
        <f t="shared" si="31"/>
        <v>1</v>
      </c>
      <c r="AO174" s="89">
        <f t="shared" si="32"/>
        <v>177</v>
      </c>
      <c r="AP174" s="83">
        <f t="shared" si="33"/>
        <v>104</v>
      </c>
      <c r="AQ174" s="89">
        <f t="shared" si="34"/>
        <v>0</v>
      </c>
      <c r="AR174" s="89">
        <f t="shared" si="35"/>
        <v>287</v>
      </c>
      <c r="AS174" s="83">
        <f t="shared" si="36"/>
        <v>559</v>
      </c>
      <c r="AT174" s="89">
        <v>0</v>
      </c>
      <c r="AU174" s="89">
        <f t="shared" si="37"/>
        <v>0</v>
      </c>
      <c r="AV174" s="108">
        <v>4274956</v>
      </c>
      <c r="AW174" s="126">
        <v>937.3</v>
      </c>
      <c r="AX174" s="42">
        <v>937.3</v>
      </c>
      <c r="AY174" s="208">
        <f t="shared" si="38"/>
        <v>0</v>
      </c>
      <c r="AZ174" s="290">
        <v>329128</v>
      </c>
      <c r="BA174" s="42"/>
      <c r="BB174" s="42"/>
      <c r="BD174" s="129"/>
    </row>
    <row r="175" spans="1:56">
      <c r="A175" s="235" t="s">
        <v>368</v>
      </c>
      <c r="B175" s="121">
        <v>1</v>
      </c>
      <c r="C175" s="131">
        <v>318.5</v>
      </c>
      <c r="D175" s="131">
        <v>0</v>
      </c>
      <c r="E175" s="82">
        <v>0</v>
      </c>
      <c r="F175" s="131">
        <v>0</v>
      </c>
      <c r="G175" s="199">
        <v>0</v>
      </c>
      <c r="H175" s="131">
        <v>0</v>
      </c>
      <c r="I175" s="131">
        <v>0</v>
      </c>
      <c r="J175" s="208">
        <v>0</v>
      </c>
      <c r="K175" s="127">
        <v>328</v>
      </c>
      <c r="L175" s="124">
        <v>0</v>
      </c>
      <c r="M175" s="121">
        <v>0</v>
      </c>
      <c r="N175" s="124">
        <v>4.5</v>
      </c>
      <c r="O175" s="124">
        <v>0</v>
      </c>
      <c r="P175" s="131">
        <v>86.5</v>
      </c>
      <c r="Q175" s="124">
        <v>0</v>
      </c>
      <c r="R175" s="124">
        <v>25</v>
      </c>
      <c r="S175" s="124">
        <v>0</v>
      </c>
      <c r="T175" s="127">
        <v>15</v>
      </c>
      <c r="U175" s="121">
        <v>0</v>
      </c>
      <c r="V175" s="121">
        <v>67</v>
      </c>
      <c r="W175" s="121">
        <v>0</v>
      </c>
      <c r="X175" s="131">
        <v>0</v>
      </c>
      <c r="Y175" s="119">
        <v>61</v>
      </c>
      <c r="Z175" s="82">
        <v>0</v>
      </c>
      <c r="AA175" s="79">
        <v>0</v>
      </c>
      <c r="AB175" s="79">
        <v>0</v>
      </c>
      <c r="AC175" s="209">
        <v>0</v>
      </c>
      <c r="AD175" s="211">
        <v>0</v>
      </c>
      <c r="AE175" s="89">
        <v>0</v>
      </c>
      <c r="AF175" s="89">
        <v>0</v>
      </c>
      <c r="AG175" s="89">
        <f>SUMIF('PreliminaryHD AR - School Level'!A176:A1482, "=" &amp; A175,'PreliminaryHD AR - School Level'!M176:M1482)</f>
        <v>0</v>
      </c>
      <c r="AH175" s="89">
        <v>586.5</v>
      </c>
      <c r="AI175" s="89">
        <f t="shared" si="26"/>
        <v>0</v>
      </c>
      <c r="AJ175" s="89">
        <f t="shared" si="27"/>
        <v>0</v>
      </c>
      <c r="AK175" s="89">
        <f t="shared" si="28"/>
        <v>318.5</v>
      </c>
      <c r="AL175" s="89">
        <f t="shared" si="29"/>
        <v>4.5</v>
      </c>
      <c r="AM175" s="89">
        <f t="shared" si="30"/>
        <v>25</v>
      </c>
      <c r="AN175" s="89">
        <f t="shared" si="31"/>
        <v>15</v>
      </c>
      <c r="AO175" s="89">
        <f t="shared" si="32"/>
        <v>86.5</v>
      </c>
      <c r="AP175" s="83">
        <f t="shared" si="33"/>
        <v>67</v>
      </c>
      <c r="AQ175" s="89">
        <f t="shared" si="34"/>
        <v>0</v>
      </c>
      <c r="AR175" s="89">
        <f t="shared" si="35"/>
        <v>61</v>
      </c>
      <c r="AS175" s="83">
        <f t="shared" si="36"/>
        <v>328</v>
      </c>
      <c r="AT175" s="89">
        <v>0</v>
      </c>
      <c r="AU175" s="89">
        <f t="shared" si="37"/>
        <v>0</v>
      </c>
      <c r="AV175" s="108">
        <v>2792216</v>
      </c>
      <c r="AW175" s="126">
        <v>586.5</v>
      </c>
      <c r="AX175" s="42">
        <v>586.5</v>
      </c>
      <c r="AY175" s="208">
        <f t="shared" si="38"/>
        <v>0</v>
      </c>
      <c r="AZ175" s="290">
        <v>122960</v>
      </c>
      <c r="BA175" s="42"/>
      <c r="BB175" s="42"/>
      <c r="BD175" s="129"/>
    </row>
    <row r="176" spans="1:56">
      <c r="A176" s="235" t="s">
        <v>369</v>
      </c>
      <c r="B176" s="121">
        <v>1</v>
      </c>
      <c r="C176" s="131">
        <v>1125.4000000000001</v>
      </c>
      <c r="D176" s="131">
        <v>0</v>
      </c>
      <c r="E176" s="82">
        <v>0</v>
      </c>
      <c r="F176" s="131">
        <v>0</v>
      </c>
      <c r="G176" s="199">
        <v>0</v>
      </c>
      <c r="H176" s="131">
        <v>0</v>
      </c>
      <c r="I176" s="131">
        <v>0</v>
      </c>
      <c r="J176" s="208">
        <v>0</v>
      </c>
      <c r="K176" s="127">
        <v>1183</v>
      </c>
      <c r="L176" s="124">
        <v>0</v>
      </c>
      <c r="M176" s="121">
        <v>0</v>
      </c>
      <c r="N176" s="124">
        <v>21.5</v>
      </c>
      <c r="O176" s="124">
        <v>0</v>
      </c>
      <c r="P176" s="131">
        <v>230.4</v>
      </c>
      <c r="Q176" s="124">
        <v>0</v>
      </c>
      <c r="R176" s="124">
        <v>367.9</v>
      </c>
      <c r="S176" s="124">
        <v>0</v>
      </c>
      <c r="T176" s="127">
        <v>87</v>
      </c>
      <c r="U176" s="121">
        <v>0</v>
      </c>
      <c r="V176" s="121">
        <v>432</v>
      </c>
      <c r="W176" s="121">
        <v>0</v>
      </c>
      <c r="X176" s="131">
        <v>1</v>
      </c>
      <c r="Y176" s="119">
        <v>157</v>
      </c>
      <c r="Z176" s="82">
        <v>0</v>
      </c>
      <c r="AA176" s="79">
        <v>9</v>
      </c>
      <c r="AB176" s="79">
        <v>0</v>
      </c>
      <c r="AC176" s="209">
        <v>0</v>
      </c>
      <c r="AD176" s="211">
        <v>0</v>
      </c>
      <c r="AE176" s="89">
        <v>0</v>
      </c>
      <c r="AF176" s="89">
        <v>4.5999999999999996</v>
      </c>
      <c r="AG176" s="89">
        <f>SUMIF('PreliminaryHD AR - School Level'!A177:A1483, "=" &amp; A176,'PreliminaryHD AR - School Level'!M177:M1483)</f>
        <v>8.6999999999999993</v>
      </c>
      <c r="AH176" s="89">
        <v>1670</v>
      </c>
      <c r="AI176" s="89">
        <f t="shared" si="26"/>
        <v>0</v>
      </c>
      <c r="AJ176" s="89">
        <f t="shared" si="27"/>
        <v>0</v>
      </c>
      <c r="AK176" s="89">
        <f t="shared" si="28"/>
        <v>1125.4000000000001</v>
      </c>
      <c r="AL176" s="89">
        <f t="shared" si="29"/>
        <v>21.5</v>
      </c>
      <c r="AM176" s="89">
        <f t="shared" si="30"/>
        <v>367.9</v>
      </c>
      <c r="AN176" s="89">
        <f t="shared" si="31"/>
        <v>87</v>
      </c>
      <c r="AO176" s="89">
        <f t="shared" si="32"/>
        <v>230.4</v>
      </c>
      <c r="AP176" s="83">
        <f t="shared" si="33"/>
        <v>432</v>
      </c>
      <c r="AQ176" s="89">
        <f t="shared" si="34"/>
        <v>0</v>
      </c>
      <c r="AR176" s="89">
        <f t="shared" si="35"/>
        <v>157</v>
      </c>
      <c r="AS176" s="83">
        <f t="shared" si="36"/>
        <v>1183</v>
      </c>
      <c r="AT176" s="89">
        <v>0</v>
      </c>
      <c r="AU176" s="89">
        <f t="shared" si="37"/>
        <v>8.6999999999999993</v>
      </c>
      <c r="AV176" s="108">
        <v>8572751</v>
      </c>
      <c r="AW176" s="126">
        <v>1670</v>
      </c>
      <c r="AX176" s="42">
        <v>1670</v>
      </c>
      <c r="AY176" s="208">
        <f t="shared" si="38"/>
        <v>0</v>
      </c>
      <c r="AZ176" s="290">
        <v>200450</v>
      </c>
      <c r="BA176" s="42"/>
      <c r="BB176" s="42"/>
      <c r="BD176" s="129"/>
    </row>
    <row r="177" spans="1:56">
      <c r="A177" s="235" t="s">
        <v>370</v>
      </c>
      <c r="B177" s="121">
        <v>1</v>
      </c>
      <c r="C177" s="131">
        <v>6436</v>
      </c>
      <c r="D177" s="131">
        <v>0</v>
      </c>
      <c r="E177" s="82">
        <v>0</v>
      </c>
      <c r="F177" s="131">
        <v>0</v>
      </c>
      <c r="G177" s="199">
        <v>0</v>
      </c>
      <c r="H177" s="131">
        <v>0</v>
      </c>
      <c r="I177" s="131">
        <v>0</v>
      </c>
      <c r="J177" s="208">
        <v>0</v>
      </c>
      <c r="K177" s="127">
        <v>6554</v>
      </c>
      <c r="L177" s="124">
        <v>0</v>
      </c>
      <c r="M177" s="121">
        <v>0</v>
      </c>
      <c r="N177" s="124">
        <v>23.5</v>
      </c>
      <c r="O177" s="124">
        <v>0</v>
      </c>
      <c r="P177" s="131">
        <v>788.8</v>
      </c>
      <c r="Q177" s="124">
        <v>0</v>
      </c>
      <c r="R177" s="124">
        <v>1417.6</v>
      </c>
      <c r="S177" s="124">
        <v>0</v>
      </c>
      <c r="T177" s="127">
        <v>441</v>
      </c>
      <c r="U177" s="121">
        <v>0</v>
      </c>
      <c r="V177" s="121">
        <v>2062</v>
      </c>
      <c r="W177" s="121">
        <v>0</v>
      </c>
      <c r="X177" s="131">
        <v>0</v>
      </c>
      <c r="Y177" s="119">
        <v>2640</v>
      </c>
      <c r="Z177" s="82">
        <v>0</v>
      </c>
      <c r="AA177" s="79">
        <v>164</v>
      </c>
      <c r="AB177" s="79">
        <v>0</v>
      </c>
      <c r="AC177" s="209">
        <v>0</v>
      </c>
      <c r="AD177" s="211">
        <v>0</v>
      </c>
      <c r="AE177" s="89">
        <v>0</v>
      </c>
      <c r="AF177" s="89">
        <v>0</v>
      </c>
      <c r="AG177" s="89">
        <f>SUMIF('PreliminaryHD AR - School Level'!A178:A1484, "=" &amp; A177,'PreliminaryHD AR - School Level'!M178:M1484)</f>
        <v>65.7</v>
      </c>
      <c r="AH177" s="89">
        <v>8211.5</v>
      </c>
      <c r="AI177" s="89">
        <f t="shared" si="26"/>
        <v>0</v>
      </c>
      <c r="AJ177" s="89">
        <f t="shared" si="27"/>
        <v>0</v>
      </c>
      <c r="AK177" s="89">
        <f t="shared" si="28"/>
        <v>6436</v>
      </c>
      <c r="AL177" s="89">
        <f t="shared" si="29"/>
        <v>23.5</v>
      </c>
      <c r="AM177" s="89">
        <f t="shared" si="30"/>
        <v>1417.6</v>
      </c>
      <c r="AN177" s="89">
        <f t="shared" si="31"/>
        <v>441</v>
      </c>
      <c r="AO177" s="89">
        <f t="shared" si="32"/>
        <v>788.8</v>
      </c>
      <c r="AP177" s="83">
        <f t="shared" si="33"/>
        <v>2062</v>
      </c>
      <c r="AQ177" s="89">
        <f t="shared" si="34"/>
        <v>0</v>
      </c>
      <c r="AR177" s="89">
        <f t="shared" si="35"/>
        <v>2640</v>
      </c>
      <c r="AS177" s="83">
        <f t="shared" si="36"/>
        <v>6554</v>
      </c>
      <c r="AT177" s="89">
        <v>0</v>
      </c>
      <c r="AU177" s="89">
        <f t="shared" si="37"/>
        <v>65.7</v>
      </c>
      <c r="AV177" s="108">
        <v>43141980</v>
      </c>
      <c r="AW177" s="126">
        <v>8211.5</v>
      </c>
      <c r="AX177" s="42">
        <v>8211.5</v>
      </c>
      <c r="AY177" s="208">
        <f t="shared" si="38"/>
        <v>0</v>
      </c>
      <c r="AZ177" s="290">
        <v>1873100</v>
      </c>
      <c r="BA177" s="42"/>
      <c r="BB177" s="42"/>
      <c r="BD177" s="129"/>
    </row>
    <row r="178" spans="1:56">
      <c r="A178" s="235" t="s">
        <v>371</v>
      </c>
      <c r="B178" s="121">
        <v>1</v>
      </c>
      <c r="C178" s="131">
        <v>204.5</v>
      </c>
      <c r="D178" s="131">
        <v>0</v>
      </c>
      <c r="E178" s="82">
        <v>0</v>
      </c>
      <c r="F178" s="131">
        <v>0</v>
      </c>
      <c r="G178" s="199">
        <v>0</v>
      </c>
      <c r="H178" s="131">
        <v>0</v>
      </c>
      <c r="I178" s="131">
        <v>0</v>
      </c>
      <c r="J178" s="208">
        <v>0</v>
      </c>
      <c r="K178" s="127">
        <v>215</v>
      </c>
      <c r="L178" s="124">
        <v>0</v>
      </c>
      <c r="M178" s="121">
        <v>0</v>
      </c>
      <c r="N178" s="124">
        <v>4</v>
      </c>
      <c r="O178" s="124">
        <v>0</v>
      </c>
      <c r="P178" s="131">
        <v>96.8</v>
      </c>
      <c r="Q178" s="124">
        <v>0</v>
      </c>
      <c r="R178" s="124">
        <v>0</v>
      </c>
      <c r="S178" s="124">
        <v>0</v>
      </c>
      <c r="T178" s="127">
        <v>0</v>
      </c>
      <c r="U178" s="121">
        <v>0</v>
      </c>
      <c r="V178" s="121">
        <v>38</v>
      </c>
      <c r="W178" s="121">
        <v>0</v>
      </c>
      <c r="X178" s="131">
        <v>0</v>
      </c>
      <c r="Y178" s="119">
        <v>147.5</v>
      </c>
      <c r="Z178" s="82">
        <v>0</v>
      </c>
      <c r="AA178" s="79">
        <v>0</v>
      </c>
      <c r="AB178" s="79">
        <v>0</v>
      </c>
      <c r="AC178" s="209">
        <v>0</v>
      </c>
      <c r="AD178" s="211">
        <v>0</v>
      </c>
      <c r="AE178" s="89">
        <v>0</v>
      </c>
      <c r="AF178" s="89">
        <v>0</v>
      </c>
      <c r="AG178" s="89">
        <f>SUMIF('PreliminaryHD AR - School Level'!A179:A1485, "=" &amp; A178,'PreliminaryHD AR - School Level'!M179:M1485)</f>
        <v>0</v>
      </c>
      <c r="AH178" s="89">
        <v>437.6</v>
      </c>
      <c r="AI178" s="89">
        <f t="shared" si="26"/>
        <v>0</v>
      </c>
      <c r="AJ178" s="89">
        <f t="shared" si="27"/>
        <v>0</v>
      </c>
      <c r="AK178" s="89">
        <f t="shared" si="28"/>
        <v>204.5</v>
      </c>
      <c r="AL178" s="89">
        <f t="shared" si="29"/>
        <v>4</v>
      </c>
      <c r="AM178" s="89">
        <f t="shared" si="30"/>
        <v>0</v>
      </c>
      <c r="AN178" s="89">
        <f t="shared" si="31"/>
        <v>0</v>
      </c>
      <c r="AO178" s="89">
        <f t="shared" si="32"/>
        <v>96.8</v>
      </c>
      <c r="AP178" s="83">
        <f t="shared" si="33"/>
        <v>38</v>
      </c>
      <c r="AQ178" s="89">
        <f t="shared" si="34"/>
        <v>0</v>
      </c>
      <c r="AR178" s="89">
        <f t="shared" si="35"/>
        <v>147.5</v>
      </c>
      <c r="AS178" s="83">
        <f t="shared" si="36"/>
        <v>215</v>
      </c>
      <c r="AT178" s="89">
        <v>0</v>
      </c>
      <c r="AU178" s="89">
        <f t="shared" si="37"/>
        <v>0</v>
      </c>
      <c r="AV178" s="108">
        <v>2184543</v>
      </c>
      <c r="AW178" s="126">
        <v>437.6</v>
      </c>
      <c r="AX178" s="42">
        <v>437.6</v>
      </c>
      <c r="AY178" s="208">
        <f t="shared" si="38"/>
        <v>0</v>
      </c>
      <c r="AZ178" s="290">
        <v>211261</v>
      </c>
      <c r="BA178" s="42"/>
      <c r="BB178" s="42"/>
      <c r="BD178" s="129"/>
    </row>
    <row r="179" spans="1:56">
      <c r="A179" s="235" t="s">
        <v>372</v>
      </c>
      <c r="B179" s="121">
        <v>1</v>
      </c>
      <c r="C179" s="131">
        <v>5362.4</v>
      </c>
      <c r="D179" s="131">
        <v>0</v>
      </c>
      <c r="E179" s="82">
        <v>0</v>
      </c>
      <c r="F179" s="131">
        <v>0</v>
      </c>
      <c r="G179" s="199">
        <v>0</v>
      </c>
      <c r="H179" s="131">
        <v>0</v>
      </c>
      <c r="I179" s="131">
        <v>0</v>
      </c>
      <c r="J179" s="208">
        <v>0</v>
      </c>
      <c r="K179" s="127">
        <v>5444</v>
      </c>
      <c r="L179" s="124">
        <v>0</v>
      </c>
      <c r="M179" s="121">
        <v>0</v>
      </c>
      <c r="N179" s="124">
        <v>24</v>
      </c>
      <c r="O179" s="124">
        <v>0</v>
      </c>
      <c r="P179" s="131">
        <v>822.3</v>
      </c>
      <c r="Q179" s="124">
        <v>0</v>
      </c>
      <c r="R179" s="124">
        <v>401.6</v>
      </c>
      <c r="S179" s="124">
        <v>0</v>
      </c>
      <c r="T179" s="127">
        <v>164</v>
      </c>
      <c r="U179" s="121">
        <v>0</v>
      </c>
      <c r="V179" s="121">
        <v>655</v>
      </c>
      <c r="W179" s="121">
        <v>0</v>
      </c>
      <c r="X179" s="131">
        <v>0</v>
      </c>
      <c r="Y179" s="119">
        <v>1707</v>
      </c>
      <c r="Z179" s="82">
        <v>0</v>
      </c>
      <c r="AA179" s="79">
        <v>414</v>
      </c>
      <c r="AB179" s="79">
        <v>479.6</v>
      </c>
      <c r="AC179" s="209">
        <v>22</v>
      </c>
      <c r="AD179" s="211">
        <v>0</v>
      </c>
      <c r="AE179" s="89">
        <v>0</v>
      </c>
      <c r="AF179" s="89">
        <v>0</v>
      </c>
      <c r="AG179" s="89">
        <f>SUMIF('PreliminaryHD AR - School Level'!A180:A1486, "=" &amp; A179,'PreliminaryHD AR - School Level'!M180:M1486)</f>
        <v>0</v>
      </c>
      <c r="AH179" s="89">
        <v>6087.5</v>
      </c>
      <c r="AI179" s="89">
        <f t="shared" si="26"/>
        <v>0</v>
      </c>
      <c r="AJ179" s="89">
        <f t="shared" si="27"/>
        <v>0</v>
      </c>
      <c r="AK179" s="89">
        <f t="shared" si="28"/>
        <v>5362.4</v>
      </c>
      <c r="AL179" s="89">
        <f t="shared" si="29"/>
        <v>24</v>
      </c>
      <c r="AM179" s="89">
        <f t="shared" si="30"/>
        <v>401.6</v>
      </c>
      <c r="AN179" s="89">
        <f t="shared" si="31"/>
        <v>164</v>
      </c>
      <c r="AO179" s="89">
        <f t="shared" si="32"/>
        <v>822.3</v>
      </c>
      <c r="AP179" s="83">
        <f t="shared" si="33"/>
        <v>655</v>
      </c>
      <c r="AQ179" s="89">
        <f t="shared" si="34"/>
        <v>0</v>
      </c>
      <c r="AR179" s="89">
        <f t="shared" si="35"/>
        <v>1707</v>
      </c>
      <c r="AS179" s="83">
        <f t="shared" si="36"/>
        <v>5444</v>
      </c>
      <c r="AT179" s="89">
        <v>0</v>
      </c>
      <c r="AU179" s="89">
        <f t="shared" si="37"/>
        <v>0</v>
      </c>
      <c r="AV179" s="108">
        <v>33613839</v>
      </c>
      <c r="AW179" s="126">
        <v>6087.5</v>
      </c>
      <c r="AX179" s="42">
        <v>6087.5</v>
      </c>
      <c r="AY179" s="208">
        <f t="shared" si="38"/>
        <v>0</v>
      </c>
      <c r="AZ179" s="290">
        <v>1348328</v>
      </c>
      <c r="BA179" s="42"/>
      <c r="BB179" s="42"/>
      <c r="BD179" s="129"/>
    </row>
    <row r="180" spans="1:56">
      <c r="A180" s="235" t="s">
        <v>373</v>
      </c>
      <c r="B180" s="121">
        <v>1</v>
      </c>
      <c r="C180" s="131">
        <v>217</v>
      </c>
      <c r="D180" s="131">
        <v>0</v>
      </c>
      <c r="E180" s="82">
        <v>0</v>
      </c>
      <c r="F180" s="131">
        <v>0</v>
      </c>
      <c r="G180" s="199">
        <v>0</v>
      </c>
      <c r="H180" s="131">
        <v>0</v>
      </c>
      <c r="I180" s="131">
        <v>0</v>
      </c>
      <c r="J180" s="208">
        <v>0</v>
      </c>
      <c r="K180" s="127">
        <v>224</v>
      </c>
      <c r="L180" s="124">
        <v>0</v>
      </c>
      <c r="M180" s="121">
        <v>0</v>
      </c>
      <c r="N180" s="124">
        <v>2.5</v>
      </c>
      <c r="O180" s="124">
        <v>0</v>
      </c>
      <c r="P180" s="131">
        <v>93.3</v>
      </c>
      <c r="Q180" s="124">
        <v>0</v>
      </c>
      <c r="R180" s="124">
        <v>0</v>
      </c>
      <c r="S180" s="124">
        <v>0</v>
      </c>
      <c r="T180" s="127">
        <v>0</v>
      </c>
      <c r="U180" s="121">
        <v>0</v>
      </c>
      <c r="V180" s="121">
        <v>79</v>
      </c>
      <c r="W180" s="121">
        <v>0</v>
      </c>
      <c r="X180" s="131">
        <v>0</v>
      </c>
      <c r="Y180" s="119">
        <v>56</v>
      </c>
      <c r="Z180" s="82">
        <v>0</v>
      </c>
      <c r="AA180" s="79">
        <v>0</v>
      </c>
      <c r="AB180" s="79">
        <v>0</v>
      </c>
      <c r="AC180" s="209">
        <v>0</v>
      </c>
      <c r="AD180" s="211">
        <v>0</v>
      </c>
      <c r="AE180" s="89">
        <v>0</v>
      </c>
      <c r="AF180" s="89">
        <v>0.2</v>
      </c>
      <c r="AG180" s="89">
        <f>SUMIF('PreliminaryHD AR - School Level'!A181:A1487, "=" &amp; A180,'PreliminaryHD AR - School Level'!M181:M1487)</f>
        <v>0.6</v>
      </c>
      <c r="AH180" s="89">
        <v>444.6</v>
      </c>
      <c r="AI180" s="89">
        <f t="shared" si="26"/>
        <v>0</v>
      </c>
      <c r="AJ180" s="89">
        <f t="shared" si="27"/>
        <v>0</v>
      </c>
      <c r="AK180" s="89">
        <f t="shared" si="28"/>
        <v>217</v>
      </c>
      <c r="AL180" s="89">
        <f t="shared" si="29"/>
        <v>2.5</v>
      </c>
      <c r="AM180" s="89">
        <f t="shared" si="30"/>
        <v>0</v>
      </c>
      <c r="AN180" s="89">
        <f t="shared" si="31"/>
        <v>0</v>
      </c>
      <c r="AO180" s="89">
        <f t="shared" si="32"/>
        <v>93.3</v>
      </c>
      <c r="AP180" s="83">
        <f t="shared" si="33"/>
        <v>79</v>
      </c>
      <c r="AQ180" s="89">
        <f t="shared" si="34"/>
        <v>0</v>
      </c>
      <c r="AR180" s="89">
        <f t="shared" si="35"/>
        <v>56</v>
      </c>
      <c r="AS180" s="83">
        <f t="shared" si="36"/>
        <v>224</v>
      </c>
      <c r="AT180" s="89">
        <v>0</v>
      </c>
      <c r="AU180" s="89">
        <f t="shared" si="37"/>
        <v>0.6</v>
      </c>
      <c r="AV180" s="108">
        <v>2219529</v>
      </c>
      <c r="AW180" s="126">
        <v>444.6</v>
      </c>
      <c r="AX180" s="42">
        <v>444.6</v>
      </c>
      <c r="AY180" s="208">
        <f t="shared" si="38"/>
        <v>0</v>
      </c>
      <c r="AZ180" s="290">
        <v>134364</v>
      </c>
      <c r="BA180" s="42"/>
      <c r="BB180" s="42"/>
      <c r="BD180" s="129"/>
    </row>
    <row r="181" spans="1:56">
      <c r="A181" s="235" t="s">
        <v>374</v>
      </c>
      <c r="B181" s="121">
        <v>1</v>
      </c>
      <c r="C181" s="131">
        <v>170.5</v>
      </c>
      <c r="D181" s="131">
        <v>0</v>
      </c>
      <c r="E181" s="82">
        <v>0</v>
      </c>
      <c r="F181" s="131">
        <v>0</v>
      </c>
      <c r="G181" s="199">
        <v>0</v>
      </c>
      <c r="H181" s="131">
        <v>0</v>
      </c>
      <c r="I181" s="131">
        <v>0</v>
      </c>
      <c r="J181" s="208">
        <v>0</v>
      </c>
      <c r="K181" s="127">
        <v>176</v>
      </c>
      <c r="L181" s="124">
        <v>0</v>
      </c>
      <c r="M181" s="121">
        <v>0</v>
      </c>
      <c r="N181" s="124">
        <v>1.5</v>
      </c>
      <c r="O181" s="124">
        <v>0</v>
      </c>
      <c r="P181" s="131">
        <v>45.2</v>
      </c>
      <c r="Q181" s="124">
        <v>0</v>
      </c>
      <c r="R181" s="124">
        <v>0</v>
      </c>
      <c r="S181" s="124">
        <v>0</v>
      </c>
      <c r="T181" s="127">
        <v>0</v>
      </c>
      <c r="U181" s="121">
        <v>0</v>
      </c>
      <c r="V181" s="121">
        <v>91</v>
      </c>
      <c r="W181" s="121">
        <v>0</v>
      </c>
      <c r="X181" s="131">
        <v>0</v>
      </c>
      <c r="Y181" s="119">
        <v>118</v>
      </c>
      <c r="Z181" s="82">
        <v>0</v>
      </c>
      <c r="AA181" s="79">
        <v>0</v>
      </c>
      <c r="AB181" s="79">
        <v>0</v>
      </c>
      <c r="AC181" s="209">
        <v>0</v>
      </c>
      <c r="AD181" s="211">
        <v>0</v>
      </c>
      <c r="AE181" s="89">
        <v>0</v>
      </c>
      <c r="AF181" s="89">
        <v>9.6</v>
      </c>
      <c r="AG181" s="89">
        <f>SUMIF('PreliminaryHD AR - School Level'!A182:A1488, "=" &amp; A181,'PreliminaryHD AR - School Level'!M182:M1488)</f>
        <v>8.6</v>
      </c>
      <c r="AH181" s="89">
        <v>404.5</v>
      </c>
      <c r="AI181" s="89">
        <f t="shared" si="26"/>
        <v>0</v>
      </c>
      <c r="AJ181" s="89">
        <f t="shared" si="27"/>
        <v>0</v>
      </c>
      <c r="AK181" s="89">
        <f t="shared" si="28"/>
        <v>170.5</v>
      </c>
      <c r="AL181" s="89">
        <f t="shared" si="29"/>
        <v>1.5</v>
      </c>
      <c r="AM181" s="89">
        <f t="shared" si="30"/>
        <v>0</v>
      </c>
      <c r="AN181" s="89">
        <f t="shared" si="31"/>
        <v>0</v>
      </c>
      <c r="AO181" s="89">
        <f t="shared" si="32"/>
        <v>45.2</v>
      </c>
      <c r="AP181" s="83">
        <f t="shared" si="33"/>
        <v>91</v>
      </c>
      <c r="AQ181" s="89">
        <f t="shared" si="34"/>
        <v>0</v>
      </c>
      <c r="AR181" s="89">
        <f t="shared" si="35"/>
        <v>118</v>
      </c>
      <c r="AS181" s="83">
        <f t="shared" si="36"/>
        <v>176</v>
      </c>
      <c r="AT181" s="89">
        <v>0</v>
      </c>
      <c r="AU181" s="89">
        <f t="shared" si="37"/>
        <v>9.6</v>
      </c>
      <c r="AV181" s="108">
        <v>1912568</v>
      </c>
      <c r="AW181" s="126">
        <v>404.5</v>
      </c>
      <c r="AX181" s="42">
        <v>404.5</v>
      </c>
      <c r="AY181" s="208">
        <f t="shared" si="38"/>
        <v>0</v>
      </c>
      <c r="AZ181" s="290">
        <v>186374</v>
      </c>
      <c r="BA181" s="42"/>
      <c r="BB181" s="42"/>
      <c r="BD181" s="129"/>
    </row>
    <row r="182" spans="1:56">
      <c r="A182" s="235" t="s">
        <v>375</v>
      </c>
      <c r="B182" s="121">
        <v>1</v>
      </c>
      <c r="C182" s="131">
        <v>413</v>
      </c>
      <c r="D182" s="131">
        <v>0</v>
      </c>
      <c r="E182" s="82">
        <v>0</v>
      </c>
      <c r="F182" s="131">
        <v>0</v>
      </c>
      <c r="G182" s="199">
        <v>0</v>
      </c>
      <c r="H182" s="131">
        <v>0</v>
      </c>
      <c r="I182" s="131">
        <v>0</v>
      </c>
      <c r="J182" s="208">
        <v>0</v>
      </c>
      <c r="K182" s="127">
        <v>459</v>
      </c>
      <c r="L182" s="124">
        <v>0</v>
      </c>
      <c r="M182" s="121">
        <v>0</v>
      </c>
      <c r="N182" s="124">
        <v>0</v>
      </c>
      <c r="O182" s="124">
        <v>0</v>
      </c>
      <c r="P182" s="131">
        <v>193.9</v>
      </c>
      <c r="Q182" s="124">
        <v>0</v>
      </c>
      <c r="R182" s="124">
        <v>0</v>
      </c>
      <c r="S182" s="124">
        <v>0</v>
      </c>
      <c r="T182" s="127">
        <v>0</v>
      </c>
      <c r="U182" s="121">
        <v>0</v>
      </c>
      <c r="V182" s="121">
        <v>95</v>
      </c>
      <c r="W182" s="121">
        <v>0</v>
      </c>
      <c r="X182" s="131">
        <v>0</v>
      </c>
      <c r="Y182" s="119">
        <v>46</v>
      </c>
      <c r="Z182" s="82">
        <v>0</v>
      </c>
      <c r="AA182" s="79">
        <v>0</v>
      </c>
      <c r="AB182" s="79">
        <v>0</v>
      </c>
      <c r="AC182" s="209">
        <v>0</v>
      </c>
      <c r="AD182" s="211">
        <v>0</v>
      </c>
      <c r="AE182" s="89">
        <v>0</v>
      </c>
      <c r="AF182" s="89">
        <v>0</v>
      </c>
      <c r="AG182" s="89">
        <f>SUMIF('PreliminaryHD AR - School Level'!A183:A1489, "=" &amp; A182,'PreliminaryHD AR - School Level'!M183:M1489)</f>
        <v>0</v>
      </c>
      <c r="AH182" s="89">
        <v>697.6</v>
      </c>
      <c r="AI182" s="89">
        <f t="shared" si="26"/>
        <v>0</v>
      </c>
      <c r="AJ182" s="89">
        <f t="shared" si="27"/>
        <v>0</v>
      </c>
      <c r="AK182" s="89">
        <f t="shared" si="28"/>
        <v>413</v>
      </c>
      <c r="AL182" s="89">
        <f t="shared" si="29"/>
        <v>0</v>
      </c>
      <c r="AM182" s="89">
        <f t="shared" si="30"/>
        <v>0</v>
      </c>
      <c r="AN182" s="89">
        <f t="shared" si="31"/>
        <v>0</v>
      </c>
      <c r="AO182" s="89">
        <f t="shared" si="32"/>
        <v>193.9</v>
      </c>
      <c r="AP182" s="83">
        <f t="shared" si="33"/>
        <v>95</v>
      </c>
      <c r="AQ182" s="89">
        <f t="shared" si="34"/>
        <v>0</v>
      </c>
      <c r="AR182" s="89">
        <f t="shared" si="35"/>
        <v>46</v>
      </c>
      <c r="AS182" s="83">
        <f t="shared" si="36"/>
        <v>459</v>
      </c>
      <c r="AT182" s="89">
        <v>0</v>
      </c>
      <c r="AU182" s="89">
        <f t="shared" si="37"/>
        <v>0</v>
      </c>
      <c r="AV182" s="108">
        <v>3297847</v>
      </c>
      <c r="AW182" s="126">
        <v>697.6</v>
      </c>
      <c r="AX182" s="42">
        <v>697.6</v>
      </c>
      <c r="AY182" s="208">
        <f t="shared" si="38"/>
        <v>0</v>
      </c>
      <c r="AZ182" s="290">
        <v>107386</v>
      </c>
      <c r="BA182" s="42"/>
      <c r="BB182" s="42"/>
      <c r="BD182" s="129"/>
    </row>
    <row r="183" spans="1:56">
      <c r="A183" s="235" t="s">
        <v>376</v>
      </c>
      <c r="B183" s="121">
        <v>1</v>
      </c>
      <c r="C183" s="131">
        <v>619</v>
      </c>
      <c r="D183" s="131">
        <v>0</v>
      </c>
      <c r="E183" s="82">
        <v>0</v>
      </c>
      <c r="F183" s="131">
        <v>0</v>
      </c>
      <c r="G183" s="199">
        <v>0</v>
      </c>
      <c r="H183" s="131">
        <v>0</v>
      </c>
      <c r="I183" s="131">
        <v>0</v>
      </c>
      <c r="J183" s="208">
        <v>0</v>
      </c>
      <c r="K183" s="127">
        <v>664</v>
      </c>
      <c r="L183" s="124">
        <v>0</v>
      </c>
      <c r="M183" s="121">
        <v>0</v>
      </c>
      <c r="N183" s="124">
        <v>18</v>
      </c>
      <c r="O183" s="124">
        <v>0</v>
      </c>
      <c r="P183" s="131">
        <v>268.8</v>
      </c>
      <c r="Q183" s="124">
        <v>0</v>
      </c>
      <c r="R183" s="124">
        <v>0</v>
      </c>
      <c r="S183" s="124">
        <v>0</v>
      </c>
      <c r="T183" s="127">
        <v>7</v>
      </c>
      <c r="U183" s="121">
        <v>0</v>
      </c>
      <c r="V183" s="121">
        <v>369</v>
      </c>
      <c r="W183" s="121">
        <v>0</v>
      </c>
      <c r="X183" s="131">
        <v>0</v>
      </c>
      <c r="Y183" s="119">
        <v>194</v>
      </c>
      <c r="Z183" s="82">
        <v>0</v>
      </c>
      <c r="AA183" s="79">
        <v>0</v>
      </c>
      <c r="AB183" s="79">
        <v>0</v>
      </c>
      <c r="AC183" s="209">
        <v>0</v>
      </c>
      <c r="AD183" s="211">
        <v>0</v>
      </c>
      <c r="AE183" s="89">
        <v>0</v>
      </c>
      <c r="AF183" s="89">
        <v>38.700000000000003</v>
      </c>
      <c r="AG183" s="89">
        <f>SUMIF('PreliminaryHD AR - School Level'!A184:A1490, "=" &amp; A183,'PreliminaryHD AR - School Level'!M184:M1490)</f>
        <v>36.6</v>
      </c>
      <c r="AH183" s="89">
        <v>1199</v>
      </c>
      <c r="AI183" s="89">
        <f t="shared" si="26"/>
        <v>0</v>
      </c>
      <c r="AJ183" s="89">
        <f t="shared" si="27"/>
        <v>0</v>
      </c>
      <c r="AK183" s="89">
        <f t="shared" si="28"/>
        <v>619</v>
      </c>
      <c r="AL183" s="89">
        <f t="shared" si="29"/>
        <v>18</v>
      </c>
      <c r="AM183" s="89">
        <f t="shared" si="30"/>
        <v>0</v>
      </c>
      <c r="AN183" s="89">
        <f t="shared" si="31"/>
        <v>7</v>
      </c>
      <c r="AO183" s="89">
        <f t="shared" si="32"/>
        <v>268.8</v>
      </c>
      <c r="AP183" s="83">
        <f t="shared" si="33"/>
        <v>369</v>
      </c>
      <c r="AQ183" s="89">
        <f t="shared" si="34"/>
        <v>0</v>
      </c>
      <c r="AR183" s="89">
        <f t="shared" si="35"/>
        <v>194</v>
      </c>
      <c r="AS183" s="83">
        <f t="shared" si="36"/>
        <v>664</v>
      </c>
      <c r="AT183" s="89">
        <v>0</v>
      </c>
      <c r="AU183" s="89">
        <f t="shared" si="37"/>
        <v>38.700000000000003</v>
      </c>
      <c r="AV183" s="108">
        <v>5573187</v>
      </c>
      <c r="AW183" s="126">
        <v>1199</v>
      </c>
      <c r="AX183" s="42">
        <v>1199</v>
      </c>
      <c r="AY183" s="208">
        <f t="shared" si="38"/>
        <v>0</v>
      </c>
      <c r="AZ183" s="290">
        <v>228711</v>
      </c>
      <c r="BA183" s="42"/>
      <c r="BB183" s="42"/>
      <c r="BD183" s="129"/>
    </row>
    <row r="184" spans="1:56">
      <c r="A184" s="235" t="s">
        <v>377</v>
      </c>
      <c r="B184" s="121">
        <v>1</v>
      </c>
      <c r="C184" s="131">
        <v>60.5</v>
      </c>
      <c r="D184" s="131">
        <v>0</v>
      </c>
      <c r="E184" s="82">
        <v>0</v>
      </c>
      <c r="F184" s="131">
        <v>0</v>
      </c>
      <c r="G184" s="199">
        <v>0</v>
      </c>
      <c r="H184" s="131">
        <v>0</v>
      </c>
      <c r="I184" s="131">
        <v>0</v>
      </c>
      <c r="J184" s="208">
        <v>0</v>
      </c>
      <c r="K184" s="127">
        <v>62</v>
      </c>
      <c r="L184" s="124">
        <v>0</v>
      </c>
      <c r="M184" s="121">
        <v>0</v>
      </c>
      <c r="N184" s="124">
        <v>0.5</v>
      </c>
      <c r="O184" s="124">
        <v>0</v>
      </c>
      <c r="P184" s="131">
        <v>0</v>
      </c>
      <c r="Q184" s="124">
        <v>0</v>
      </c>
      <c r="R184" s="124">
        <v>0</v>
      </c>
      <c r="S184" s="124">
        <v>0</v>
      </c>
      <c r="T184" s="127">
        <v>0</v>
      </c>
      <c r="U184" s="121">
        <v>0</v>
      </c>
      <c r="V184" s="121">
        <v>39</v>
      </c>
      <c r="W184" s="121">
        <v>0</v>
      </c>
      <c r="X184" s="131">
        <v>0</v>
      </c>
      <c r="Y184" s="119">
        <v>15.5</v>
      </c>
      <c r="Z184" s="82">
        <v>0</v>
      </c>
      <c r="AA184" s="79">
        <v>0</v>
      </c>
      <c r="AB184" s="79">
        <v>0</v>
      </c>
      <c r="AC184" s="209">
        <v>0</v>
      </c>
      <c r="AD184" s="211">
        <v>0</v>
      </c>
      <c r="AE184" s="89">
        <v>0</v>
      </c>
      <c r="AF184" s="89">
        <v>4.0999999999999996</v>
      </c>
      <c r="AG184" s="89">
        <f>SUMIF('PreliminaryHD AR - School Level'!A185:A1491, "=" &amp; A184,'PreliminaryHD AR - School Level'!M185:M1491)</f>
        <v>4.0999999999999996</v>
      </c>
      <c r="AH184" s="89">
        <v>152.6</v>
      </c>
      <c r="AI184" s="89">
        <f t="shared" si="26"/>
        <v>0</v>
      </c>
      <c r="AJ184" s="89">
        <f t="shared" si="27"/>
        <v>0</v>
      </c>
      <c r="AK184" s="89">
        <f t="shared" si="28"/>
        <v>60.5</v>
      </c>
      <c r="AL184" s="89">
        <f t="shared" si="29"/>
        <v>0.5</v>
      </c>
      <c r="AM184" s="89">
        <f t="shared" si="30"/>
        <v>0</v>
      </c>
      <c r="AN184" s="89">
        <f t="shared" si="31"/>
        <v>0</v>
      </c>
      <c r="AO184" s="89">
        <f t="shared" si="32"/>
        <v>0</v>
      </c>
      <c r="AP184" s="83">
        <f t="shared" si="33"/>
        <v>39</v>
      </c>
      <c r="AQ184" s="89">
        <f t="shared" si="34"/>
        <v>0</v>
      </c>
      <c r="AR184" s="89">
        <f t="shared" si="35"/>
        <v>15.5</v>
      </c>
      <c r="AS184" s="83">
        <f t="shared" si="36"/>
        <v>62</v>
      </c>
      <c r="AT184" s="89">
        <v>0</v>
      </c>
      <c r="AU184" s="89">
        <f t="shared" si="37"/>
        <v>4.0999999999999996</v>
      </c>
      <c r="AV184" s="108">
        <v>852992</v>
      </c>
      <c r="AW184" s="126">
        <v>152.6</v>
      </c>
      <c r="AX184" s="42">
        <v>152.6</v>
      </c>
      <c r="AY184" s="208">
        <f t="shared" si="38"/>
        <v>0</v>
      </c>
      <c r="AZ184" s="290">
        <v>30489</v>
      </c>
      <c r="BA184" s="42"/>
      <c r="BB184" s="42"/>
      <c r="BD184" s="129"/>
    </row>
    <row r="185" spans="1:56">
      <c r="A185" s="235" t="s">
        <v>378</v>
      </c>
      <c r="B185" s="121">
        <v>1</v>
      </c>
      <c r="C185" s="131">
        <v>283</v>
      </c>
      <c r="D185" s="131">
        <v>0</v>
      </c>
      <c r="E185" s="82">
        <v>0</v>
      </c>
      <c r="F185" s="131">
        <v>0</v>
      </c>
      <c r="G185" s="199">
        <v>0</v>
      </c>
      <c r="H185" s="131">
        <v>0</v>
      </c>
      <c r="I185" s="131">
        <v>0</v>
      </c>
      <c r="J185" s="208">
        <v>0</v>
      </c>
      <c r="K185" s="127">
        <v>284</v>
      </c>
      <c r="L185" s="124">
        <v>0</v>
      </c>
      <c r="M185" s="121">
        <v>0</v>
      </c>
      <c r="N185" s="124">
        <v>0</v>
      </c>
      <c r="O185" s="124">
        <v>0</v>
      </c>
      <c r="P185" s="131">
        <v>0</v>
      </c>
      <c r="Q185" s="124">
        <v>0</v>
      </c>
      <c r="R185" s="124">
        <v>0</v>
      </c>
      <c r="S185" s="124">
        <v>0</v>
      </c>
      <c r="T185" s="127">
        <v>0</v>
      </c>
      <c r="U185" s="121">
        <v>0</v>
      </c>
      <c r="V185" s="121">
        <v>100</v>
      </c>
      <c r="W185" s="121">
        <v>0</v>
      </c>
      <c r="X185" s="131">
        <v>0</v>
      </c>
      <c r="Y185" s="119">
        <v>82.5</v>
      </c>
      <c r="Z185" s="82">
        <v>0</v>
      </c>
      <c r="AA185" s="79">
        <v>0</v>
      </c>
      <c r="AB185" s="79">
        <v>0</v>
      </c>
      <c r="AC185" s="209">
        <v>0</v>
      </c>
      <c r="AD185" s="211">
        <v>0</v>
      </c>
      <c r="AE185" s="89">
        <v>0</v>
      </c>
      <c r="AF185" s="89">
        <v>0.2</v>
      </c>
      <c r="AG185" s="89">
        <f>SUMIF('PreliminaryHD AR - School Level'!A186:A1492, "=" &amp; A185,'PreliminaryHD AR - School Level'!M186:M1492)</f>
        <v>1.1000000000000001</v>
      </c>
      <c r="AH185" s="89">
        <v>508</v>
      </c>
      <c r="AI185" s="89">
        <f t="shared" si="26"/>
        <v>0</v>
      </c>
      <c r="AJ185" s="89">
        <f t="shared" si="27"/>
        <v>0</v>
      </c>
      <c r="AK185" s="89">
        <f t="shared" si="28"/>
        <v>283</v>
      </c>
      <c r="AL185" s="89">
        <f t="shared" si="29"/>
        <v>0</v>
      </c>
      <c r="AM185" s="89">
        <f t="shared" si="30"/>
        <v>0</v>
      </c>
      <c r="AN185" s="89">
        <f t="shared" si="31"/>
        <v>0</v>
      </c>
      <c r="AO185" s="89">
        <f t="shared" si="32"/>
        <v>0</v>
      </c>
      <c r="AP185" s="83">
        <f t="shared" si="33"/>
        <v>100</v>
      </c>
      <c r="AQ185" s="89">
        <f t="shared" si="34"/>
        <v>0</v>
      </c>
      <c r="AR185" s="89">
        <f t="shared" si="35"/>
        <v>82.5</v>
      </c>
      <c r="AS185" s="83">
        <f t="shared" si="36"/>
        <v>284</v>
      </c>
      <c r="AT185" s="89">
        <v>0</v>
      </c>
      <c r="AU185" s="89">
        <f t="shared" si="37"/>
        <v>1.1000000000000001</v>
      </c>
      <c r="AV185" s="108">
        <v>2601043</v>
      </c>
      <c r="AW185" s="126">
        <v>509.1</v>
      </c>
      <c r="AX185" s="42">
        <v>509.1</v>
      </c>
      <c r="AY185" s="208">
        <f t="shared" si="38"/>
        <v>1.1000000000000001</v>
      </c>
      <c r="AZ185" s="290">
        <v>169065</v>
      </c>
      <c r="BA185" s="42" t="s">
        <v>3628</v>
      </c>
      <c r="BB185" s="42"/>
      <c r="BD185" s="129"/>
    </row>
    <row r="186" spans="1:56">
      <c r="A186" s="235" t="s">
        <v>379</v>
      </c>
      <c r="B186" s="121">
        <v>1</v>
      </c>
      <c r="C186" s="131">
        <v>323</v>
      </c>
      <c r="D186" s="131">
        <v>0</v>
      </c>
      <c r="E186" s="82">
        <v>0</v>
      </c>
      <c r="F186" s="131">
        <v>0</v>
      </c>
      <c r="G186" s="199">
        <v>0</v>
      </c>
      <c r="H186" s="131">
        <v>0</v>
      </c>
      <c r="I186" s="131">
        <v>0</v>
      </c>
      <c r="J186" s="208">
        <v>0</v>
      </c>
      <c r="K186" s="127">
        <v>324</v>
      </c>
      <c r="L186" s="124">
        <v>0</v>
      </c>
      <c r="M186" s="121">
        <v>0</v>
      </c>
      <c r="N186" s="124">
        <v>0</v>
      </c>
      <c r="O186" s="124">
        <v>0</v>
      </c>
      <c r="P186" s="131">
        <v>158</v>
      </c>
      <c r="Q186" s="124">
        <v>0</v>
      </c>
      <c r="R186" s="124">
        <v>0</v>
      </c>
      <c r="S186" s="124">
        <v>0</v>
      </c>
      <c r="T186" s="127">
        <v>0</v>
      </c>
      <c r="U186" s="121">
        <v>0</v>
      </c>
      <c r="V186" s="121">
        <v>134</v>
      </c>
      <c r="W186" s="121">
        <v>0</v>
      </c>
      <c r="X186" s="131">
        <v>0</v>
      </c>
      <c r="Y186" s="119">
        <v>82</v>
      </c>
      <c r="Z186" s="82">
        <v>0</v>
      </c>
      <c r="AA186" s="79">
        <v>0</v>
      </c>
      <c r="AB186" s="79">
        <v>0</v>
      </c>
      <c r="AC186" s="209">
        <v>0</v>
      </c>
      <c r="AD186" s="211">
        <v>0</v>
      </c>
      <c r="AE186" s="89">
        <v>0</v>
      </c>
      <c r="AF186" s="89">
        <v>6</v>
      </c>
      <c r="AG186" s="89">
        <f>SUMIF('PreliminaryHD AR - School Level'!A187:A1493, "=" &amp; A186,'PreliminaryHD AR - School Level'!M187:M1493)</f>
        <v>6.6</v>
      </c>
      <c r="AH186" s="89">
        <v>575.4</v>
      </c>
      <c r="AI186" s="89">
        <f t="shared" si="26"/>
        <v>0</v>
      </c>
      <c r="AJ186" s="89">
        <f t="shared" si="27"/>
        <v>0</v>
      </c>
      <c r="AK186" s="89">
        <f t="shared" si="28"/>
        <v>323</v>
      </c>
      <c r="AL186" s="89">
        <f t="shared" si="29"/>
        <v>0</v>
      </c>
      <c r="AM186" s="89">
        <f t="shared" si="30"/>
        <v>0</v>
      </c>
      <c r="AN186" s="89">
        <f t="shared" si="31"/>
        <v>0</v>
      </c>
      <c r="AO186" s="89">
        <f t="shared" si="32"/>
        <v>158</v>
      </c>
      <c r="AP186" s="83">
        <f t="shared" si="33"/>
        <v>134</v>
      </c>
      <c r="AQ186" s="89">
        <f t="shared" si="34"/>
        <v>0</v>
      </c>
      <c r="AR186" s="89">
        <f t="shared" si="35"/>
        <v>82</v>
      </c>
      <c r="AS186" s="83">
        <f t="shared" si="36"/>
        <v>324</v>
      </c>
      <c r="AT186" s="89">
        <v>0</v>
      </c>
      <c r="AU186" s="89">
        <f t="shared" si="37"/>
        <v>6.6</v>
      </c>
      <c r="AV186" s="108">
        <v>2734739</v>
      </c>
      <c r="AW186" s="126">
        <v>575.4</v>
      </c>
      <c r="AX186" s="42">
        <v>575.4</v>
      </c>
      <c r="AY186" s="208">
        <f t="shared" si="38"/>
        <v>0</v>
      </c>
      <c r="AZ186" s="290">
        <v>90416</v>
      </c>
      <c r="BA186" s="42"/>
      <c r="BB186" s="42"/>
      <c r="BD186" s="129"/>
    </row>
    <row r="187" spans="1:56">
      <c r="A187" s="235" t="s">
        <v>380</v>
      </c>
      <c r="B187" s="121">
        <v>1</v>
      </c>
      <c r="C187" s="131">
        <v>1542.7</v>
      </c>
      <c r="D187" s="131">
        <v>0</v>
      </c>
      <c r="E187" s="82">
        <v>0</v>
      </c>
      <c r="F187" s="131">
        <v>0</v>
      </c>
      <c r="G187" s="199">
        <v>0</v>
      </c>
      <c r="H187" s="131">
        <v>0</v>
      </c>
      <c r="I187" s="131">
        <v>0</v>
      </c>
      <c r="J187" s="208">
        <v>0</v>
      </c>
      <c r="K187" s="127">
        <v>1597</v>
      </c>
      <c r="L187" s="124">
        <v>0</v>
      </c>
      <c r="M187" s="121">
        <v>0</v>
      </c>
      <c r="N187" s="124">
        <v>18</v>
      </c>
      <c r="O187" s="124">
        <v>0</v>
      </c>
      <c r="P187" s="131">
        <v>505.6</v>
      </c>
      <c r="Q187" s="124">
        <v>0</v>
      </c>
      <c r="R187" s="124">
        <v>56.5</v>
      </c>
      <c r="S187" s="124">
        <v>0</v>
      </c>
      <c r="T187" s="127">
        <v>36</v>
      </c>
      <c r="U187" s="121">
        <v>0</v>
      </c>
      <c r="V187" s="121">
        <v>327</v>
      </c>
      <c r="W187" s="121">
        <v>0</v>
      </c>
      <c r="X187" s="131">
        <v>0</v>
      </c>
      <c r="Y187" s="119">
        <v>592</v>
      </c>
      <c r="Z187" s="82">
        <v>0</v>
      </c>
      <c r="AA187" s="79">
        <v>22</v>
      </c>
      <c r="AB187" s="79">
        <v>0</v>
      </c>
      <c r="AC187" s="209">
        <v>18</v>
      </c>
      <c r="AD187" s="211">
        <v>0</v>
      </c>
      <c r="AE187" s="89">
        <v>0</v>
      </c>
      <c r="AF187" s="89">
        <v>0</v>
      </c>
      <c r="AG187" s="89">
        <f>SUMIF('PreliminaryHD AR - School Level'!A188:A1494, "=" &amp; A187,'PreliminaryHD AR - School Level'!M188:M1494)</f>
        <v>0</v>
      </c>
      <c r="AH187" s="89">
        <v>1940.8</v>
      </c>
      <c r="AI187" s="89">
        <f t="shared" si="26"/>
        <v>0</v>
      </c>
      <c r="AJ187" s="89">
        <f t="shared" si="27"/>
        <v>0</v>
      </c>
      <c r="AK187" s="89">
        <f t="shared" si="28"/>
        <v>1542.7</v>
      </c>
      <c r="AL187" s="89">
        <f t="shared" si="29"/>
        <v>18</v>
      </c>
      <c r="AM187" s="89">
        <f t="shared" si="30"/>
        <v>56.5</v>
      </c>
      <c r="AN187" s="89">
        <f t="shared" si="31"/>
        <v>36</v>
      </c>
      <c r="AO187" s="89">
        <f t="shared" si="32"/>
        <v>505.6</v>
      </c>
      <c r="AP187" s="83">
        <f t="shared" si="33"/>
        <v>327</v>
      </c>
      <c r="AQ187" s="89">
        <f t="shared" si="34"/>
        <v>0</v>
      </c>
      <c r="AR187" s="89">
        <f t="shared" si="35"/>
        <v>592</v>
      </c>
      <c r="AS187" s="83">
        <f t="shared" si="36"/>
        <v>1597</v>
      </c>
      <c r="AT187" s="89">
        <v>0</v>
      </c>
      <c r="AU187" s="89">
        <f t="shared" si="37"/>
        <v>0</v>
      </c>
      <c r="AV187" s="108">
        <v>9863429</v>
      </c>
      <c r="AW187" s="126">
        <v>1940.8</v>
      </c>
      <c r="AX187" s="42">
        <v>1940.8</v>
      </c>
      <c r="AY187" s="208">
        <f t="shared" si="38"/>
        <v>0</v>
      </c>
      <c r="AZ187" s="290">
        <v>235808</v>
      </c>
      <c r="BA187" s="42"/>
      <c r="BB187" s="42"/>
      <c r="BD187" s="129"/>
    </row>
    <row r="188" spans="1:56">
      <c r="A188" s="235" t="s">
        <v>381</v>
      </c>
      <c r="B188" s="121">
        <v>1</v>
      </c>
      <c r="C188" s="131">
        <v>261</v>
      </c>
      <c r="D188" s="131">
        <v>0</v>
      </c>
      <c r="E188" s="82">
        <v>0</v>
      </c>
      <c r="F188" s="131">
        <v>0</v>
      </c>
      <c r="G188" s="199">
        <v>0</v>
      </c>
      <c r="H188" s="131">
        <v>0</v>
      </c>
      <c r="I188" s="131">
        <v>0</v>
      </c>
      <c r="J188" s="208">
        <v>0</v>
      </c>
      <c r="K188" s="127">
        <v>262</v>
      </c>
      <c r="L188" s="124">
        <v>0</v>
      </c>
      <c r="M188" s="121">
        <v>0</v>
      </c>
      <c r="N188" s="124">
        <v>0</v>
      </c>
      <c r="O188" s="124">
        <v>0</v>
      </c>
      <c r="P188" s="131">
        <v>98.1</v>
      </c>
      <c r="Q188" s="124">
        <v>0</v>
      </c>
      <c r="R188" s="124">
        <v>0</v>
      </c>
      <c r="S188" s="124">
        <v>0</v>
      </c>
      <c r="T188" s="127">
        <v>0</v>
      </c>
      <c r="U188" s="121">
        <v>0</v>
      </c>
      <c r="V188" s="121">
        <v>108</v>
      </c>
      <c r="W188" s="121">
        <v>0</v>
      </c>
      <c r="X188" s="131">
        <v>1</v>
      </c>
      <c r="Y188" s="119">
        <v>69</v>
      </c>
      <c r="Z188" s="82">
        <v>0</v>
      </c>
      <c r="AA188" s="79">
        <v>0</v>
      </c>
      <c r="AB188" s="79">
        <v>0</v>
      </c>
      <c r="AC188" s="209">
        <v>0</v>
      </c>
      <c r="AD188" s="211">
        <v>0</v>
      </c>
      <c r="AE188" s="89">
        <v>0</v>
      </c>
      <c r="AF188" s="89">
        <v>4.7</v>
      </c>
      <c r="AG188" s="89">
        <f>SUMIF('PreliminaryHD AR - School Level'!A189:A1495, "=" &amp; A188,'PreliminaryHD AR - School Level'!M189:M1495)</f>
        <v>4.8</v>
      </c>
      <c r="AH188" s="89">
        <v>537.79999999999995</v>
      </c>
      <c r="AI188" s="89">
        <f t="shared" si="26"/>
        <v>0</v>
      </c>
      <c r="AJ188" s="89">
        <f t="shared" si="27"/>
        <v>0</v>
      </c>
      <c r="AK188" s="89">
        <f t="shared" si="28"/>
        <v>261</v>
      </c>
      <c r="AL188" s="89">
        <f t="shared" si="29"/>
        <v>0</v>
      </c>
      <c r="AM188" s="89">
        <f t="shared" si="30"/>
        <v>0</v>
      </c>
      <c r="AN188" s="89">
        <f t="shared" si="31"/>
        <v>0</v>
      </c>
      <c r="AO188" s="89">
        <f t="shared" si="32"/>
        <v>98.1</v>
      </c>
      <c r="AP188" s="83">
        <f t="shared" si="33"/>
        <v>108</v>
      </c>
      <c r="AQ188" s="89">
        <f t="shared" si="34"/>
        <v>0</v>
      </c>
      <c r="AR188" s="89">
        <f t="shared" si="35"/>
        <v>69</v>
      </c>
      <c r="AS188" s="83">
        <f t="shared" si="36"/>
        <v>262</v>
      </c>
      <c r="AT188" s="89">
        <v>0</v>
      </c>
      <c r="AU188" s="89">
        <f t="shared" si="37"/>
        <v>4.8</v>
      </c>
      <c r="AV188" s="108">
        <v>2544399</v>
      </c>
      <c r="AW188" s="126">
        <v>539.4</v>
      </c>
      <c r="AX188" s="42">
        <v>539.4</v>
      </c>
      <c r="AY188" s="208">
        <f t="shared" si="38"/>
        <v>1.6</v>
      </c>
      <c r="AZ188" s="290">
        <v>159806</v>
      </c>
      <c r="BA188" s="42" t="s">
        <v>3627</v>
      </c>
      <c r="BB188" s="42"/>
      <c r="BD188" s="129"/>
    </row>
    <row r="189" spans="1:56">
      <c r="A189" s="235" t="s">
        <v>382</v>
      </c>
      <c r="B189" s="121">
        <v>1</v>
      </c>
      <c r="C189" s="131">
        <v>645.4</v>
      </c>
      <c r="D189" s="131">
        <v>0</v>
      </c>
      <c r="E189" s="82">
        <v>0</v>
      </c>
      <c r="F189" s="131">
        <v>0</v>
      </c>
      <c r="G189" s="199">
        <v>0</v>
      </c>
      <c r="H189" s="131">
        <v>0</v>
      </c>
      <c r="I189" s="131">
        <v>0</v>
      </c>
      <c r="J189" s="208">
        <v>0</v>
      </c>
      <c r="K189" s="127">
        <v>661</v>
      </c>
      <c r="L189" s="124">
        <v>0</v>
      </c>
      <c r="M189" s="121">
        <v>0</v>
      </c>
      <c r="N189" s="124">
        <v>5.5</v>
      </c>
      <c r="O189" s="124">
        <v>0</v>
      </c>
      <c r="P189" s="131">
        <v>144.1</v>
      </c>
      <c r="Q189" s="124">
        <v>0</v>
      </c>
      <c r="R189" s="124">
        <v>1</v>
      </c>
      <c r="S189" s="124">
        <v>0</v>
      </c>
      <c r="T189" s="127">
        <v>6</v>
      </c>
      <c r="U189" s="121">
        <v>0</v>
      </c>
      <c r="V189" s="121">
        <v>174</v>
      </c>
      <c r="W189" s="121">
        <v>0</v>
      </c>
      <c r="X189" s="131">
        <v>0</v>
      </c>
      <c r="Y189" s="119">
        <v>186.5</v>
      </c>
      <c r="Z189" s="82">
        <v>0</v>
      </c>
      <c r="AA189" s="79">
        <v>4</v>
      </c>
      <c r="AB189" s="79">
        <v>0</v>
      </c>
      <c r="AC189" s="209">
        <v>19</v>
      </c>
      <c r="AD189" s="211">
        <v>0</v>
      </c>
      <c r="AE189" s="89">
        <v>0</v>
      </c>
      <c r="AF189" s="89">
        <v>0</v>
      </c>
      <c r="AG189" s="89">
        <f>SUMIF('PreliminaryHD AR - School Level'!A190:A1496, "=" &amp; A189,'PreliminaryHD AR - School Level'!M190:M1496)</f>
        <v>0</v>
      </c>
      <c r="AH189" s="89">
        <v>1066.7</v>
      </c>
      <c r="AI189" s="89">
        <f t="shared" si="26"/>
        <v>0</v>
      </c>
      <c r="AJ189" s="89">
        <f t="shared" si="27"/>
        <v>0</v>
      </c>
      <c r="AK189" s="89">
        <f t="shared" si="28"/>
        <v>645.4</v>
      </c>
      <c r="AL189" s="89">
        <f t="shared" si="29"/>
        <v>5.5</v>
      </c>
      <c r="AM189" s="89">
        <f t="shared" si="30"/>
        <v>1</v>
      </c>
      <c r="AN189" s="89">
        <f t="shared" si="31"/>
        <v>6</v>
      </c>
      <c r="AO189" s="89">
        <f t="shared" si="32"/>
        <v>144.1</v>
      </c>
      <c r="AP189" s="83">
        <f t="shared" si="33"/>
        <v>174</v>
      </c>
      <c r="AQ189" s="89">
        <f t="shared" si="34"/>
        <v>0</v>
      </c>
      <c r="AR189" s="89">
        <f t="shared" si="35"/>
        <v>186.5</v>
      </c>
      <c r="AS189" s="83">
        <f t="shared" si="36"/>
        <v>661</v>
      </c>
      <c r="AT189" s="89">
        <v>0</v>
      </c>
      <c r="AU189" s="89">
        <f t="shared" si="37"/>
        <v>0</v>
      </c>
      <c r="AV189" s="108">
        <v>5416471</v>
      </c>
      <c r="AW189" s="126">
        <v>1066.7</v>
      </c>
      <c r="AX189" s="42">
        <v>1066.7</v>
      </c>
      <c r="AY189" s="208">
        <f t="shared" si="38"/>
        <v>0</v>
      </c>
      <c r="AZ189" s="290">
        <v>167332</v>
      </c>
      <c r="BA189" s="42"/>
      <c r="BB189" s="42"/>
      <c r="BD189" s="129"/>
    </row>
    <row r="190" spans="1:56">
      <c r="A190" s="235" t="s">
        <v>383</v>
      </c>
      <c r="B190" s="121">
        <v>1</v>
      </c>
      <c r="C190" s="131">
        <v>192.5</v>
      </c>
      <c r="D190" s="131">
        <v>0</v>
      </c>
      <c r="E190" s="82">
        <v>0</v>
      </c>
      <c r="F190" s="131">
        <v>0</v>
      </c>
      <c r="G190" s="199">
        <v>0</v>
      </c>
      <c r="H190" s="131">
        <v>0</v>
      </c>
      <c r="I190" s="131">
        <v>0</v>
      </c>
      <c r="J190" s="208">
        <v>0</v>
      </c>
      <c r="K190" s="127">
        <v>196</v>
      </c>
      <c r="L190" s="124">
        <v>0</v>
      </c>
      <c r="M190" s="121">
        <v>0</v>
      </c>
      <c r="N190" s="124">
        <v>1</v>
      </c>
      <c r="O190" s="124">
        <v>0</v>
      </c>
      <c r="P190" s="131">
        <v>110.4</v>
      </c>
      <c r="Q190" s="124">
        <v>0</v>
      </c>
      <c r="R190" s="124">
        <v>0</v>
      </c>
      <c r="S190" s="124">
        <v>0</v>
      </c>
      <c r="T190" s="127">
        <v>0</v>
      </c>
      <c r="U190" s="121">
        <v>0</v>
      </c>
      <c r="V190" s="121">
        <v>61</v>
      </c>
      <c r="W190" s="121">
        <v>0</v>
      </c>
      <c r="X190" s="131">
        <v>0</v>
      </c>
      <c r="Y190" s="119">
        <v>152</v>
      </c>
      <c r="Z190" s="82">
        <v>0</v>
      </c>
      <c r="AA190" s="79">
        <v>102</v>
      </c>
      <c r="AB190" s="79">
        <v>1.9</v>
      </c>
      <c r="AC190" s="209">
        <v>500</v>
      </c>
      <c r="AD190" s="211">
        <v>0</v>
      </c>
      <c r="AE190" s="89">
        <v>0</v>
      </c>
      <c r="AF190" s="89">
        <v>0</v>
      </c>
      <c r="AG190" s="89">
        <f>SUMIF('PreliminaryHD AR - School Level'!A191:A1497, "=" &amp; A190,'PreliminaryHD AR - School Level'!M191:M1497)</f>
        <v>0</v>
      </c>
      <c r="AH190" s="89">
        <v>443.5</v>
      </c>
      <c r="AI190" s="89">
        <f t="shared" si="26"/>
        <v>0</v>
      </c>
      <c r="AJ190" s="89">
        <f t="shared" si="27"/>
        <v>0</v>
      </c>
      <c r="AK190" s="89">
        <f t="shared" si="28"/>
        <v>192.5</v>
      </c>
      <c r="AL190" s="89">
        <f t="shared" si="29"/>
        <v>1</v>
      </c>
      <c r="AM190" s="89">
        <f t="shared" si="30"/>
        <v>0</v>
      </c>
      <c r="AN190" s="89">
        <f t="shared" si="31"/>
        <v>0</v>
      </c>
      <c r="AO190" s="89">
        <f t="shared" si="32"/>
        <v>110.4</v>
      </c>
      <c r="AP190" s="83">
        <f t="shared" si="33"/>
        <v>61</v>
      </c>
      <c r="AQ190" s="89">
        <f t="shared" si="34"/>
        <v>0</v>
      </c>
      <c r="AR190" s="89">
        <f t="shared" si="35"/>
        <v>152</v>
      </c>
      <c r="AS190" s="83">
        <f t="shared" si="36"/>
        <v>196</v>
      </c>
      <c r="AT190" s="89">
        <v>0</v>
      </c>
      <c r="AU190" s="89">
        <f t="shared" si="37"/>
        <v>0</v>
      </c>
      <c r="AV190" s="108">
        <v>3152007</v>
      </c>
      <c r="AW190" s="126">
        <v>443.5</v>
      </c>
      <c r="AX190" s="42">
        <v>443.5</v>
      </c>
      <c r="AY190" s="208">
        <f t="shared" si="38"/>
        <v>0</v>
      </c>
      <c r="AZ190" s="290">
        <v>221447</v>
      </c>
      <c r="BA190" s="42"/>
      <c r="BB190" s="42"/>
      <c r="BD190" s="129"/>
    </row>
    <row r="191" spans="1:56">
      <c r="A191" s="235" t="s">
        <v>384</v>
      </c>
      <c r="B191" s="121">
        <v>1</v>
      </c>
      <c r="C191" s="131">
        <v>230.5</v>
      </c>
      <c r="D191" s="131">
        <v>0</v>
      </c>
      <c r="E191" s="82">
        <v>0</v>
      </c>
      <c r="F191" s="131">
        <v>0</v>
      </c>
      <c r="G191" s="199">
        <v>0</v>
      </c>
      <c r="H191" s="131">
        <v>0</v>
      </c>
      <c r="I191" s="131">
        <v>0</v>
      </c>
      <c r="J191" s="208">
        <v>0</v>
      </c>
      <c r="K191" s="127">
        <v>242</v>
      </c>
      <c r="L191" s="124">
        <v>0</v>
      </c>
      <c r="M191" s="121">
        <v>0</v>
      </c>
      <c r="N191" s="124">
        <v>5</v>
      </c>
      <c r="O191" s="124">
        <v>0</v>
      </c>
      <c r="P191" s="131">
        <v>96.3</v>
      </c>
      <c r="Q191" s="124">
        <v>0</v>
      </c>
      <c r="R191" s="124">
        <v>0</v>
      </c>
      <c r="S191" s="124">
        <v>0</v>
      </c>
      <c r="T191" s="127">
        <v>0</v>
      </c>
      <c r="U191" s="121">
        <v>0</v>
      </c>
      <c r="V191" s="121">
        <v>117</v>
      </c>
      <c r="W191" s="121">
        <v>0</v>
      </c>
      <c r="X191" s="131">
        <v>0</v>
      </c>
      <c r="Y191" s="119">
        <v>67</v>
      </c>
      <c r="Z191" s="82">
        <v>0</v>
      </c>
      <c r="AA191" s="79">
        <v>1</v>
      </c>
      <c r="AB191" s="79">
        <v>0.8</v>
      </c>
      <c r="AC191" s="209">
        <v>1</v>
      </c>
      <c r="AD191" s="211">
        <v>0</v>
      </c>
      <c r="AE191" s="89">
        <v>0</v>
      </c>
      <c r="AF191" s="89">
        <v>10.9</v>
      </c>
      <c r="AG191" s="89">
        <f>SUMIF('PreliminaryHD AR - School Level'!A192:A1498, "=" &amp; A191,'PreliminaryHD AR - School Level'!M192:M1498)</f>
        <v>10.1</v>
      </c>
      <c r="AH191" s="89">
        <v>507.6</v>
      </c>
      <c r="AI191" s="89">
        <f t="shared" si="26"/>
        <v>0</v>
      </c>
      <c r="AJ191" s="89">
        <f t="shared" si="27"/>
        <v>0</v>
      </c>
      <c r="AK191" s="89">
        <f t="shared" si="28"/>
        <v>230.5</v>
      </c>
      <c r="AL191" s="89">
        <f t="shared" si="29"/>
        <v>5</v>
      </c>
      <c r="AM191" s="89">
        <f t="shared" si="30"/>
        <v>0</v>
      </c>
      <c r="AN191" s="89">
        <f t="shared" si="31"/>
        <v>0</v>
      </c>
      <c r="AO191" s="89">
        <f t="shared" si="32"/>
        <v>96.3</v>
      </c>
      <c r="AP191" s="83">
        <f t="shared" si="33"/>
        <v>117</v>
      </c>
      <c r="AQ191" s="89">
        <f t="shared" si="34"/>
        <v>0</v>
      </c>
      <c r="AR191" s="89">
        <f t="shared" si="35"/>
        <v>67</v>
      </c>
      <c r="AS191" s="83">
        <f t="shared" si="36"/>
        <v>242</v>
      </c>
      <c r="AT191" s="89">
        <v>0</v>
      </c>
      <c r="AU191" s="89">
        <f t="shared" si="37"/>
        <v>10.9</v>
      </c>
      <c r="AV191" s="108">
        <v>2530995</v>
      </c>
      <c r="AW191" s="126">
        <v>507.6</v>
      </c>
      <c r="AX191" s="42">
        <v>507.6</v>
      </c>
      <c r="AY191" s="208">
        <f t="shared" si="38"/>
        <v>0</v>
      </c>
      <c r="AZ191" s="290">
        <v>108475</v>
      </c>
      <c r="BA191" s="42"/>
      <c r="BB191" s="42"/>
      <c r="BD191" s="129"/>
    </row>
    <row r="192" spans="1:56">
      <c r="A192" s="235" t="s">
        <v>385</v>
      </c>
      <c r="B192" s="121">
        <v>1</v>
      </c>
      <c r="C192" s="131">
        <v>111.6</v>
      </c>
      <c r="D192" s="131">
        <v>0</v>
      </c>
      <c r="E192" s="82">
        <v>0</v>
      </c>
      <c r="F192" s="131">
        <v>0</v>
      </c>
      <c r="G192" s="199">
        <v>0</v>
      </c>
      <c r="H192" s="131">
        <v>0</v>
      </c>
      <c r="I192" s="131">
        <v>0</v>
      </c>
      <c r="J192" s="208">
        <v>0</v>
      </c>
      <c r="K192" s="127">
        <v>118</v>
      </c>
      <c r="L192" s="124">
        <v>0</v>
      </c>
      <c r="M192" s="121">
        <v>0</v>
      </c>
      <c r="N192" s="124">
        <v>2.5</v>
      </c>
      <c r="O192" s="124">
        <v>0</v>
      </c>
      <c r="P192" s="131">
        <v>42.9</v>
      </c>
      <c r="Q192" s="124">
        <v>0</v>
      </c>
      <c r="R192" s="124">
        <v>0</v>
      </c>
      <c r="S192" s="124">
        <v>0</v>
      </c>
      <c r="T192" s="127">
        <v>0</v>
      </c>
      <c r="U192" s="121">
        <v>0</v>
      </c>
      <c r="V192" s="121">
        <v>47</v>
      </c>
      <c r="W192" s="121">
        <v>0</v>
      </c>
      <c r="X192" s="131">
        <v>0</v>
      </c>
      <c r="Y192" s="119">
        <v>21</v>
      </c>
      <c r="Z192" s="82">
        <v>0</v>
      </c>
      <c r="AA192" s="79">
        <v>0</v>
      </c>
      <c r="AB192" s="79">
        <v>0</v>
      </c>
      <c r="AC192" s="209">
        <v>0</v>
      </c>
      <c r="AD192" s="211">
        <v>0</v>
      </c>
      <c r="AE192" s="89">
        <v>0</v>
      </c>
      <c r="AF192" s="89">
        <v>1.6</v>
      </c>
      <c r="AG192" s="89">
        <f>SUMIF('PreliminaryHD AR - School Level'!A193:A1499, "=" &amp; A192,'PreliminaryHD AR - School Level'!M193:M1499)</f>
        <v>3.2</v>
      </c>
      <c r="AH192" s="89">
        <v>269.89999999999998</v>
      </c>
      <c r="AI192" s="89">
        <f t="shared" si="26"/>
        <v>0</v>
      </c>
      <c r="AJ192" s="89">
        <f t="shared" si="27"/>
        <v>0</v>
      </c>
      <c r="AK192" s="89">
        <f t="shared" si="28"/>
        <v>111.6</v>
      </c>
      <c r="AL192" s="89">
        <f t="shared" si="29"/>
        <v>2.5</v>
      </c>
      <c r="AM192" s="89">
        <f t="shared" si="30"/>
        <v>0</v>
      </c>
      <c r="AN192" s="89">
        <f t="shared" si="31"/>
        <v>0</v>
      </c>
      <c r="AO192" s="89">
        <f t="shared" si="32"/>
        <v>42.9</v>
      </c>
      <c r="AP192" s="83">
        <f t="shared" si="33"/>
        <v>47</v>
      </c>
      <c r="AQ192" s="89">
        <f t="shared" si="34"/>
        <v>0</v>
      </c>
      <c r="AR192" s="89">
        <f t="shared" si="35"/>
        <v>21</v>
      </c>
      <c r="AS192" s="83">
        <f t="shared" si="36"/>
        <v>118</v>
      </c>
      <c r="AT192" s="89">
        <v>0</v>
      </c>
      <c r="AU192" s="89">
        <f t="shared" si="37"/>
        <v>3.2</v>
      </c>
      <c r="AV192" s="108">
        <v>1313225</v>
      </c>
      <c r="AW192" s="126">
        <v>269.89999999999998</v>
      </c>
      <c r="AX192" s="42">
        <v>269.89999999999998</v>
      </c>
      <c r="AY192" s="208">
        <f t="shared" si="38"/>
        <v>0</v>
      </c>
      <c r="AZ192" s="290">
        <v>108676</v>
      </c>
      <c r="BA192" s="42"/>
      <c r="BB192" s="42"/>
      <c r="BD192" s="129"/>
    </row>
    <row r="193" spans="1:56">
      <c r="A193" s="235" t="s">
        <v>386</v>
      </c>
      <c r="B193" s="121">
        <v>1</v>
      </c>
      <c r="C193" s="131">
        <v>809.9</v>
      </c>
      <c r="D193" s="131">
        <v>0</v>
      </c>
      <c r="E193" s="82">
        <v>0</v>
      </c>
      <c r="F193" s="131">
        <v>0</v>
      </c>
      <c r="G193" s="199">
        <v>0</v>
      </c>
      <c r="H193" s="131">
        <v>0</v>
      </c>
      <c r="I193" s="131">
        <v>0</v>
      </c>
      <c r="J193" s="208">
        <v>0</v>
      </c>
      <c r="K193" s="127">
        <v>830</v>
      </c>
      <c r="L193" s="124">
        <v>0</v>
      </c>
      <c r="M193" s="121">
        <v>0</v>
      </c>
      <c r="N193" s="124">
        <v>6.5</v>
      </c>
      <c r="O193" s="124">
        <v>0</v>
      </c>
      <c r="P193" s="131">
        <v>276.8</v>
      </c>
      <c r="Q193" s="124">
        <v>0</v>
      </c>
      <c r="R193" s="124">
        <v>4.8</v>
      </c>
      <c r="S193" s="124">
        <v>0</v>
      </c>
      <c r="T193" s="127">
        <v>3</v>
      </c>
      <c r="U193" s="121">
        <v>0</v>
      </c>
      <c r="V193" s="121">
        <v>185</v>
      </c>
      <c r="W193" s="121">
        <v>0</v>
      </c>
      <c r="X193" s="131">
        <v>0</v>
      </c>
      <c r="Y193" s="119">
        <v>290.5</v>
      </c>
      <c r="Z193" s="82">
        <v>0</v>
      </c>
      <c r="AA193" s="79">
        <v>70</v>
      </c>
      <c r="AB193" s="79">
        <v>144.6</v>
      </c>
      <c r="AC193" s="209">
        <v>0</v>
      </c>
      <c r="AD193" s="211">
        <v>0</v>
      </c>
      <c r="AE193" s="89">
        <v>0</v>
      </c>
      <c r="AF193" s="89">
        <v>0</v>
      </c>
      <c r="AG193" s="89">
        <f>SUMIF('PreliminaryHD AR - School Level'!A194:A1500, "=" &amp; A193,'PreliminaryHD AR - School Level'!M194:M1500)</f>
        <v>0</v>
      </c>
      <c r="AH193" s="89">
        <v>1314.9</v>
      </c>
      <c r="AI193" s="89">
        <f t="shared" si="26"/>
        <v>0</v>
      </c>
      <c r="AJ193" s="89">
        <f t="shared" si="27"/>
        <v>0</v>
      </c>
      <c r="AK193" s="89">
        <f t="shared" si="28"/>
        <v>809.9</v>
      </c>
      <c r="AL193" s="89">
        <f t="shared" si="29"/>
        <v>6.5</v>
      </c>
      <c r="AM193" s="89">
        <f t="shared" si="30"/>
        <v>4.8</v>
      </c>
      <c r="AN193" s="89">
        <f t="shared" si="31"/>
        <v>3</v>
      </c>
      <c r="AO193" s="89">
        <f t="shared" si="32"/>
        <v>276.8</v>
      </c>
      <c r="AP193" s="83">
        <f t="shared" si="33"/>
        <v>185</v>
      </c>
      <c r="AQ193" s="89">
        <f t="shared" si="34"/>
        <v>0</v>
      </c>
      <c r="AR193" s="89">
        <f t="shared" si="35"/>
        <v>290.5</v>
      </c>
      <c r="AS193" s="83">
        <f t="shared" si="36"/>
        <v>830</v>
      </c>
      <c r="AT193" s="89">
        <v>0</v>
      </c>
      <c r="AU193" s="89">
        <f t="shared" si="37"/>
        <v>0</v>
      </c>
      <c r="AV193" s="108">
        <v>7538572</v>
      </c>
      <c r="AW193" s="126">
        <v>1314.9</v>
      </c>
      <c r="AX193" s="42">
        <v>1314.9</v>
      </c>
      <c r="AY193" s="208">
        <f t="shared" si="38"/>
        <v>0</v>
      </c>
      <c r="AZ193" s="290">
        <v>403011</v>
      </c>
      <c r="BA193" s="42"/>
      <c r="BB193" s="42"/>
      <c r="BD193" s="129"/>
    </row>
    <row r="194" spans="1:56">
      <c r="A194" s="235" t="s">
        <v>387</v>
      </c>
      <c r="B194" s="121">
        <v>1</v>
      </c>
      <c r="C194" s="131">
        <v>146.5</v>
      </c>
      <c r="D194" s="131">
        <v>0</v>
      </c>
      <c r="E194" s="82">
        <v>0</v>
      </c>
      <c r="F194" s="131">
        <v>0</v>
      </c>
      <c r="G194" s="199">
        <v>0</v>
      </c>
      <c r="H194" s="131">
        <v>0</v>
      </c>
      <c r="I194" s="131">
        <v>0</v>
      </c>
      <c r="J194" s="208">
        <v>0</v>
      </c>
      <c r="K194" s="127">
        <v>153</v>
      </c>
      <c r="L194" s="124">
        <v>0</v>
      </c>
      <c r="M194" s="121">
        <v>0</v>
      </c>
      <c r="N194" s="124">
        <v>2.5</v>
      </c>
      <c r="O194" s="124">
        <v>0</v>
      </c>
      <c r="P194" s="131">
        <v>39.799999999999997</v>
      </c>
      <c r="Q194" s="124">
        <v>0</v>
      </c>
      <c r="R194" s="124">
        <v>6.9</v>
      </c>
      <c r="S194" s="124">
        <v>0</v>
      </c>
      <c r="T194" s="127">
        <v>6</v>
      </c>
      <c r="U194" s="121">
        <v>0</v>
      </c>
      <c r="V194" s="121">
        <v>92</v>
      </c>
      <c r="W194" s="121">
        <v>0</v>
      </c>
      <c r="X194" s="131">
        <v>0</v>
      </c>
      <c r="Y194" s="119">
        <v>28</v>
      </c>
      <c r="Z194" s="82">
        <v>0</v>
      </c>
      <c r="AA194" s="79">
        <v>0</v>
      </c>
      <c r="AB194" s="79">
        <v>0</v>
      </c>
      <c r="AC194" s="209">
        <v>0</v>
      </c>
      <c r="AD194" s="211">
        <v>0</v>
      </c>
      <c r="AE194" s="89">
        <v>0</v>
      </c>
      <c r="AF194" s="89">
        <v>9.6999999999999993</v>
      </c>
      <c r="AG194" s="89">
        <f>SUMIF('PreliminaryHD AR - School Level'!A195:A1501, "=" &amp; A194,'PreliminaryHD AR - School Level'!M195:M1501)</f>
        <v>9.6</v>
      </c>
      <c r="AH194" s="89">
        <v>376.3</v>
      </c>
      <c r="AI194" s="89">
        <f t="shared" si="26"/>
        <v>0</v>
      </c>
      <c r="AJ194" s="89">
        <f t="shared" si="27"/>
        <v>0</v>
      </c>
      <c r="AK194" s="89">
        <f t="shared" si="28"/>
        <v>146.5</v>
      </c>
      <c r="AL194" s="89">
        <f t="shared" si="29"/>
        <v>2.5</v>
      </c>
      <c r="AM194" s="89">
        <f t="shared" si="30"/>
        <v>6.9</v>
      </c>
      <c r="AN194" s="89">
        <f t="shared" si="31"/>
        <v>6</v>
      </c>
      <c r="AO194" s="89">
        <f t="shared" si="32"/>
        <v>39.799999999999997</v>
      </c>
      <c r="AP194" s="83">
        <f t="shared" si="33"/>
        <v>92</v>
      </c>
      <c r="AQ194" s="89">
        <f t="shared" si="34"/>
        <v>0</v>
      </c>
      <c r="AR194" s="89">
        <f t="shared" si="35"/>
        <v>28</v>
      </c>
      <c r="AS194" s="83">
        <f t="shared" si="36"/>
        <v>153</v>
      </c>
      <c r="AT194" s="89">
        <v>0</v>
      </c>
      <c r="AU194" s="89">
        <f t="shared" si="37"/>
        <v>9.6999999999999993</v>
      </c>
      <c r="AV194" s="108">
        <v>1807194</v>
      </c>
      <c r="AW194" s="126">
        <v>376.3</v>
      </c>
      <c r="AX194" s="42">
        <v>376.3</v>
      </c>
      <c r="AY194" s="208">
        <f t="shared" si="38"/>
        <v>0</v>
      </c>
      <c r="AZ194" s="290">
        <v>46122</v>
      </c>
      <c r="BA194" s="42"/>
      <c r="BB194" s="42"/>
      <c r="BD194" s="129"/>
    </row>
    <row r="195" spans="1:56">
      <c r="A195" s="235" t="s">
        <v>388</v>
      </c>
      <c r="B195" s="121">
        <v>1</v>
      </c>
      <c r="C195" s="131">
        <v>2141.9</v>
      </c>
      <c r="D195" s="131">
        <v>0</v>
      </c>
      <c r="E195" s="82">
        <v>0</v>
      </c>
      <c r="F195" s="131">
        <v>0</v>
      </c>
      <c r="G195" s="199">
        <v>0</v>
      </c>
      <c r="H195" s="131">
        <v>0</v>
      </c>
      <c r="I195" s="131">
        <v>0</v>
      </c>
      <c r="J195" s="208">
        <v>0</v>
      </c>
      <c r="K195" s="127">
        <v>2252</v>
      </c>
      <c r="L195" s="124">
        <v>0</v>
      </c>
      <c r="M195" s="121">
        <v>0</v>
      </c>
      <c r="N195" s="124">
        <v>11.5</v>
      </c>
      <c r="O195" s="124">
        <v>0</v>
      </c>
      <c r="P195" s="131">
        <v>792.9</v>
      </c>
      <c r="Q195" s="124">
        <v>0</v>
      </c>
      <c r="R195" s="124">
        <v>30.5</v>
      </c>
      <c r="S195" s="124">
        <v>0</v>
      </c>
      <c r="T195" s="127">
        <v>24</v>
      </c>
      <c r="U195" s="121">
        <v>0</v>
      </c>
      <c r="V195" s="121">
        <v>685</v>
      </c>
      <c r="W195" s="121">
        <v>0</v>
      </c>
      <c r="X195" s="131">
        <v>0</v>
      </c>
      <c r="Y195" s="119">
        <v>367.1</v>
      </c>
      <c r="Z195" s="82">
        <v>0</v>
      </c>
      <c r="AA195" s="79">
        <v>1</v>
      </c>
      <c r="AB195" s="79">
        <v>0</v>
      </c>
      <c r="AC195" s="209">
        <v>0</v>
      </c>
      <c r="AD195" s="211">
        <v>0</v>
      </c>
      <c r="AE195" s="89">
        <v>0</v>
      </c>
      <c r="AF195" s="89">
        <v>0</v>
      </c>
      <c r="AG195" s="89">
        <f>SUMIF('PreliminaryHD AR - School Level'!A196:A1502, "=" &amp; A195,'PreliminaryHD AR - School Level'!M196:M1502)</f>
        <v>14.8</v>
      </c>
      <c r="AH195" s="89">
        <v>2733.5</v>
      </c>
      <c r="AI195" s="89">
        <f t="shared" si="26"/>
        <v>0</v>
      </c>
      <c r="AJ195" s="89">
        <f t="shared" si="27"/>
        <v>0</v>
      </c>
      <c r="AK195" s="89">
        <f t="shared" si="28"/>
        <v>2141.9</v>
      </c>
      <c r="AL195" s="89">
        <f t="shared" si="29"/>
        <v>11.5</v>
      </c>
      <c r="AM195" s="89">
        <f t="shared" si="30"/>
        <v>30.5</v>
      </c>
      <c r="AN195" s="89">
        <f t="shared" si="31"/>
        <v>24</v>
      </c>
      <c r="AO195" s="89">
        <f t="shared" si="32"/>
        <v>792.9</v>
      </c>
      <c r="AP195" s="83">
        <f t="shared" si="33"/>
        <v>685</v>
      </c>
      <c r="AQ195" s="89">
        <f t="shared" si="34"/>
        <v>0</v>
      </c>
      <c r="AR195" s="89">
        <f t="shared" si="35"/>
        <v>367.1</v>
      </c>
      <c r="AS195" s="83">
        <f t="shared" si="36"/>
        <v>2252</v>
      </c>
      <c r="AT195" s="89">
        <v>0</v>
      </c>
      <c r="AU195" s="89">
        <f t="shared" si="37"/>
        <v>14.8</v>
      </c>
      <c r="AV195" s="108">
        <v>13239084</v>
      </c>
      <c r="AW195" s="126">
        <v>2733.5</v>
      </c>
      <c r="AX195" s="42">
        <v>2733.5</v>
      </c>
      <c r="AY195" s="208">
        <f t="shared" si="38"/>
        <v>0</v>
      </c>
      <c r="AZ195" s="290">
        <v>214877</v>
      </c>
      <c r="BA195" s="42"/>
      <c r="BB195" s="42"/>
      <c r="BD195" s="129"/>
    </row>
    <row r="196" spans="1:56">
      <c r="A196" s="235" t="s">
        <v>389</v>
      </c>
      <c r="B196" s="121">
        <v>1</v>
      </c>
      <c r="C196" s="131">
        <v>246.6</v>
      </c>
      <c r="D196" s="131">
        <v>0</v>
      </c>
      <c r="E196" s="82">
        <v>0</v>
      </c>
      <c r="F196" s="131">
        <v>0</v>
      </c>
      <c r="G196" s="199">
        <v>0</v>
      </c>
      <c r="H196" s="131">
        <v>0</v>
      </c>
      <c r="I196" s="131">
        <v>0</v>
      </c>
      <c r="J196" s="208">
        <v>0</v>
      </c>
      <c r="K196" s="127">
        <v>253</v>
      </c>
      <c r="L196" s="124">
        <v>0</v>
      </c>
      <c r="M196" s="121">
        <v>0</v>
      </c>
      <c r="N196" s="124">
        <v>2</v>
      </c>
      <c r="O196" s="124">
        <v>0</v>
      </c>
      <c r="P196" s="131">
        <v>67.400000000000006</v>
      </c>
      <c r="Q196" s="124">
        <v>0</v>
      </c>
      <c r="R196" s="124">
        <v>11</v>
      </c>
      <c r="S196" s="124">
        <v>0</v>
      </c>
      <c r="T196" s="127">
        <v>6</v>
      </c>
      <c r="U196" s="121">
        <v>0</v>
      </c>
      <c r="V196" s="121">
        <v>64</v>
      </c>
      <c r="W196" s="121">
        <v>0</v>
      </c>
      <c r="X196" s="131">
        <v>1</v>
      </c>
      <c r="Y196" s="119">
        <v>95</v>
      </c>
      <c r="Z196" s="82">
        <v>0</v>
      </c>
      <c r="AA196" s="79">
        <v>6</v>
      </c>
      <c r="AB196" s="79">
        <v>0</v>
      </c>
      <c r="AC196" s="209">
        <v>0</v>
      </c>
      <c r="AD196" s="211">
        <v>0</v>
      </c>
      <c r="AE196" s="89">
        <v>0</v>
      </c>
      <c r="AF196" s="89">
        <v>0</v>
      </c>
      <c r="AG196" s="89">
        <f>SUMIF('PreliminaryHD AR - School Level'!A197:A1503, "=" &amp; A196,'PreliminaryHD AR - School Level'!M197:M1503)</f>
        <v>0.4</v>
      </c>
      <c r="AH196" s="89">
        <v>469.7</v>
      </c>
      <c r="AI196" s="89">
        <f t="shared" si="26"/>
        <v>0</v>
      </c>
      <c r="AJ196" s="89">
        <f t="shared" si="27"/>
        <v>0</v>
      </c>
      <c r="AK196" s="89">
        <f t="shared" si="28"/>
        <v>246.6</v>
      </c>
      <c r="AL196" s="89">
        <f t="shared" si="29"/>
        <v>2</v>
      </c>
      <c r="AM196" s="89">
        <f t="shared" si="30"/>
        <v>11</v>
      </c>
      <c r="AN196" s="89">
        <f t="shared" si="31"/>
        <v>6</v>
      </c>
      <c r="AO196" s="89">
        <f t="shared" si="32"/>
        <v>67.400000000000006</v>
      </c>
      <c r="AP196" s="83">
        <f t="shared" si="33"/>
        <v>64</v>
      </c>
      <c r="AQ196" s="89">
        <f t="shared" si="34"/>
        <v>0</v>
      </c>
      <c r="AR196" s="89">
        <f t="shared" si="35"/>
        <v>95</v>
      </c>
      <c r="AS196" s="83">
        <f t="shared" si="36"/>
        <v>253</v>
      </c>
      <c r="AT196" s="89">
        <v>0</v>
      </c>
      <c r="AU196" s="89">
        <f t="shared" si="37"/>
        <v>0.4</v>
      </c>
      <c r="AV196" s="108">
        <v>2539117</v>
      </c>
      <c r="AW196" s="126">
        <v>469.7</v>
      </c>
      <c r="AX196" s="42">
        <v>469.7</v>
      </c>
      <c r="AY196" s="208">
        <f t="shared" si="38"/>
        <v>0</v>
      </c>
      <c r="AZ196" s="290">
        <v>135158</v>
      </c>
      <c r="BA196" s="42"/>
      <c r="BB196" s="42"/>
      <c r="BD196" s="129"/>
    </row>
    <row r="197" spans="1:56">
      <c r="A197" s="235" t="s">
        <v>390</v>
      </c>
      <c r="B197" s="121">
        <v>1</v>
      </c>
      <c r="C197" s="131">
        <v>716</v>
      </c>
      <c r="D197" s="131">
        <v>0</v>
      </c>
      <c r="E197" s="82">
        <v>0</v>
      </c>
      <c r="F197" s="131">
        <v>0</v>
      </c>
      <c r="G197" s="199">
        <v>0</v>
      </c>
      <c r="H197" s="131">
        <v>0</v>
      </c>
      <c r="I197" s="131">
        <v>0</v>
      </c>
      <c r="J197" s="208">
        <v>0</v>
      </c>
      <c r="K197" s="127">
        <v>739</v>
      </c>
      <c r="L197" s="124">
        <v>0</v>
      </c>
      <c r="M197" s="121">
        <v>0</v>
      </c>
      <c r="N197" s="124">
        <v>10.5</v>
      </c>
      <c r="O197" s="124">
        <v>0</v>
      </c>
      <c r="P197" s="131">
        <v>157.19999999999999</v>
      </c>
      <c r="Q197" s="124">
        <v>0</v>
      </c>
      <c r="R197" s="124">
        <v>0</v>
      </c>
      <c r="S197" s="124">
        <v>0</v>
      </c>
      <c r="T197" s="127">
        <v>2</v>
      </c>
      <c r="U197" s="121">
        <v>0</v>
      </c>
      <c r="V197" s="121">
        <v>313</v>
      </c>
      <c r="W197" s="121">
        <v>0</v>
      </c>
      <c r="X197" s="131">
        <v>0</v>
      </c>
      <c r="Y197" s="119">
        <v>268.5</v>
      </c>
      <c r="Z197" s="82">
        <v>0</v>
      </c>
      <c r="AA197" s="79">
        <v>0</v>
      </c>
      <c r="AB197" s="79">
        <v>0</v>
      </c>
      <c r="AC197" s="209">
        <v>6</v>
      </c>
      <c r="AD197" s="211">
        <v>0</v>
      </c>
      <c r="AE197" s="89">
        <v>0</v>
      </c>
      <c r="AF197" s="89">
        <v>16.100000000000001</v>
      </c>
      <c r="AG197" s="89">
        <f>SUMIF('PreliminaryHD AR - School Level'!A198:A1504, "=" &amp; A197,'PreliminaryHD AR - School Level'!M198:M1504)</f>
        <v>17.399999999999999</v>
      </c>
      <c r="AH197" s="89">
        <v>1217.5999999999999</v>
      </c>
      <c r="AI197" s="89">
        <f t="shared" ref="AI197:AI260" si="39">D197-I197</f>
        <v>0</v>
      </c>
      <c r="AJ197" s="89">
        <f t="shared" ref="AJ197:AJ260" si="40">E197-J197</f>
        <v>0</v>
      </c>
      <c r="AK197" s="89">
        <f t="shared" ref="AK197:AK260" si="41">C197+F197</f>
        <v>716</v>
      </c>
      <c r="AL197" s="89">
        <f t="shared" ref="AL197:AL260" si="42">N197+O197</f>
        <v>10.5</v>
      </c>
      <c r="AM197" s="89">
        <f t="shared" ref="AM197:AM260" si="43">R197+S197</f>
        <v>0</v>
      </c>
      <c r="AN197" s="89">
        <f t="shared" ref="AN197:AN260" si="44">T197+U197</f>
        <v>2</v>
      </c>
      <c r="AO197" s="89">
        <f t="shared" ref="AO197:AO260" si="45">P197+Q197</f>
        <v>157.19999999999999</v>
      </c>
      <c r="AP197" s="83">
        <f t="shared" ref="AP197:AP260" si="46">V197+W197</f>
        <v>313</v>
      </c>
      <c r="AQ197" s="89">
        <f t="shared" ref="AQ197:AQ260" si="47">AD197+AE197</f>
        <v>0</v>
      </c>
      <c r="AR197" s="89">
        <f t="shared" ref="AR197:AR260" si="48">Y197+Z197</f>
        <v>268.5</v>
      </c>
      <c r="AS197" s="83">
        <f t="shared" ref="AS197:AS260" si="49">K197+M197</f>
        <v>739</v>
      </c>
      <c r="AT197" s="89">
        <v>0</v>
      </c>
      <c r="AU197" s="89">
        <f t="shared" ref="AU197:AU260" si="50">MAX(AF197,AG197)</f>
        <v>17.399999999999999</v>
      </c>
      <c r="AV197" s="108">
        <v>5953782</v>
      </c>
      <c r="AW197" s="126">
        <v>1217.5999999999999</v>
      </c>
      <c r="AX197" s="42">
        <v>1217.5999999999999</v>
      </c>
      <c r="AY197" s="208">
        <f t="shared" ref="AY197:AY260" si="51">AX197-AH197</f>
        <v>0</v>
      </c>
      <c r="AZ197" s="290">
        <v>219607</v>
      </c>
      <c r="BA197" s="42"/>
      <c r="BB197" s="42"/>
      <c r="BD197" s="129"/>
    </row>
    <row r="198" spans="1:56">
      <c r="A198" s="235" t="s">
        <v>391</v>
      </c>
      <c r="B198" s="121">
        <v>1</v>
      </c>
      <c r="C198" s="131">
        <v>769.6</v>
      </c>
      <c r="D198" s="131">
        <v>0</v>
      </c>
      <c r="E198" s="82">
        <v>0</v>
      </c>
      <c r="F198" s="131">
        <v>0</v>
      </c>
      <c r="G198" s="199">
        <v>0</v>
      </c>
      <c r="H198" s="131">
        <v>0</v>
      </c>
      <c r="I198" s="131">
        <v>0</v>
      </c>
      <c r="J198" s="208">
        <v>0</v>
      </c>
      <c r="K198" s="127">
        <v>806</v>
      </c>
      <c r="L198" s="124">
        <v>0</v>
      </c>
      <c r="M198" s="121">
        <v>0</v>
      </c>
      <c r="N198" s="124">
        <v>10.5</v>
      </c>
      <c r="O198" s="124">
        <v>0</v>
      </c>
      <c r="P198" s="131">
        <v>239.8</v>
      </c>
      <c r="Q198" s="124">
        <v>0</v>
      </c>
      <c r="R198" s="124">
        <v>473.7</v>
      </c>
      <c r="S198" s="124">
        <v>0</v>
      </c>
      <c r="T198" s="127">
        <v>170</v>
      </c>
      <c r="U198" s="121">
        <v>0</v>
      </c>
      <c r="V198" s="121">
        <v>487</v>
      </c>
      <c r="W198" s="121">
        <v>0</v>
      </c>
      <c r="X198" s="131">
        <v>0</v>
      </c>
      <c r="Y198" s="119">
        <v>59</v>
      </c>
      <c r="Z198" s="82">
        <v>0</v>
      </c>
      <c r="AA198" s="79">
        <v>0</v>
      </c>
      <c r="AB198" s="79">
        <v>0</v>
      </c>
      <c r="AC198" s="209">
        <v>0</v>
      </c>
      <c r="AD198" s="211">
        <v>14</v>
      </c>
      <c r="AE198" s="89">
        <v>0</v>
      </c>
      <c r="AF198" s="89">
        <v>51.1</v>
      </c>
      <c r="AG198" s="89">
        <f>SUMIF('PreliminaryHD AR - School Level'!A199:A1505, "=" &amp; A198,'PreliminaryHD AR - School Level'!M199:M1505)</f>
        <v>51.1</v>
      </c>
      <c r="AH198" s="89">
        <v>1418.2</v>
      </c>
      <c r="AI198" s="89">
        <f t="shared" si="39"/>
        <v>0</v>
      </c>
      <c r="AJ198" s="89">
        <f t="shared" si="40"/>
        <v>0</v>
      </c>
      <c r="AK198" s="89">
        <f t="shared" si="41"/>
        <v>769.6</v>
      </c>
      <c r="AL198" s="89">
        <f t="shared" si="42"/>
        <v>10.5</v>
      </c>
      <c r="AM198" s="89">
        <f t="shared" si="43"/>
        <v>473.7</v>
      </c>
      <c r="AN198" s="89">
        <f t="shared" si="44"/>
        <v>170</v>
      </c>
      <c r="AO198" s="89">
        <f t="shared" si="45"/>
        <v>239.8</v>
      </c>
      <c r="AP198" s="83">
        <f t="shared" si="46"/>
        <v>487</v>
      </c>
      <c r="AQ198" s="89">
        <f t="shared" si="47"/>
        <v>14</v>
      </c>
      <c r="AR198" s="89">
        <f t="shared" si="48"/>
        <v>59</v>
      </c>
      <c r="AS198" s="83">
        <f t="shared" si="49"/>
        <v>806</v>
      </c>
      <c r="AT198" s="89">
        <v>0</v>
      </c>
      <c r="AU198" s="89">
        <f t="shared" si="50"/>
        <v>51.1</v>
      </c>
      <c r="AV198" s="108">
        <v>7038017</v>
      </c>
      <c r="AW198" s="126">
        <v>1418.2</v>
      </c>
      <c r="AX198" s="42">
        <v>1418.2</v>
      </c>
      <c r="AY198" s="208">
        <f t="shared" si="51"/>
        <v>0</v>
      </c>
      <c r="AZ198" s="290">
        <v>68819</v>
      </c>
      <c r="BA198" s="42"/>
      <c r="BB198" s="42"/>
      <c r="BD198" s="129"/>
    </row>
    <row r="199" spans="1:56">
      <c r="A199" s="235" t="s">
        <v>392</v>
      </c>
      <c r="B199" s="121">
        <v>1</v>
      </c>
      <c r="C199" s="131">
        <v>853</v>
      </c>
      <c r="D199" s="131">
        <v>0</v>
      </c>
      <c r="E199" s="82">
        <v>0</v>
      </c>
      <c r="F199" s="131">
        <v>0</v>
      </c>
      <c r="G199" s="199">
        <v>0</v>
      </c>
      <c r="H199" s="131">
        <v>0</v>
      </c>
      <c r="I199" s="131">
        <v>0</v>
      </c>
      <c r="J199" s="208">
        <v>0</v>
      </c>
      <c r="K199" s="127">
        <v>858</v>
      </c>
      <c r="L199" s="124">
        <v>0</v>
      </c>
      <c r="M199" s="121">
        <v>0</v>
      </c>
      <c r="N199" s="124">
        <v>0</v>
      </c>
      <c r="O199" s="124">
        <v>0</v>
      </c>
      <c r="P199" s="131">
        <v>225.9</v>
      </c>
      <c r="Q199" s="124">
        <v>0</v>
      </c>
      <c r="R199" s="124">
        <v>0</v>
      </c>
      <c r="S199" s="124">
        <v>0</v>
      </c>
      <c r="T199" s="127">
        <v>4</v>
      </c>
      <c r="U199" s="121">
        <v>0</v>
      </c>
      <c r="V199" s="121">
        <v>386</v>
      </c>
      <c r="W199" s="121">
        <v>0</v>
      </c>
      <c r="X199" s="131">
        <v>0</v>
      </c>
      <c r="Y199" s="119">
        <v>122</v>
      </c>
      <c r="Z199" s="82">
        <v>0</v>
      </c>
      <c r="AA199" s="79">
        <v>0</v>
      </c>
      <c r="AB199" s="79">
        <v>0</v>
      </c>
      <c r="AC199" s="209">
        <v>0</v>
      </c>
      <c r="AD199" s="211">
        <v>0</v>
      </c>
      <c r="AE199" s="89">
        <v>0</v>
      </c>
      <c r="AF199" s="89">
        <v>27</v>
      </c>
      <c r="AG199" s="89">
        <f>SUMIF('PreliminaryHD AR - School Level'!A200:A1506, "=" &amp; A199,'PreliminaryHD AR - School Level'!M200:M1506)</f>
        <v>27.8</v>
      </c>
      <c r="AH199" s="89">
        <v>1372.1</v>
      </c>
      <c r="AI199" s="89">
        <f t="shared" si="39"/>
        <v>0</v>
      </c>
      <c r="AJ199" s="89">
        <f t="shared" si="40"/>
        <v>0</v>
      </c>
      <c r="AK199" s="89">
        <f t="shared" si="41"/>
        <v>853</v>
      </c>
      <c r="AL199" s="89">
        <f t="shared" si="42"/>
        <v>0</v>
      </c>
      <c r="AM199" s="89">
        <f t="shared" si="43"/>
        <v>0</v>
      </c>
      <c r="AN199" s="89">
        <f t="shared" si="44"/>
        <v>4</v>
      </c>
      <c r="AO199" s="89">
        <f t="shared" si="45"/>
        <v>225.9</v>
      </c>
      <c r="AP199" s="83">
        <f t="shared" si="46"/>
        <v>386</v>
      </c>
      <c r="AQ199" s="89">
        <f t="shared" si="47"/>
        <v>0</v>
      </c>
      <c r="AR199" s="89">
        <f t="shared" si="48"/>
        <v>122</v>
      </c>
      <c r="AS199" s="83">
        <f t="shared" si="49"/>
        <v>858</v>
      </c>
      <c r="AT199" s="89">
        <v>0</v>
      </c>
      <c r="AU199" s="89">
        <f t="shared" si="50"/>
        <v>27.8</v>
      </c>
      <c r="AV199" s="108">
        <v>6550296</v>
      </c>
      <c r="AW199" s="126">
        <v>1372.1</v>
      </c>
      <c r="AX199" s="42">
        <v>1372.1</v>
      </c>
      <c r="AY199" s="208">
        <f t="shared" si="51"/>
        <v>0</v>
      </c>
      <c r="AZ199" s="290">
        <v>147700</v>
      </c>
      <c r="BA199" s="42"/>
      <c r="BB199" s="42"/>
      <c r="BD199" s="129"/>
    </row>
    <row r="200" spans="1:56">
      <c r="A200" s="235" t="s">
        <v>393</v>
      </c>
      <c r="B200" s="121">
        <v>1</v>
      </c>
      <c r="C200" s="131">
        <v>488</v>
      </c>
      <c r="D200" s="131">
        <v>0</v>
      </c>
      <c r="E200" s="82">
        <v>0</v>
      </c>
      <c r="F200" s="131">
        <v>0</v>
      </c>
      <c r="G200" s="199">
        <v>0</v>
      </c>
      <c r="H200" s="131">
        <v>0</v>
      </c>
      <c r="I200" s="131">
        <v>0</v>
      </c>
      <c r="J200" s="208">
        <v>0</v>
      </c>
      <c r="K200" s="127">
        <v>488</v>
      </c>
      <c r="L200" s="124">
        <v>0</v>
      </c>
      <c r="M200" s="121">
        <v>0</v>
      </c>
      <c r="N200" s="124">
        <v>0</v>
      </c>
      <c r="O200" s="124">
        <v>0</v>
      </c>
      <c r="P200" s="131">
        <v>188.8</v>
      </c>
      <c r="Q200" s="124">
        <v>0</v>
      </c>
      <c r="R200" s="124">
        <v>0</v>
      </c>
      <c r="S200" s="124">
        <v>0</v>
      </c>
      <c r="T200" s="127">
        <v>0</v>
      </c>
      <c r="U200" s="121">
        <v>0</v>
      </c>
      <c r="V200" s="121">
        <v>157</v>
      </c>
      <c r="W200" s="121">
        <v>0</v>
      </c>
      <c r="X200" s="131">
        <v>2</v>
      </c>
      <c r="Y200" s="119">
        <v>178</v>
      </c>
      <c r="Z200" s="82">
        <v>0</v>
      </c>
      <c r="AA200" s="79">
        <v>4</v>
      </c>
      <c r="AB200" s="79">
        <v>0</v>
      </c>
      <c r="AC200" s="209">
        <v>3.5</v>
      </c>
      <c r="AD200" s="211">
        <v>0</v>
      </c>
      <c r="AE200" s="89">
        <v>0</v>
      </c>
      <c r="AF200" s="89">
        <v>0</v>
      </c>
      <c r="AG200" s="89">
        <f>SUMIF('PreliminaryHD AR - School Level'!A201:A1507, "=" &amp; A200,'PreliminaryHD AR - School Level'!M201:M1507)</f>
        <v>0</v>
      </c>
      <c r="AH200" s="89">
        <v>848.1</v>
      </c>
      <c r="AI200" s="89">
        <f t="shared" si="39"/>
        <v>0</v>
      </c>
      <c r="AJ200" s="89">
        <f t="shared" si="40"/>
        <v>0</v>
      </c>
      <c r="AK200" s="89">
        <f t="shared" si="41"/>
        <v>488</v>
      </c>
      <c r="AL200" s="89">
        <f t="shared" si="42"/>
        <v>0</v>
      </c>
      <c r="AM200" s="89">
        <f t="shared" si="43"/>
        <v>0</v>
      </c>
      <c r="AN200" s="89">
        <f t="shared" si="44"/>
        <v>0</v>
      </c>
      <c r="AO200" s="89">
        <f t="shared" si="45"/>
        <v>188.8</v>
      </c>
      <c r="AP200" s="83">
        <f t="shared" si="46"/>
        <v>157</v>
      </c>
      <c r="AQ200" s="89">
        <f t="shared" si="47"/>
        <v>0</v>
      </c>
      <c r="AR200" s="89">
        <f t="shared" si="48"/>
        <v>178</v>
      </c>
      <c r="AS200" s="83">
        <f t="shared" si="49"/>
        <v>488</v>
      </c>
      <c r="AT200" s="89">
        <v>0</v>
      </c>
      <c r="AU200" s="89">
        <f t="shared" si="50"/>
        <v>0</v>
      </c>
      <c r="AV200" s="108">
        <v>4499485</v>
      </c>
      <c r="AW200" s="126">
        <v>848.1</v>
      </c>
      <c r="AX200" s="42">
        <v>848.1</v>
      </c>
      <c r="AY200" s="208">
        <f t="shared" si="51"/>
        <v>0</v>
      </c>
      <c r="AZ200" s="290">
        <v>82310</v>
      </c>
      <c r="BA200" s="42"/>
      <c r="BB200" s="42"/>
      <c r="BD200" s="129"/>
    </row>
    <row r="201" spans="1:56">
      <c r="A201" s="235" t="s">
        <v>394</v>
      </c>
      <c r="B201" s="121">
        <v>1</v>
      </c>
      <c r="C201" s="131">
        <v>1634.7</v>
      </c>
      <c r="D201" s="131">
        <v>0</v>
      </c>
      <c r="E201" s="82">
        <v>0</v>
      </c>
      <c r="F201" s="131">
        <v>0</v>
      </c>
      <c r="G201" s="199">
        <v>0</v>
      </c>
      <c r="H201" s="131">
        <v>0</v>
      </c>
      <c r="I201" s="131">
        <v>0</v>
      </c>
      <c r="J201" s="208">
        <v>0</v>
      </c>
      <c r="K201" s="127">
        <v>1691</v>
      </c>
      <c r="L201" s="124">
        <v>0</v>
      </c>
      <c r="M201" s="121">
        <v>0</v>
      </c>
      <c r="N201" s="124">
        <v>17.5</v>
      </c>
      <c r="O201" s="124">
        <v>0</v>
      </c>
      <c r="P201" s="131">
        <v>176.1</v>
      </c>
      <c r="Q201" s="124">
        <v>0</v>
      </c>
      <c r="R201" s="124">
        <v>5.5</v>
      </c>
      <c r="S201" s="124">
        <v>0</v>
      </c>
      <c r="T201" s="127">
        <v>14</v>
      </c>
      <c r="U201" s="121">
        <v>0</v>
      </c>
      <c r="V201" s="254">
        <v>918</v>
      </c>
      <c r="W201" s="121">
        <v>0</v>
      </c>
      <c r="X201" s="131">
        <v>0</v>
      </c>
      <c r="Y201" s="119">
        <v>328</v>
      </c>
      <c r="Z201" s="82">
        <v>0</v>
      </c>
      <c r="AA201" s="79">
        <v>0</v>
      </c>
      <c r="AB201" s="79">
        <v>0</v>
      </c>
      <c r="AC201" s="209">
        <v>0</v>
      </c>
      <c r="AD201" s="211">
        <v>0</v>
      </c>
      <c r="AE201" s="89">
        <v>0</v>
      </c>
      <c r="AF201" s="89">
        <v>96.4</v>
      </c>
      <c r="AG201" s="89">
        <f>SUMIF('PreliminaryHD AR - School Level'!A202:A1508, "=" &amp; A201,'PreliminaryHD AR - School Level'!M202:M1508)</f>
        <v>90.1</v>
      </c>
      <c r="AH201" s="89">
        <v>2373.9</v>
      </c>
      <c r="AI201" s="89">
        <f t="shared" si="39"/>
        <v>0</v>
      </c>
      <c r="AJ201" s="89">
        <f t="shared" si="40"/>
        <v>0</v>
      </c>
      <c r="AK201" s="89">
        <f t="shared" si="41"/>
        <v>1634.7</v>
      </c>
      <c r="AL201" s="89">
        <f t="shared" si="42"/>
        <v>17.5</v>
      </c>
      <c r="AM201" s="89">
        <f t="shared" si="43"/>
        <v>5.5</v>
      </c>
      <c r="AN201" s="89">
        <f t="shared" si="44"/>
        <v>14</v>
      </c>
      <c r="AO201" s="89">
        <f t="shared" si="45"/>
        <v>176.1</v>
      </c>
      <c r="AP201" s="83">
        <f t="shared" si="46"/>
        <v>918</v>
      </c>
      <c r="AQ201" s="89">
        <f t="shared" si="47"/>
        <v>0</v>
      </c>
      <c r="AR201" s="89">
        <f t="shared" si="48"/>
        <v>328</v>
      </c>
      <c r="AS201" s="83">
        <f t="shared" si="49"/>
        <v>1691</v>
      </c>
      <c r="AT201" s="89">
        <v>0</v>
      </c>
      <c r="AU201" s="89">
        <f t="shared" si="50"/>
        <v>96.4</v>
      </c>
      <c r="AV201" s="108">
        <v>12184708</v>
      </c>
      <c r="AW201" s="126">
        <v>2373.9</v>
      </c>
      <c r="AX201" s="42">
        <v>2373.9</v>
      </c>
      <c r="AY201" s="208">
        <f t="shared" si="51"/>
        <v>0</v>
      </c>
      <c r="AZ201" s="290">
        <v>347664</v>
      </c>
      <c r="BA201" s="42"/>
      <c r="BB201" s="42"/>
      <c r="BD201" s="129"/>
    </row>
    <row r="202" spans="1:56">
      <c r="A202" s="235" t="s">
        <v>395</v>
      </c>
      <c r="B202" s="121">
        <v>1</v>
      </c>
      <c r="C202" s="131">
        <v>581</v>
      </c>
      <c r="D202" s="131">
        <v>0</v>
      </c>
      <c r="E202" s="82">
        <v>0</v>
      </c>
      <c r="F202" s="131">
        <v>0</v>
      </c>
      <c r="G202" s="199">
        <v>0</v>
      </c>
      <c r="H202" s="131">
        <v>0</v>
      </c>
      <c r="I202" s="131">
        <v>0</v>
      </c>
      <c r="J202" s="208">
        <v>0</v>
      </c>
      <c r="K202" s="127">
        <v>589</v>
      </c>
      <c r="L202" s="124">
        <v>0</v>
      </c>
      <c r="M202" s="121">
        <v>0</v>
      </c>
      <c r="N202" s="124">
        <v>2.5</v>
      </c>
      <c r="O202" s="124">
        <v>0</v>
      </c>
      <c r="P202" s="131">
        <v>302.3</v>
      </c>
      <c r="Q202" s="124">
        <v>0</v>
      </c>
      <c r="R202" s="124">
        <v>16.100000000000001</v>
      </c>
      <c r="S202" s="124">
        <v>0</v>
      </c>
      <c r="T202" s="127">
        <v>12</v>
      </c>
      <c r="U202" s="121">
        <v>0</v>
      </c>
      <c r="V202" s="121">
        <v>159</v>
      </c>
      <c r="W202" s="121">
        <v>0</v>
      </c>
      <c r="X202" s="131">
        <v>0</v>
      </c>
      <c r="Y202" s="119">
        <v>138</v>
      </c>
      <c r="Z202" s="82">
        <v>0</v>
      </c>
      <c r="AA202" s="79">
        <v>7</v>
      </c>
      <c r="AB202" s="79">
        <v>0</v>
      </c>
      <c r="AC202" s="209">
        <v>4</v>
      </c>
      <c r="AD202" s="211">
        <v>0</v>
      </c>
      <c r="AE202" s="89">
        <v>0</v>
      </c>
      <c r="AF202" s="89">
        <v>0</v>
      </c>
      <c r="AG202" s="89">
        <f>SUMIF('PreliminaryHD AR - School Level'!A203:A1509, "=" &amp; A202,'PreliminaryHD AR - School Level'!M203:M1509)</f>
        <v>0</v>
      </c>
      <c r="AH202" s="89">
        <v>942.3</v>
      </c>
      <c r="AI202" s="89">
        <f t="shared" si="39"/>
        <v>0</v>
      </c>
      <c r="AJ202" s="89">
        <f t="shared" si="40"/>
        <v>0</v>
      </c>
      <c r="AK202" s="89">
        <f t="shared" si="41"/>
        <v>581</v>
      </c>
      <c r="AL202" s="89">
        <f t="shared" si="42"/>
        <v>2.5</v>
      </c>
      <c r="AM202" s="89">
        <f t="shared" si="43"/>
        <v>16.100000000000001</v>
      </c>
      <c r="AN202" s="89">
        <f t="shared" si="44"/>
        <v>12</v>
      </c>
      <c r="AO202" s="89">
        <f t="shared" si="45"/>
        <v>302.3</v>
      </c>
      <c r="AP202" s="83">
        <f t="shared" si="46"/>
        <v>159</v>
      </c>
      <c r="AQ202" s="89">
        <f t="shared" si="47"/>
        <v>0</v>
      </c>
      <c r="AR202" s="89">
        <f t="shared" si="48"/>
        <v>138</v>
      </c>
      <c r="AS202" s="83">
        <f t="shared" si="49"/>
        <v>589</v>
      </c>
      <c r="AT202" s="89">
        <v>0</v>
      </c>
      <c r="AU202" s="89">
        <f t="shared" si="50"/>
        <v>0</v>
      </c>
      <c r="AV202" s="108">
        <v>4912128</v>
      </c>
      <c r="AW202" s="126">
        <v>942.3</v>
      </c>
      <c r="AX202" s="42">
        <v>942.3</v>
      </c>
      <c r="AY202" s="208">
        <f t="shared" si="51"/>
        <v>0</v>
      </c>
      <c r="AZ202" s="290">
        <v>165885</v>
      </c>
      <c r="BA202" s="42"/>
      <c r="BB202" s="42"/>
      <c r="BD202" s="129"/>
    </row>
    <row r="203" spans="1:56">
      <c r="A203" s="235" t="s">
        <v>396</v>
      </c>
      <c r="B203" s="121">
        <v>1</v>
      </c>
      <c r="C203" s="131">
        <v>301</v>
      </c>
      <c r="D203" s="131">
        <v>0</v>
      </c>
      <c r="E203" s="82">
        <v>0</v>
      </c>
      <c r="F203" s="131">
        <v>0</v>
      </c>
      <c r="G203" s="199">
        <v>0</v>
      </c>
      <c r="H203" s="131">
        <v>0</v>
      </c>
      <c r="I203" s="131">
        <v>0</v>
      </c>
      <c r="J203" s="208">
        <v>0</v>
      </c>
      <c r="K203" s="127">
        <v>307</v>
      </c>
      <c r="L203" s="124">
        <v>0</v>
      </c>
      <c r="M203" s="121">
        <v>0</v>
      </c>
      <c r="N203" s="124">
        <v>3</v>
      </c>
      <c r="O203" s="124">
        <v>0</v>
      </c>
      <c r="P203" s="131">
        <v>163.30000000000001</v>
      </c>
      <c r="Q203" s="124">
        <v>0</v>
      </c>
      <c r="R203" s="124">
        <v>2.2000000000000002</v>
      </c>
      <c r="S203" s="124">
        <v>0</v>
      </c>
      <c r="T203" s="127">
        <v>4</v>
      </c>
      <c r="U203" s="121">
        <v>0</v>
      </c>
      <c r="V203" s="121">
        <v>63</v>
      </c>
      <c r="W203" s="121">
        <v>0</v>
      </c>
      <c r="X203" s="131">
        <v>0</v>
      </c>
      <c r="Y203" s="119">
        <v>111.5</v>
      </c>
      <c r="Z203" s="82">
        <v>0</v>
      </c>
      <c r="AA203" s="79">
        <v>0</v>
      </c>
      <c r="AB203" s="79">
        <v>0</v>
      </c>
      <c r="AC203" s="209">
        <v>0</v>
      </c>
      <c r="AD203" s="211">
        <v>0</v>
      </c>
      <c r="AE203" s="89">
        <v>0</v>
      </c>
      <c r="AF203" s="89">
        <v>0</v>
      </c>
      <c r="AG203" s="89">
        <f>SUMIF('PreliminaryHD AR - School Level'!A204:A1510, "=" &amp; A203,'PreliminaryHD AR - School Level'!M204:M1510)</f>
        <v>0</v>
      </c>
      <c r="AH203" s="89">
        <v>512.9</v>
      </c>
      <c r="AI203" s="89">
        <f t="shared" si="39"/>
        <v>0</v>
      </c>
      <c r="AJ203" s="89">
        <f t="shared" si="40"/>
        <v>0</v>
      </c>
      <c r="AK203" s="89">
        <f t="shared" si="41"/>
        <v>301</v>
      </c>
      <c r="AL203" s="89">
        <f t="shared" si="42"/>
        <v>3</v>
      </c>
      <c r="AM203" s="89">
        <f t="shared" si="43"/>
        <v>2.2000000000000002</v>
      </c>
      <c r="AN203" s="89">
        <f t="shared" si="44"/>
        <v>4</v>
      </c>
      <c r="AO203" s="89">
        <f t="shared" si="45"/>
        <v>163.30000000000001</v>
      </c>
      <c r="AP203" s="83">
        <f t="shared" si="46"/>
        <v>63</v>
      </c>
      <c r="AQ203" s="89">
        <f t="shared" si="47"/>
        <v>0</v>
      </c>
      <c r="AR203" s="89">
        <f t="shared" si="48"/>
        <v>111.5</v>
      </c>
      <c r="AS203" s="83">
        <f t="shared" si="49"/>
        <v>307</v>
      </c>
      <c r="AT203" s="89">
        <v>0</v>
      </c>
      <c r="AU203" s="89">
        <f t="shared" si="50"/>
        <v>0</v>
      </c>
      <c r="AV203" s="108">
        <v>2678928</v>
      </c>
      <c r="AW203" s="126">
        <v>512.9</v>
      </c>
      <c r="AX203" s="42">
        <v>512.9</v>
      </c>
      <c r="AY203" s="208">
        <f t="shared" si="51"/>
        <v>0</v>
      </c>
      <c r="AZ203" s="290">
        <v>140145</v>
      </c>
      <c r="BA203" s="42"/>
      <c r="BB203" s="42"/>
      <c r="BD203" s="129"/>
    </row>
    <row r="204" spans="1:56">
      <c r="A204" s="235" t="s">
        <v>397</v>
      </c>
      <c r="B204" s="121">
        <v>1</v>
      </c>
      <c r="C204" s="131">
        <v>403.3</v>
      </c>
      <c r="D204" s="131">
        <v>0</v>
      </c>
      <c r="E204" s="82">
        <v>0</v>
      </c>
      <c r="F204" s="131">
        <v>0</v>
      </c>
      <c r="G204" s="199">
        <v>0</v>
      </c>
      <c r="H204" s="131">
        <v>0</v>
      </c>
      <c r="I204" s="131">
        <v>0</v>
      </c>
      <c r="J204" s="208">
        <v>0</v>
      </c>
      <c r="K204" s="127">
        <v>407</v>
      </c>
      <c r="L204" s="124">
        <v>0</v>
      </c>
      <c r="M204" s="121">
        <v>0</v>
      </c>
      <c r="N204" s="124">
        <v>0</v>
      </c>
      <c r="O204" s="124">
        <v>0</v>
      </c>
      <c r="P204" s="131">
        <v>67.7</v>
      </c>
      <c r="Q204" s="124">
        <v>0</v>
      </c>
      <c r="R204" s="124">
        <v>0</v>
      </c>
      <c r="S204" s="124">
        <v>0</v>
      </c>
      <c r="T204" s="127">
        <v>1</v>
      </c>
      <c r="U204" s="121">
        <v>0</v>
      </c>
      <c r="V204" s="121">
        <v>77</v>
      </c>
      <c r="W204" s="121">
        <v>0</v>
      </c>
      <c r="X204" s="131">
        <v>0</v>
      </c>
      <c r="Y204" s="119">
        <v>111</v>
      </c>
      <c r="Z204" s="82">
        <v>0</v>
      </c>
      <c r="AA204" s="79">
        <v>0</v>
      </c>
      <c r="AB204" s="79">
        <v>0</v>
      </c>
      <c r="AC204" s="209">
        <v>0</v>
      </c>
      <c r="AD204" s="211">
        <v>0</v>
      </c>
      <c r="AE204" s="89">
        <v>0</v>
      </c>
      <c r="AF204" s="89">
        <v>0</v>
      </c>
      <c r="AG204" s="89">
        <f>SUMIF('PreliminaryHD AR - School Level'!A205:A1511, "=" &amp; A204,'PreliminaryHD AR - School Level'!M205:M1511)</f>
        <v>0</v>
      </c>
      <c r="AH204" s="89">
        <v>660.5</v>
      </c>
      <c r="AI204" s="89">
        <f t="shared" si="39"/>
        <v>0</v>
      </c>
      <c r="AJ204" s="89">
        <f t="shared" si="40"/>
        <v>0</v>
      </c>
      <c r="AK204" s="89">
        <f t="shared" si="41"/>
        <v>403.3</v>
      </c>
      <c r="AL204" s="89">
        <f t="shared" si="42"/>
        <v>0</v>
      </c>
      <c r="AM204" s="89">
        <f t="shared" si="43"/>
        <v>0</v>
      </c>
      <c r="AN204" s="89">
        <f t="shared" si="44"/>
        <v>1</v>
      </c>
      <c r="AO204" s="89">
        <f t="shared" si="45"/>
        <v>67.7</v>
      </c>
      <c r="AP204" s="83">
        <f t="shared" si="46"/>
        <v>77</v>
      </c>
      <c r="AQ204" s="89">
        <f t="shared" si="47"/>
        <v>0</v>
      </c>
      <c r="AR204" s="89">
        <f t="shared" si="48"/>
        <v>111</v>
      </c>
      <c r="AS204" s="83">
        <f t="shared" si="49"/>
        <v>407</v>
      </c>
      <c r="AT204" s="89">
        <v>0</v>
      </c>
      <c r="AU204" s="89">
        <f t="shared" si="50"/>
        <v>0</v>
      </c>
      <c r="AV204" s="108">
        <v>3169149</v>
      </c>
      <c r="AW204" s="126">
        <v>660.5</v>
      </c>
      <c r="AX204" s="42">
        <v>660.5</v>
      </c>
      <c r="AY204" s="208">
        <f t="shared" si="51"/>
        <v>0</v>
      </c>
      <c r="AZ204" s="290">
        <v>177770</v>
      </c>
      <c r="BA204" s="42"/>
      <c r="BB204" s="42"/>
      <c r="BD204" s="129"/>
    </row>
    <row r="205" spans="1:56">
      <c r="A205" s="235" t="s">
        <v>398</v>
      </c>
      <c r="B205" s="121">
        <v>1</v>
      </c>
      <c r="C205" s="131">
        <v>1825.5</v>
      </c>
      <c r="D205" s="131">
        <v>0</v>
      </c>
      <c r="E205" s="82">
        <v>0</v>
      </c>
      <c r="F205" s="131">
        <v>0</v>
      </c>
      <c r="G205" s="199">
        <v>0</v>
      </c>
      <c r="H205" s="131">
        <v>0</v>
      </c>
      <c r="I205" s="131">
        <v>0</v>
      </c>
      <c r="J205" s="208">
        <v>0</v>
      </c>
      <c r="K205" s="127">
        <v>1888</v>
      </c>
      <c r="L205" s="124">
        <v>0</v>
      </c>
      <c r="M205" s="121">
        <v>0</v>
      </c>
      <c r="N205" s="124">
        <v>21</v>
      </c>
      <c r="O205" s="124">
        <v>0</v>
      </c>
      <c r="P205" s="131">
        <v>519.79999999999995</v>
      </c>
      <c r="Q205" s="124">
        <v>0</v>
      </c>
      <c r="R205" s="124">
        <v>101.4</v>
      </c>
      <c r="S205" s="124">
        <v>0</v>
      </c>
      <c r="T205" s="127">
        <v>44</v>
      </c>
      <c r="U205" s="121">
        <v>0</v>
      </c>
      <c r="V205" s="121">
        <v>963</v>
      </c>
      <c r="W205" s="121">
        <v>0</v>
      </c>
      <c r="X205" s="131">
        <v>0</v>
      </c>
      <c r="Y205" s="119">
        <v>629</v>
      </c>
      <c r="Z205" s="82">
        <v>0</v>
      </c>
      <c r="AA205" s="79">
        <v>2</v>
      </c>
      <c r="AB205" s="79">
        <v>0</v>
      </c>
      <c r="AC205" s="209">
        <v>0</v>
      </c>
      <c r="AD205" s="211">
        <v>0</v>
      </c>
      <c r="AE205" s="89">
        <v>0</v>
      </c>
      <c r="AF205" s="89">
        <v>101.1</v>
      </c>
      <c r="AG205" s="89">
        <f>SUMIF('PreliminaryHD AR - School Level'!A206:A1512, "=" &amp; A205,'PreliminaryHD AR - School Level'!M206:M1512)</f>
        <v>88.6</v>
      </c>
      <c r="AH205" s="89">
        <v>2623</v>
      </c>
      <c r="AI205" s="89">
        <f t="shared" si="39"/>
        <v>0</v>
      </c>
      <c r="AJ205" s="89">
        <f t="shared" si="40"/>
        <v>0</v>
      </c>
      <c r="AK205" s="89">
        <f t="shared" si="41"/>
        <v>1825.5</v>
      </c>
      <c r="AL205" s="89">
        <f t="shared" si="42"/>
        <v>21</v>
      </c>
      <c r="AM205" s="89">
        <f t="shared" si="43"/>
        <v>101.4</v>
      </c>
      <c r="AN205" s="89">
        <f t="shared" si="44"/>
        <v>44</v>
      </c>
      <c r="AO205" s="89">
        <f t="shared" si="45"/>
        <v>519.79999999999995</v>
      </c>
      <c r="AP205" s="83">
        <f t="shared" si="46"/>
        <v>963</v>
      </c>
      <c r="AQ205" s="89">
        <f t="shared" si="47"/>
        <v>0</v>
      </c>
      <c r="AR205" s="89">
        <f t="shared" si="48"/>
        <v>629</v>
      </c>
      <c r="AS205" s="83">
        <f t="shared" si="49"/>
        <v>1888</v>
      </c>
      <c r="AT205" s="89">
        <v>0</v>
      </c>
      <c r="AU205" s="89">
        <f t="shared" si="50"/>
        <v>101.1</v>
      </c>
      <c r="AV205" s="108">
        <v>13223624</v>
      </c>
      <c r="AW205" s="126">
        <v>2623</v>
      </c>
      <c r="AX205" s="42">
        <v>2623</v>
      </c>
      <c r="AY205" s="208">
        <f t="shared" si="51"/>
        <v>0</v>
      </c>
      <c r="AZ205" s="290">
        <v>264256</v>
      </c>
      <c r="BA205" s="42"/>
      <c r="BB205" s="42"/>
      <c r="BD205" s="129"/>
    </row>
    <row r="206" spans="1:56">
      <c r="A206" s="235" t="s">
        <v>399</v>
      </c>
      <c r="B206" s="121">
        <v>1</v>
      </c>
      <c r="C206" s="131">
        <v>951.5</v>
      </c>
      <c r="D206" s="131">
        <v>0</v>
      </c>
      <c r="E206" s="82">
        <v>0</v>
      </c>
      <c r="F206" s="131">
        <v>0</v>
      </c>
      <c r="G206" s="199">
        <v>0</v>
      </c>
      <c r="H206" s="131">
        <v>0</v>
      </c>
      <c r="I206" s="131">
        <v>0</v>
      </c>
      <c r="J206" s="208">
        <v>0</v>
      </c>
      <c r="K206" s="127">
        <v>977</v>
      </c>
      <c r="L206" s="124">
        <v>0</v>
      </c>
      <c r="M206" s="121">
        <v>0</v>
      </c>
      <c r="N206" s="124">
        <v>7.5</v>
      </c>
      <c r="O206" s="124">
        <v>0</v>
      </c>
      <c r="P206" s="131">
        <v>202.3</v>
      </c>
      <c r="Q206" s="124">
        <v>0</v>
      </c>
      <c r="R206" s="124">
        <v>0.5</v>
      </c>
      <c r="S206" s="124">
        <v>0</v>
      </c>
      <c r="T206" s="127">
        <v>1</v>
      </c>
      <c r="U206" s="121">
        <v>0</v>
      </c>
      <c r="V206" s="121">
        <v>401</v>
      </c>
      <c r="W206" s="121">
        <v>0</v>
      </c>
      <c r="X206" s="131">
        <v>1</v>
      </c>
      <c r="Y206" s="119">
        <v>269</v>
      </c>
      <c r="Z206" s="82">
        <v>0</v>
      </c>
      <c r="AA206" s="79">
        <v>1</v>
      </c>
      <c r="AB206" s="79">
        <v>0</v>
      </c>
      <c r="AC206" s="209">
        <v>1.5</v>
      </c>
      <c r="AD206" s="211">
        <v>0</v>
      </c>
      <c r="AE206" s="89">
        <v>0</v>
      </c>
      <c r="AF206" s="89">
        <v>17</v>
      </c>
      <c r="AG206" s="89">
        <f>SUMIF('PreliminaryHD AR - School Level'!A207:A1513, "=" &amp; A206,'PreliminaryHD AR - School Level'!M207:M1513)</f>
        <v>21.9</v>
      </c>
      <c r="AH206" s="89">
        <v>1478.1</v>
      </c>
      <c r="AI206" s="89">
        <f t="shared" si="39"/>
        <v>0</v>
      </c>
      <c r="AJ206" s="89">
        <f t="shared" si="40"/>
        <v>0</v>
      </c>
      <c r="AK206" s="89">
        <f t="shared" si="41"/>
        <v>951.5</v>
      </c>
      <c r="AL206" s="89">
        <f t="shared" si="42"/>
        <v>7.5</v>
      </c>
      <c r="AM206" s="89">
        <f t="shared" si="43"/>
        <v>0.5</v>
      </c>
      <c r="AN206" s="89">
        <f t="shared" si="44"/>
        <v>1</v>
      </c>
      <c r="AO206" s="89">
        <f t="shared" si="45"/>
        <v>202.3</v>
      </c>
      <c r="AP206" s="83">
        <f t="shared" si="46"/>
        <v>401</v>
      </c>
      <c r="AQ206" s="89">
        <f t="shared" si="47"/>
        <v>0</v>
      </c>
      <c r="AR206" s="89">
        <f t="shared" si="48"/>
        <v>269</v>
      </c>
      <c r="AS206" s="83">
        <f t="shared" si="49"/>
        <v>977</v>
      </c>
      <c r="AT206" s="89">
        <v>0</v>
      </c>
      <c r="AU206" s="89">
        <f t="shared" si="50"/>
        <v>21.9</v>
      </c>
      <c r="AV206" s="108">
        <v>7201285</v>
      </c>
      <c r="AW206" s="126">
        <v>1478.1</v>
      </c>
      <c r="AX206" s="42">
        <v>1478.1</v>
      </c>
      <c r="AY206" s="208">
        <f t="shared" si="51"/>
        <v>0</v>
      </c>
      <c r="AZ206" s="290">
        <v>320973</v>
      </c>
      <c r="BA206" s="42"/>
      <c r="BB206" s="42"/>
      <c r="BD206" s="129"/>
    </row>
    <row r="207" spans="1:56">
      <c r="A207" s="235" t="s">
        <v>400</v>
      </c>
      <c r="B207" s="121">
        <v>1</v>
      </c>
      <c r="C207" s="131">
        <v>1690.9</v>
      </c>
      <c r="D207" s="131">
        <v>0</v>
      </c>
      <c r="E207" s="82">
        <v>0</v>
      </c>
      <c r="F207" s="131">
        <v>0</v>
      </c>
      <c r="G207" s="199">
        <v>0</v>
      </c>
      <c r="H207" s="131">
        <v>0</v>
      </c>
      <c r="I207" s="131">
        <v>0</v>
      </c>
      <c r="J207" s="208">
        <v>0</v>
      </c>
      <c r="K207" s="127">
        <v>1701</v>
      </c>
      <c r="L207" s="124">
        <v>0</v>
      </c>
      <c r="M207" s="121">
        <v>0</v>
      </c>
      <c r="N207" s="124">
        <v>0</v>
      </c>
      <c r="O207" s="124">
        <v>0</v>
      </c>
      <c r="P207" s="131">
        <v>401.6</v>
      </c>
      <c r="Q207" s="124">
        <v>0</v>
      </c>
      <c r="R207" s="124">
        <v>62.4</v>
      </c>
      <c r="S207" s="124">
        <v>0</v>
      </c>
      <c r="T207" s="127">
        <v>31</v>
      </c>
      <c r="U207" s="121">
        <v>0</v>
      </c>
      <c r="V207" s="121">
        <v>271</v>
      </c>
      <c r="W207" s="121">
        <v>0</v>
      </c>
      <c r="X207" s="131">
        <v>0</v>
      </c>
      <c r="Y207" s="119">
        <v>691</v>
      </c>
      <c r="Z207" s="82">
        <v>0</v>
      </c>
      <c r="AA207" s="79">
        <v>14</v>
      </c>
      <c r="AB207" s="79">
        <v>4.5</v>
      </c>
      <c r="AC207" s="209">
        <v>0</v>
      </c>
      <c r="AD207" s="211">
        <v>0</v>
      </c>
      <c r="AE207" s="89">
        <v>0</v>
      </c>
      <c r="AF207" s="89">
        <v>0</v>
      </c>
      <c r="AG207" s="89">
        <f>SUMIF('PreliminaryHD AR - School Level'!A208:A1514, "=" &amp; A207,'PreliminaryHD AR - School Level'!M208:M1514)</f>
        <v>0</v>
      </c>
      <c r="AH207" s="89">
        <v>2045.6</v>
      </c>
      <c r="AI207" s="89">
        <f t="shared" si="39"/>
        <v>0</v>
      </c>
      <c r="AJ207" s="89">
        <f t="shared" si="40"/>
        <v>0</v>
      </c>
      <c r="AK207" s="89">
        <f t="shared" si="41"/>
        <v>1690.9</v>
      </c>
      <c r="AL207" s="89">
        <f t="shared" si="42"/>
        <v>0</v>
      </c>
      <c r="AM207" s="89">
        <f t="shared" si="43"/>
        <v>62.4</v>
      </c>
      <c r="AN207" s="89">
        <f t="shared" si="44"/>
        <v>31</v>
      </c>
      <c r="AO207" s="89">
        <f t="shared" si="45"/>
        <v>401.6</v>
      </c>
      <c r="AP207" s="83">
        <f t="shared" si="46"/>
        <v>271</v>
      </c>
      <c r="AQ207" s="89">
        <f t="shared" si="47"/>
        <v>0</v>
      </c>
      <c r="AR207" s="89">
        <f t="shared" si="48"/>
        <v>691</v>
      </c>
      <c r="AS207" s="83">
        <f t="shared" si="49"/>
        <v>1701</v>
      </c>
      <c r="AT207" s="89">
        <v>0</v>
      </c>
      <c r="AU207" s="89">
        <f t="shared" si="50"/>
        <v>0</v>
      </c>
      <c r="AV207" s="108">
        <v>10467607</v>
      </c>
      <c r="AW207" s="126">
        <v>2101.9</v>
      </c>
      <c r="AX207" s="42">
        <v>2101.9</v>
      </c>
      <c r="AY207" s="208">
        <f t="shared" si="51"/>
        <v>56.3</v>
      </c>
      <c r="AZ207" s="290">
        <v>389476</v>
      </c>
      <c r="BA207" s="42" t="s">
        <v>3587</v>
      </c>
      <c r="BB207" s="42"/>
      <c r="BD207" s="129"/>
    </row>
    <row r="208" spans="1:56">
      <c r="A208" s="235" t="s">
        <v>401</v>
      </c>
      <c r="B208" s="121">
        <v>1</v>
      </c>
      <c r="C208" s="131">
        <v>770.2</v>
      </c>
      <c r="D208" s="131">
        <v>0</v>
      </c>
      <c r="E208" s="82">
        <v>0</v>
      </c>
      <c r="F208" s="131">
        <v>0</v>
      </c>
      <c r="G208" s="199">
        <v>0</v>
      </c>
      <c r="H208" s="131">
        <v>0</v>
      </c>
      <c r="I208" s="131">
        <v>0</v>
      </c>
      <c r="J208" s="208">
        <v>0</v>
      </c>
      <c r="K208" s="127">
        <v>812</v>
      </c>
      <c r="L208" s="124">
        <v>0</v>
      </c>
      <c r="M208" s="121">
        <v>0</v>
      </c>
      <c r="N208" s="124">
        <v>19.5</v>
      </c>
      <c r="O208" s="124">
        <v>0</v>
      </c>
      <c r="P208" s="131">
        <v>173.9</v>
      </c>
      <c r="Q208" s="124">
        <v>0</v>
      </c>
      <c r="R208" s="124">
        <v>17.100000000000001</v>
      </c>
      <c r="S208" s="124">
        <v>0</v>
      </c>
      <c r="T208" s="127">
        <v>17</v>
      </c>
      <c r="U208" s="121">
        <v>0</v>
      </c>
      <c r="V208" s="121">
        <v>287</v>
      </c>
      <c r="W208" s="121">
        <v>0</v>
      </c>
      <c r="X208" s="131">
        <v>0</v>
      </c>
      <c r="Y208" s="119">
        <v>258</v>
      </c>
      <c r="Z208" s="82">
        <v>0</v>
      </c>
      <c r="AA208" s="79">
        <v>0</v>
      </c>
      <c r="AB208" s="79">
        <v>0</v>
      </c>
      <c r="AC208" s="209">
        <v>0</v>
      </c>
      <c r="AD208" s="211">
        <v>0</v>
      </c>
      <c r="AE208" s="89">
        <v>0</v>
      </c>
      <c r="AF208" s="89">
        <v>0.7</v>
      </c>
      <c r="AG208" s="89">
        <f>SUMIF('PreliminaryHD AR - School Level'!A209:A1515, "=" &amp; A208,'PreliminaryHD AR - School Level'!M209:M1515)</f>
        <v>4.9000000000000004</v>
      </c>
      <c r="AH208" s="89">
        <v>1255.5999999999999</v>
      </c>
      <c r="AI208" s="89">
        <f t="shared" si="39"/>
        <v>0</v>
      </c>
      <c r="AJ208" s="89">
        <f t="shared" si="40"/>
        <v>0</v>
      </c>
      <c r="AK208" s="89">
        <f t="shared" si="41"/>
        <v>770.2</v>
      </c>
      <c r="AL208" s="89">
        <f t="shared" si="42"/>
        <v>19.5</v>
      </c>
      <c r="AM208" s="89">
        <f t="shared" si="43"/>
        <v>17.100000000000001</v>
      </c>
      <c r="AN208" s="89">
        <f t="shared" si="44"/>
        <v>17</v>
      </c>
      <c r="AO208" s="89">
        <f t="shared" si="45"/>
        <v>173.9</v>
      </c>
      <c r="AP208" s="83">
        <f t="shared" si="46"/>
        <v>287</v>
      </c>
      <c r="AQ208" s="89">
        <f t="shared" si="47"/>
        <v>0</v>
      </c>
      <c r="AR208" s="89">
        <f t="shared" si="48"/>
        <v>258</v>
      </c>
      <c r="AS208" s="83">
        <f t="shared" si="49"/>
        <v>812</v>
      </c>
      <c r="AT208" s="89">
        <v>0</v>
      </c>
      <c r="AU208" s="89">
        <f t="shared" si="50"/>
        <v>4.9000000000000004</v>
      </c>
      <c r="AV208" s="108">
        <v>5912130</v>
      </c>
      <c r="AW208" s="126">
        <v>1255.5999999999999</v>
      </c>
      <c r="AX208" s="42">
        <v>1255.5999999999999</v>
      </c>
      <c r="AY208" s="208">
        <f t="shared" si="51"/>
        <v>0</v>
      </c>
      <c r="AZ208" s="290">
        <v>361757</v>
      </c>
      <c r="BA208" s="42"/>
      <c r="BB208" s="42"/>
      <c r="BD208" s="129"/>
    </row>
    <row r="209" spans="1:56">
      <c r="A209" s="235" t="s">
        <v>402</v>
      </c>
      <c r="B209" s="121">
        <v>1</v>
      </c>
      <c r="C209" s="131">
        <v>2368.1999999999998</v>
      </c>
      <c r="D209" s="131">
        <v>0</v>
      </c>
      <c r="E209" s="82">
        <v>0</v>
      </c>
      <c r="F209" s="131">
        <v>0</v>
      </c>
      <c r="G209" s="199">
        <v>0</v>
      </c>
      <c r="H209" s="131">
        <v>0</v>
      </c>
      <c r="I209" s="131">
        <v>0</v>
      </c>
      <c r="J209" s="208">
        <v>0</v>
      </c>
      <c r="K209" s="127">
        <v>2455</v>
      </c>
      <c r="L209" s="124">
        <v>0</v>
      </c>
      <c r="M209" s="121">
        <v>0</v>
      </c>
      <c r="N209" s="124">
        <v>33.5</v>
      </c>
      <c r="O209" s="124">
        <v>0</v>
      </c>
      <c r="P209" s="131">
        <v>679.5</v>
      </c>
      <c r="Q209" s="124">
        <v>0</v>
      </c>
      <c r="R209" s="124">
        <v>102.8</v>
      </c>
      <c r="S209" s="124">
        <v>0</v>
      </c>
      <c r="T209" s="127">
        <v>60</v>
      </c>
      <c r="U209" s="121">
        <v>0</v>
      </c>
      <c r="V209" s="121">
        <v>774</v>
      </c>
      <c r="W209" s="121">
        <v>0</v>
      </c>
      <c r="X209" s="131">
        <v>1</v>
      </c>
      <c r="Y209" s="119">
        <v>155</v>
      </c>
      <c r="Z209" s="82">
        <v>0</v>
      </c>
      <c r="AA209" s="79">
        <v>5</v>
      </c>
      <c r="AB209" s="79">
        <v>0</v>
      </c>
      <c r="AC209" s="209">
        <v>31</v>
      </c>
      <c r="AD209" s="211">
        <v>0</v>
      </c>
      <c r="AE209" s="89">
        <v>0</v>
      </c>
      <c r="AF209" s="89">
        <v>0</v>
      </c>
      <c r="AG209" s="89">
        <f>SUMIF('PreliminaryHD AR - School Level'!A210:A1516, "=" &amp; A209,'PreliminaryHD AR - School Level'!M210:M1516)</f>
        <v>17.899999999999999</v>
      </c>
      <c r="AH209" s="89">
        <v>2975.2</v>
      </c>
      <c r="AI209" s="89">
        <f t="shared" si="39"/>
        <v>0</v>
      </c>
      <c r="AJ209" s="89">
        <f t="shared" si="40"/>
        <v>0</v>
      </c>
      <c r="AK209" s="89">
        <f t="shared" si="41"/>
        <v>2368.1999999999998</v>
      </c>
      <c r="AL209" s="89">
        <f t="shared" si="42"/>
        <v>33.5</v>
      </c>
      <c r="AM209" s="89">
        <f t="shared" si="43"/>
        <v>102.8</v>
      </c>
      <c r="AN209" s="89">
        <f t="shared" si="44"/>
        <v>60</v>
      </c>
      <c r="AO209" s="89">
        <f t="shared" si="45"/>
        <v>679.5</v>
      </c>
      <c r="AP209" s="83">
        <f t="shared" si="46"/>
        <v>774</v>
      </c>
      <c r="AQ209" s="89">
        <f t="shared" si="47"/>
        <v>0</v>
      </c>
      <c r="AR209" s="89">
        <f t="shared" si="48"/>
        <v>155</v>
      </c>
      <c r="AS209" s="83">
        <f t="shared" si="49"/>
        <v>2455</v>
      </c>
      <c r="AT209" s="89">
        <v>0</v>
      </c>
      <c r="AU209" s="89">
        <f t="shared" si="50"/>
        <v>17.899999999999999</v>
      </c>
      <c r="AV209" s="108">
        <v>16098795</v>
      </c>
      <c r="AW209" s="126">
        <v>2975.2</v>
      </c>
      <c r="AX209" s="42">
        <v>2975.2</v>
      </c>
      <c r="AY209" s="208">
        <f t="shared" si="51"/>
        <v>0</v>
      </c>
      <c r="AZ209" s="290">
        <v>192242</v>
      </c>
      <c r="BA209" s="42"/>
      <c r="BB209" s="42"/>
      <c r="BD209" s="129"/>
    </row>
    <row r="210" spans="1:56">
      <c r="A210" s="235" t="s">
        <v>403</v>
      </c>
      <c r="B210" s="121">
        <v>1</v>
      </c>
      <c r="C210" s="131">
        <v>319.89999999999998</v>
      </c>
      <c r="D210" s="131">
        <v>0</v>
      </c>
      <c r="E210" s="82">
        <v>0</v>
      </c>
      <c r="F210" s="131">
        <v>0</v>
      </c>
      <c r="G210" s="199">
        <v>0</v>
      </c>
      <c r="H210" s="131">
        <v>0</v>
      </c>
      <c r="I210" s="131">
        <v>0</v>
      </c>
      <c r="J210" s="208">
        <v>0</v>
      </c>
      <c r="K210" s="127">
        <v>329</v>
      </c>
      <c r="L210" s="124">
        <v>0</v>
      </c>
      <c r="M210" s="121">
        <v>0</v>
      </c>
      <c r="N210" s="124">
        <v>3.5</v>
      </c>
      <c r="O210" s="124">
        <v>0</v>
      </c>
      <c r="P210" s="131">
        <v>47.3</v>
      </c>
      <c r="Q210" s="124">
        <v>0</v>
      </c>
      <c r="R210" s="124">
        <v>0</v>
      </c>
      <c r="S210" s="124">
        <v>0</v>
      </c>
      <c r="T210" s="127">
        <v>1</v>
      </c>
      <c r="U210" s="121">
        <v>0</v>
      </c>
      <c r="V210" s="121">
        <v>104</v>
      </c>
      <c r="W210" s="121">
        <v>0</v>
      </c>
      <c r="X210" s="131">
        <v>0</v>
      </c>
      <c r="Y210" s="119">
        <v>186</v>
      </c>
      <c r="Z210" s="82">
        <v>0</v>
      </c>
      <c r="AA210" s="79">
        <v>1</v>
      </c>
      <c r="AB210" s="79">
        <v>0</v>
      </c>
      <c r="AC210" s="209">
        <v>0</v>
      </c>
      <c r="AD210" s="211">
        <v>0</v>
      </c>
      <c r="AE210" s="89">
        <v>0</v>
      </c>
      <c r="AF210" s="89">
        <v>0</v>
      </c>
      <c r="AG210" s="89">
        <f>SUMIF('PreliminaryHD AR - School Level'!A211:A1517, "=" &amp; A210,'PreliminaryHD AR - School Level'!M211:M1517)</f>
        <v>1.1000000000000001</v>
      </c>
      <c r="AH210" s="89">
        <v>604.29999999999995</v>
      </c>
      <c r="AI210" s="89">
        <f t="shared" si="39"/>
        <v>0</v>
      </c>
      <c r="AJ210" s="89">
        <f t="shared" si="40"/>
        <v>0</v>
      </c>
      <c r="AK210" s="89">
        <f t="shared" si="41"/>
        <v>319.89999999999998</v>
      </c>
      <c r="AL210" s="89">
        <f t="shared" si="42"/>
        <v>3.5</v>
      </c>
      <c r="AM210" s="89">
        <f t="shared" si="43"/>
        <v>0</v>
      </c>
      <c r="AN210" s="89">
        <f t="shared" si="44"/>
        <v>1</v>
      </c>
      <c r="AO210" s="89">
        <f t="shared" si="45"/>
        <v>47.3</v>
      </c>
      <c r="AP210" s="83">
        <f t="shared" si="46"/>
        <v>104</v>
      </c>
      <c r="AQ210" s="89">
        <f t="shared" si="47"/>
        <v>0</v>
      </c>
      <c r="AR210" s="89">
        <f t="shared" si="48"/>
        <v>186</v>
      </c>
      <c r="AS210" s="83">
        <f t="shared" si="49"/>
        <v>329</v>
      </c>
      <c r="AT210" s="89">
        <v>0</v>
      </c>
      <c r="AU210" s="89">
        <f t="shared" si="50"/>
        <v>1.1000000000000001</v>
      </c>
      <c r="AV210" s="108">
        <v>3131247</v>
      </c>
      <c r="AW210" s="126">
        <v>604.29999999999995</v>
      </c>
      <c r="AX210" s="42">
        <v>604.29999999999995</v>
      </c>
      <c r="AY210" s="208">
        <f t="shared" si="51"/>
        <v>0</v>
      </c>
      <c r="AZ210" s="290">
        <v>125696</v>
      </c>
      <c r="BA210" s="42"/>
      <c r="BB210" s="42"/>
      <c r="BD210" s="129"/>
    </row>
    <row r="211" spans="1:56">
      <c r="A211" s="235" t="s">
        <v>404</v>
      </c>
      <c r="B211" s="121">
        <v>1</v>
      </c>
      <c r="C211" s="131">
        <v>673.5</v>
      </c>
      <c r="D211" s="131">
        <v>0</v>
      </c>
      <c r="E211" s="82">
        <v>0</v>
      </c>
      <c r="F211" s="131">
        <v>0</v>
      </c>
      <c r="G211" s="199">
        <v>0</v>
      </c>
      <c r="H211" s="131">
        <v>0</v>
      </c>
      <c r="I211" s="131">
        <v>0</v>
      </c>
      <c r="J211" s="208">
        <v>0</v>
      </c>
      <c r="K211" s="127">
        <v>693</v>
      </c>
      <c r="L211" s="124">
        <v>0</v>
      </c>
      <c r="M211" s="121">
        <v>0</v>
      </c>
      <c r="N211" s="124">
        <v>4</v>
      </c>
      <c r="O211" s="124">
        <v>0</v>
      </c>
      <c r="P211" s="131">
        <v>114.5</v>
      </c>
      <c r="Q211" s="124">
        <v>0</v>
      </c>
      <c r="R211" s="124">
        <v>1.5</v>
      </c>
      <c r="S211" s="124">
        <v>0</v>
      </c>
      <c r="T211" s="127">
        <v>2</v>
      </c>
      <c r="U211" s="121">
        <v>0</v>
      </c>
      <c r="V211" s="121">
        <v>230</v>
      </c>
      <c r="W211" s="121">
        <v>0</v>
      </c>
      <c r="X211" s="131">
        <v>0</v>
      </c>
      <c r="Y211" s="119">
        <v>80</v>
      </c>
      <c r="Z211" s="82">
        <v>0</v>
      </c>
      <c r="AA211" s="79">
        <v>2</v>
      </c>
      <c r="AB211" s="79">
        <v>0</v>
      </c>
      <c r="AC211" s="209">
        <v>0</v>
      </c>
      <c r="AD211" s="211">
        <v>0</v>
      </c>
      <c r="AE211" s="89">
        <v>0</v>
      </c>
      <c r="AF211" s="89">
        <v>0</v>
      </c>
      <c r="AG211" s="89">
        <f>SUMIF('PreliminaryHD AR - School Level'!A212:A1518, "=" &amp; A211,'PreliminaryHD AR - School Level'!M212:M1518)</f>
        <v>0.5</v>
      </c>
      <c r="AH211" s="89">
        <v>1053.0999999999999</v>
      </c>
      <c r="AI211" s="89">
        <f t="shared" si="39"/>
        <v>0</v>
      </c>
      <c r="AJ211" s="89">
        <f t="shared" si="40"/>
        <v>0</v>
      </c>
      <c r="AK211" s="89">
        <f t="shared" si="41"/>
        <v>673.5</v>
      </c>
      <c r="AL211" s="89">
        <f t="shared" si="42"/>
        <v>4</v>
      </c>
      <c r="AM211" s="89">
        <f t="shared" si="43"/>
        <v>1.5</v>
      </c>
      <c r="AN211" s="89">
        <f t="shared" si="44"/>
        <v>2</v>
      </c>
      <c r="AO211" s="89">
        <f t="shared" si="45"/>
        <v>114.5</v>
      </c>
      <c r="AP211" s="83">
        <f t="shared" si="46"/>
        <v>230</v>
      </c>
      <c r="AQ211" s="89">
        <f t="shared" si="47"/>
        <v>0</v>
      </c>
      <c r="AR211" s="89">
        <f t="shared" si="48"/>
        <v>80</v>
      </c>
      <c r="AS211" s="83">
        <f t="shared" si="49"/>
        <v>693</v>
      </c>
      <c r="AT211" s="89">
        <v>0</v>
      </c>
      <c r="AU211" s="89">
        <f t="shared" si="50"/>
        <v>0.5</v>
      </c>
      <c r="AV211" s="108">
        <v>5476117</v>
      </c>
      <c r="AW211" s="126">
        <v>1053.0999999999999</v>
      </c>
      <c r="AX211" s="42">
        <v>1053.0999999999999</v>
      </c>
      <c r="AY211" s="208">
        <f t="shared" si="51"/>
        <v>0</v>
      </c>
      <c r="AZ211" s="290">
        <v>101323</v>
      </c>
      <c r="BA211" s="42"/>
      <c r="BB211" s="42"/>
      <c r="BD211" s="129"/>
    </row>
    <row r="212" spans="1:56">
      <c r="A212" s="235" t="s">
        <v>405</v>
      </c>
      <c r="B212" s="121">
        <v>1</v>
      </c>
      <c r="C212" s="131">
        <v>418.5</v>
      </c>
      <c r="D212" s="131">
        <v>0</v>
      </c>
      <c r="E212" s="82">
        <v>0</v>
      </c>
      <c r="F212" s="131">
        <v>0</v>
      </c>
      <c r="G212" s="199">
        <v>0</v>
      </c>
      <c r="H212" s="131">
        <v>0</v>
      </c>
      <c r="I212" s="131">
        <v>0</v>
      </c>
      <c r="J212" s="208">
        <v>0</v>
      </c>
      <c r="K212" s="127">
        <v>431</v>
      </c>
      <c r="L212" s="124">
        <v>0</v>
      </c>
      <c r="M212" s="121">
        <v>0</v>
      </c>
      <c r="N212" s="124">
        <v>1</v>
      </c>
      <c r="O212" s="124">
        <v>0</v>
      </c>
      <c r="P212" s="131">
        <v>69.599999999999994</v>
      </c>
      <c r="Q212" s="124">
        <v>0</v>
      </c>
      <c r="R212" s="124">
        <v>0</v>
      </c>
      <c r="S212" s="124">
        <v>0</v>
      </c>
      <c r="T212" s="127">
        <v>0</v>
      </c>
      <c r="U212" s="121">
        <v>0</v>
      </c>
      <c r="V212" s="121">
        <v>101</v>
      </c>
      <c r="W212" s="121">
        <v>0</v>
      </c>
      <c r="X212" s="131">
        <v>0</v>
      </c>
      <c r="Y212" s="119">
        <v>173</v>
      </c>
      <c r="Z212" s="82">
        <v>0</v>
      </c>
      <c r="AA212" s="79">
        <v>0</v>
      </c>
      <c r="AB212" s="79">
        <v>0</v>
      </c>
      <c r="AC212" s="209">
        <v>0</v>
      </c>
      <c r="AD212" s="211">
        <v>0</v>
      </c>
      <c r="AE212" s="89">
        <v>0</v>
      </c>
      <c r="AF212" s="89">
        <v>0</v>
      </c>
      <c r="AG212" s="89">
        <f>SUMIF('PreliminaryHD AR - School Level'!A213:A1519, "=" &amp; A212,'PreliminaryHD AR - School Level'!M213:M1519)</f>
        <v>0</v>
      </c>
      <c r="AH212" s="89">
        <v>713.8</v>
      </c>
      <c r="AI212" s="89">
        <f t="shared" si="39"/>
        <v>0</v>
      </c>
      <c r="AJ212" s="89">
        <f t="shared" si="40"/>
        <v>0</v>
      </c>
      <c r="AK212" s="89">
        <f t="shared" si="41"/>
        <v>418.5</v>
      </c>
      <c r="AL212" s="89">
        <f t="shared" si="42"/>
        <v>1</v>
      </c>
      <c r="AM212" s="89">
        <f t="shared" si="43"/>
        <v>0</v>
      </c>
      <c r="AN212" s="89">
        <f t="shared" si="44"/>
        <v>0</v>
      </c>
      <c r="AO212" s="89">
        <f t="shared" si="45"/>
        <v>69.599999999999994</v>
      </c>
      <c r="AP212" s="83">
        <f t="shared" si="46"/>
        <v>101</v>
      </c>
      <c r="AQ212" s="89">
        <f t="shared" si="47"/>
        <v>0</v>
      </c>
      <c r="AR212" s="89">
        <f t="shared" si="48"/>
        <v>173</v>
      </c>
      <c r="AS212" s="83">
        <f t="shared" si="49"/>
        <v>431</v>
      </c>
      <c r="AT212" s="89">
        <v>0</v>
      </c>
      <c r="AU212" s="89">
        <f t="shared" si="50"/>
        <v>0</v>
      </c>
      <c r="AV212" s="108">
        <v>3721218</v>
      </c>
      <c r="AW212" s="126">
        <v>713.8</v>
      </c>
      <c r="AX212" s="42">
        <v>713.8</v>
      </c>
      <c r="AY212" s="208">
        <f t="shared" si="51"/>
        <v>0</v>
      </c>
      <c r="AZ212" s="290">
        <v>208234</v>
      </c>
      <c r="BA212" s="42"/>
      <c r="BB212" s="42"/>
      <c r="BD212" s="129"/>
    </row>
    <row r="213" spans="1:56">
      <c r="A213" s="235" t="s">
        <v>406</v>
      </c>
      <c r="B213" s="121">
        <v>1</v>
      </c>
      <c r="C213" s="131">
        <v>249</v>
      </c>
      <c r="D213" s="131">
        <v>0</v>
      </c>
      <c r="E213" s="82">
        <v>0</v>
      </c>
      <c r="F213" s="131">
        <v>0</v>
      </c>
      <c r="G213" s="199">
        <v>0</v>
      </c>
      <c r="H213" s="131">
        <v>0</v>
      </c>
      <c r="I213" s="131">
        <v>0</v>
      </c>
      <c r="J213" s="208">
        <v>0</v>
      </c>
      <c r="K213" s="127">
        <v>253</v>
      </c>
      <c r="L213" s="124">
        <v>0</v>
      </c>
      <c r="M213" s="121">
        <v>0</v>
      </c>
      <c r="N213" s="124">
        <v>0</v>
      </c>
      <c r="O213" s="124">
        <v>0</v>
      </c>
      <c r="P213" s="131">
        <v>68.400000000000006</v>
      </c>
      <c r="Q213" s="124">
        <v>0</v>
      </c>
      <c r="R213" s="124">
        <v>0</v>
      </c>
      <c r="S213" s="124">
        <v>0</v>
      </c>
      <c r="T213" s="127">
        <v>0</v>
      </c>
      <c r="U213" s="121">
        <v>0</v>
      </c>
      <c r="V213" s="121">
        <v>70</v>
      </c>
      <c r="W213" s="121">
        <v>0</v>
      </c>
      <c r="X213" s="131">
        <v>0</v>
      </c>
      <c r="Y213" s="119">
        <v>93</v>
      </c>
      <c r="Z213" s="82">
        <v>0</v>
      </c>
      <c r="AA213" s="79">
        <v>127</v>
      </c>
      <c r="AB213" s="79">
        <v>2.8</v>
      </c>
      <c r="AC213" s="209">
        <v>0</v>
      </c>
      <c r="AD213" s="211">
        <v>0</v>
      </c>
      <c r="AE213" s="89">
        <v>0</v>
      </c>
      <c r="AF213" s="89">
        <v>0</v>
      </c>
      <c r="AG213" s="89">
        <f>SUMIF('PreliminaryHD AR - School Level'!A214:A1520, "=" &amp; A213,'PreliminaryHD AR - School Level'!M214:M1520)</f>
        <v>0</v>
      </c>
      <c r="AH213" s="89">
        <v>468.9</v>
      </c>
      <c r="AI213" s="89">
        <f t="shared" si="39"/>
        <v>0</v>
      </c>
      <c r="AJ213" s="89">
        <f t="shared" si="40"/>
        <v>0</v>
      </c>
      <c r="AK213" s="89">
        <f t="shared" si="41"/>
        <v>249</v>
      </c>
      <c r="AL213" s="89">
        <f t="shared" si="42"/>
        <v>0</v>
      </c>
      <c r="AM213" s="89">
        <f t="shared" si="43"/>
        <v>0</v>
      </c>
      <c r="AN213" s="89">
        <f t="shared" si="44"/>
        <v>0</v>
      </c>
      <c r="AO213" s="89">
        <f t="shared" si="45"/>
        <v>68.400000000000006</v>
      </c>
      <c r="AP213" s="83">
        <f t="shared" si="46"/>
        <v>70</v>
      </c>
      <c r="AQ213" s="89">
        <f t="shared" si="47"/>
        <v>0</v>
      </c>
      <c r="AR213" s="89">
        <f t="shared" si="48"/>
        <v>93</v>
      </c>
      <c r="AS213" s="83">
        <f t="shared" si="49"/>
        <v>253</v>
      </c>
      <c r="AT213" s="89">
        <v>0</v>
      </c>
      <c r="AU213" s="89">
        <f t="shared" si="50"/>
        <v>0</v>
      </c>
      <c r="AV213" s="108">
        <v>2954629</v>
      </c>
      <c r="AW213" s="126">
        <v>468.9</v>
      </c>
      <c r="AX213" s="42">
        <v>468.9</v>
      </c>
      <c r="AY213" s="208">
        <f t="shared" si="51"/>
        <v>0</v>
      </c>
      <c r="AZ213" s="290">
        <v>174691</v>
      </c>
      <c r="BA213" s="42"/>
      <c r="BB213" s="42"/>
      <c r="BD213" s="129"/>
    </row>
    <row r="214" spans="1:56">
      <c r="A214" s="235" t="s">
        <v>407</v>
      </c>
      <c r="B214" s="121">
        <v>1</v>
      </c>
      <c r="C214" s="131">
        <v>396</v>
      </c>
      <c r="D214" s="131">
        <v>0</v>
      </c>
      <c r="E214" s="82">
        <v>0</v>
      </c>
      <c r="F214" s="131">
        <v>0</v>
      </c>
      <c r="G214" s="199">
        <v>0</v>
      </c>
      <c r="H214" s="131">
        <v>0</v>
      </c>
      <c r="I214" s="131">
        <v>0</v>
      </c>
      <c r="J214" s="208">
        <v>0</v>
      </c>
      <c r="K214" s="127">
        <v>427</v>
      </c>
      <c r="L214" s="124">
        <v>0</v>
      </c>
      <c r="M214" s="121">
        <v>0</v>
      </c>
      <c r="N214" s="124">
        <v>14</v>
      </c>
      <c r="O214" s="124">
        <v>0</v>
      </c>
      <c r="P214" s="131">
        <v>169.8</v>
      </c>
      <c r="Q214" s="124">
        <v>0</v>
      </c>
      <c r="R214" s="124">
        <v>0</v>
      </c>
      <c r="S214" s="124">
        <v>0</v>
      </c>
      <c r="T214" s="127">
        <v>0</v>
      </c>
      <c r="U214" s="121">
        <v>0</v>
      </c>
      <c r="V214" s="254">
        <v>88</v>
      </c>
      <c r="W214" s="121">
        <v>0</v>
      </c>
      <c r="X214" s="131">
        <v>0</v>
      </c>
      <c r="Y214" s="119">
        <v>76</v>
      </c>
      <c r="Z214" s="82">
        <v>0</v>
      </c>
      <c r="AA214" s="79">
        <v>0</v>
      </c>
      <c r="AB214" s="79">
        <v>0</v>
      </c>
      <c r="AC214" s="209">
        <v>1</v>
      </c>
      <c r="AD214" s="211">
        <v>0</v>
      </c>
      <c r="AE214" s="89">
        <v>0</v>
      </c>
      <c r="AF214" s="89">
        <v>0</v>
      </c>
      <c r="AG214" s="89">
        <f>SUMIF('PreliminaryHD AR - School Level'!A215:A1521, "=" &amp; A214,'PreliminaryHD AR - School Level'!M215:M1521)</f>
        <v>0</v>
      </c>
      <c r="AH214" s="89">
        <v>675.9</v>
      </c>
      <c r="AI214" s="89">
        <f t="shared" si="39"/>
        <v>0</v>
      </c>
      <c r="AJ214" s="89">
        <f t="shared" si="40"/>
        <v>0</v>
      </c>
      <c r="AK214" s="89">
        <f t="shared" si="41"/>
        <v>396</v>
      </c>
      <c r="AL214" s="89">
        <f t="shared" si="42"/>
        <v>14</v>
      </c>
      <c r="AM214" s="89">
        <f t="shared" si="43"/>
        <v>0</v>
      </c>
      <c r="AN214" s="89">
        <f t="shared" si="44"/>
        <v>0</v>
      </c>
      <c r="AO214" s="89">
        <f t="shared" si="45"/>
        <v>169.8</v>
      </c>
      <c r="AP214" s="83">
        <f t="shared" si="46"/>
        <v>88</v>
      </c>
      <c r="AQ214" s="89">
        <f t="shared" si="47"/>
        <v>0</v>
      </c>
      <c r="AR214" s="89">
        <f t="shared" si="48"/>
        <v>76</v>
      </c>
      <c r="AS214" s="83">
        <f t="shared" si="49"/>
        <v>427</v>
      </c>
      <c r="AT214" s="89">
        <v>0</v>
      </c>
      <c r="AU214" s="89">
        <f t="shared" si="50"/>
        <v>0</v>
      </c>
      <c r="AV214" s="108">
        <v>3419049</v>
      </c>
      <c r="AW214" s="126">
        <v>675.9</v>
      </c>
      <c r="AX214" s="42">
        <v>675.9</v>
      </c>
      <c r="AY214" s="208">
        <f t="shared" si="51"/>
        <v>0</v>
      </c>
      <c r="AZ214" s="290">
        <v>115230</v>
      </c>
      <c r="BA214" s="42"/>
      <c r="BB214" s="42"/>
      <c r="BD214" s="129"/>
    </row>
    <row r="215" spans="1:56">
      <c r="A215" s="235" t="s">
        <v>408</v>
      </c>
      <c r="B215" s="121">
        <v>1</v>
      </c>
      <c r="C215" s="131">
        <v>200.5</v>
      </c>
      <c r="D215" s="131">
        <v>0</v>
      </c>
      <c r="E215" s="82">
        <v>0</v>
      </c>
      <c r="F215" s="131">
        <v>0</v>
      </c>
      <c r="G215" s="199">
        <v>0</v>
      </c>
      <c r="H215" s="131">
        <v>0</v>
      </c>
      <c r="I215" s="131">
        <v>0</v>
      </c>
      <c r="J215" s="208">
        <v>0</v>
      </c>
      <c r="K215" s="127">
        <v>207</v>
      </c>
      <c r="L215" s="124">
        <v>0</v>
      </c>
      <c r="M215" s="121">
        <v>0</v>
      </c>
      <c r="N215" s="124">
        <v>3</v>
      </c>
      <c r="O215" s="124">
        <v>0</v>
      </c>
      <c r="P215" s="131">
        <v>34.799999999999997</v>
      </c>
      <c r="Q215" s="124">
        <v>0</v>
      </c>
      <c r="R215" s="124">
        <v>0</v>
      </c>
      <c r="S215" s="124">
        <v>0</v>
      </c>
      <c r="T215" s="127">
        <v>0</v>
      </c>
      <c r="U215" s="121">
        <v>0</v>
      </c>
      <c r="V215" s="121">
        <v>77</v>
      </c>
      <c r="W215" s="121">
        <v>0</v>
      </c>
      <c r="X215" s="131">
        <v>0</v>
      </c>
      <c r="Y215" s="119">
        <v>98</v>
      </c>
      <c r="Z215" s="82">
        <v>0</v>
      </c>
      <c r="AA215" s="79">
        <v>0</v>
      </c>
      <c r="AB215" s="79">
        <v>0</v>
      </c>
      <c r="AC215" s="209">
        <v>0</v>
      </c>
      <c r="AD215" s="211">
        <v>0</v>
      </c>
      <c r="AE215" s="89">
        <v>0</v>
      </c>
      <c r="AF215" s="89">
        <v>1.2</v>
      </c>
      <c r="AG215" s="89">
        <f>SUMIF('PreliminaryHD AR - School Level'!A216:A1522, "=" &amp; A215,'PreliminaryHD AR - School Level'!M216:M1522)</f>
        <v>2.7</v>
      </c>
      <c r="AH215" s="89">
        <v>447.4</v>
      </c>
      <c r="AI215" s="89">
        <f t="shared" si="39"/>
        <v>0</v>
      </c>
      <c r="AJ215" s="89">
        <f t="shared" si="40"/>
        <v>0</v>
      </c>
      <c r="AK215" s="89">
        <f t="shared" si="41"/>
        <v>200.5</v>
      </c>
      <c r="AL215" s="89">
        <f t="shared" si="42"/>
        <v>3</v>
      </c>
      <c r="AM215" s="89">
        <f t="shared" si="43"/>
        <v>0</v>
      </c>
      <c r="AN215" s="89">
        <f t="shared" si="44"/>
        <v>0</v>
      </c>
      <c r="AO215" s="89">
        <f t="shared" si="45"/>
        <v>34.799999999999997</v>
      </c>
      <c r="AP215" s="83">
        <f t="shared" si="46"/>
        <v>77</v>
      </c>
      <c r="AQ215" s="89">
        <f t="shared" si="47"/>
        <v>0</v>
      </c>
      <c r="AR215" s="89">
        <f t="shared" si="48"/>
        <v>98</v>
      </c>
      <c r="AS215" s="83">
        <f t="shared" si="49"/>
        <v>207</v>
      </c>
      <c r="AT215" s="89">
        <v>0</v>
      </c>
      <c r="AU215" s="89">
        <f t="shared" si="50"/>
        <v>2.7</v>
      </c>
      <c r="AV215" s="108">
        <v>2084583</v>
      </c>
      <c r="AW215" s="126">
        <v>447.4</v>
      </c>
      <c r="AX215" s="42">
        <v>447.4</v>
      </c>
      <c r="AY215" s="208">
        <f t="shared" si="51"/>
        <v>0</v>
      </c>
      <c r="AZ215" s="290">
        <v>192541</v>
      </c>
      <c r="BA215" s="42"/>
      <c r="BB215" s="42"/>
      <c r="BD215" s="129"/>
    </row>
    <row r="216" spans="1:56">
      <c r="A216" s="235" t="s">
        <v>409</v>
      </c>
      <c r="B216" s="121">
        <v>1</v>
      </c>
      <c r="C216" s="131">
        <v>2806.9</v>
      </c>
      <c r="D216" s="131">
        <v>0</v>
      </c>
      <c r="E216" s="82">
        <v>0</v>
      </c>
      <c r="F216" s="131">
        <v>0</v>
      </c>
      <c r="G216" s="199">
        <v>0</v>
      </c>
      <c r="H216" s="131">
        <v>0</v>
      </c>
      <c r="I216" s="131">
        <v>0</v>
      </c>
      <c r="J216" s="208">
        <v>0</v>
      </c>
      <c r="K216" s="127">
        <v>2867</v>
      </c>
      <c r="L216" s="124">
        <v>0</v>
      </c>
      <c r="M216" s="121">
        <v>0</v>
      </c>
      <c r="N216" s="124">
        <v>20</v>
      </c>
      <c r="O216" s="124">
        <v>0</v>
      </c>
      <c r="P216" s="131">
        <v>559.1</v>
      </c>
      <c r="Q216" s="124">
        <v>0</v>
      </c>
      <c r="R216" s="124">
        <v>1818.9</v>
      </c>
      <c r="S216" s="124">
        <v>0</v>
      </c>
      <c r="T216" s="127">
        <v>566</v>
      </c>
      <c r="U216" s="121">
        <v>0</v>
      </c>
      <c r="V216" s="121">
        <v>1593</v>
      </c>
      <c r="W216" s="121">
        <v>0</v>
      </c>
      <c r="X216" s="131">
        <v>0</v>
      </c>
      <c r="Y216" s="119">
        <v>190</v>
      </c>
      <c r="Z216" s="82">
        <v>0</v>
      </c>
      <c r="AA216" s="79">
        <v>0</v>
      </c>
      <c r="AB216" s="79">
        <v>0</v>
      </c>
      <c r="AC216" s="209">
        <v>0</v>
      </c>
      <c r="AD216" s="211">
        <v>0</v>
      </c>
      <c r="AE216" s="89">
        <v>0</v>
      </c>
      <c r="AF216" s="89">
        <v>167.3</v>
      </c>
      <c r="AG216" s="89">
        <f>SUMIF('PreliminaryHD AR - School Level'!A217:A1523, "=" &amp; A216,'PreliminaryHD AR - School Level'!M217:M1523)</f>
        <v>152.80000000000001</v>
      </c>
      <c r="AH216" s="89">
        <v>4119.1000000000004</v>
      </c>
      <c r="AI216" s="89">
        <f t="shared" si="39"/>
        <v>0</v>
      </c>
      <c r="AJ216" s="89">
        <f t="shared" si="40"/>
        <v>0</v>
      </c>
      <c r="AK216" s="89">
        <f t="shared" si="41"/>
        <v>2806.9</v>
      </c>
      <c r="AL216" s="89">
        <f t="shared" si="42"/>
        <v>20</v>
      </c>
      <c r="AM216" s="89">
        <f t="shared" si="43"/>
        <v>1818.9</v>
      </c>
      <c r="AN216" s="89">
        <f t="shared" si="44"/>
        <v>566</v>
      </c>
      <c r="AO216" s="89">
        <f t="shared" si="45"/>
        <v>559.1</v>
      </c>
      <c r="AP216" s="83">
        <f t="shared" si="46"/>
        <v>1593</v>
      </c>
      <c r="AQ216" s="89">
        <f t="shared" si="47"/>
        <v>0</v>
      </c>
      <c r="AR216" s="89">
        <f t="shared" si="48"/>
        <v>190</v>
      </c>
      <c r="AS216" s="83">
        <f t="shared" si="49"/>
        <v>2867</v>
      </c>
      <c r="AT216" s="89">
        <v>0</v>
      </c>
      <c r="AU216" s="89">
        <f t="shared" si="50"/>
        <v>167.3</v>
      </c>
      <c r="AV216" s="108">
        <v>19914948</v>
      </c>
      <c r="AW216" s="126">
        <v>4119.1000000000004</v>
      </c>
      <c r="AX216" s="42">
        <v>4119.1000000000004</v>
      </c>
      <c r="AY216" s="208">
        <f t="shared" si="51"/>
        <v>0</v>
      </c>
      <c r="AZ216" s="290">
        <v>77290</v>
      </c>
      <c r="BA216" s="42"/>
      <c r="BB216" s="42"/>
      <c r="BD216" s="129"/>
    </row>
    <row r="217" spans="1:56">
      <c r="A217" s="235" t="s">
        <v>410</v>
      </c>
      <c r="B217" s="121">
        <v>1</v>
      </c>
      <c r="C217" s="131">
        <v>349</v>
      </c>
      <c r="D217" s="131">
        <v>0</v>
      </c>
      <c r="E217" s="82">
        <v>0</v>
      </c>
      <c r="F217" s="131">
        <v>0</v>
      </c>
      <c r="G217" s="199">
        <v>0</v>
      </c>
      <c r="H217" s="131">
        <v>0</v>
      </c>
      <c r="I217" s="131">
        <v>0</v>
      </c>
      <c r="J217" s="208">
        <v>0</v>
      </c>
      <c r="K217" s="127">
        <v>354</v>
      </c>
      <c r="L217" s="124">
        <v>0</v>
      </c>
      <c r="M217" s="121">
        <v>0</v>
      </c>
      <c r="N217" s="124">
        <v>0</v>
      </c>
      <c r="O217" s="124">
        <v>0</v>
      </c>
      <c r="P217" s="131">
        <v>131.80000000000001</v>
      </c>
      <c r="Q217" s="124">
        <v>0</v>
      </c>
      <c r="R217" s="124">
        <v>0</v>
      </c>
      <c r="S217" s="124">
        <v>0</v>
      </c>
      <c r="T217" s="127">
        <v>0</v>
      </c>
      <c r="U217" s="121">
        <v>0</v>
      </c>
      <c r="V217" s="121">
        <v>82</v>
      </c>
      <c r="W217" s="121">
        <v>0</v>
      </c>
      <c r="X217" s="131">
        <v>0</v>
      </c>
      <c r="Y217" s="119">
        <v>83</v>
      </c>
      <c r="Z217" s="82">
        <v>0</v>
      </c>
      <c r="AA217" s="79">
        <v>0</v>
      </c>
      <c r="AB217" s="79">
        <v>0</v>
      </c>
      <c r="AC217" s="209">
        <v>0</v>
      </c>
      <c r="AD217" s="211">
        <v>0</v>
      </c>
      <c r="AE217" s="89">
        <v>0</v>
      </c>
      <c r="AF217" s="89">
        <v>0</v>
      </c>
      <c r="AG217" s="89">
        <f>SUMIF('PreliminaryHD AR - School Level'!A218:A1524, "=" &amp; A217,'PreliminaryHD AR - School Level'!M218:M1524)</f>
        <v>0</v>
      </c>
      <c r="AH217" s="89">
        <v>566.6</v>
      </c>
      <c r="AI217" s="89">
        <f t="shared" si="39"/>
        <v>0</v>
      </c>
      <c r="AJ217" s="89">
        <f t="shared" si="40"/>
        <v>0</v>
      </c>
      <c r="AK217" s="89">
        <f t="shared" si="41"/>
        <v>349</v>
      </c>
      <c r="AL217" s="89">
        <f t="shared" si="42"/>
        <v>0</v>
      </c>
      <c r="AM217" s="89">
        <f t="shared" si="43"/>
        <v>0</v>
      </c>
      <c r="AN217" s="89">
        <f t="shared" si="44"/>
        <v>0</v>
      </c>
      <c r="AO217" s="89">
        <f t="shared" si="45"/>
        <v>131.80000000000001</v>
      </c>
      <c r="AP217" s="83">
        <f t="shared" si="46"/>
        <v>82</v>
      </c>
      <c r="AQ217" s="89">
        <f t="shared" si="47"/>
        <v>0</v>
      </c>
      <c r="AR217" s="89">
        <f t="shared" si="48"/>
        <v>83</v>
      </c>
      <c r="AS217" s="83">
        <f t="shared" si="49"/>
        <v>354</v>
      </c>
      <c r="AT217" s="89">
        <v>0</v>
      </c>
      <c r="AU217" s="89">
        <f t="shared" si="50"/>
        <v>0</v>
      </c>
      <c r="AV217" s="108">
        <v>2755564</v>
      </c>
      <c r="AW217" s="126">
        <v>566.6</v>
      </c>
      <c r="AX217" s="42">
        <v>566.6</v>
      </c>
      <c r="AY217" s="208">
        <f t="shared" si="51"/>
        <v>0</v>
      </c>
      <c r="AZ217" s="290">
        <v>98438</v>
      </c>
      <c r="BA217" s="42"/>
      <c r="BB217" s="42"/>
      <c r="BD217" s="129"/>
    </row>
    <row r="218" spans="1:56">
      <c r="A218" s="235" t="s">
        <v>411</v>
      </c>
      <c r="B218" s="121">
        <v>1</v>
      </c>
      <c r="C218" s="131">
        <v>512.9</v>
      </c>
      <c r="D218" s="131">
        <v>0</v>
      </c>
      <c r="E218" s="82">
        <v>0</v>
      </c>
      <c r="F218" s="131">
        <v>0</v>
      </c>
      <c r="G218" s="199">
        <v>0</v>
      </c>
      <c r="H218" s="131">
        <v>0</v>
      </c>
      <c r="I218" s="131">
        <v>0</v>
      </c>
      <c r="J218" s="208">
        <v>0</v>
      </c>
      <c r="K218" s="127">
        <v>517</v>
      </c>
      <c r="L218" s="124">
        <v>0</v>
      </c>
      <c r="M218" s="121">
        <v>0</v>
      </c>
      <c r="N218" s="124">
        <v>0</v>
      </c>
      <c r="O218" s="124">
        <v>0</v>
      </c>
      <c r="P218" s="131">
        <v>7.2</v>
      </c>
      <c r="Q218" s="124">
        <v>0</v>
      </c>
      <c r="R218" s="124">
        <v>24.9</v>
      </c>
      <c r="S218" s="124">
        <v>0</v>
      </c>
      <c r="T218" s="127">
        <v>21</v>
      </c>
      <c r="U218" s="121">
        <v>0</v>
      </c>
      <c r="V218" s="121">
        <v>289</v>
      </c>
      <c r="W218" s="121">
        <v>0</v>
      </c>
      <c r="X218" s="131">
        <v>0</v>
      </c>
      <c r="Y218" s="119">
        <v>289</v>
      </c>
      <c r="Z218" s="82">
        <v>0</v>
      </c>
      <c r="AA218" s="79">
        <v>0</v>
      </c>
      <c r="AB218" s="79">
        <v>0</v>
      </c>
      <c r="AC218" s="209">
        <v>0</v>
      </c>
      <c r="AD218" s="211">
        <v>0</v>
      </c>
      <c r="AE218" s="89">
        <v>0</v>
      </c>
      <c r="AF218" s="89">
        <v>30.3</v>
      </c>
      <c r="AG218" s="89">
        <f>SUMIF('PreliminaryHD AR - School Level'!A219:A1525, "=" &amp; A218,'PreliminaryHD AR - School Level'!M219:M1525)</f>
        <v>30.4</v>
      </c>
      <c r="AH218" s="89">
        <v>1035.7</v>
      </c>
      <c r="AI218" s="89">
        <f t="shared" si="39"/>
        <v>0</v>
      </c>
      <c r="AJ218" s="89">
        <f t="shared" si="40"/>
        <v>0</v>
      </c>
      <c r="AK218" s="89">
        <f t="shared" si="41"/>
        <v>512.9</v>
      </c>
      <c r="AL218" s="89">
        <f t="shared" si="42"/>
        <v>0</v>
      </c>
      <c r="AM218" s="89">
        <f t="shared" si="43"/>
        <v>24.9</v>
      </c>
      <c r="AN218" s="89">
        <f t="shared" si="44"/>
        <v>21</v>
      </c>
      <c r="AO218" s="89">
        <f t="shared" si="45"/>
        <v>7.2</v>
      </c>
      <c r="AP218" s="83">
        <f t="shared" si="46"/>
        <v>289</v>
      </c>
      <c r="AQ218" s="89">
        <f t="shared" si="47"/>
        <v>0</v>
      </c>
      <c r="AR218" s="89">
        <f t="shared" si="48"/>
        <v>289</v>
      </c>
      <c r="AS218" s="83">
        <f t="shared" si="49"/>
        <v>517</v>
      </c>
      <c r="AT218" s="89">
        <v>0</v>
      </c>
      <c r="AU218" s="89">
        <f t="shared" si="50"/>
        <v>30.4</v>
      </c>
      <c r="AV218" s="108">
        <v>5185425</v>
      </c>
      <c r="AW218" s="126">
        <v>1035.7</v>
      </c>
      <c r="AX218" s="42">
        <v>1035.7</v>
      </c>
      <c r="AY218" s="208">
        <f t="shared" si="51"/>
        <v>0</v>
      </c>
      <c r="AZ218" s="290">
        <v>172497</v>
      </c>
      <c r="BA218" s="42"/>
      <c r="BB218" s="42"/>
      <c r="BD218" s="129"/>
    </row>
    <row r="219" spans="1:56">
      <c r="A219" s="235" t="s">
        <v>412</v>
      </c>
      <c r="B219" s="121">
        <v>1</v>
      </c>
      <c r="C219" s="131">
        <v>708.9</v>
      </c>
      <c r="D219" s="131">
        <v>0</v>
      </c>
      <c r="E219" s="82">
        <v>0</v>
      </c>
      <c r="F219" s="131">
        <v>0</v>
      </c>
      <c r="G219" s="199">
        <v>0</v>
      </c>
      <c r="H219" s="131">
        <v>0</v>
      </c>
      <c r="I219" s="131">
        <v>0</v>
      </c>
      <c r="J219" s="208">
        <v>0</v>
      </c>
      <c r="K219" s="127">
        <v>763</v>
      </c>
      <c r="L219" s="124">
        <v>0</v>
      </c>
      <c r="M219" s="121">
        <v>0</v>
      </c>
      <c r="N219" s="124">
        <v>23.5</v>
      </c>
      <c r="O219" s="124">
        <v>0</v>
      </c>
      <c r="P219" s="131">
        <v>367.9</v>
      </c>
      <c r="Q219" s="124">
        <v>0</v>
      </c>
      <c r="R219" s="124">
        <v>0</v>
      </c>
      <c r="S219" s="124">
        <v>0</v>
      </c>
      <c r="T219" s="127">
        <v>0</v>
      </c>
      <c r="U219" s="121">
        <v>0</v>
      </c>
      <c r="V219" s="121">
        <v>321</v>
      </c>
      <c r="W219" s="121">
        <v>0</v>
      </c>
      <c r="X219" s="131">
        <v>0</v>
      </c>
      <c r="Y219" s="119">
        <v>87.5</v>
      </c>
      <c r="Z219" s="82">
        <v>0</v>
      </c>
      <c r="AA219" s="79">
        <v>0</v>
      </c>
      <c r="AB219" s="79">
        <v>0</v>
      </c>
      <c r="AC219" s="209">
        <v>0</v>
      </c>
      <c r="AD219" s="211">
        <v>216</v>
      </c>
      <c r="AE219" s="89">
        <v>0</v>
      </c>
      <c r="AF219" s="89">
        <v>15.9</v>
      </c>
      <c r="AG219" s="89">
        <f>SUMIF('PreliminaryHD AR - School Level'!A220:A1526, "=" &amp; A219,'PreliminaryHD AR - School Level'!M220:M1526)</f>
        <v>20.2</v>
      </c>
      <c r="AH219" s="89">
        <v>1282.7</v>
      </c>
      <c r="AI219" s="89">
        <f t="shared" si="39"/>
        <v>0</v>
      </c>
      <c r="AJ219" s="89">
        <f t="shared" si="40"/>
        <v>0</v>
      </c>
      <c r="AK219" s="89">
        <f t="shared" si="41"/>
        <v>708.9</v>
      </c>
      <c r="AL219" s="89">
        <f t="shared" si="42"/>
        <v>23.5</v>
      </c>
      <c r="AM219" s="89">
        <f t="shared" si="43"/>
        <v>0</v>
      </c>
      <c r="AN219" s="89">
        <f t="shared" si="44"/>
        <v>0</v>
      </c>
      <c r="AO219" s="89">
        <f t="shared" si="45"/>
        <v>367.9</v>
      </c>
      <c r="AP219" s="83">
        <f t="shared" si="46"/>
        <v>321</v>
      </c>
      <c r="AQ219" s="89">
        <f t="shared" si="47"/>
        <v>216</v>
      </c>
      <c r="AR219" s="89">
        <f t="shared" si="48"/>
        <v>87.5</v>
      </c>
      <c r="AS219" s="83">
        <f t="shared" si="49"/>
        <v>763</v>
      </c>
      <c r="AT219" s="89">
        <v>0</v>
      </c>
      <c r="AU219" s="89">
        <f t="shared" si="50"/>
        <v>20.2</v>
      </c>
      <c r="AV219" s="108">
        <v>6298313</v>
      </c>
      <c r="AW219" s="126">
        <v>1282.7</v>
      </c>
      <c r="AX219" s="42">
        <v>1282.7</v>
      </c>
      <c r="AY219" s="208">
        <f t="shared" si="51"/>
        <v>0</v>
      </c>
      <c r="AZ219" s="290">
        <v>250473</v>
      </c>
      <c r="BA219" s="42"/>
      <c r="BB219" s="42"/>
      <c r="BD219" s="129"/>
    </row>
    <row r="220" spans="1:56">
      <c r="A220" s="235" t="s">
        <v>413</v>
      </c>
      <c r="B220" s="121">
        <v>1</v>
      </c>
      <c r="C220" s="131">
        <v>288</v>
      </c>
      <c r="D220" s="131">
        <v>0</v>
      </c>
      <c r="E220" s="82">
        <v>0</v>
      </c>
      <c r="F220" s="131">
        <v>0</v>
      </c>
      <c r="G220" s="199">
        <v>0</v>
      </c>
      <c r="H220" s="131">
        <v>0</v>
      </c>
      <c r="I220" s="131">
        <v>0</v>
      </c>
      <c r="J220" s="208">
        <v>0</v>
      </c>
      <c r="K220" s="127">
        <v>290</v>
      </c>
      <c r="L220" s="124">
        <v>0</v>
      </c>
      <c r="M220" s="121">
        <v>0</v>
      </c>
      <c r="N220" s="124">
        <v>0</v>
      </c>
      <c r="O220" s="124">
        <v>0</v>
      </c>
      <c r="P220" s="131">
        <v>141.80000000000001</v>
      </c>
      <c r="Q220" s="124">
        <v>0</v>
      </c>
      <c r="R220" s="124">
        <v>0</v>
      </c>
      <c r="S220" s="124">
        <v>0</v>
      </c>
      <c r="T220" s="127">
        <v>0</v>
      </c>
      <c r="U220" s="121">
        <v>0</v>
      </c>
      <c r="V220" s="121">
        <v>41</v>
      </c>
      <c r="W220" s="121">
        <v>0</v>
      </c>
      <c r="X220" s="131">
        <v>0</v>
      </c>
      <c r="Y220" s="119">
        <v>52</v>
      </c>
      <c r="Z220" s="82">
        <v>0</v>
      </c>
      <c r="AA220" s="79">
        <v>0</v>
      </c>
      <c r="AB220" s="79">
        <v>0</v>
      </c>
      <c r="AC220" s="209">
        <v>0</v>
      </c>
      <c r="AD220" s="211">
        <v>0</v>
      </c>
      <c r="AE220" s="89">
        <v>0</v>
      </c>
      <c r="AF220" s="89">
        <v>0</v>
      </c>
      <c r="AG220" s="89">
        <f>SUMIF('PreliminaryHD AR - School Level'!A221:A1527, "=" &amp; A220,'PreliminaryHD AR - School Level'!M221:M1527)</f>
        <v>0</v>
      </c>
      <c r="AH220" s="89">
        <v>490.3</v>
      </c>
      <c r="AI220" s="89">
        <f t="shared" si="39"/>
        <v>0</v>
      </c>
      <c r="AJ220" s="89">
        <f t="shared" si="40"/>
        <v>0</v>
      </c>
      <c r="AK220" s="89">
        <f t="shared" si="41"/>
        <v>288</v>
      </c>
      <c r="AL220" s="89">
        <f t="shared" si="42"/>
        <v>0</v>
      </c>
      <c r="AM220" s="89">
        <f t="shared" si="43"/>
        <v>0</v>
      </c>
      <c r="AN220" s="89">
        <f t="shared" si="44"/>
        <v>0</v>
      </c>
      <c r="AO220" s="89">
        <f t="shared" si="45"/>
        <v>141.80000000000001</v>
      </c>
      <c r="AP220" s="83">
        <f t="shared" si="46"/>
        <v>41</v>
      </c>
      <c r="AQ220" s="89">
        <f t="shared" si="47"/>
        <v>0</v>
      </c>
      <c r="AR220" s="89">
        <f t="shared" si="48"/>
        <v>52</v>
      </c>
      <c r="AS220" s="83">
        <f t="shared" si="49"/>
        <v>290</v>
      </c>
      <c r="AT220" s="89">
        <v>0</v>
      </c>
      <c r="AU220" s="89">
        <f t="shared" si="50"/>
        <v>0</v>
      </c>
      <c r="AV220" s="108">
        <v>2314907</v>
      </c>
      <c r="AW220" s="126">
        <v>490.3</v>
      </c>
      <c r="AX220" s="42">
        <v>490.3</v>
      </c>
      <c r="AY220" s="208">
        <f t="shared" si="51"/>
        <v>0</v>
      </c>
      <c r="AZ220" s="290">
        <v>38257</v>
      </c>
      <c r="BA220" s="42"/>
      <c r="BB220" s="42"/>
      <c r="BD220" s="129"/>
    </row>
    <row r="221" spans="1:56">
      <c r="A221" s="235" t="s">
        <v>414</v>
      </c>
      <c r="B221" s="121">
        <v>1</v>
      </c>
      <c r="C221" s="131">
        <v>991.3</v>
      </c>
      <c r="D221" s="131">
        <v>0</v>
      </c>
      <c r="E221" s="82">
        <v>0</v>
      </c>
      <c r="F221" s="131">
        <v>0</v>
      </c>
      <c r="G221" s="199">
        <v>0</v>
      </c>
      <c r="H221" s="131">
        <v>0</v>
      </c>
      <c r="I221" s="131">
        <v>0</v>
      </c>
      <c r="J221" s="208">
        <v>0</v>
      </c>
      <c r="K221" s="127">
        <v>1044</v>
      </c>
      <c r="L221" s="124">
        <v>0</v>
      </c>
      <c r="M221" s="121">
        <v>0</v>
      </c>
      <c r="N221" s="124">
        <v>16</v>
      </c>
      <c r="O221" s="124">
        <v>0</v>
      </c>
      <c r="P221" s="131">
        <v>0.4</v>
      </c>
      <c r="Q221" s="124">
        <v>0</v>
      </c>
      <c r="R221" s="124">
        <v>0</v>
      </c>
      <c r="S221" s="124">
        <v>0</v>
      </c>
      <c r="T221" s="127">
        <v>0</v>
      </c>
      <c r="U221" s="121">
        <v>0</v>
      </c>
      <c r="V221" s="121">
        <v>404</v>
      </c>
      <c r="W221" s="121">
        <v>0</v>
      </c>
      <c r="X221" s="131">
        <v>0</v>
      </c>
      <c r="Y221" s="119">
        <v>845</v>
      </c>
      <c r="Z221" s="82">
        <v>0</v>
      </c>
      <c r="AA221" s="79">
        <v>1</v>
      </c>
      <c r="AB221" s="79">
        <v>0</v>
      </c>
      <c r="AC221" s="209">
        <v>11</v>
      </c>
      <c r="AD221" s="211">
        <v>0</v>
      </c>
      <c r="AE221" s="89">
        <v>0</v>
      </c>
      <c r="AF221" s="89">
        <v>10.5</v>
      </c>
      <c r="AG221" s="89">
        <f>SUMIF('PreliminaryHD AR - School Level'!A222:A1528, "=" &amp; A221,'PreliminaryHD AR - School Level'!M222:M1528)</f>
        <v>16.7</v>
      </c>
      <c r="AH221" s="89">
        <v>1607.7</v>
      </c>
      <c r="AI221" s="89">
        <f t="shared" si="39"/>
        <v>0</v>
      </c>
      <c r="AJ221" s="89">
        <f t="shared" si="40"/>
        <v>0</v>
      </c>
      <c r="AK221" s="89">
        <f t="shared" si="41"/>
        <v>991.3</v>
      </c>
      <c r="AL221" s="89">
        <f t="shared" si="42"/>
        <v>16</v>
      </c>
      <c r="AM221" s="89">
        <f t="shared" si="43"/>
        <v>0</v>
      </c>
      <c r="AN221" s="89">
        <f t="shared" si="44"/>
        <v>0</v>
      </c>
      <c r="AO221" s="89">
        <f t="shared" si="45"/>
        <v>0.4</v>
      </c>
      <c r="AP221" s="83">
        <f t="shared" si="46"/>
        <v>404</v>
      </c>
      <c r="AQ221" s="89">
        <f t="shared" si="47"/>
        <v>0</v>
      </c>
      <c r="AR221" s="89">
        <f t="shared" si="48"/>
        <v>845</v>
      </c>
      <c r="AS221" s="83">
        <f t="shared" si="49"/>
        <v>1044</v>
      </c>
      <c r="AT221" s="89">
        <v>0</v>
      </c>
      <c r="AU221" s="89">
        <f t="shared" si="50"/>
        <v>16.7</v>
      </c>
      <c r="AV221" s="108">
        <v>8335581</v>
      </c>
      <c r="AW221" s="126">
        <v>1607.7</v>
      </c>
      <c r="AX221" s="42">
        <v>1607.7</v>
      </c>
      <c r="AY221" s="208">
        <f t="shared" si="51"/>
        <v>0</v>
      </c>
      <c r="AZ221" s="290">
        <v>750367</v>
      </c>
      <c r="BA221" s="42"/>
      <c r="BB221" s="42"/>
      <c r="BD221" s="129"/>
    </row>
    <row r="222" spans="1:56">
      <c r="A222" s="235" t="s">
        <v>415</v>
      </c>
      <c r="B222" s="121">
        <v>1</v>
      </c>
      <c r="C222" s="131">
        <v>1483.3</v>
      </c>
      <c r="D222" s="131">
        <v>0</v>
      </c>
      <c r="E222" s="82">
        <v>0</v>
      </c>
      <c r="F222" s="131">
        <v>0</v>
      </c>
      <c r="G222" s="199">
        <v>0</v>
      </c>
      <c r="H222" s="131">
        <v>0</v>
      </c>
      <c r="I222" s="131">
        <v>0</v>
      </c>
      <c r="J222" s="208">
        <v>0</v>
      </c>
      <c r="K222" s="127">
        <v>1561</v>
      </c>
      <c r="L222" s="124">
        <v>0</v>
      </c>
      <c r="M222" s="121">
        <v>0</v>
      </c>
      <c r="N222" s="124">
        <v>0</v>
      </c>
      <c r="O222" s="124">
        <v>0</v>
      </c>
      <c r="P222" s="131">
        <v>585</v>
      </c>
      <c r="Q222" s="124">
        <v>0</v>
      </c>
      <c r="R222" s="124">
        <v>61.9</v>
      </c>
      <c r="S222" s="124">
        <v>0</v>
      </c>
      <c r="T222" s="127">
        <v>27</v>
      </c>
      <c r="U222" s="121">
        <v>0</v>
      </c>
      <c r="V222" s="121">
        <v>542</v>
      </c>
      <c r="W222" s="121">
        <v>0</v>
      </c>
      <c r="X222" s="131">
        <v>0</v>
      </c>
      <c r="Y222" s="119">
        <v>252.3</v>
      </c>
      <c r="Z222" s="82">
        <v>0</v>
      </c>
      <c r="AA222" s="79">
        <v>7</v>
      </c>
      <c r="AB222" s="79">
        <v>3.3</v>
      </c>
      <c r="AC222" s="209">
        <v>14</v>
      </c>
      <c r="AD222" s="211">
        <v>24.7</v>
      </c>
      <c r="AE222" s="89">
        <v>0</v>
      </c>
      <c r="AF222" s="89">
        <v>0</v>
      </c>
      <c r="AG222" s="89">
        <f>SUMIF('PreliminaryHD AR - School Level'!A223:A1529, "=" &amp; A222,'PreliminaryHD AR - School Level'!M223:M1529)</f>
        <v>13</v>
      </c>
      <c r="AH222" s="89">
        <v>2023.8</v>
      </c>
      <c r="AI222" s="89">
        <f t="shared" si="39"/>
        <v>0</v>
      </c>
      <c r="AJ222" s="89">
        <f t="shared" si="40"/>
        <v>0</v>
      </c>
      <c r="AK222" s="89">
        <f t="shared" si="41"/>
        <v>1483.3</v>
      </c>
      <c r="AL222" s="89">
        <f t="shared" si="42"/>
        <v>0</v>
      </c>
      <c r="AM222" s="89">
        <f t="shared" si="43"/>
        <v>61.9</v>
      </c>
      <c r="AN222" s="89">
        <f t="shared" si="44"/>
        <v>27</v>
      </c>
      <c r="AO222" s="89">
        <f t="shared" si="45"/>
        <v>585</v>
      </c>
      <c r="AP222" s="83">
        <f t="shared" si="46"/>
        <v>542</v>
      </c>
      <c r="AQ222" s="89">
        <f t="shared" si="47"/>
        <v>24.7</v>
      </c>
      <c r="AR222" s="89">
        <f t="shared" si="48"/>
        <v>252.3</v>
      </c>
      <c r="AS222" s="83">
        <f t="shared" si="49"/>
        <v>1561</v>
      </c>
      <c r="AT222" s="89">
        <v>0</v>
      </c>
      <c r="AU222" s="89">
        <f t="shared" si="50"/>
        <v>13</v>
      </c>
      <c r="AV222" s="108">
        <v>10238840</v>
      </c>
      <c r="AW222" s="126">
        <v>2023.8</v>
      </c>
      <c r="AX222" s="42">
        <v>2023.8</v>
      </c>
      <c r="AY222" s="208">
        <f t="shared" si="51"/>
        <v>0</v>
      </c>
      <c r="AZ222" s="290">
        <v>264273</v>
      </c>
      <c r="BA222" s="42"/>
      <c r="BB222" s="42"/>
      <c r="BD222" s="129"/>
    </row>
    <row r="223" spans="1:56">
      <c r="A223" s="235" t="s">
        <v>416</v>
      </c>
      <c r="B223" s="121">
        <v>1</v>
      </c>
      <c r="C223" s="131">
        <v>741.5</v>
      </c>
      <c r="D223" s="131">
        <v>0</v>
      </c>
      <c r="E223" s="82">
        <v>0</v>
      </c>
      <c r="F223" s="131">
        <v>0</v>
      </c>
      <c r="G223" s="199">
        <v>0</v>
      </c>
      <c r="H223" s="131">
        <v>0</v>
      </c>
      <c r="I223" s="131">
        <v>0</v>
      </c>
      <c r="J223" s="208">
        <v>0</v>
      </c>
      <c r="K223" s="127">
        <v>763</v>
      </c>
      <c r="L223" s="124">
        <v>0</v>
      </c>
      <c r="M223" s="121">
        <v>0</v>
      </c>
      <c r="N223" s="124">
        <v>10</v>
      </c>
      <c r="O223" s="124">
        <v>0</v>
      </c>
      <c r="P223" s="131">
        <v>203.3</v>
      </c>
      <c r="Q223" s="124">
        <v>0</v>
      </c>
      <c r="R223" s="124">
        <v>5.0999999999999996</v>
      </c>
      <c r="S223" s="124">
        <v>0</v>
      </c>
      <c r="T223" s="127">
        <v>7</v>
      </c>
      <c r="U223" s="121">
        <v>0</v>
      </c>
      <c r="V223" s="121">
        <v>295</v>
      </c>
      <c r="W223" s="121">
        <v>0</v>
      </c>
      <c r="X223" s="131">
        <v>0</v>
      </c>
      <c r="Y223" s="119">
        <v>259.5</v>
      </c>
      <c r="Z223" s="82">
        <v>0</v>
      </c>
      <c r="AA223" s="79">
        <v>0</v>
      </c>
      <c r="AB223" s="79">
        <v>0</v>
      </c>
      <c r="AC223" s="209">
        <v>0</v>
      </c>
      <c r="AD223" s="211">
        <v>0</v>
      </c>
      <c r="AE223" s="89">
        <v>0</v>
      </c>
      <c r="AF223" s="89">
        <v>7.6</v>
      </c>
      <c r="AG223" s="89">
        <f>SUMIF('PreliminaryHD AR - School Level'!A224:A1530, "=" &amp; A223,'PreliminaryHD AR - School Level'!M224:M1530)</f>
        <v>9</v>
      </c>
      <c r="AH223" s="89">
        <v>1268.5</v>
      </c>
      <c r="AI223" s="89">
        <f t="shared" si="39"/>
        <v>0</v>
      </c>
      <c r="AJ223" s="89">
        <f t="shared" si="40"/>
        <v>0</v>
      </c>
      <c r="AK223" s="89">
        <f t="shared" si="41"/>
        <v>741.5</v>
      </c>
      <c r="AL223" s="89">
        <f t="shared" si="42"/>
        <v>10</v>
      </c>
      <c r="AM223" s="89">
        <f t="shared" si="43"/>
        <v>5.0999999999999996</v>
      </c>
      <c r="AN223" s="89">
        <f t="shared" si="44"/>
        <v>7</v>
      </c>
      <c r="AO223" s="89">
        <f t="shared" si="45"/>
        <v>203.3</v>
      </c>
      <c r="AP223" s="83">
        <f t="shared" si="46"/>
        <v>295</v>
      </c>
      <c r="AQ223" s="89">
        <f t="shared" si="47"/>
        <v>0</v>
      </c>
      <c r="AR223" s="89">
        <f t="shared" si="48"/>
        <v>259.5</v>
      </c>
      <c r="AS223" s="83">
        <f t="shared" si="49"/>
        <v>763</v>
      </c>
      <c r="AT223" s="89">
        <v>0</v>
      </c>
      <c r="AU223" s="89">
        <f t="shared" si="50"/>
        <v>9</v>
      </c>
      <c r="AV223" s="108">
        <v>5965842</v>
      </c>
      <c r="AW223" s="126">
        <v>1268.5</v>
      </c>
      <c r="AX223" s="42">
        <v>1268.5</v>
      </c>
      <c r="AY223" s="208">
        <f t="shared" si="51"/>
        <v>0</v>
      </c>
      <c r="AZ223" s="290">
        <v>182979</v>
      </c>
      <c r="BA223" s="42"/>
      <c r="BB223" s="42"/>
      <c r="BD223" s="129"/>
    </row>
    <row r="224" spans="1:56">
      <c r="A224" s="235" t="s">
        <v>417</v>
      </c>
      <c r="B224" s="121">
        <v>1</v>
      </c>
      <c r="C224" s="131">
        <v>6166.4</v>
      </c>
      <c r="D224" s="131">
        <v>0</v>
      </c>
      <c r="E224" s="82">
        <v>0</v>
      </c>
      <c r="F224" s="131">
        <v>0</v>
      </c>
      <c r="G224" s="199">
        <v>0</v>
      </c>
      <c r="H224" s="131">
        <v>0</v>
      </c>
      <c r="I224" s="131">
        <v>0</v>
      </c>
      <c r="J224" s="208">
        <v>0</v>
      </c>
      <c r="K224" s="127">
        <v>6280</v>
      </c>
      <c r="L224" s="124">
        <v>0</v>
      </c>
      <c r="M224" s="121">
        <v>0</v>
      </c>
      <c r="N224" s="124">
        <v>39</v>
      </c>
      <c r="O224" s="124">
        <v>0</v>
      </c>
      <c r="P224" s="131">
        <v>944.4</v>
      </c>
      <c r="Q224" s="124">
        <v>0</v>
      </c>
      <c r="R224" s="124">
        <v>139.5</v>
      </c>
      <c r="S224" s="124">
        <v>0</v>
      </c>
      <c r="T224" s="127">
        <v>140</v>
      </c>
      <c r="U224" s="121">
        <v>0</v>
      </c>
      <c r="V224" s="121">
        <v>1527</v>
      </c>
      <c r="W224" s="121">
        <v>0</v>
      </c>
      <c r="X224" s="131">
        <v>2</v>
      </c>
      <c r="Y224" s="119">
        <v>3334</v>
      </c>
      <c r="Z224" s="82">
        <v>0</v>
      </c>
      <c r="AA224" s="79">
        <v>4</v>
      </c>
      <c r="AB224" s="79">
        <v>0</v>
      </c>
      <c r="AC224" s="209">
        <v>0</v>
      </c>
      <c r="AD224" s="211">
        <v>0</v>
      </c>
      <c r="AE224" s="89">
        <v>0</v>
      </c>
      <c r="AF224" s="89">
        <v>0</v>
      </c>
      <c r="AG224" s="89">
        <f>SUMIF('PreliminaryHD AR - School Level'!A225:A1531, "=" &amp; A224,'PreliminaryHD AR - School Level'!M225:M1531)</f>
        <v>45</v>
      </c>
      <c r="AH224" s="89">
        <v>7804.5</v>
      </c>
      <c r="AI224" s="89">
        <f t="shared" si="39"/>
        <v>0</v>
      </c>
      <c r="AJ224" s="89">
        <f t="shared" si="40"/>
        <v>0</v>
      </c>
      <c r="AK224" s="89">
        <f t="shared" si="41"/>
        <v>6166.4</v>
      </c>
      <c r="AL224" s="89">
        <f t="shared" si="42"/>
        <v>39</v>
      </c>
      <c r="AM224" s="89">
        <f t="shared" si="43"/>
        <v>139.5</v>
      </c>
      <c r="AN224" s="89">
        <f t="shared" si="44"/>
        <v>140</v>
      </c>
      <c r="AO224" s="89">
        <f t="shared" si="45"/>
        <v>944.4</v>
      </c>
      <c r="AP224" s="83">
        <f t="shared" si="46"/>
        <v>1527</v>
      </c>
      <c r="AQ224" s="89">
        <f t="shared" si="47"/>
        <v>0</v>
      </c>
      <c r="AR224" s="89">
        <f t="shared" si="48"/>
        <v>3334</v>
      </c>
      <c r="AS224" s="83">
        <f t="shared" si="49"/>
        <v>6280</v>
      </c>
      <c r="AT224" s="89">
        <v>0</v>
      </c>
      <c r="AU224" s="89">
        <f t="shared" si="50"/>
        <v>45</v>
      </c>
      <c r="AV224" s="108">
        <v>38704727</v>
      </c>
      <c r="AW224" s="126">
        <v>7804.5</v>
      </c>
      <c r="AX224" s="42">
        <v>7804.5</v>
      </c>
      <c r="AY224" s="208">
        <f t="shared" si="51"/>
        <v>0</v>
      </c>
      <c r="AZ224" s="290">
        <v>1253357</v>
      </c>
      <c r="BA224" s="42"/>
      <c r="BB224" s="42"/>
      <c r="BD224" s="129"/>
    </row>
    <row r="225" spans="1:56">
      <c r="A225" s="235" t="s">
        <v>418</v>
      </c>
      <c r="B225" s="121">
        <v>1</v>
      </c>
      <c r="C225" s="131">
        <v>385.5</v>
      </c>
      <c r="D225" s="131">
        <v>0</v>
      </c>
      <c r="E225" s="82">
        <v>0</v>
      </c>
      <c r="F225" s="131">
        <v>0</v>
      </c>
      <c r="G225" s="199">
        <v>0</v>
      </c>
      <c r="H225" s="131">
        <v>0</v>
      </c>
      <c r="I225" s="131">
        <v>0</v>
      </c>
      <c r="J225" s="208">
        <v>0</v>
      </c>
      <c r="K225" s="127">
        <v>395</v>
      </c>
      <c r="L225" s="124">
        <v>0</v>
      </c>
      <c r="M225" s="121">
        <v>0</v>
      </c>
      <c r="N225" s="124">
        <v>4</v>
      </c>
      <c r="O225" s="124">
        <v>0</v>
      </c>
      <c r="P225" s="131">
        <v>153.19999999999999</v>
      </c>
      <c r="Q225" s="124">
        <v>0</v>
      </c>
      <c r="R225" s="124">
        <v>7.5</v>
      </c>
      <c r="S225" s="124">
        <v>0</v>
      </c>
      <c r="T225" s="127">
        <v>12</v>
      </c>
      <c r="U225" s="121">
        <v>0</v>
      </c>
      <c r="V225" s="121">
        <v>73</v>
      </c>
      <c r="W225" s="121">
        <v>0</v>
      </c>
      <c r="X225" s="131">
        <v>0</v>
      </c>
      <c r="Y225" s="119">
        <v>123</v>
      </c>
      <c r="Z225" s="82">
        <v>0</v>
      </c>
      <c r="AA225" s="79">
        <v>0</v>
      </c>
      <c r="AB225" s="79">
        <v>0</v>
      </c>
      <c r="AC225" s="209">
        <v>0</v>
      </c>
      <c r="AD225" s="211">
        <v>0</v>
      </c>
      <c r="AE225" s="89">
        <v>0</v>
      </c>
      <c r="AF225" s="89">
        <v>0</v>
      </c>
      <c r="AG225" s="89">
        <f>SUMIF('PreliminaryHD AR - School Level'!A226:A1532, "=" &amp; A225,'PreliminaryHD AR - School Level'!M226:M1532)</f>
        <v>0</v>
      </c>
      <c r="AH225" s="89">
        <v>696.7</v>
      </c>
      <c r="AI225" s="89">
        <f t="shared" si="39"/>
        <v>0</v>
      </c>
      <c r="AJ225" s="89">
        <f t="shared" si="40"/>
        <v>0</v>
      </c>
      <c r="AK225" s="89">
        <f t="shared" si="41"/>
        <v>385.5</v>
      </c>
      <c r="AL225" s="89">
        <f t="shared" si="42"/>
        <v>4</v>
      </c>
      <c r="AM225" s="89">
        <f t="shared" si="43"/>
        <v>7.5</v>
      </c>
      <c r="AN225" s="89">
        <f t="shared" si="44"/>
        <v>12</v>
      </c>
      <c r="AO225" s="89">
        <f t="shared" si="45"/>
        <v>153.19999999999999</v>
      </c>
      <c r="AP225" s="83">
        <f t="shared" si="46"/>
        <v>73</v>
      </c>
      <c r="AQ225" s="89">
        <f t="shared" si="47"/>
        <v>0</v>
      </c>
      <c r="AR225" s="89">
        <f t="shared" si="48"/>
        <v>123</v>
      </c>
      <c r="AS225" s="83">
        <f t="shared" si="49"/>
        <v>395</v>
      </c>
      <c r="AT225" s="89">
        <v>0</v>
      </c>
      <c r="AU225" s="89">
        <f t="shared" si="50"/>
        <v>0</v>
      </c>
      <c r="AV225" s="108">
        <v>3468196</v>
      </c>
      <c r="AW225" s="126">
        <v>696.7</v>
      </c>
      <c r="AX225" s="42">
        <v>696.7</v>
      </c>
      <c r="AY225" s="208">
        <f t="shared" si="51"/>
        <v>0</v>
      </c>
      <c r="AZ225" s="290">
        <v>176133</v>
      </c>
      <c r="BA225" s="42"/>
      <c r="BB225" s="42"/>
      <c r="BD225" s="129"/>
    </row>
    <row r="226" spans="1:56">
      <c r="A226" s="235" t="s">
        <v>419</v>
      </c>
      <c r="B226" s="121">
        <v>1</v>
      </c>
      <c r="C226" s="131">
        <v>457.5</v>
      </c>
      <c r="D226" s="131">
        <v>0</v>
      </c>
      <c r="E226" s="82">
        <v>0</v>
      </c>
      <c r="F226" s="131">
        <v>0</v>
      </c>
      <c r="G226" s="199">
        <v>0</v>
      </c>
      <c r="H226" s="131">
        <v>0</v>
      </c>
      <c r="I226" s="131">
        <v>0</v>
      </c>
      <c r="J226" s="208">
        <v>0</v>
      </c>
      <c r="K226" s="127">
        <v>458</v>
      </c>
      <c r="L226" s="124">
        <v>0</v>
      </c>
      <c r="M226" s="121">
        <v>0</v>
      </c>
      <c r="N226" s="124">
        <v>0</v>
      </c>
      <c r="O226" s="124">
        <v>0</v>
      </c>
      <c r="P226" s="131">
        <v>174</v>
      </c>
      <c r="Q226" s="124">
        <v>0</v>
      </c>
      <c r="R226" s="124">
        <v>0</v>
      </c>
      <c r="S226" s="124">
        <v>0</v>
      </c>
      <c r="T226" s="127">
        <v>1</v>
      </c>
      <c r="U226" s="121">
        <v>0</v>
      </c>
      <c r="V226" s="121">
        <v>111</v>
      </c>
      <c r="W226" s="121">
        <v>0</v>
      </c>
      <c r="X226" s="131">
        <v>0</v>
      </c>
      <c r="Y226" s="119">
        <v>56</v>
      </c>
      <c r="Z226" s="82">
        <v>0</v>
      </c>
      <c r="AA226" s="79">
        <v>0</v>
      </c>
      <c r="AB226" s="79">
        <v>0</v>
      </c>
      <c r="AC226" s="209">
        <v>0</v>
      </c>
      <c r="AD226" s="211">
        <v>0</v>
      </c>
      <c r="AE226" s="89">
        <v>0</v>
      </c>
      <c r="AF226" s="89">
        <v>0</v>
      </c>
      <c r="AG226" s="89">
        <f>SUMIF('PreliminaryHD AR - School Level'!A227:A1533, "=" &amp; A226,'PreliminaryHD AR - School Level'!M227:M1533)</f>
        <v>0</v>
      </c>
      <c r="AH226" s="89">
        <v>762.2</v>
      </c>
      <c r="AI226" s="89">
        <f t="shared" si="39"/>
        <v>0</v>
      </c>
      <c r="AJ226" s="89">
        <f t="shared" si="40"/>
        <v>0</v>
      </c>
      <c r="AK226" s="89">
        <f t="shared" si="41"/>
        <v>457.5</v>
      </c>
      <c r="AL226" s="89">
        <f t="shared" si="42"/>
        <v>0</v>
      </c>
      <c r="AM226" s="89">
        <f t="shared" si="43"/>
        <v>0</v>
      </c>
      <c r="AN226" s="89">
        <f t="shared" si="44"/>
        <v>1</v>
      </c>
      <c r="AO226" s="89">
        <f t="shared" si="45"/>
        <v>174</v>
      </c>
      <c r="AP226" s="83">
        <f t="shared" si="46"/>
        <v>111</v>
      </c>
      <c r="AQ226" s="89">
        <f t="shared" si="47"/>
        <v>0</v>
      </c>
      <c r="AR226" s="89">
        <f t="shared" si="48"/>
        <v>56</v>
      </c>
      <c r="AS226" s="83">
        <f t="shared" si="49"/>
        <v>458</v>
      </c>
      <c r="AT226" s="89">
        <v>0</v>
      </c>
      <c r="AU226" s="89">
        <f t="shared" si="50"/>
        <v>0</v>
      </c>
      <c r="AV226" s="108">
        <v>3848877</v>
      </c>
      <c r="AW226" s="126">
        <v>762.2</v>
      </c>
      <c r="AX226" s="42">
        <v>762.2</v>
      </c>
      <c r="AY226" s="208">
        <f t="shared" si="51"/>
        <v>0</v>
      </c>
      <c r="AZ226" s="290">
        <v>97869</v>
      </c>
      <c r="BA226" s="42"/>
      <c r="BB226" s="42"/>
      <c r="BD226" s="129"/>
    </row>
    <row r="227" spans="1:56">
      <c r="A227" s="235" t="s">
        <v>420</v>
      </c>
      <c r="B227" s="121">
        <v>1</v>
      </c>
      <c r="C227" s="131">
        <v>775.5</v>
      </c>
      <c r="D227" s="131">
        <v>0</v>
      </c>
      <c r="E227" s="82">
        <v>0</v>
      </c>
      <c r="F227" s="131">
        <v>0</v>
      </c>
      <c r="G227" s="199">
        <v>0</v>
      </c>
      <c r="H227" s="131">
        <v>0</v>
      </c>
      <c r="I227" s="131">
        <v>0</v>
      </c>
      <c r="J227" s="208">
        <v>0</v>
      </c>
      <c r="K227" s="127">
        <v>798</v>
      </c>
      <c r="L227" s="124">
        <v>0</v>
      </c>
      <c r="M227" s="121">
        <v>0</v>
      </c>
      <c r="N227" s="124">
        <v>8.5</v>
      </c>
      <c r="O227" s="124">
        <v>0</v>
      </c>
      <c r="P227" s="131">
        <v>534.70000000000005</v>
      </c>
      <c r="Q227" s="124">
        <v>0</v>
      </c>
      <c r="R227" s="124">
        <v>28.1</v>
      </c>
      <c r="S227" s="124">
        <v>0</v>
      </c>
      <c r="T227" s="127">
        <v>16</v>
      </c>
      <c r="U227" s="121">
        <v>0</v>
      </c>
      <c r="V227" s="121">
        <v>235</v>
      </c>
      <c r="W227" s="121">
        <v>0</v>
      </c>
      <c r="X227" s="131">
        <v>0</v>
      </c>
      <c r="Y227" s="119">
        <v>336</v>
      </c>
      <c r="Z227" s="82">
        <v>0</v>
      </c>
      <c r="AA227" s="79">
        <v>0</v>
      </c>
      <c r="AB227" s="79">
        <v>0</v>
      </c>
      <c r="AC227" s="209">
        <v>0</v>
      </c>
      <c r="AD227" s="211">
        <v>0</v>
      </c>
      <c r="AE227" s="89">
        <v>0</v>
      </c>
      <c r="AF227" s="89">
        <v>0</v>
      </c>
      <c r="AG227" s="89">
        <f>SUMIF('PreliminaryHD AR - School Level'!A228:A1534, "=" &amp; A227,'PreliminaryHD AR - School Level'!M228:M1534)</f>
        <v>0</v>
      </c>
      <c r="AH227" s="89">
        <v>1252.7</v>
      </c>
      <c r="AI227" s="89">
        <f t="shared" si="39"/>
        <v>0</v>
      </c>
      <c r="AJ227" s="89">
        <f t="shared" si="40"/>
        <v>0</v>
      </c>
      <c r="AK227" s="89">
        <f t="shared" si="41"/>
        <v>775.5</v>
      </c>
      <c r="AL227" s="89">
        <f t="shared" si="42"/>
        <v>8.5</v>
      </c>
      <c r="AM227" s="89">
        <f t="shared" si="43"/>
        <v>28.1</v>
      </c>
      <c r="AN227" s="89">
        <f t="shared" si="44"/>
        <v>16</v>
      </c>
      <c r="AO227" s="89">
        <f t="shared" si="45"/>
        <v>534.70000000000005</v>
      </c>
      <c r="AP227" s="83">
        <f t="shared" si="46"/>
        <v>235</v>
      </c>
      <c r="AQ227" s="89">
        <f t="shared" si="47"/>
        <v>0</v>
      </c>
      <c r="AR227" s="89">
        <f t="shared" si="48"/>
        <v>336</v>
      </c>
      <c r="AS227" s="83">
        <f t="shared" si="49"/>
        <v>798</v>
      </c>
      <c r="AT227" s="89">
        <v>0</v>
      </c>
      <c r="AU227" s="89">
        <f t="shared" si="50"/>
        <v>0</v>
      </c>
      <c r="AV227" s="108">
        <v>5917216</v>
      </c>
      <c r="AW227" s="126">
        <v>1252.7</v>
      </c>
      <c r="AX227" s="42">
        <v>1252.7</v>
      </c>
      <c r="AY227" s="208">
        <f t="shared" si="51"/>
        <v>0</v>
      </c>
      <c r="AZ227" s="290">
        <v>232672</v>
      </c>
      <c r="BA227" s="42"/>
      <c r="BB227" s="42"/>
      <c r="BD227" s="129"/>
    </row>
    <row r="228" spans="1:56">
      <c r="A228" s="235" t="s">
        <v>421</v>
      </c>
      <c r="B228" s="121">
        <v>1</v>
      </c>
      <c r="C228" s="131">
        <v>6673</v>
      </c>
      <c r="D228" s="131">
        <v>0</v>
      </c>
      <c r="E228" s="82">
        <v>0</v>
      </c>
      <c r="F228" s="131">
        <v>0</v>
      </c>
      <c r="G228" s="199">
        <v>0</v>
      </c>
      <c r="H228" s="131">
        <v>0</v>
      </c>
      <c r="I228" s="131">
        <v>0</v>
      </c>
      <c r="J228" s="208">
        <v>0</v>
      </c>
      <c r="K228" s="127">
        <v>6905</v>
      </c>
      <c r="L228" s="124">
        <v>0</v>
      </c>
      <c r="M228" s="121">
        <v>0</v>
      </c>
      <c r="N228" s="124">
        <v>76</v>
      </c>
      <c r="O228" s="124">
        <v>0</v>
      </c>
      <c r="P228" s="131">
        <v>2163.6</v>
      </c>
      <c r="Q228" s="124">
        <v>0</v>
      </c>
      <c r="R228" s="124">
        <v>12762.1</v>
      </c>
      <c r="S228" s="124">
        <v>0</v>
      </c>
      <c r="T228" s="127">
        <v>3434</v>
      </c>
      <c r="U228" s="121">
        <v>0</v>
      </c>
      <c r="V228" s="121">
        <v>4685</v>
      </c>
      <c r="W228" s="121">
        <v>0</v>
      </c>
      <c r="X228" s="131">
        <v>0</v>
      </c>
      <c r="Y228" s="119">
        <v>2728</v>
      </c>
      <c r="Z228" s="82">
        <v>0</v>
      </c>
      <c r="AA228" s="79">
        <v>2</v>
      </c>
      <c r="AB228" s="79">
        <v>0.6</v>
      </c>
      <c r="AC228" s="209">
        <v>120</v>
      </c>
      <c r="AD228" s="211">
        <v>1527.5</v>
      </c>
      <c r="AE228" s="89">
        <v>0</v>
      </c>
      <c r="AF228" s="89">
        <v>491.9</v>
      </c>
      <c r="AG228" s="89">
        <f>SUMIF('PreliminaryHD AR - School Level'!A229:A1535, "=" &amp; A228,'PreliminaryHD AR - School Level'!M229:M1535)</f>
        <v>491.9</v>
      </c>
      <c r="AH228" s="89">
        <v>11672.8</v>
      </c>
      <c r="AI228" s="89">
        <f t="shared" si="39"/>
        <v>0</v>
      </c>
      <c r="AJ228" s="89">
        <f t="shared" si="40"/>
        <v>0</v>
      </c>
      <c r="AK228" s="89">
        <f t="shared" si="41"/>
        <v>6673</v>
      </c>
      <c r="AL228" s="89">
        <f t="shared" si="42"/>
        <v>76</v>
      </c>
      <c r="AM228" s="89">
        <f t="shared" si="43"/>
        <v>12762.1</v>
      </c>
      <c r="AN228" s="89">
        <f t="shared" si="44"/>
        <v>3434</v>
      </c>
      <c r="AO228" s="89">
        <f t="shared" si="45"/>
        <v>2163.6</v>
      </c>
      <c r="AP228" s="83">
        <f t="shared" si="46"/>
        <v>4685</v>
      </c>
      <c r="AQ228" s="89">
        <f t="shared" si="47"/>
        <v>1527.5</v>
      </c>
      <c r="AR228" s="89">
        <f t="shared" si="48"/>
        <v>2728</v>
      </c>
      <c r="AS228" s="83">
        <f t="shared" si="49"/>
        <v>6905</v>
      </c>
      <c r="AT228" s="89">
        <v>0</v>
      </c>
      <c r="AU228" s="89">
        <f t="shared" si="50"/>
        <v>491.9</v>
      </c>
      <c r="AV228" s="108">
        <v>54666554</v>
      </c>
      <c r="AW228" s="126">
        <v>11672.8</v>
      </c>
      <c r="AX228" s="42">
        <v>11672.8</v>
      </c>
      <c r="AY228" s="208">
        <f t="shared" si="51"/>
        <v>0</v>
      </c>
      <c r="AZ228" s="290">
        <v>1144051</v>
      </c>
      <c r="BA228" s="42"/>
      <c r="BB228" s="42"/>
      <c r="BD228" s="129"/>
    </row>
    <row r="229" spans="1:56">
      <c r="A229" s="235" t="s">
        <v>422</v>
      </c>
      <c r="B229" s="121">
        <v>1</v>
      </c>
      <c r="C229" s="131">
        <v>288</v>
      </c>
      <c r="D229" s="131">
        <v>0</v>
      </c>
      <c r="E229" s="82">
        <v>0</v>
      </c>
      <c r="F229" s="131">
        <v>0</v>
      </c>
      <c r="G229" s="199">
        <v>0</v>
      </c>
      <c r="H229" s="131">
        <v>0</v>
      </c>
      <c r="I229" s="131">
        <v>0</v>
      </c>
      <c r="J229" s="208">
        <v>0</v>
      </c>
      <c r="K229" s="127">
        <v>302</v>
      </c>
      <c r="L229" s="124">
        <v>0</v>
      </c>
      <c r="M229" s="121">
        <v>0</v>
      </c>
      <c r="N229" s="124">
        <v>6.5</v>
      </c>
      <c r="O229" s="124">
        <v>0</v>
      </c>
      <c r="P229" s="131">
        <v>227.1</v>
      </c>
      <c r="Q229" s="124">
        <v>0</v>
      </c>
      <c r="R229" s="124">
        <v>1</v>
      </c>
      <c r="S229" s="124">
        <v>0</v>
      </c>
      <c r="T229" s="127">
        <v>2</v>
      </c>
      <c r="U229" s="121">
        <v>0</v>
      </c>
      <c r="V229" s="121">
        <v>67</v>
      </c>
      <c r="W229" s="121">
        <v>0</v>
      </c>
      <c r="X229" s="131">
        <v>1</v>
      </c>
      <c r="Y229" s="119">
        <v>161</v>
      </c>
      <c r="Z229" s="82">
        <v>0</v>
      </c>
      <c r="AA229" s="79">
        <v>0</v>
      </c>
      <c r="AB229" s="79">
        <v>0</v>
      </c>
      <c r="AC229" s="209">
        <v>0</v>
      </c>
      <c r="AD229" s="211">
        <v>0</v>
      </c>
      <c r="AE229" s="89">
        <v>0</v>
      </c>
      <c r="AF229" s="89">
        <v>0</v>
      </c>
      <c r="AG229" s="89">
        <f>SUMIF('PreliminaryHD AR - School Level'!A230:A1536, "=" &amp; A229,'PreliminaryHD AR - School Level'!M230:M1536)</f>
        <v>0</v>
      </c>
      <c r="AH229" s="89">
        <v>556.1</v>
      </c>
      <c r="AI229" s="89">
        <f t="shared" si="39"/>
        <v>0</v>
      </c>
      <c r="AJ229" s="89">
        <f t="shared" si="40"/>
        <v>0</v>
      </c>
      <c r="AK229" s="89">
        <f t="shared" si="41"/>
        <v>288</v>
      </c>
      <c r="AL229" s="89">
        <f t="shared" si="42"/>
        <v>6.5</v>
      </c>
      <c r="AM229" s="89">
        <f t="shared" si="43"/>
        <v>1</v>
      </c>
      <c r="AN229" s="89">
        <f t="shared" si="44"/>
        <v>2</v>
      </c>
      <c r="AO229" s="89">
        <f t="shared" si="45"/>
        <v>227.1</v>
      </c>
      <c r="AP229" s="83">
        <f t="shared" si="46"/>
        <v>67</v>
      </c>
      <c r="AQ229" s="89">
        <f t="shared" si="47"/>
        <v>0</v>
      </c>
      <c r="AR229" s="89">
        <f t="shared" si="48"/>
        <v>161</v>
      </c>
      <c r="AS229" s="83">
        <f t="shared" si="49"/>
        <v>302</v>
      </c>
      <c r="AT229" s="89">
        <v>0</v>
      </c>
      <c r="AU229" s="89">
        <f t="shared" si="50"/>
        <v>0</v>
      </c>
      <c r="AV229" s="108">
        <v>2710166</v>
      </c>
      <c r="AW229" s="126">
        <v>556.1</v>
      </c>
      <c r="AX229" s="42">
        <v>556.1</v>
      </c>
      <c r="AY229" s="208">
        <f t="shared" si="51"/>
        <v>0</v>
      </c>
      <c r="AZ229" s="290">
        <v>174979</v>
      </c>
      <c r="BA229" s="42"/>
      <c r="BB229" s="42"/>
      <c r="BD229" s="129"/>
    </row>
    <row r="230" spans="1:56">
      <c r="A230" s="235" t="s">
        <v>423</v>
      </c>
      <c r="B230" s="121">
        <v>1</v>
      </c>
      <c r="C230" s="131">
        <v>1706.9</v>
      </c>
      <c r="D230" s="131">
        <v>0</v>
      </c>
      <c r="E230" s="82">
        <v>0</v>
      </c>
      <c r="F230" s="131">
        <v>0</v>
      </c>
      <c r="G230" s="199">
        <v>0</v>
      </c>
      <c r="H230" s="131">
        <v>0</v>
      </c>
      <c r="I230" s="131">
        <v>0</v>
      </c>
      <c r="J230" s="208">
        <v>0</v>
      </c>
      <c r="K230" s="127">
        <v>1787</v>
      </c>
      <c r="L230" s="124">
        <v>0</v>
      </c>
      <c r="M230" s="121">
        <v>0</v>
      </c>
      <c r="N230" s="124">
        <v>36</v>
      </c>
      <c r="O230" s="124">
        <v>0</v>
      </c>
      <c r="P230" s="131">
        <v>383.9</v>
      </c>
      <c r="Q230" s="124">
        <v>0</v>
      </c>
      <c r="R230" s="124">
        <v>435.3</v>
      </c>
      <c r="S230" s="124">
        <v>0</v>
      </c>
      <c r="T230" s="127">
        <v>213</v>
      </c>
      <c r="U230" s="121">
        <v>0</v>
      </c>
      <c r="V230" s="121">
        <v>1230</v>
      </c>
      <c r="W230" s="121">
        <v>0</v>
      </c>
      <c r="X230" s="131">
        <v>0</v>
      </c>
      <c r="Y230" s="119">
        <v>361</v>
      </c>
      <c r="Z230" s="82">
        <v>0</v>
      </c>
      <c r="AA230" s="79">
        <v>21</v>
      </c>
      <c r="AB230" s="79">
        <v>2.8</v>
      </c>
      <c r="AC230" s="209">
        <v>65</v>
      </c>
      <c r="AD230" s="211">
        <v>0</v>
      </c>
      <c r="AE230" s="89">
        <v>0</v>
      </c>
      <c r="AF230" s="89">
        <v>129.1</v>
      </c>
      <c r="AG230" s="89">
        <f>SUMIF('PreliminaryHD AR - School Level'!A231:A1537, "=" &amp; A230,'PreliminaryHD AR - School Level'!M231:M1537)</f>
        <v>129.1</v>
      </c>
      <c r="AH230" s="89">
        <v>2675.7</v>
      </c>
      <c r="AI230" s="89">
        <f t="shared" si="39"/>
        <v>0</v>
      </c>
      <c r="AJ230" s="89">
        <f t="shared" si="40"/>
        <v>0</v>
      </c>
      <c r="AK230" s="89">
        <f t="shared" si="41"/>
        <v>1706.9</v>
      </c>
      <c r="AL230" s="89">
        <f t="shared" si="42"/>
        <v>36</v>
      </c>
      <c r="AM230" s="89">
        <f t="shared" si="43"/>
        <v>435.3</v>
      </c>
      <c r="AN230" s="89">
        <f t="shared" si="44"/>
        <v>213</v>
      </c>
      <c r="AO230" s="89">
        <f t="shared" si="45"/>
        <v>383.9</v>
      </c>
      <c r="AP230" s="83">
        <f t="shared" si="46"/>
        <v>1230</v>
      </c>
      <c r="AQ230" s="89">
        <f t="shared" si="47"/>
        <v>0</v>
      </c>
      <c r="AR230" s="89">
        <f t="shared" si="48"/>
        <v>361</v>
      </c>
      <c r="AS230" s="83">
        <f t="shared" si="49"/>
        <v>1787</v>
      </c>
      <c r="AT230" s="89">
        <v>0</v>
      </c>
      <c r="AU230" s="89">
        <f t="shared" si="50"/>
        <v>129.1</v>
      </c>
      <c r="AV230" s="108">
        <v>12912818</v>
      </c>
      <c r="AW230" s="126">
        <v>2675.8</v>
      </c>
      <c r="AX230" s="42">
        <v>2675.8</v>
      </c>
      <c r="AY230" s="208">
        <f t="shared" si="51"/>
        <v>0.1</v>
      </c>
      <c r="AZ230" s="290">
        <v>596972</v>
      </c>
      <c r="BA230" s="270" t="s">
        <v>3624</v>
      </c>
      <c r="BB230" s="42"/>
      <c r="BD230" s="129"/>
    </row>
    <row r="231" spans="1:56" ht="12.75" customHeight="1">
      <c r="A231" s="235" t="s">
        <v>424</v>
      </c>
      <c r="B231" s="121">
        <v>1</v>
      </c>
      <c r="C231" s="131">
        <v>1970.1</v>
      </c>
      <c r="D231" s="131">
        <v>0</v>
      </c>
      <c r="E231" s="82">
        <v>0</v>
      </c>
      <c r="F231" s="131">
        <v>0</v>
      </c>
      <c r="G231" s="199">
        <v>0</v>
      </c>
      <c r="H231" s="131">
        <v>0</v>
      </c>
      <c r="I231" s="131">
        <v>0</v>
      </c>
      <c r="J231" s="208">
        <v>0</v>
      </c>
      <c r="K231" s="127">
        <v>2172</v>
      </c>
      <c r="L231" s="124">
        <v>0</v>
      </c>
      <c r="M231" s="121">
        <v>0</v>
      </c>
      <c r="N231" s="124">
        <v>32</v>
      </c>
      <c r="O231" s="124">
        <v>0</v>
      </c>
      <c r="P231" s="131">
        <v>373.7</v>
      </c>
      <c r="Q231" s="124">
        <v>0</v>
      </c>
      <c r="R231" s="124">
        <v>39.200000000000003</v>
      </c>
      <c r="S231" s="124">
        <v>0</v>
      </c>
      <c r="T231" s="127">
        <v>50</v>
      </c>
      <c r="U231" s="121">
        <v>0</v>
      </c>
      <c r="V231" s="121">
        <v>1115</v>
      </c>
      <c r="W231" s="121">
        <v>0</v>
      </c>
      <c r="X231" s="131">
        <v>0</v>
      </c>
      <c r="Y231" s="119">
        <v>425</v>
      </c>
      <c r="Z231" s="82">
        <v>0</v>
      </c>
      <c r="AA231" s="79">
        <v>0</v>
      </c>
      <c r="AB231" s="79">
        <v>0</v>
      </c>
      <c r="AC231" s="209">
        <v>0</v>
      </c>
      <c r="AD231" s="211">
        <v>0</v>
      </c>
      <c r="AE231" s="89">
        <v>0</v>
      </c>
      <c r="AF231" s="89">
        <v>117.1</v>
      </c>
      <c r="AG231" s="89">
        <f>SUMIF('PreliminaryHD AR - School Level'!A232:A1538, "=" &amp; A231,'PreliminaryHD AR - School Level'!M232:M1538)</f>
        <v>98.4</v>
      </c>
      <c r="AH231" s="89">
        <v>2872.1</v>
      </c>
      <c r="AI231" s="89">
        <f t="shared" si="39"/>
        <v>0</v>
      </c>
      <c r="AJ231" s="89">
        <f t="shared" si="40"/>
        <v>0</v>
      </c>
      <c r="AK231" s="89">
        <f t="shared" si="41"/>
        <v>1970.1</v>
      </c>
      <c r="AL231" s="89">
        <f t="shared" si="42"/>
        <v>32</v>
      </c>
      <c r="AM231" s="89">
        <f t="shared" si="43"/>
        <v>39.200000000000003</v>
      </c>
      <c r="AN231" s="89">
        <f t="shared" si="44"/>
        <v>50</v>
      </c>
      <c r="AO231" s="89">
        <f t="shared" si="45"/>
        <v>373.7</v>
      </c>
      <c r="AP231" s="83">
        <f t="shared" si="46"/>
        <v>1115</v>
      </c>
      <c r="AQ231" s="89">
        <f t="shared" si="47"/>
        <v>0</v>
      </c>
      <c r="AR231" s="89">
        <f t="shared" si="48"/>
        <v>425</v>
      </c>
      <c r="AS231" s="83">
        <f t="shared" si="49"/>
        <v>2172</v>
      </c>
      <c r="AT231" s="89">
        <v>0</v>
      </c>
      <c r="AU231" s="89">
        <f t="shared" si="50"/>
        <v>117.1</v>
      </c>
      <c r="AV231" s="108">
        <v>13891941</v>
      </c>
      <c r="AW231" s="126">
        <v>2872.1</v>
      </c>
      <c r="AX231" s="42">
        <v>2872.1</v>
      </c>
      <c r="AY231" s="208">
        <f t="shared" si="51"/>
        <v>0</v>
      </c>
      <c r="AZ231" s="290">
        <v>483656</v>
      </c>
      <c r="BA231" s="270" t="s">
        <v>3625</v>
      </c>
      <c r="BB231" s="42"/>
      <c r="BD231" s="129"/>
    </row>
    <row r="232" spans="1:56">
      <c r="A232" s="235" t="s">
        <v>425</v>
      </c>
      <c r="B232" s="121">
        <v>1</v>
      </c>
      <c r="C232" s="131">
        <v>778.1</v>
      </c>
      <c r="D232" s="131">
        <v>0</v>
      </c>
      <c r="E232" s="82">
        <v>0</v>
      </c>
      <c r="F232" s="131">
        <v>0</v>
      </c>
      <c r="G232" s="199">
        <v>0</v>
      </c>
      <c r="H232" s="131">
        <v>0</v>
      </c>
      <c r="I232" s="131">
        <v>0</v>
      </c>
      <c r="J232" s="208">
        <v>0</v>
      </c>
      <c r="K232" s="127">
        <v>802</v>
      </c>
      <c r="L232" s="124">
        <v>0</v>
      </c>
      <c r="M232" s="121">
        <v>0</v>
      </c>
      <c r="N232" s="124">
        <v>10.5</v>
      </c>
      <c r="O232" s="124">
        <v>0</v>
      </c>
      <c r="P232" s="131">
        <v>147.19999999999999</v>
      </c>
      <c r="Q232" s="124">
        <v>0</v>
      </c>
      <c r="R232" s="124">
        <v>0</v>
      </c>
      <c r="S232" s="124">
        <v>0</v>
      </c>
      <c r="T232" s="127">
        <v>0</v>
      </c>
      <c r="U232" s="121">
        <v>0</v>
      </c>
      <c r="V232" s="121">
        <v>438</v>
      </c>
      <c r="W232" s="121">
        <v>0</v>
      </c>
      <c r="X232" s="131">
        <v>0</v>
      </c>
      <c r="Y232" s="119">
        <v>90</v>
      </c>
      <c r="Z232" s="82">
        <v>0</v>
      </c>
      <c r="AA232" s="79">
        <v>0</v>
      </c>
      <c r="AB232" s="79">
        <v>0</v>
      </c>
      <c r="AC232" s="209">
        <v>0</v>
      </c>
      <c r="AD232" s="211">
        <v>0</v>
      </c>
      <c r="AE232" s="89">
        <v>0</v>
      </c>
      <c r="AF232" s="89">
        <v>46</v>
      </c>
      <c r="AG232" s="89">
        <f>SUMIF('PreliminaryHD AR - School Level'!A233:A1539, "=" &amp; A232,'PreliminaryHD AR - School Level'!M233:M1539)</f>
        <v>42.9</v>
      </c>
      <c r="AH232" s="89">
        <v>1372.4</v>
      </c>
      <c r="AI232" s="89">
        <f t="shared" si="39"/>
        <v>0</v>
      </c>
      <c r="AJ232" s="89">
        <f t="shared" si="40"/>
        <v>0</v>
      </c>
      <c r="AK232" s="89">
        <f t="shared" si="41"/>
        <v>778.1</v>
      </c>
      <c r="AL232" s="89">
        <f t="shared" si="42"/>
        <v>10.5</v>
      </c>
      <c r="AM232" s="89">
        <f t="shared" si="43"/>
        <v>0</v>
      </c>
      <c r="AN232" s="89">
        <f t="shared" si="44"/>
        <v>0</v>
      </c>
      <c r="AO232" s="89">
        <f t="shared" si="45"/>
        <v>147.19999999999999</v>
      </c>
      <c r="AP232" s="83">
        <f t="shared" si="46"/>
        <v>438</v>
      </c>
      <c r="AQ232" s="89">
        <f t="shared" si="47"/>
        <v>0</v>
      </c>
      <c r="AR232" s="89">
        <f t="shared" si="48"/>
        <v>90</v>
      </c>
      <c r="AS232" s="83">
        <f t="shared" si="49"/>
        <v>802</v>
      </c>
      <c r="AT232" s="89">
        <v>0</v>
      </c>
      <c r="AU232" s="89">
        <f t="shared" si="50"/>
        <v>46</v>
      </c>
      <c r="AV232" s="108">
        <v>6414933</v>
      </c>
      <c r="AW232" s="126">
        <v>1372.4</v>
      </c>
      <c r="AX232" s="42">
        <v>1372.4</v>
      </c>
      <c r="AY232" s="208">
        <f t="shared" si="51"/>
        <v>0</v>
      </c>
      <c r="AZ232" s="290">
        <v>190174</v>
      </c>
      <c r="BA232" s="42"/>
      <c r="BB232" s="42"/>
      <c r="BD232" s="129"/>
    </row>
    <row r="233" spans="1:56">
      <c r="A233" s="235" t="s">
        <v>426</v>
      </c>
      <c r="B233" s="121">
        <v>1</v>
      </c>
      <c r="C233" s="131">
        <v>387.5</v>
      </c>
      <c r="D233" s="131">
        <v>0</v>
      </c>
      <c r="E233" s="82">
        <v>0</v>
      </c>
      <c r="F233" s="131">
        <v>0</v>
      </c>
      <c r="G233" s="199">
        <v>0</v>
      </c>
      <c r="H233" s="131">
        <v>0</v>
      </c>
      <c r="I233" s="131">
        <v>0</v>
      </c>
      <c r="J233" s="208">
        <v>0</v>
      </c>
      <c r="K233" s="127">
        <v>415</v>
      </c>
      <c r="L233" s="124">
        <v>0</v>
      </c>
      <c r="M233" s="121">
        <v>0</v>
      </c>
      <c r="N233" s="124">
        <v>11.5</v>
      </c>
      <c r="O233" s="124">
        <v>0</v>
      </c>
      <c r="P233" s="131">
        <v>282.8</v>
      </c>
      <c r="Q233" s="124">
        <v>0</v>
      </c>
      <c r="R233" s="124">
        <v>0</v>
      </c>
      <c r="S233" s="124">
        <v>0</v>
      </c>
      <c r="T233" s="127">
        <v>0</v>
      </c>
      <c r="U233" s="121">
        <v>0</v>
      </c>
      <c r="V233" s="121">
        <v>86</v>
      </c>
      <c r="W233" s="121">
        <v>0</v>
      </c>
      <c r="X233" s="131">
        <v>0</v>
      </c>
      <c r="Y233" s="119">
        <v>89</v>
      </c>
      <c r="Z233" s="82">
        <v>0</v>
      </c>
      <c r="AA233" s="79">
        <v>0</v>
      </c>
      <c r="AB233" s="79">
        <v>0</v>
      </c>
      <c r="AC233" s="209">
        <v>4</v>
      </c>
      <c r="AD233" s="211">
        <v>0</v>
      </c>
      <c r="AE233" s="89">
        <v>0</v>
      </c>
      <c r="AF233" s="89">
        <v>0</v>
      </c>
      <c r="AG233" s="89">
        <f>SUMIF('PreliminaryHD AR - School Level'!A234:A1540, "=" &amp; A233,'PreliminaryHD AR - School Level'!M234:M1540)</f>
        <v>0</v>
      </c>
      <c r="AH233" s="89">
        <v>709.1</v>
      </c>
      <c r="AI233" s="89">
        <f t="shared" si="39"/>
        <v>0</v>
      </c>
      <c r="AJ233" s="89">
        <f t="shared" si="40"/>
        <v>0</v>
      </c>
      <c r="AK233" s="89">
        <f t="shared" si="41"/>
        <v>387.5</v>
      </c>
      <c r="AL233" s="89">
        <f t="shared" si="42"/>
        <v>11.5</v>
      </c>
      <c r="AM233" s="89">
        <f t="shared" si="43"/>
        <v>0</v>
      </c>
      <c r="AN233" s="89">
        <f t="shared" si="44"/>
        <v>0</v>
      </c>
      <c r="AO233" s="89">
        <f t="shared" si="45"/>
        <v>282.8</v>
      </c>
      <c r="AP233" s="83">
        <f t="shared" si="46"/>
        <v>86</v>
      </c>
      <c r="AQ233" s="89">
        <f t="shared" si="47"/>
        <v>0</v>
      </c>
      <c r="AR233" s="89">
        <f t="shared" si="48"/>
        <v>89</v>
      </c>
      <c r="AS233" s="83">
        <f t="shared" si="49"/>
        <v>415</v>
      </c>
      <c r="AT233" s="89">
        <v>0</v>
      </c>
      <c r="AU233" s="89">
        <f t="shared" si="50"/>
        <v>0</v>
      </c>
      <c r="AV233" s="108">
        <v>3622717</v>
      </c>
      <c r="AW233" s="126">
        <v>709.1</v>
      </c>
      <c r="AX233" s="42">
        <v>709.1</v>
      </c>
      <c r="AY233" s="208">
        <f t="shared" si="51"/>
        <v>0</v>
      </c>
      <c r="AZ233" s="290">
        <v>100999</v>
      </c>
      <c r="BA233" s="42"/>
      <c r="BB233" s="42"/>
      <c r="BD233" s="129"/>
    </row>
    <row r="234" spans="1:56">
      <c r="A234" s="235" t="s">
        <v>427</v>
      </c>
      <c r="B234" s="121">
        <v>1</v>
      </c>
      <c r="C234" s="131">
        <v>652.79999999999995</v>
      </c>
      <c r="D234" s="131">
        <v>0</v>
      </c>
      <c r="E234" s="82">
        <v>0</v>
      </c>
      <c r="F234" s="131">
        <v>0</v>
      </c>
      <c r="G234" s="199">
        <v>0</v>
      </c>
      <c r="H234" s="131">
        <v>0</v>
      </c>
      <c r="I234" s="131">
        <v>0</v>
      </c>
      <c r="J234" s="208">
        <v>0</v>
      </c>
      <c r="K234" s="127">
        <v>657</v>
      </c>
      <c r="L234" s="124">
        <v>0</v>
      </c>
      <c r="M234" s="121">
        <v>0</v>
      </c>
      <c r="N234" s="124">
        <v>0</v>
      </c>
      <c r="O234" s="124">
        <v>0</v>
      </c>
      <c r="P234" s="131">
        <v>195.5</v>
      </c>
      <c r="Q234" s="124">
        <v>0</v>
      </c>
      <c r="R234" s="124">
        <v>0</v>
      </c>
      <c r="S234" s="124">
        <v>0</v>
      </c>
      <c r="T234" s="127">
        <v>0</v>
      </c>
      <c r="U234" s="121">
        <v>0</v>
      </c>
      <c r="V234" s="121">
        <v>140</v>
      </c>
      <c r="W234" s="121">
        <v>0</v>
      </c>
      <c r="X234" s="131">
        <v>0</v>
      </c>
      <c r="Y234" s="119">
        <v>321</v>
      </c>
      <c r="Z234" s="82">
        <v>0</v>
      </c>
      <c r="AA234" s="79">
        <v>0</v>
      </c>
      <c r="AB234" s="79">
        <v>0</v>
      </c>
      <c r="AC234" s="209">
        <v>0</v>
      </c>
      <c r="AD234" s="211">
        <v>0</v>
      </c>
      <c r="AE234" s="89">
        <v>0</v>
      </c>
      <c r="AF234" s="89">
        <v>0</v>
      </c>
      <c r="AG234" s="89">
        <f>SUMIF('PreliminaryHD AR - School Level'!A235:A1541, "=" &amp; A234,'PreliminaryHD AR - School Level'!M235:M1541)</f>
        <v>0</v>
      </c>
      <c r="AH234" s="89">
        <v>1012.2</v>
      </c>
      <c r="AI234" s="89">
        <f t="shared" si="39"/>
        <v>0</v>
      </c>
      <c r="AJ234" s="89">
        <f t="shared" si="40"/>
        <v>0</v>
      </c>
      <c r="AK234" s="89">
        <f t="shared" si="41"/>
        <v>652.79999999999995</v>
      </c>
      <c r="AL234" s="89">
        <f t="shared" si="42"/>
        <v>0</v>
      </c>
      <c r="AM234" s="89">
        <f t="shared" si="43"/>
        <v>0</v>
      </c>
      <c r="AN234" s="89">
        <f t="shared" si="44"/>
        <v>0</v>
      </c>
      <c r="AO234" s="89">
        <f t="shared" si="45"/>
        <v>195.5</v>
      </c>
      <c r="AP234" s="83">
        <f t="shared" si="46"/>
        <v>140</v>
      </c>
      <c r="AQ234" s="89">
        <f t="shared" si="47"/>
        <v>0</v>
      </c>
      <c r="AR234" s="89">
        <f t="shared" si="48"/>
        <v>321</v>
      </c>
      <c r="AS234" s="83">
        <f t="shared" si="49"/>
        <v>657</v>
      </c>
      <c r="AT234" s="89">
        <v>0</v>
      </c>
      <c r="AU234" s="89">
        <f t="shared" si="50"/>
        <v>0</v>
      </c>
      <c r="AV234" s="108">
        <v>5195421</v>
      </c>
      <c r="AW234" s="126">
        <v>1012.2</v>
      </c>
      <c r="AX234" s="42">
        <v>1012.2</v>
      </c>
      <c r="AY234" s="208">
        <f t="shared" si="51"/>
        <v>0</v>
      </c>
      <c r="AZ234" s="290">
        <v>147357</v>
      </c>
      <c r="BA234" s="42"/>
      <c r="BB234" s="42"/>
      <c r="BD234" s="129"/>
    </row>
    <row r="235" spans="1:56">
      <c r="A235" s="235" t="s">
        <v>428</v>
      </c>
      <c r="B235" s="121">
        <v>1</v>
      </c>
      <c r="C235" s="131">
        <v>3425.9</v>
      </c>
      <c r="D235" s="131">
        <v>0</v>
      </c>
      <c r="E235" s="82">
        <v>0</v>
      </c>
      <c r="F235" s="131">
        <v>0</v>
      </c>
      <c r="G235" s="199">
        <v>0</v>
      </c>
      <c r="H235" s="131">
        <v>0</v>
      </c>
      <c r="I235" s="131">
        <v>0</v>
      </c>
      <c r="J235" s="208">
        <v>0</v>
      </c>
      <c r="K235" s="127">
        <v>3490</v>
      </c>
      <c r="L235" s="124">
        <v>0</v>
      </c>
      <c r="M235" s="121">
        <v>0</v>
      </c>
      <c r="N235" s="124">
        <v>20</v>
      </c>
      <c r="O235" s="124">
        <v>0</v>
      </c>
      <c r="P235" s="131">
        <v>453.5</v>
      </c>
      <c r="Q235" s="124">
        <v>0</v>
      </c>
      <c r="R235" s="124">
        <v>214.8</v>
      </c>
      <c r="S235" s="124">
        <v>0</v>
      </c>
      <c r="T235" s="127">
        <v>98</v>
      </c>
      <c r="U235" s="121">
        <v>0</v>
      </c>
      <c r="V235" s="121">
        <v>971</v>
      </c>
      <c r="W235" s="121">
        <v>0</v>
      </c>
      <c r="X235" s="131">
        <v>1</v>
      </c>
      <c r="Y235" s="119">
        <v>2548</v>
      </c>
      <c r="Z235" s="82">
        <v>0</v>
      </c>
      <c r="AA235" s="79">
        <v>12</v>
      </c>
      <c r="AB235" s="79">
        <v>0</v>
      </c>
      <c r="AC235" s="209">
        <v>0</v>
      </c>
      <c r="AD235" s="211">
        <v>0</v>
      </c>
      <c r="AE235" s="89">
        <v>0</v>
      </c>
      <c r="AF235" s="89">
        <v>0</v>
      </c>
      <c r="AG235" s="89">
        <f>SUMIF('PreliminaryHD AR - School Level'!A236:A1542, "=" &amp; A235,'PreliminaryHD AR - School Level'!M236:M1542)</f>
        <v>8.1</v>
      </c>
      <c r="AH235" s="89">
        <v>4517.3999999999996</v>
      </c>
      <c r="AI235" s="89">
        <f t="shared" si="39"/>
        <v>0</v>
      </c>
      <c r="AJ235" s="89">
        <f t="shared" si="40"/>
        <v>0</v>
      </c>
      <c r="AK235" s="89">
        <f t="shared" si="41"/>
        <v>3425.9</v>
      </c>
      <c r="AL235" s="89">
        <f t="shared" si="42"/>
        <v>20</v>
      </c>
      <c r="AM235" s="89">
        <f t="shared" si="43"/>
        <v>214.8</v>
      </c>
      <c r="AN235" s="89">
        <f t="shared" si="44"/>
        <v>98</v>
      </c>
      <c r="AO235" s="89">
        <f t="shared" si="45"/>
        <v>453.5</v>
      </c>
      <c r="AP235" s="83">
        <f t="shared" si="46"/>
        <v>971</v>
      </c>
      <c r="AQ235" s="89">
        <f t="shared" si="47"/>
        <v>0</v>
      </c>
      <c r="AR235" s="89">
        <f t="shared" si="48"/>
        <v>2548</v>
      </c>
      <c r="AS235" s="83">
        <f t="shared" si="49"/>
        <v>3490</v>
      </c>
      <c r="AT235" s="89">
        <v>0</v>
      </c>
      <c r="AU235" s="89">
        <f t="shared" si="50"/>
        <v>8.1</v>
      </c>
      <c r="AV235" s="108">
        <v>22371512</v>
      </c>
      <c r="AW235" s="126">
        <v>4517.3999999999996</v>
      </c>
      <c r="AX235" s="42">
        <v>4517.3999999999996</v>
      </c>
      <c r="AY235" s="208">
        <f t="shared" si="51"/>
        <v>0</v>
      </c>
      <c r="AZ235" s="290">
        <v>1631186</v>
      </c>
      <c r="BA235" s="42"/>
      <c r="BB235" s="42"/>
      <c r="BD235" s="129"/>
    </row>
    <row r="236" spans="1:56">
      <c r="A236" s="235" t="s">
        <v>429</v>
      </c>
      <c r="B236" s="121">
        <v>1</v>
      </c>
      <c r="C236" s="131">
        <v>431</v>
      </c>
      <c r="D236" s="131">
        <v>0</v>
      </c>
      <c r="E236" s="82">
        <v>0</v>
      </c>
      <c r="F236" s="131">
        <v>0</v>
      </c>
      <c r="G236" s="199">
        <v>0</v>
      </c>
      <c r="H236" s="131">
        <v>0</v>
      </c>
      <c r="I236" s="131">
        <v>0</v>
      </c>
      <c r="J236" s="208">
        <v>0</v>
      </c>
      <c r="K236" s="127">
        <v>440</v>
      </c>
      <c r="L236" s="124">
        <v>0</v>
      </c>
      <c r="M236" s="121">
        <v>0</v>
      </c>
      <c r="N236" s="124">
        <v>4</v>
      </c>
      <c r="O236" s="124">
        <v>0</v>
      </c>
      <c r="P236" s="131">
        <v>218.4</v>
      </c>
      <c r="Q236" s="124">
        <v>0</v>
      </c>
      <c r="R236" s="124">
        <v>568.5</v>
      </c>
      <c r="S236" s="124">
        <v>0</v>
      </c>
      <c r="T236" s="127">
        <v>131</v>
      </c>
      <c r="U236" s="121">
        <v>0</v>
      </c>
      <c r="V236" s="121">
        <v>170</v>
      </c>
      <c r="W236" s="121">
        <v>0</v>
      </c>
      <c r="X236" s="131">
        <v>0</v>
      </c>
      <c r="Y236" s="119">
        <v>122</v>
      </c>
      <c r="Z236" s="82">
        <v>0</v>
      </c>
      <c r="AA236" s="79">
        <v>0</v>
      </c>
      <c r="AB236" s="79">
        <v>0</v>
      </c>
      <c r="AC236" s="209">
        <v>0</v>
      </c>
      <c r="AD236" s="211">
        <v>0</v>
      </c>
      <c r="AE236" s="89">
        <v>0</v>
      </c>
      <c r="AF236" s="89">
        <v>4.3</v>
      </c>
      <c r="AG236" s="89">
        <f>SUMIF('PreliminaryHD AR - School Level'!A237:A1543, "=" &amp; A236,'PreliminaryHD AR - School Level'!M237:M1543)</f>
        <v>4.5999999999999996</v>
      </c>
      <c r="AH236" s="89">
        <v>814.9</v>
      </c>
      <c r="AI236" s="89">
        <f t="shared" si="39"/>
        <v>0</v>
      </c>
      <c r="AJ236" s="89">
        <f t="shared" si="40"/>
        <v>0</v>
      </c>
      <c r="AK236" s="89">
        <f t="shared" si="41"/>
        <v>431</v>
      </c>
      <c r="AL236" s="89">
        <f t="shared" si="42"/>
        <v>4</v>
      </c>
      <c r="AM236" s="89">
        <f t="shared" si="43"/>
        <v>568.5</v>
      </c>
      <c r="AN236" s="89">
        <f t="shared" si="44"/>
        <v>131</v>
      </c>
      <c r="AO236" s="89">
        <f t="shared" si="45"/>
        <v>218.4</v>
      </c>
      <c r="AP236" s="83">
        <f t="shared" si="46"/>
        <v>170</v>
      </c>
      <c r="AQ236" s="89">
        <f t="shared" si="47"/>
        <v>0</v>
      </c>
      <c r="AR236" s="89">
        <f t="shared" si="48"/>
        <v>122</v>
      </c>
      <c r="AS236" s="83">
        <f t="shared" si="49"/>
        <v>440</v>
      </c>
      <c r="AT236" s="89">
        <v>0</v>
      </c>
      <c r="AU236" s="89">
        <f t="shared" si="50"/>
        <v>4.5999999999999996</v>
      </c>
      <c r="AV236" s="108">
        <v>3842213</v>
      </c>
      <c r="AW236" s="126">
        <v>814.9</v>
      </c>
      <c r="AX236" s="42">
        <v>814.9</v>
      </c>
      <c r="AY236" s="208">
        <f t="shared" si="51"/>
        <v>0</v>
      </c>
      <c r="AZ236" s="290">
        <v>221869</v>
      </c>
      <c r="BA236" s="42"/>
      <c r="BB236" s="42"/>
      <c r="BD236" s="129"/>
    </row>
    <row r="237" spans="1:56">
      <c r="A237" s="235" t="s">
        <v>430</v>
      </c>
      <c r="B237" s="121">
        <v>1</v>
      </c>
      <c r="C237" s="131">
        <v>3623.7</v>
      </c>
      <c r="D237" s="131">
        <v>0</v>
      </c>
      <c r="E237" s="82">
        <v>0</v>
      </c>
      <c r="F237" s="131">
        <v>0</v>
      </c>
      <c r="G237" s="199">
        <v>0</v>
      </c>
      <c r="H237" s="131">
        <v>0</v>
      </c>
      <c r="I237" s="131">
        <v>0</v>
      </c>
      <c r="J237" s="208">
        <v>0</v>
      </c>
      <c r="K237" s="127">
        <v>3757</v>
      </c>
      <c r="L237" s="124">
        <v>0</v>
      </c>
      <c r="M237" s="121">
        <v>0</v>
      </c>
      <c r="N237" s="124">
        <v>36</v>
      </c>
      <c r="O237" s="124">
        <v>0</v>
      </c>
      <c r="P237" s="131">
        <v>577.5</v>
      </c>
      <c r="Q237" s="124">
        <v>0</v>
      </c>
      <c r="R237" s="124">
        <v>77.599999999999994</v>
      </c>
      <c r="S237" s="124">
        <v>0</v>
      </c>
      <c r="T237" s="127">
        <v>58</v>
      </c>
      <c r="U237" s="121">
        <v>0</v>
      </c>
      <c r="V237" s="121">
        <v>1719</v>
      </c>
      <c r="W237" s="121">
        <v>0</v>
      </c>
      <c r="X237" s="131">
        <v>0</v>
      </c>
      <c r="Y237" s="119">
        <v>693</v>
      </c>
      <c r="Z237" s="82">
        <v>0</v>
      </c>
      <c r="AA237" s="79">
        <v>103</v>
      </c>
      <c r="AB237" s="79">
        <v>0</v>
      </c>
      <c r="AC237" s="209">
        <v>0</v>
      </c>
      <c r="AD237" s="211">
        <v>0</v>
      </c>
      <c r="AE237" s="89">
        <v>0</v>
      </c>
      <c r="AF237" s="89">
        <v>129.4</v>
      </c>
      <c r="AG237" s="89">
        <f>SUMIF('PreliminaryHD AR - School Level'!A238:A1544, "=" &amp; A237,'PreliminaryHD AR - School Level'!M238:M1544)</f>
        <v>115.9</v>
      </c>
      <c r="AH237" s="89">
        <v>4924.6000000000004</v>
      </c>
      <c r="AI237" s="89">
        <f t="shared" si="39"/>
        <v>0</v>
      </c>
      <c r="AJ237" s="89">
        <f t="shared" si="40"/>
        <v>0</v>
      </c>
      <c r="AK237" s="89">
        <f t="shared" si="41"/>
        <v>3623.7</v>
      </c>
      <c r="AL237" s="89">
        <f t="shared" si="42"/>
        <v>36</v>
      </c>
      <c r="AM237" s="89">
        <f t="shared" si="43"/>
        <v>77.599999999999994</v>
      </c>
      <c r="AN237" s="89">
        <f t="shared" si="44"/>
        <v>58</v>
      </c>
      <c r="AO237" s="89">
        <f t="shared" si="45"/>
        <v>577.5</v>
      </c>
      <c r="AP237" s="83">
        <f t="shared" si="46"/>
        <v>1719</v>
      </c>
      <c r="AQ237" s="89">
        <f t="shared" si="47"/>
        <v>0</v>
      </c>
      <c r="AR237" s="89">
        <f t="shared" si="48"/>
        <v>693</v>
      </c>
      <c r="AS237" s="83">
        <f t="shared" si="49"/>
        <v>3757</v>
      </c>
      <c r="AT237" s="89">
        <v>0</v>
      </c>
      <c r="AU237" s="89">
        <f t="shared" si="50"/>
        <v>129.4</v>
      </c>
      <c r="AV237" s="108">
        <v>25909802</v>
      </c>
      <c r="AW237" s="126">
        <v>4924.6000000000004</v>
      </c>
      <c r="AX237" s="42">
        <v>4924.6000000000004</v>
      </c>
      <c r="AY237" s="208">
        <f t="shared" si="51"/>
        <v>0</v>
      </c>
      <c r="AZ237" s="290">
        <v>578660</v>
      </c>
      <c r="BA237" s="42"/>
      <c r="BB237" s="42"/>
      <c r="BD237" s="129"/>
    </row>
    <row r="238" spans="1:56">
      <c r="A238" s="235" t="s">
        <v>431</v>
      </c>
      <c r="B238" s="121">
        <v>1</v>
      </c>
      <c r="C238" s="131">
        <v>290.5</v>
      </c>
      <c r="D238" s="131">
        <v>0</v>
      </c>
      <c r="E238" s="82">
        <v>0</v>
      </c>
      <c r="F238" s="131">
        <v>0</v>
      </c>
      <c r="G238" s="199">
        <v>0</v>
      </c>
      <c r="H238" s="131">
        <v>0</v>
      </c>
      <c r="I238" s="131">
        <v>0</v>
      </c>
      <c r="J238" s="208">
        <v>0</v>
      </c>
      <c r="K238" s="127">
        <v>299</v>
      </c>
      <c r="L238" s="124">
        <v>0</v>
      </c>
      <c r="M238" s="121">
        <v>0</v>
      </c>
      <c r="N238" s="124">
        <v>1</v>
      </c>
      <c r="O238" s="124">
        <v>0</v>
      </c>
      <c r="P238" s="131">
        <v>44.4</v>
      </c>
      <c r="Q238" s="124">
        <v>0</v>
      </c>
      <c r="R238" s="124">
        <v>0.5</v>
      </c>
      <c r="S238" s="124">
        <v>0</v>
      </c>
      <c r="T238" s="127">
        <v>1</v>
      </c>
      <c r="U238" s="121">
        <v>0</v>
      </c>
      <c r="V238" s="121">
        <v>101</v>
      </c>
      <c r="W238" s="121">
        <v>0</v>
      </c>
      <c r="X238" s="131">
        <v>0</v>
      </c>
      <c r="Y238" s="119">
        <v>39</v>
      </c>
      <c r="Z238" s="82">
        <v>0</v>
      </c>
      <c r="AA238" s="79">
        <v>0</v>
      </c>
      <c r="AB238" s="79">
        <v>0</v>
      </c>
      <c r="AC238" s="209">
        <v>0</v>
      </c>
      <c r="AD238" s="211">
        <v>0</v>
      </c>
      <c r="AE238" s="89">
        <v>0</v>
      </c>
      <c r="AF238" s="89">
        <v>0</v>
      </c>
      <c r="AG238" s="89">
        <f>SUMIF('PreliminaryHD AR - School Level'!A239:A1545, "=" &amp; A238,'PreliminaryHD AR - School Level'!M239:M1545)</f>
        <v>0</v>
      </c>
      <c r="AH238" s="89">
        <v>508.2</v>
      </c>
      <c r="AI238" s="89">
        <f t="shared" si="39"/>
        <v>0</v>
      </c>
      <c r="AJ238" s="89">
        <f t="shared" si="40"/>
        <v>0</v>
      </c>
      <c r="AK238" s="89">
        <f t="shared" si="41"/>
        <v>290.5</v>
      </c>
      <c r="AL238" s="89">
        <f t="shared" si="42"/>
        <v>1</v>
      </c>
      <c r="AM238" s="89">
        <f t="shared" si="43"/>
        <v>0.5</v>
      </c>
      <c r="AN238" s="89">
        <f t="shared" si="44"/>
        <v>1</v>
      </c>
      <c r="AO238" s="89">
        <f t="shared" si="45"/>
        <v>44.4</v>
      </c>
      <c r="AP238" s="83">
        <f t="shared" si="46"/>
        <v>101</v>
      </c>
      <c r="AQ238" s="89">
        <f t="shared" si="47"/>
        <v>0</v>
      </c>
      <c r="AR238" s="89">
        <f t="shared" si="48"/>
        <v>39</v>
      </c>
      <c r="AS238" s="83">
        <f t="shared" si="49"/>
        <v>299</v>
      </c>
      <c r="AT238" s="89">
        <v>0</v>
      </c>
      <c r="AU238" s="89">
        <f t="shared" si="50"/>
        <v>0</v>
      </c>
      <c r="AV238" s="108">
        <v>2544399</v>
      </c>
      <c r="AW238" s="126">
        <v>508.2</v>
      </c>
      <c r="AX238" s="42">
        <v>508.2</v>
      </c>
      <c r="AY238" s="208">
        <f t="shared" si="51"/>
        <v>0</v>
      </c>
      <c r="AZ238" s="290">
        <v>58991</v>
      </c>
      <c r="BA238" s="42"/>
      <c r="BB238" s="42"/>
      <c r="BD238" s="129"/>
    </row>
    <row r="239" spans="1:56">
      <c r="A239" s="235" t="s">
        <v>432</v>
      </c>
      <c r="B239" s="121">
        <v>1</v>
      </c>
      <c r="C239" s="131">
        <v>205.5</v>
      </c>
      <c r="D239" s="131">
        <v>0</v>
      </c>
      <c r="E239" s="82">
        <v>0</v>
      </c>
      <c r="F239" s="131">
        <v>0</v>
      </c>
      <c r="G239" s="199">
        <v>0</v>
      </c>
      <c r="H239" s="131">
        <v>0</v>
      </c>
      <c r="I239" s="131">
        <v>0</v>
      </c>
      <c r="J239" s="208">
        <v>0</v>
      </c>
      <c r="K239" s="127">
        <v>213</v>
      </c>
      <c r="L239" s="124">
        <v>0</v>
      </c>
      <c r="M239" s="121">
        <v>0</v>
      </c>
      <c r="N239" s="124">
        <v>2</v>
      </c>
      <c r="O239" s="124">
        <v>0</v>
      </c>
      <c r="P239" s="131">
        <v>54.4</v>
      </c>
      <c r="Q239" s="124">
        <v>0</v>
      </c>
      <c r="R239" s="124">
        <v>0</v>
      </c>
      <c r="S239" s="124">
        <v>0</v>
      </c>
      <c r="T239" s="127">
        <v>0</v>
      </c>
      <c r="U239" s="121">
        <v>0</v>
      </c>
      <c r="V239" s="121">
        <v>99</v>
      </c>
      <c r="W239" s="121">
        <v>0</v>
      </c>
      <c r="X239" s="131">
        <v>0</v>
      </c>
      <c r="Y239" s="119">
        <v>90</v>
      </c>
      <c r="Z239" s="82">
        <v>0</v>
      </c>
      <c r="AA239" s="79">
        <v>0</v>
      </c>
      <c r="AB239" s="79">
        <v>0</v>
      </c>
      <c r="AC239" s="209">
        <v>0</v>
      </c>
      <c r="AD239" s="211">
        <v>0</v>
      </c>
      <c r="AE239" s="89">
        <v>0</v>
      </c>
      <c r="AF239" s="89">
        <v>8</v>
      </c>
      <c r="AG239" s="89">
        <f>SUMIF('PreliminaryHD AR - School Level'!A240:A1546, "=" &amp; A239,'PreliminaryHD AR - School Level'!M240:M1546)</f>
        <v>8.1999999999999993</v>
      </c>
      <c r="AH239" s="89">
        <v>465.5</v>
      </c>
      <c r="AI239" s="89">
        <f t="shared" si="39"/>
        <v>0</v>
      </c>
      <c r="AJ239" s="89">
        <f t="shared" si="40"/>
        <v>0</v>
      </c>
      <c r="AK239" s="89">
        <f t="shared" si="41"/>
        <v>205.5</v>
      </c>
      <c r="AL239" s="89">
        <f t="shared" si="42"/>
        <v>2</v>
      </c>
      <c r="AM239" s="89">
        <f t="shared" si="43"/>
        <v>0</v>
      </c>
      <c r="AN239" s="89">
        <f t="shared" si="44"/>
        <v>0</v>
      </c>
      <c r="AO239" s="89">
        <f t="shared" si="45"/>
        <v>54.4</v>
      </c>
      <c r="AP239" s="83">
        <f t="shared" si="46"/>
        <v>99</v>
      </c>
      <c r="AQ239" s="89">
        <f t="shared" si="47"/>
        <v>0</v>
      </c>
      <c r="AR239" s="89">
        <f t="shared" si="48"/>
        <v>90</v>
      </c>
      <c r="AS239" s="83">
        <f t="shared" si="49"/>
        <v>213</v>
      </c>
      <c r="AT239" s="89">
        <v>0</v>
      </c>
      <c r="AU239" s="89">
        <f t="shared" si="50"/>
        <v>8.1999999999999993</v>
      </c>
      <c r="AV239" s="108">
        <v>2326065</v>
      </c>
      <c r="AW239" s="126">
        <v>465.5</v>
      </c>
      <c r="AX239" s="42">
        <v>465.5</v>
      </c>
      <c r="AY239" s="208">
        <f t="shared" si="51"/>
        <v>0</v>
      </c>
      <c r="AZ239" s="290">
        <v>86071</v>
      </c>
      <c r="BA239" s="42"/>
      <c r="BB239" s="42"/>
      <c r="BD239" s="129"/>
    </row>
    <row r="240" spans="1:56">
      <c r="A240" s="235" t="s">
        <v>433</v>
      </c>
      <c r="B240" s="121">
        <v>1</v>
      </c>
      <c r="C240" s="131">
        <v>7131.3</v>
      </c>
      <c r="D240" s="131">
        <v>0</v>
      </c>
      <c r="E240" s="82">
        <v>0</v>
      </c>
      <c r="F240" s="131">
        <v>0</v>
      </c>
      <c r="G240" s="199">
        <v>0</v>
      </c>
      <c r="H240" s="131">
        <v>0</v>
      </c>
      <c r="I240" s="131">
        <v>0</v>
      </c>
      <c r="J240" s="208">
        <v>0</v>
      </c>
      <c r="K240" s="127">
        <v>7471</v>
      </c>
      <c r="L240" s="124">
        <v>0</v>
      </c>
      <c r="M240" s="121">
        <v>0</v>
      </c>
      <c r="N240" s="124">
        <v>124</v>
      </c>
      <c r="O240" s="124">
        <v>0</v>
      </c>
      <c r="P240" s="131">
        <v>1676.3</v>
      </c>
      <c r="Q240" s="124">
        <v>0</v>
      </c>
      <c r="R240" s="124">
        <v>8144.7</v>
      </c>
      <c r="S240" s="124">
        <v>0</v>
      </c>
      <c r="T240" s="127">
        <v>2930</v>
      </c>
      <c r="U240" s="121">
        <v>0</v>
      </c>
      <c r="V240" s="121">
        <v>4070</v>
      </c>
      <c r="W240" s="121">
        <v>0</v>
      </c>
      <c r="X240" s="131">
        <v>0</v>
      </c>
      <c r="Y240" s="119">
        <v>2331</v>
      </c>
      <c r="Z240" s="82">
        <v>0</v>
      </c>
      <c r="AA240" s="79">
        <v>49</v>
      </c>
      <c r="AB240" s="79">
        <v>0.8</v>
      </c>
      <c r="AC240" s="209">
        <v>55</v>
      </c>
      <c r="AD240" s="211">
        <v>0</v>
      </c>
      <c r="AE240" s="89">
        <v>0</v>
      </c>
      <c r="AF240" s="89">
        <v>427.3</v>
      </c>
      <c r="AG240" s="89">
        <f>SUMIF('PreliminaryHD AR - School Level'!A241:A1547, "=" &amp; A240,'PreliminaryHD AR - School Level'!M241:M1547)</f>
        <v>392.4</v>
      </c>
      <c r="AH240" s="89">
        <v>11277.2</v>
      </c>
      <c r="AI240" s="89">
        <f t="shared" si="39"/>
        <v>0</v>
      </c>
      <c r="AJ240" s="89">
        <f t="shared" si="40"/>
        <v>0</v>
      </c>
      <c r="AK240" s="89">
        <f t="shared" si="41"/>
        <v>7131.3</v>
      </c>
      <c r="AL240" s="89">
        <f t="shared" si="42"/>
        <v>124</v>
      </c>
      <c r="AM240" s="89">
        <f t="shared" si="43"/>
        <v>8144.7</v>
      </c>
      <c r="AN240" s="89">
        <f t="shared" si="44"/>
        <v>2930</v>
      </c>
      <c r="AO240" s="89">
        <f t="shared" si="45"/>
        <v>1676.3</v>
      </c>
      <c r="AP240" s="83">
        <f t="shared" si="46"/>
        <v>4070</v>
      </c>
      <c r="AQ240" s="89">
        <f t="shared" si="47"/>
        <v>0</v>
      </c>
      <c r="AR240" s="89">
        <f t="shared" si="48"/>
        <v>2331</v>
      </c>
      <c r="AS240" s="83">
        <f t="shared" si="49"/>
        <v>7471</v>
      </c>
      <c r="AT240" s="89">
        <v>0</v>
      </c>
      <c r="AU240" s="89">
        <f t="shared" si="50"/>
        <v>427.3</v>
      </c>
      <c r="AV240" s="108">
        <v>52700479</v>
      </c>
      <c r="AW240" s="126">
        <v>11277.4</v>
      </c>
      <c r="AX240" s="42">
        <v>11277.4</v>
      </c>
      <c r="AY240" s="208">
        <f t="shared" si="51"/>
        <v>0.2</v>
      </c>
      <c r="AZ240" s="290">
        <v>1848127</v>
      </c>
      <c r="BA240" s="271" t="s">
        <v>3625</v>
      </c>
      <c r="BB240" s="42"/>
      <c r="BD240" s="129"/>
    </row>
    <row r="241" spans="1:56">
      <c r="A241" s="235" t="s">
        <v>434</v>
      </c>
      <c r="B241" s="121">
        <v>1</v>
      </c>
      <c r="C241" s="131">
        <v>2503.4</v>
      </c>
      <c r="D241" s="131">
        <v>0</v>
      </c>
      <c r="E241" s="82">
        <v>0</v>
      </c>
      <c r="F241" s="131">
        <v>0</v>
      </c>
      <c r="G241" s="199">
        <v>0</v>
      </c>
      <c r="H241" s="131">
        <v>0</v>
      </c>
      <c r="I241" s="131">
        <v>0</v>
      </c>
      <c r="J241" s="208">
        <v>0</v>
      </c>
      <c r="K241" s="127">
        <v>2521</v>
      </c>
      <c r="L241" s="124">
        <v>0</v>
      </c>
      <c r="M241" s="121">
        <v>0</v>
      </c>
      <c r="N241" s="124">
        <v>0</v>
      </c>
      <c r="O241" s="124">
        <v>0</v>
      </c>
      <c r="P241" s="131">
        <v>747</v>
      </c>
      <c r="Q241" s="124">
        <v>0</v>
      </c>
      <c r="R241" s="124">
        <v>48.3</v>
      </c>
      <c r="S241" s="124">
        <v>0</v>
      </c>
      <c r="T241" s="127">
        <v>38</v>
      </c>
      <c r="U241" s="121">
        <v>0</v>
      </c>
      <c r="V241" s="121">
        <v>269</v>
      </c>
      <c r="W241" s="121">
        <v>0</v>
      </c>
      <c r="X241" s="131">
        <v>1</v>
      </c>
      <c r="Y241" s="119">
        <v>1396</v>
      </c>
      <c r="Z241" s="82">
        <v>0</v>
      </c>
      <c r="AA241" s="79">
        <v>164</v>
      </c>
      <c r="AB241" s="79">
        <v>4.7</v>
      </c>
      <c r="AC241" s="209">
        <v>0</v>
      </c>
      <c r="AD241" s="211">
        <v>191.7</v>
      </c>
      <c r="AE241" s="89">
        <v>0</v>
      </c>
      <c r="AF241" s="89">
        <v>0</v>
      </c>
      <c r="AG241" s="89">
        <f>SUMIF('PreliminaryHD AR - School Level'!A242:A1548, "=" &amp; A241,'PreliminaryHD AR - School Level'!M242:M1548)</f>
        <v>0</v>
      </c>
      <c r="AH241" s="89">
        <v>2933.1</v>
      </c>
      <c r="AI241" s="89">
        <f t="shared" si="39"/>
        <v>0</v>
      </c>
      <c r="AJ241" s="89">
        <f t="shared" si="40"/>
        <v>0</v>
      </c>
      <c r="AK241" s="89">
        <f t="shared" si="41"/>
        <v>2503.4</v>
      </c>
      <c r="AL241" s="89">
        <f t="shared" si="42"/>
        <v>0</v>
      </c>
      <c r="AM241" s="89">
        <f t="shared" si="43"/>
        <v>48.3</v>
      </c>
      <c r="AN241" s="89">
        <f t="shared" si="44"/>
        <v>38</v>
      </c>
      <c r="AO241" s="89">
        <f t="shared" si="45"/>
        <v>747</v>
      </c>
      <c r="AP241" s="83">
        <f t="shared" si="46"/>
        <v>269</v>
      </c>
      <c r="AQ241" s="89">
        <f t="shared" si="47"/>
        <v>191.7</v>
      </c>
      <c r="AR241" s="89">
        <f t="shared" si="48"/>
        <v>1396</v>
      </c>
      <c r="AS241" s="83">
        <f t="shared" si="49"/>
        <v>2521</v>
      </c>
      <c r="AT241" s="89">
        <v>0</v>
      </c>
      <c r="AU241" s="89">
        <f t="shared" si="50"/>
        <v>0</v>
      </c>
      <c r="AV241" s="148">
        <v>17139098</v>
      </c>
      <c r="AW241" s="126">
        <v>2933.1</v>
      </c>
      <c r="AX241" s="42">
        <v>2933.1</v>
      </c>
      <c r="AY241" s="208">
        <f t="shared" si="51"/>
        <v>0</v>
      </c>
      <c r="AZ241" s="290">
        <v>1692071</v>
      </c>
      <c r="BA241" s="42"/>
      <c r="BB241" s="42"/>
      <c r="BD241" s="129"/>
    </row>
    <row r="242" spans="1:56">
      <c r="A242" s="235" t="s">
        <v>435</v>
      </c>
      <c r="B242" s="121">
        <v>1</v>
      </c>
      <c r="C242" s="131">
        <v>232</v>
      </c>
      <c r="D242" s="131">
        <v>0</v>
      </c>
      <c r="E242" s="82">
        <v>0</v>
      </c>
      <c r="F242" s="131">
        <v>0</v>
      </c>
      <c r="G242" s="199">
        <v>0</v>
      </c>
      <c r="H242" s="131">
        <v>0</v>
      </c>
      <c r="I242" s="131">
        <v>0</v>
      </c>
      <c r="J242" s="208">
        <v>0</v>
      </c>
      <c r="K242" s="127">
        <v>236</v>
      </c>
      <c r="L242" s="124">
        <v>0</v>
      </c>
      <c r="M242" s="121">
        <v>0</v>
      </c>
      <c r="N242" s="124">
        <v>1.5</v>
      </c>
      <c r="O242" s="124">
        <v>0</v>
      </c>
      <c r="P242" s="131">
        <v>33.799999999999997</v>
      </c>
      <c r="Q242" s="124">
        <v>0</v>
      </c>
      <c r="R242" s="124">
        <v>43.4</v>
      </c>
      <c r="S242" s="124">
        <v>0</v>
      </c>
      <c r="T242" s="127">
        <v>17</v>
      </c>
      <c r="U242" s="121">
        <v>0</v>
      </c>
      <c r="V242" s="121">
        <v>110</v>
      </c>
      <c r="W242" s="121">
        <v>0</v>
      </c>
      <c r="X242" s="131">
        <v>0</v>
      </c>
      <c r="Y242" s="119">
        <v>77</v>
      </c>
      <c r="Z242" s="82">
        <v>0</v>
      </c>
      <c r="AA242" s="79">
        <v>0</v>
      </c>
      <c r="AB242" s="79">
        <v>0</v>
      </c>
      <c r="AC242" s="209">
        <v>0</v>
      </c>
      <c r="AD242" s="211">
        <v>0</v>
      </c>
      <c r="AE242" s="89">
        <v>0</v>
      </c>
      <c r="AF242" s="89">
        <v>8.9</v>
      </c>
      <c r="AG242" s="89">
        <f>SUMIF('PreliminaryHD AR - School Level'!A243:A1549, "=" &amp; A242,'PreliminaryHD AR - School Level'!M243:M1549)</f>
        <v>9</v>
      </c>
      <c r="AH242" s="89">
        <v>479.7</v>
      </c>
      <c r="AI242" s="89">
        <f t="shared" si="39"/>
        <v>0</v>
      </c>
      <c r="AJ242" s="89">
        <f t="shared" si="40"/>
        <v>0</v>
      </c>
      <c r="AK242" s="89">
        <f t="shared" si="41"/>
        <v>232</v>
      </c>
      <c r="AL242" s="89">
        <f t="shared" si="42"/>
        <v>1.5</v>
      </c>
      <c r="AM242" s="89">
        <f t="shared" si="43"/>
        <v>43.4</v>
      </c>
      <c r="AN242" s="89">
        <f t="shared" si="44"/>
        <v>17</v>
      </c>
      <c r="AO242" s="89">
        <f t="shared" si="45"/>
        <v>33.799999999999997</v>
      </c>
      <c r="AP242" s="83">
        <f t="shared" si="46"/>
        <v>110</v>
      </c>
      <c r="AQ242" s="89">
        <f t="shared" si="47"/>
        <v>0</v>
      </c>
      <c r="AR242" s="89">
        <f t="shared" si="48"/>
        <v>77</v>
      </c>
      <c r="AS242" s="83">
        <f t="shared" si="49"/>
        <v>236</v>
      </c>
      <c r="AT242" s="89">
        <v>0</v>
      </c>
      <c r="AU242" s="89">
        <f t="shared" si="50"/>
        <v>9</v>
      </c>
      <c r="AV242" s="108">
        <v>2197038</v>
      </c>
      <c r="AW242" s="126">
        <v>479.7</v>
      </c>
      <c r="AX242" s="42">
        <v>479.7</v>
      </c>
      <c r="AY242" s="208">
        <f t="shared" si="51"/>
        <v>0</v>
      </c>
      <c r="AZ242" s="290">
        <v>66536</v>
      </c>
      <c r="BA242" s="42"/>
      <c r="BB242" s="42"/>
      <c r="BD242" s="129"/>
    </row>
    <row r="243" spans="1:56">
      <c r="A243" s="235" t="s">
        <v>436</v>
      </c>
      <c r="B243" s="121">
        <v>1</v>
      </c>
      <c r="C243" s="131">
        <v>837.6</v>
      </c>
      <c r="D243" s="131">
        <v>0</v>
      </c>
      <c r="E243" s="82">
        <v>0</v>
      </c>
      <c r="F243" s="131">
        <v>0</v>
      </c>
      <c r="G243" s="199">
        <v>0</v>
      </c>
      <c r="H243" s="131">
        <v>0</v>
      </c>
      <c r="I243" s="131">
        <v>0</v>
      </c>
      <c r="J243" s="208">
        <v>0</v>
      </c>
      <c r="K243" s="127">
        <v>842</v>
      </c>
      <c r="L243" s="124">
        <v>0</v>
      </c>
      <c r="M243" s="121">
        <v>0</v>
      </c>
      <c r="N243" s="124">
        <v>0</v>
      </c>
      <c r="O243" s="124">
        <v>0</v>
      </c>
      <c r="P243" s="131">
        <v>272.7</v>
      </c>
      <c r="Q243" s="124">
        <v>0</v>
      </c>
      <c r="R243" s="124">
        <v>54.6</v>
      </c>
      <c r="S243" s="124">
        <v>0</v>
      </c>
      <c r="T243" s="127">
        <v>18</v>
      </c>
      <c r="U243" s="121">
        <v>0</v>
      </c>
      <c r="V243" s="121">
        <v>138</v>
      </c>
      <c r="W243" s="121">
        <v>0</v>
      </c>
      <c r="X243" s="131">
        <v>0</v>
      </c>
      <c r="Y243" s="119">
        <v>73</v>
      </c>
      <c r="Z243" s="82">
        <v>0</v>
      </c>
      <c r="AA243" s="79">
        <v>0</v>
      </c>
      <c r="AB243" s="79">
        <v>0</v>
      </c>
      <c r="AC243" s="209">
        <v>0</v>
      </c>
      <c r="AD243" s="211">
        <v>0</v>
      </c>
      <c r="AE243" s="89">
        <v>0</v>
      </c>
      <c r="AF243" s="89">
        <v>0</v>
      </c>
      <c r="AG243" s="89">
        <f>SUMIF('PreliminaryHD AR - School Level'!A244:A1550, "=" &amp; A243,'PreliminaryHD AR - School Level'!M244:M1550)</f>
        <v>0</v>
      </c>
      <c r="AH243" s="89">
        <v>1172.4000000000001</v>
      </c>
      <c r="AI243" s="89">
        <f t="shared" si="39"/>
        <v>0</v>
      </c>
      <c r="AJ243" s="89">
        <f t="shared" si="40"/>
        <v>0</v>
      </c>
      <c r="AK243" s="89">
        <f t="shared" si="41"/>
        <v>837.6</v>
      </c>
      <c r="AL243" s="89">
        <f t="shared" si="42"/>
        <v>0</v>
      </c>
      <c r="AM243" s="89">
        <f t="shared" si="43"/>
        <v>54.6</v>
      </c>
      <c r="AN243" s="89">
        <f t="shared" si="44"/>
        <v>18</v>
      </c>
      <c r="AO243" s="89">
        <f t="shared" si="45"/>
        <v>272.7</v>
      </c>
      <c r="AP243" s="83">
        <f t="shared" si="46"/>
        <v>138</v>
      </c>
      <c r="AQ243" s="89">
        <f t="shared" si="47"/>
        <v>0</v>
      </c>
      <c r="AR243" s="89">
        <f t="shared" si="48"/>
        <v>73</v>
      </c>
      <c r="AS243" s="83">
        <f t="shared" si="49"/>
        <v>842</v>
      </c>
      <c r="AT243" s="89">
        <v>0</v>
      </c>
      <c r="AU243" s="89">
        <f t="shared" si="50"/>
        <v>0</v>
      </c>
      <c r="AV243" s="108">
        <v>5530287</v>
      </c>
      <c r="AW243" s="126">
        <v>1172.4000000000001</v>
      </c>
      <c r="AX243" s="42">
        <v>1172.4000000000001</v>
      </c>
      <c r="AY243" s="208">
        <f t="shared" si="51"/>
        <v>0</v>
      </c>
      <c r="AZ243" s="290">
        <v>137130</v>
      </c>
      <c r="BA243" s="42"/>
      <c r="BB243" s="42"/>
      <c r="BD243" s="129"/>
    </row>
    <row r="244" spans="1:56">
      <c r="A244" s="235" t="s">
        <v>437</v>
      </c>
      <c r="B244" s="121">
        <v>1</v>
      </c>
      <c r="C244" s="131">
        <v>689</v>
      </c>
      <c r="D244" s="131">
        <v>0</v>
      </c>
      <c r="E244" s="82">
        <v>0</v>
      </c>
      <c r="F244" s="131">
        <v>0</v>
      </c>
      <c r="G244" s="199">
        <v>0</v>
      </c>
      <c r="H244" s="131">
        <v>0</v>
      </c>
      <c r="I244" s="131">
        <v>0</v>
      </c>
      <c r="J244" s="208">
        <v>0</v>
      </c>
      <c r="K244" s="127">
        <v>716</v>
      </c>
      <c r="L244" s="124">
        <v>0</v>
      </c>
      <c r="M244" s="121">
        <v>0</v>
      </c>
      <c r="N244" s="124">
        <v>10.5</v>
      </c>
      <c r="O244" s="124">
        <v>0</v>
      </c>
      <c r="P244" s="131">
        <v>172.1</v>
      </c>
      <c r="Q244" s="124">
        <v>0</v>
      </c>
      <c r="R244" s="124">
        <v>0</v>
      </c>
      <c r="S244" s="124">
        <v>0</v>
      </c>
      <c r="T244" s="127">
        <v>1</v>
      </c>
      <c r="U244" s="121">
        <v>0</v>
      </c>
      <c r="V244" s="121">
        <v>340</v>
      </c>
      <c r="W244" s="121">
        <v>0</v>
      </c>
      <c r="X244" s="131">
        <v>0</v>
      </c>
      <c r="Y244" s="119">
        <v>74</v>
      </c>
      <c r="Z244" s="82">
        <v>0</v>
      </c>
      <c r="AA244" s="79">
        <v>0</v>
      </c>
      <c r="AB244" s="79">
        <v>0</v>
      </c>
      <c r="AC244" s="209">
        <v>0</v>
      </c>
      <c r="AD244" s="211">
        <v>0</v>
      </c>
      <c r="AE244" s="89">
        <v>0</v>
      </c>
      <c r="AF244" s="89">
        <v>29.7</v>
      </c>
      <c r="AG244" s="89">
        <f>SUMIF('PreliminaryHD AR - School Level'!A245:A1551, "=" &amp; A244,'PreliminaryHD AR - School Level'!M245:M1551)</f>
        <v>26.7</v>
      </c>
      <c r="AH244" s="89">
        <v>1166.4000000000001</v>
      </c>
      <c r="AI244" s="89">
        <f t="shared" si="39"/>
        <v>0</v>
      </c>
      <c r="AJ244" s="89">
        <f t="shared" si="40"/>
        <v>0</v>
      </c>
      <c r="AK244" s="89">
        <f t="shared" si="41"/>
        <v>689</v>
      </c>
      <c r="AL244" s="89">
        <f t="shared" si="42"/>
        <v>10.5</v>
      </c>
      <c r="AM244" s="89">
        <f t="shared" si="43"/>
        <v>0</v>
      </c>
      <c r="AN244" s="89">
        <f t="shared" si="44"/>
        <v>1</v>
      </c>
      <c r="AO244" s="89">
        <f t="shared" si="45"/>
        <v>172.1</v>
      </c>
      <c r="AP244" s="83">
        <f t="shared" si="46"/>
        <v>340</v>
      </c>
      <c r="AQ244" s="89">
        <f t="shared" si="47"/>
        <v>0</v>
      </c>
      <c r="AR244" s="89">
        <f t="shared" si="48"/>
        <v>74</v>
      </c>
      <c r="AS244" s="83">
        <f t="shared" si="49"/>
        <v>716</v>
      </c>
      <c r="AT244" s="89">
        <v>0</v>
      </c>
      <c r="AU244" s="89">
        <f t="shared" si="50"/>
        <v>29.7</v>
      </c>
      <c r="AV244" s="108">
        <v>5399506</v>
      </c>
      <c r="AW244" s="126">
        <v>1166.4000000000001</v>
      </c>
      <c r="AX244" s="42">
        <v>1166.4000000000001</v>
      </c>
      <c r="AY244" s="208">
        <f t="shared" si="51"/>
        <v>0</v>
      </c>
      <c r="AZ244" s="290">
        <v>126861</v>
      </c>
      <c r="BA244" s="42"/>
      <c r="BB244" s="42"/>
      <c r="BD244" s="129"/>
    </row>
    <row r="245" spans="1:56">
      <c r="A245" s="235" t="s">
        <v>438</v>
      </c>
      <c r="B245" s="121">
        <v>1</v>
      </c>
      <c r="C245" s="131">
        <v>299.60000000000002</v>
      </c>
      <c r="D245" s="131">
        <v>0</v>
      </c>
      <c r="E245" s="82">
        <v>0</v>
      </c>
      <c r="F245" s="131">
        <v>0</v>
      </c>
      <c r="G245" s="199">
        <v>0</v>
      </c>
      <c r="H245" s="131">
        <v>0</v>
      </c>
      <c r="I245" s="131">
        <v>0</v>
      </c>
      <c r="J245" s="208">
        <v>0</v>
      </c>
      <c r="K245" s="127">
        <v>302</v>
      </c>
      <c r="L245" s="124">
        <v>0</v>
      </c>
      <c r="M245" s="121">
        <v>0</v>
      </c>
      <c r="N245" s="124">
        <v>0</v>
      </c>
      <c r="O245" s="124">
        <v>0</v>
      </c>
      <c r="P245" s="131">
        <v>133.69999999999999</v>
      </c>
      <c r="Q245" s="124">
        <v>0</v>
      </c>
      <c r="R245" s="124">
        <v>0</v>
      </c>
      <c r="S245" s="124">
        <v>0</v>
      </c>
      <c r="T245" s="127">
        <v>0</v>
      </c>
      <c r="U245" s="121">
        <v>0</v>
      </c>
      <c r="V245" s="121">
        <v>137</v>
      </c>
      <c r="W245" s="121">
        <v>0</v>
      </c>
      <c r="X245" s="131">
        <v>0</v>
      </c>
      <c r="Y245" s="119">
        <v>135</v>
      </c>
      <c r="Z245" s="82">
        <v>0</v>
      </c>
      <c r="AA245" s="79">
        <v>0</v>
      </c>
      <c r="AB245" s="79">
        <v>0</v>
      </c>
      <c r="AC245" s="209">
        <v>0</v>
      </c>
      <c r="AD245" s="211">
        <v>0</v>
      </c>
      <c r="AE245" s="89">
        <v>0</v>
      </c>
      <c r="AF245" s="89">
        <v>9.9</v>
      </c>
      <c r="AG245" s="89">
        <f>SUMIF('PreliminaryHD AR - School Level'!A246:A1552, "=" &amp; A245,'PreliminaryHD AR - School Level'!M246:M1552)</f>
        <v>9.9</v>
      </c>
      <c r="AH245" s="89">
        <v>588.9</v>
      </c>
      <c r="AI245" s="89">
        <f t="shared" si="39"/>
        <v>0</v>
      </c>
      <c r="AJ245" s="89">
        <f t="shared" si="40"/>
        <v>0</v>
      </c>
      <c r="AK245" s="89">
        <f t="shared" si="41"/>
        <v>299.60000000000002</v>
      </c>
      <c r="AL245" s="89">
        <f t="shared" si="42"/>
        <v>0</v>
      </c>
      <c r="AM245" s="89">
        <f t="shared" si="43"/>
        <v>0</v>
      </c>
      <c r="AN245" s="89">
        <f t="shared" si="44"/>
        <v>0</v>
      </c>
      <c r="AO245" s="89">
        <f t="shared" si="45"/>
        <v>133.69999999999999</v>
      </c>
      <c r="AP245" s="83">
        <f t="shared" si="46"/>
        <v>137</v>
      </c>
      <c r="AQ245" s="89">
        <f t="shared" si="47"/>
        <v>0</v>
      </c>
      <c r="AR245" s="89">
        <f t="shared" si="48"/>
        <v>135</v>
      </c>
      <c r="AS245" s="83">
        <f t="shared" si="49"/>
        <v>302</v>
      </c>
      <c r="AT245" s="89">
        <v>0</v>
      </c>
      <c r="AU245" s="89">
        <f t="shared" si="50"/>
        <v>9.9</v>
      </c>
      <c r="AV245" s="108">
        <v>2873434</v>
      </c>
      <c r="AW245" s="126">
        <v>588.9</v>
      </c>
      <c r="AX245" s="42">
        <v>588.9</v>
      </c>
      <c r="AY245" s="208">
        <f t="shared" si="51"/>
        <v>0</v>
      </c>
      <c r="AZ245" s="290">
        <v>254897</v>
      </c>
      <c r="BA245" s="42"/>
      <c r="BB245" s="42"/>
      <c r="BD245" s="129"/>
    </row>
    <row r="246" spans="1:56">
      <c r="A246" s="235" t="s">
        <v>439</v>
      </c>
      <c r="B246" s="121">
        <v>1</v>
      </c>
      <c r="C246" s="131">
        <v>314.5</v>
      </c>
      <c r="D246" s="131">
        <v>0</v>
      </c>
      <c r="E246" s="82">
        <v>0</v>
      </c>
      <c r="F246" s="131">
        <v>0</v>
      </c>
      <c r="G246" s="199">
        <v>0</v>
      </c>
      <c r="H246" s="131">
        <v>0</v>
      </c>
      <c r="I246" s="131">
        <v>0</v>
      </c>
      <c r="J246" s="208">
        <v>0</v>
      </c>
      <c r="K246" s="127">
        <v>323</v>
      </c>
      <c r="L246" s="124">
        <v>0</v>
      </c>
      <c r="M246" s="121">
        <v>0</v>
      </c>
      <c r="N246" s="124">
        <v>0</v>
      </c>
      <c r="O246" s="124">
        <v>0</v>
      </c>
      <c r="P246" s="131">
        <v>79.599999999999994</v>
      </c>
      <c r="Q246" s="124">
        <v>0</v>
      </c>
      <c r="R246" s="124">
        <v>0</v>
      </c>
      <c r="S246" s="124">
        <v>0</v>
      </c>
      <c r="T246" s="127">
        <v>0</v>
      </c>
      <c r="U246" s="121">
        <v>0</v>
      </c>
      <c r="V246" s="121">
        <v>111</v>
      </c>
      <c r="W246" s="121">
        <v>0</v>
      </c>
      <c r="X246" s="131">
        <v>0</v>
      </c>
      <c r="Y246" s="119">
        <v>129</v>
      </c>
      <c r="Z246" s="82">
        <v>0</v>
      </c>
      <c r="AA246" s="79">
        <v>1</v>
      </c>
      <c r="AB246" s="79">
        <v>0</v>
      </c>
      <c r="AC246" s="209">
        <v>0</v>
      </c>
      <c r="AD246" s="211">
        <v>22</v>
      </c>
      <c r="AE246" s="89">
        <v>0</v>
      </c>
      <c r="AF246" s="89">
        <v>0</v>
      </c>
      <c r="AG246" s="89">
        <f>SUMIF('PreliminaryHD AR - School Level'!A247:A1553, "=" &amp; A246,'PreliminaryHD AR - School Level'!M247:M1553)</f>
        <v>2.1</v>
      </c>
      <c r="AH246" s="89">
        <v>565.70000000000005</v>
      </c>
      <c r="AI246" s="89">
        <f t="shared" si="39"/>
        <v>0</v>
      </c>
      <c r="AJ246" s="89">
        <f t="shared" si="40"/>
        <v>0</v>
      </c>
      <c r="AK246" s="89">
        <f t="shared" si="41"/>
        <v>314.5</v>
      </c>
      <c r="AL246" s="89">
        <f t="shared" si="42"/>
        <v>0</v>
      </c>
      <c r="AM246" s="89">
        <f t="shared" si="43"/>
        <v>0</v>
      </c>
      <c r="AN246" s="89">
        <f t="shared" si="44"/>
        <v>0</v>
      </c>
      <c r="AO246" s="89">
        <f t="shared" si="45"/>
        <v>79.599999999999994</v>
      </c>
      <c r="AP246" s="83">
        <f t="shared" si="46"/>
        <v>111</v>
      </c>
      <c r="AQ246" s="89">
        <f t="shared" si="47"/>
        <v>22</v>
      </c>
      <c r="AR246" s="89">
        <f t="shared" si="48"/>
        <v>129</v>
      </c>
      <c r="AS246" s="83">
        <f t="shared" si="49"/>
        <v>323</v>
      </c>
      <c r="AT246" s="89">
        <v>0</v>
      </c>
      <c r="AU246" s="89">
        <f t="shared" si="50"/>
        <v>2.1</v>
      </c>
      <c r="AV246" s="108">
        <v>2760146</v>
      </c>
      <c r="AW246" s="126">
        <v>565.70000000000005</v>
      </c>
      <c r="AX246" s="42">
        <v>565.70000000000005</v>
      </c>
      <c r="AY246" s="208">
        <f t="shared" si="51"/>
        <v>0</v>
      </c>
      <c r="AZ246" s="290">
        <v>136713</v>
      </c>
      <c r="BA246" s="42"/>
      <c r="BB246" s="42"/>
      <c r="BD246" s="129"/>
    </row>
    <row r="247" spans="1:56">
      <c r="A247" s="235" t="s">
        <v>440</v>
      </c>
      <c r="B247" s="121">
        <v>1</v>
      </c>
      <c r="C247" s="131">
        <v>1936</v>
      </c>
      <c r="D247" s="131">
        <v>0</v>
      </c>
      <c r="E247" s="82">
        <v>0</v>
      </c>
      <c r="F247" s="131">
        <v>0</v>
      </c>
      <c r="G247" s="199">
        <v>0</v>
      </c>
      <c r="H247" s="131">
        <v>0</v>
      </c>
      <c r="I247" s="131">
        <v>0</v>
      </c>
      <c r="J247" s="208">
        <v>0</v>
      </c>
      <c r="K247" s="127">
        <v>1945</v>
      </c>
      <c r="L247" s="124">
        <v>0</v>
      </c>
      <c r="M247" s="121">
        <v>0</v>
      </c>
      <c r="N247" s="124">
        <v>0</v>
      </c>
      <c r="O247" s="124">
        <v>0</v>
      </c>
      <c r="P247" s="131">
        <v>439.2</v>
      </c>
      <c r="Q247" s="124">
        <v>0</v>
      </c>
      <c r="R247" s="124">
        <v>0</v>
      </c>
      <c r="S247" s="124">
        <v>0</v>
      </c>
      <c r="T247" s="127">
        <v>27</v>
      </c>
      <c r="U247" s="121">
        <v>0</v>
      </c>
      <c r="V247" s="121">
        <v>396</v>
      </c>
      <c r="W247" s="121">
        <v>0</v>
      </c>
      <c r="X247" s="131">
        <v>0</v>
      </c>
      <c r="Y247" s="119">
        <v>748</v>
      </c>
      <c r="Z247" s="82">
        <v>0</v>
      </c>
      <c r="AA247" s="79">
        <v>0</v>
      </c>
      <c r="AB247" s="79">
        <v>0</v>
      </c>
      <c r="AC247" s="209">
        <v>0</v>
      </c>
      <c r="AD247" s="211">
        <v>0</v>
      </c>
      <c r="AE247" s="89">
        <v>0</v>
      </c>
      <c r="AF247" s="89">
        <v>0</v>
      </c>
      <c r="AG247" s="89">
        <f>SUMIF('PreliminaryHD AR - School Level'!A248:A1554, "=" &amp; A247,'PreliminaryHD AR - School Level'!M248:M1554)</f>
        <v>0</v>
      </c>
      <c r="AH247" s="89">
        <v>2410.1999999999998</v>
      </c>
      <c r="AI247" s="89">
        <f t="shared" si="39"/>
        <v>0</v>
      </c>
      <c r="AJ247" s="89">
        <f t="shared" si="40"/>
        <v>0</v>
      </c>
      <c r="AK247" s="89">
        <f t="shared" si="41"/>
        <v>1936</v>
      </c>
      <c r="AL247" s="89">
        <f t="shared" si="42"/>
        <v>0</v>
      </c>
      <c r="AM247" s="89">
        <f t="shared" si="43"/>
        <v>0</v>
      </c>
      <c r="AN247" s="89">
        <f t="shared" si="44"/>
        <v>27</v>
      </c>
      <c r="AO247" s="89">
        <f t="shared" si="45"/>
        <v>439.2</v>
      </c>
      <c r="AP247" s="83">
        <f t="shared" si="46"/>
        <v>396</v>
      </c>
      <c r="AQ247" s="89">
        <f t="shared" si="47"/>
        <v>0</v>
      </c>
      <c r="AR247" s="89">
        <f t="shared" si="48"/>
        <v>748</v>
      </c>
      <c r="AS247" s="83">
        <f t="shared" si="49"/>
        <v>1945</v>
      </c>
      <c r="AT247" s="89">
        <v>0</v>
      </c>
      <c r="AU247" s="89">
        <f t="shared" si="50"/>
        <v>0</v>
      </c>
      <c r="AV247" s="108">
        <v>12208865</v>
      </c>
      <c r="AW247" s="126">
        <v>2410.1999999999998</v>
      </c>
      <c r="AX247" s="42">
        <v>2410.1999999999998</v>
      </c>
      <c r="AY247" s="208">
        <f t="shared" si="51"/>
        <v>0</v>
      </c>
      <c r="AZ247" s="290">
        <v>535089</v>
      </c>
      <c r="BA247" s="42"/>
      <c r="BB247" s="42"/>
      <c r="BD247" s="129"/>
    </row>
    <row r="248" spans="1:56">
      <c r="A248" s="235" t="s">
        <v>441</v>
      </c>
      <c r="B248" s="121">
        <v>1</v>
      </c>
      <c r="C248" s="131">
        <v>2166.1999999999998</v>
      </c>
      <c r="D248" s="131">
        <v>0</v>
      </c>
      <c r="E248" s="82">
        <v>0</v>
      </c>
      <c r="F248" s="131">
        <v>0</v>
      </c>
      <c r="G248" s="199">
        <v>0</v>
      </c>
      <c r="H248" s="131">
        <v>0</v>
      </c>
      <c r="I248" s="131">
        <v>0</v>
      </c>
      <c r="J248" s="208">
        <v>0</v>
      </c>
      <c r="K248" s="127">
        <v>2284</v>
      </c>
      <c r="L248" s="124">
        <v>0</v>
      </c>
      <c r="M248" s="121">
        <v>0</v>
      </c>
      <c r="N248" s="124">
        <v>34.5</v>
      </c>
      <c r="O248" s="124">
        <v>0</v>
      </c>
      <c r="P248" s="131">
        <v>591.29999999999995</v>
      </c>
      <c r="Q248" s="124">
        <v>0</v>
      </c>
      <c r="R248" s="124">
        <v>139.6</v>
      </c>
      <c r="S248" s="124">
        <v>0</v>
      </c>
      <c r="T248" s="127">
        <v>94</v>
      </c>
      <c r="U248" s="121">
        <v>0</v>
      </c>
      <c r="V248" s="121">
        <v>991</v>
      </c>
      <c r="W248" s="121">
        <v>0</v>
      </c>
      <c r="X248" s="131">
        <v>0</v>
      </c>
      <c r="Y248" s="119">
        <v>560</v>
      </c>
      <c r="Z248" s="82">
        <v>0</v>
      </c>
      <c r="AA248" s="79">
        <v>0</v>
      </c>
      <c r="AB248" s="79">
        <v>0</v>
      </c>
      <c r="AC248" s="209">
        <v>0</v>
      </c>
      <c r="AD248" s="211">
        <v>0</v>
      </c>
      <c r="AE248" s="89">
        <v>0</v>
      </c>
      <c r="AF248" s="89">
        <v>58.2</v>
      </c>
      <c r="AG248" s="89">
        <f>SUMIF('PreliminaryHD AR - School Level'!A249:A1555, "=" &amp; A248,'PreliminaryHD AR - School Level'!M249:M1555)</f>
        <v>46.2</v>
      </c>
      <c r="AH248" s="89">
        <v>2989.2</v>
      </c>
      <c r="AI248" s="89">
        <f t="shared" si="39"/>
        <v>0</v>
      </c>
      <c r="AJ248" s="89">
        <f t="shared" si="40"/>
        <v>0</v>
      </c>
      <c r="AK248" s="89">
        <f t="shared" si="41"/>
        <v>2166.1999999999998</v>
      </c>
      <c r="AL248" s="89">
        <f t="shared" si="42"/>
        <v>34.5</v>
      </c>
      <c r="AM248" s="89">
        <f t="shared" si="43"/>
        <v>139.6</v>
      </c>
      <c r="AN248" s="89">
        <f t="shared" si="44"/>
        <v>94</v>
      </c>
      <c r="AO248" s="89">
        <f t="shared" si="45"/>
        <v>591.29999999999995</v>
      </c>
      <c r="AP248" s="83">
        <f t="shared" si="46"/>
        <v>991</v>
      </c>
      <c r="AQ248" s="89">
        <f t="shared" si="47"/>
        <v>0</v>
      </c>
      <c r="AR248" s="89">
        <f t="shared" si="48"/>
        <v>560</v>
      </c>
      <c r="AS248" s="83">
        <f t="shared" si="49"/>
        <v>2284</v>
      </c>
      <c r="AT248" s="89">
        <v>0</v>
      </c>
      <c r="AU248" s="89">
        <f t="shared" si="50"/>
        <v>58.2</v>
      </c>
      <c r="AV248" s="108">
        <v>15030236</v>
      </c>
      <c r="AW248" s="126">
        <v>2989.2</v>
      </c>
      <c r="AX248" s="42">
        <v>2989.2</v>
      </c>
      <c r="AY248" s="208">
        <f t="shared" si="51"/>
        <v>0</v>
      </c>
      <c r="AZ248" s="290">
        <v>388552</v>
      </c>
      <c r="BA248" s="42"/>
      <c r="BB248" s="42"/>
      <c r="BD248" s="129"/>
    </row>
    <row r="249" spans="1:56">
      <c r="A249" s="235" t="s">
        <v>442</v>
      </c>
      <c r="B249" s="121">
        <v>1</v>
      </c>
      <c r="C249" s="131">
        <v>970.5</v>
      </c>
      <c r="D249" s="131">
        <v>0</v>
      </c>
      <c r="E249" s="82">
        <v>0</v>
      </c>
      <c r="F249" s="131">
        <v>0</v>
      </c>
      <c r="G249" s="199">
        <v>0</v>
      </c>
      <c r="H249" s="131">
        <v>0</v>
      </c>
      <c r="I249" s="131">
        <v>0</v>
      </c>
      <c r="J249" s="208">
        <v>0</v>
      </c>
      <c r="K249" s="127">
        <v>999</v>
      </c>
      <c r="L249" s="124">
        <v>0</v>
      </c>
      <c r="M249" s="121">
        <v>0</v>
      </c>
      <c r="N249" s="124">
        <v>10.5</v>
      </c>
      <c r="O249" s="124">
        <v>0</v>
      </c>
      <c r="P249" s="131">
        <v>162.5</v>
      </c>
      <c r="Q249" s="124">
        <v>0</v>
      </c>
      <c r="R249" s="124">
        <v>524.29999999999995</v>
      </c>
      <c r="S249" s="124">
        <v>0</v>
      </c>
      <c r="T249" s="127">
        <v>206</v>
      </c>
      <c r="U249" s="121">
        <v>0</v>
      </c>
      <c r="V249" s="121">
        <v>363</v>
      </c>
      <c r="W249" s="121">
        <v>0</v>
      </c>
      <c r="X249" s="131">
        <v>0</v>
      </c>
      <c r="Y249" s="119">
        <v>140</v>
      </c>
      <c r="Z249" s="82">
        <v>0</v>
      </c>
      <c r="AA249" s="79">
        <v>3</v>
      </c>
      <c r="AB249" s="79">
        <v>0</v>
      </c>
      <c r="AC249" s="209">
        <v>0</v>
      </c>
      <c r="AD249" s="211">
        <v>0</v>
      </c>
      <c r="AE249" s="89">
        <v>0</v>
      </c>
      <c r="AF249" s="89">
        <v>3.4</v>
      </c>
      <c r="AG249" s="89">
        <f>SUMIF('PreliminaryHD AR - School Level'!A250:A1556, "=" &amp; A249,'PreliminaryHD AR - School Level'!M250:M1556)</f>
        <v>8.9</v>
      </c>
      <c r="AH249" s="89">
        <v>1525.5</v>
      </c>
      <c r="AI249" s="89">
        <f t="shared" si="39"/>
        <v>0</v>
      </c>
      <c r="AJ249" s="89">
        <f t="shared" si="40"/>
        <v>0</v>
      </c>
      <c r="AK249" s="89">
        <f t="shared" si="41"/>
        <v>970.5</v>
      </c>
      <c r="AL249" s="89">
        <f t="shared" si="42"/>
        <v>10.5</v>
      </c>
      <c r="AM249" s="89">
        <f t="shared" si="43"/>
        <v>524.29999999999995</v>
      </c>
      <c r="AN249" s="89">
        <f t="shared" si="44"/>
        <v>206</v>
      </c>
      <c r="AO249" s="89">
        <f t="shared" si="45"/>
        <v>162.5</v>
      </c>
      <c r="AP249" s="83">
        <f t="shared" si="46"/>
        <v>363</v>
      </c>
      <c r="AQ249" s="89">
        <f t="shared" si="47"/>
        <v>0</v>
      </c>
      <c r="AR249" s="89">
        <f t="shared" si="48"/>
        <v>140</v>
      </c>
      <c r="AS249" s="83">
        <f t="shared" si="49"/>
        <v>999</v>
      </c>
      <c r="AT249" s="89">
        <v>0</v>
      </c>
      <c r="AU249" s="89">
        <f t="shared" si="50"/>
        <v>8.9</v>
      </c>
      <c r="AV249" s="108">
        <v>7122451</v>
      </c>
      <c r="AW249" s="126">
        <v>1525.5</v>
      </c>
      <c r="AX249" s="42">
        <v>1525.5</v>
      </c>
      <c r="AY249" s="208">
        <f t="shared" si="51"/>
        <v>0</v>
      </c>
      <c r="AZ249" s="290">
        <v>302843</v>
      </c>
      <c r="BA249" s="42"/>
      <c r="BB249" s="42"/>
      <c r="BD249" s="129"/>
    </row>
    <row r="250" spans="1:56">
      <c r="A250" s="235" t="s">
        <v>443</v>
      </c>
      <c r="B250" s="121">
        <v>1</v>
      </c>
      <c r="C250" s="131">
        <v>385.6</v>
      </c>
      <c r="D250" s="131">
        <v>0</v>
      </c>
      <c r="E250" s="82">
        <v>0</v>
      </c>
      <c r="F250" s="131">
        <v>0</v>
      </c>
      <c r="G250" s="199">
        <v>0</v>
      </c>
      <c r="H250" s="131">
        <v>0</v>
      </c>
      <c r="I250" s="131">
        <v>0</v>
      </c>
      <c r="J250" s="208">
        <v>0</v>
      </c>
      <c r="K250" s="127">
        <v>402</v>
      </c>
      <c r="L250" s="124">
        <v>0</v>
      </c>
      <c r="M250" s="121">
        <v>0</v>
      </c>
      <c r="N250" s="124">
        <v>6</v>
      </c>
      <c r="O250" s="124">
        <v>0</v>
      </c>
      <c r="P250" s="131">
        <v>90.2</v>
      </c>
      <c r="Q250" s="124">
        <v>0</v>
      </c>
      <c r="R250" s="124">
        <v>413.1</v>
      </c>
      <c r="S250" s="124">
        <v>0</v>
      </c>
      <c r="T250" s="127">
        <v>94</v>
      </c>
      <c r="U250" s="121">
        <v>0</v>
      </c>
      <c r="V250" s="121">
        <v>149</v>
      </c>
      <c r="W250" s="121">
        <v>0</v>
      </c>
      <c r="X250" s="131">
        <v>0</v>
      </c>
      <c r="Y250" s="119">
        <v>78</v>
      </c>
      <c r="Z250" s="82">
        <v>0</v>
      </c>
      <c r="AA250" s="79">
        <v>0</v>
      </c>
      <c r="AB250" s="79">
        <v>0</v>
      </c>
      <c r="AC250" s="209">
        <v>0</v>
      </c>
      <c r="AD250" s="211">
        <v>0</v>
      </c>
      <c r="AE250" s="89">
        <v>0</v>
      </c>
      <c r="AF250" s="89">
        <v>2.2000000000000002</v>
      </c>
      <c r="AG250" s="89">
        <f>SUMIF('PreliminaryHD AR - School Level'!A251:A1557, "=" &amp; A250,'PreliminaryHD AR - School Level'!M251:M1557)</f>
        <v>3.4</v>
      </c>
      <c r="AH250" s="89">
        <v>715.9</v>
      </c>
      <c r="AI250" s="89">
        <f t="shared" si="39"/>
        <v>0</v>
      </c>
      <c r="AJ250" s="89">
        <f t="shared" si="40"/>
        <v>0</v>
      </c>
      <c r="AK250" s="89">
        <f t="shared" si="41"/>
        <v>385.6</v>
      </c>
      <c r="AL250" s="89">
        <f t="shared" si="42"/>
        <v>6</v>
      </c>
      <c r="AM250" s="89">
        <f t="shared" si="43"/>
        <v>413.1</v>
      </c>
      <c r="AN250" s="89">
        <f t="shared" si="44"/>
        <v>94</v>
      </c>
      <c r="AO250" s="89">
        <f t="shared" si="45"/>
        <v>90.2</v>
      </c>
      <c r="AP250" s="83">
        <f t="shared" si="46"/>
        <v>149</v>
      </c>
      <c r="AQ250" s="89">
        <f t="shared" si="47"/>
        <v>0</v>
      </c>
      <c r="AR250" s="89">
        <f t="shared" si="48"/>
        <v>78</v>
      </c>
      <c r="AS250" s="83">
        <f t="shared" si="49"/>
        <v>402</v>
      </c>
      <c r="AT250" s="89">
        <v>0</v>
      </c>
      <c r="AU250" s="89">
        <f t="shared" si="50"/>
        <v>3.4</v>
      </c>
      <c r="AV250" s="108">
        <v>3391976</v>
      </c>
      <c r="AW250" s="126">
        <v>715.9</v>
      </c>
      <c r="AX250" s="42">
        <v>715.9</v>
      </c>
      <c r="AY250" s="208">
        <f t="shared" si="51"/>
        <v>0</v>
      </c>
      <c r="AZ250" s="290">
        <v>71809</v>
      </c>
      <c r="BA250" s="42"/>
      <c r="BB250" s="42"/>
      <c r="BD250" s="129"/>
    </row>
    <row r="251" spans="1:56">
      <c r="A251" s="235" t="s">
        <v>444</v>
      </c>
      <c r="B251" s="121">
        <v>1</v>
      </c>
      <c r="C251" s="131">
        <v>53</v>
      </c>
      <c r="D251" s="131">
        <v>0</v>
      </c>
      <c r="E251" s="82">
        <v>0</v>
      </c>
      <c r="F251" s="131">
        <v>0</v>
      </c>
      <c r="G251" s="199">
        <v>0</v>
      </c>
      <c r="H251" s="131">
        <v>0</v>
      </c>
      <c r="I251" s="131">
        <v>0</v>
      </c>
      <c r="J251" s="208">
        <v>0</v>
      </c>
      <c r="K251" s="127">
        <v>53</v>
      </c>
      <c r="L251" s="124">
        <v>0</v>
      </c>
      <c r="M251" s="121">
        <v>0</v>
      </c>
      <c r="N251" s="124">
        <v>0</v>
      </c>
      <c r="O251" s="124">
        <v>0</v>
      </c>
      <c r="P251" s="131">
        <v>0.3</v>
      </c>
      <c r="Q251" s="124">
        <v>0</v>
      </c>
      <c r="R251" s="124">
        <v>13</v>
      </c>
      <c r="S251" s="124">
        <v>0</v>
      </c>
      <c r="T251" s="127">
        <v>11</v>
      </c>
      <c r="U251" s="121">
        <v>0</v>
      </c>
      <c r="V251" s="121">
        <v>40</v>
      </c>
      <c r="W251" s="121">
        <v>0</v>
      </c>
      <c r="X251" s="131">
        <v>0</v>
      </c>
      <c r="Y251" s="119">
        <v>6</v>
      </c>
      <c r="Z251" s="82">
        <v>0</v>
      </c>
      <c r="AA251" s="79">
        <v>0</v>
      </c>
      <c r="AB251" s="79">
        <v>0</v>
      </c>
      <c r="AC251" s="209">
        <v>0</v>
      </c>
      <c r="AD251" s="211">
        <v>0</v>
      </c>
      <c r="AE251" s="89">
        <v>0</v>
      </c>
      <c r="AF251" s="89">
        <v>4.2</v>
      </c>
      <c r="AG251" s="89">
        <f>SUMIF('PreliminaryHD AR - School Level'!A252:A1558, "=" &amp; A251,'PreliminaryHD AR - School Level'!M252:M1558)</f>
        <v>4.2</v>
      </c>
      <c r="AH251" s="89">
        <v>163.1</v>
      </c>
      <c r="AI251" s="89">
        <f t="shared" si="39"/>
        <v>0</v>
      </c>
      <c r="AJ251" s="89">
        <f t="shared" si="40"/>
        <v>0</v>
      </c>
      <c r="AK251" s="89">
        <f t="shared" si="41"/>
        <v>53</v>
      </c>
      <c r="AL251" s="89">
        <f t="shared" si="42"/>
        <v>0</v>
      </c>
      <c r="AM251" s="89">
        <f t="shared" si="43"/>
        <v>13</v>
      </c>
      <c r="AN251" s="89">
        <f t="shared" si="44"/>
        <v>11</v>
      </c>
      <c r="AO251" s="89">
        <f t="shared" si="45"/>
        <v>0.3</v>
      </c>
      <c r="AP251" s="83">
        <f t="shared" si="46"/>
        <v>40</v>
      </c>
      <c r="AQ251" s="89">
        <f t="shared" si="47"/>
        <v>0</v>
      </c>
      <c r="AR251" s="89">
        <f t="shared" si="48"/>
        <v>6</v>
      </c>
      <c r="AS251" s="83">
        <f t="shared" si="49"/>
        <v>53</v>
      </c>
      <c r="AT251" s="89">
        <v>0</v>
      </c>
      <c r="AU251" s="89">
        <f t="shared" si="50"/>
        <v>4.2</v>
      </c>
      <c r="AV251" s="108">
        <v>833417</v>
      </c>
      <c r="AW251" s="126">
        <v>163.1</v>
      </c>
      <c r="AX251" s="42">
        <v>163.1</v>
      </c>
      <c r="AY251" s="208">
        <f t="shared" si="51"/>
        <v>0</v>
      </c>
      <c r="AZ251" s="290">
        <v>33621</v>
      </c>
      <c r="BA251" s="42"/>
      <c r="BB251" s="42"/>
      <c r="BD251" s="129"/>
    </row>
    <row r="252" spans="1:56">
      <c r="A252" s="235" t="s">
        <v>445</v>
      </c>
      <c r="B252" s="121">
        <v>1</v>
      </c>
      <c r="C252" s="131">
        <v>2568.3000000000002</v>
      </c>
      <c r="D252" s="131">
        <v>0</v>
      </c>
      <c r="E252" s="82">
        <v>0</v>
      </c>
      <c r="F252" s="131">
        <v>0</v>
      </c>
      <c r="G252" s="199">
        <v>0</v>
      </c>
      <c r="H252" s="131">
        <v>0</v>
      </c>
      <c r="I252" s="131">
        <v>0</v>
      </c>
      <c r="J252" s="208">
        <v>0</v>
      </c>
      <c r="K252" s="127">
        <v>2573</v>
      </c>
      <c r="L252" s="124">
        <v>0</v>
      </c>
      <c r="M252" s="121">
        <v>0</v>
      </c>
      <c r="N252" s="124">
        <v>0</v>
      </c>
      <c r="O252" s="124">
        <v>0</v>
      </c>
      <c r="P252" s="131">
        <v>467.5</v>
      </c>
      <c r="Q252" s="124">
        <v>0</v>
      </c>
      <c r="R252" s="124">
        <v>61.5</v>
      </c>
      <c r="S252" s="124">
        <v>0</v>
      </c>
      <c r="T252" s="127">
        <v>43</v>
      </c>
      <c r="U252" s="121">
        <v>0</v>
      </c>
      <c r="V252" s="121">
        <v>542</v>
      </c>
      <c r="W252" s="121">
        <v>0</v>
      </c>
      <c r="X252" s="131">
        <v>0</v>
      </c>
      <c r="Y252" s="119">
        <v>635</v>
      </c>
      <c r="Z252" s="82">
        <v>0</v>
      </c>
      <c r="AA252" s="79">
        <v>0</v>
      </c>
      <c r="AB252" s="79">
        <v>0</v>
      </c>
      <c r="AC252" s="209">
        <v>0</v>
      </c>
      <c r="AD252" s="211">
        <v>0</v>
      </c>
      <c r="AE252" s="89">
        <v>0</v>
      </c>
      <c r="AF252" s="89">
        <v>0</v>
      </c>
      <c r="AG252" s="89">
        <f>SUMIF('PreliminaryHD AR - School Level'!A253:A1559, "=" &amp; A252,'PreliminaryHD AR - School Level'!M253:M1559)</f>
        <v>0</v>
      </c>
      <c r="AH252" s="89">
        <v>3149.4</v>
      </c>
      <c r="AI252" s="89">
        <f t="shared" si="39"/>
        <v>0</v>
      </c>
      <c r="AJ252" s="89">
        <f t="shared" si="40"/>
        <v>0</v>
      </c>
      <c r="AK252" s="89">
        <f t="shared" si="41"/>
        <v>2568.3000000000002</v>
      </c>
      <c r="AL252" s="89">
        <f t="shared" si="42"/>
        <v>0</v>
      </c>
      <c r="AM252" s="89">
        <f t="shared" si="43"/>
        <v>61.5</v>
      </c>
      <c r="AN252" s="89">
        <f t="shared" si="44"/>
        <v>43</v>
      </c>
      <c r="AO252" s="89">
        <f t="shared" si="45"/>
        <v>467.5</v>
      </c>
      <c r="AP252" s="83">
        <f t="shared" si="46"/>
        <v>542</v>
      </c>
      <c r="AQ252" s="89">
        <f t="shared" si="47"/>
        <v>0</v>
      </c>
      <c r="AR252" s="89">
        <f t="shared" si="48"/>
        <v>635</v>
      </c>
      <c r="AS252" s="83">
        <f t="shared" si="49"/>
        <v>2573</v>
      </c>
      <c r="AT252" s="89">
        <v>0</v>
      </c>
      <c r="AU252" s="89">
        <f t="shared" si="50"/>
        <v>0</v>
      </c>
      <c r="AV252" s="108">
        <v>15668730</v>
      </c>
      <c r="AW252" s="126">
        <v>3149.4</v>
      </c>
      <c r="AX252" s="42">
        <v>3149.4</v>
      </c>
      <c r="AY252" s="208">
        <f t="shared" si="51"/>
        <v>0</v>
      </c>
      <c r="AZ252" s="290">
        <v>680585</v>
      </c>
      <c r="BA252" s="42"/>
      <c r="BB252" s="42"/>
      <c r="BD252" s="129"/>
    </row>
    <row r="253" spans="1:56">
      <c r="A253" s="235" t="s">
        <v>446</v>
      </c>
      <c r="B253" s="121">
        <v>1</v>
      </c>
      <c r="C253" s="131">
        <v>2794.2</v>
      </c>
      <c r="D253" s="131">
        <v>0</v>
      </c>
      <c r="E253" s="82">
        <v>0</v>
      </c>
      <c r="F253" s="131">
        <v>0</v>
      </c>
      <c r="G253" s="199">
        <v>0</v>
      </c>
      <c r="H253" s="131">
        <v>0</v>
      </c>
      <c r="I253" s="131">
        <v>0</v>
      </c>
      <c r="J253" s="208">
        <v>0</v>
      </c>
      <c r="K253" s="127">
        <v>2908</v>
      </c>
      <c r="L253" s="124">
        <v>0</v>
      </c>
      <c r="M253" s="121">
        <v>0</v>
      </c>
      <c r="N253" s="124">
        <v>35</v>
      </c>
      <c r="O253" s="124">
        <v>0</v>
      </c>
      <c r="P253" s="131">
        <v>797.9</v>
      </c>
      <c r="Q253" s="124">
        <v>0</v>
      </c>
      <c r="R253" s="124">
        <v>1544.6</v>
      </c>
      <c r="S253" s="124">
        <v>0</v>
      </c>
      <c r="T253" s="127">
        <v>479</v>
      </c>
      <c r="U253" s="121">
        <v>0</v>
      </c>
      <c r="V253" s="121">
        <v>1544</v>
      </c>
      <c r="W253" s="121">
        <v>0</v>
      </c>
      <c r="X253" s="131">
        <v>0</v>
      </c>
      <c r="Y253" s="119">
        <v>777</v>
      </c>
      <c r="Z253" s="82">
        <v>0</v>
      </c>
      <c r="AA253" s="79">
        <v>0</v>
      </c>
      <c r="AB253" s="79">
        <v>0</v>
      </c>
      <c r="AC253" s="209">
        <v>0</v>
      </c>
      <c r="AD253" s="211">
        <v>0</v>
      </c>
      <c r="AE253" s="89">
        <v>0</v>
      </c>
      <c r="AF253" s="89">
        <v>162.1</v>
      </c>
      <c r="AG253" s="89">
        <f>SUMIF('PreliminaryHD AR - School Level'!A254:A1560, "=" &amp; A253,'PreliminaryHD AR - School Level'!M254:M1560)</f>
        <v>144.5</v>
      </c>
      <c r="AH253" s="89">
        <v>4162</v>
      </c>
      <c r="AI253" s="89">
        <f t="shared" si="39"/>
        <v>0</v>
      </c>
      <c r="AJ253" s="89">
        <f t="shared" si="40"/>
        <v>0</v>
      </c>
      <c r="AK253" s="89">
        <f t="shared" si="41"/>
        <v>2794.2</v>
      </c>
      <c r="AL253" s="89">
        <f t="shared" si="42"/>
        <v>35</v>
      </c>
      <c r="AM253" s="89">
        <f t="shared" si="43"/>
        <v>1544.6</v>
      </c>
      <c r="AN253" s="89">
        <f t="shared" si="44"/>
        <v>479</v>
      </c>
      <c r="AO253" s="89">
        <f t="shared" si="45"/>
        <v>797.9</v>
      </c>
      <c r="AP253" s="83">
        <f t="shared" si="46"/>
        <v>1544</v>
      </c>
      <c r="AQ253" s="89">
        <f t="shared" si="47"/>
        <v>0</v>
      </c>
      <c r="AR253" s="89">
        <f t="shared" si="48"/>
        <v>777</v>
      </c>
      <c r="AS253" s="83">
        <f t="shared" si="49"/>
        <v>2908</v>
      </c>
      <c r="AT253" s="89">
        <v>0</v>
      </c>
      <c r="AU253" s="89">
        <f t="shared" si="50"/>
        <v>162.1</v>
      </c>
      <c r="AV253" s="108">
        <v>21268573</v>
      </c>
      <c r="AW253" s="126">
        <v>4162</v>
      </c>
      <c r="AX253" s="42">
        <v>4162</v>
      </c>
      <c r="AY253" s="208">
        <f t="shared" si="51"/>
        <v>0</v>
      </c>
      <c r="AZ253" s="290">
        <v>800342</v>
      </c>
      <c r="BA253" s="42"/>
      <c r="BB253" s="42"/>
      <c r="BD253" s="129"/>
    </row>
    <row r="254" spans="1:56">
      <c r="A254" s="235" t="s">
        <v>447</v>
      </c>
      <c r="B254" s="121">
        <v>1</v>
      </c>
      <c r="C254" s="131">
        <v>189.5</v>
      </c>
      <c r="D254" s="131">
        <v>0</v>
      </c>
      <c r="E254" s="82">
        <v>0</v>
      </c>
      <c r="F254" s="131">
        <v>0</v>
      </c>
      <c r="G254" s="199">
        <v>0</v>
      </c>
      <c r="H254" s="131">
        <v>0</v>
      </c>
      <c r="I254" s="131">
        <v>0</v>
      </c>
      <c r="J254" s="208">
        <v>0</v>
      </c>
      <c r="K254" s="127">
        <v>192</v>
      </c>
      <c r="L254" s="124">
        <v>0</v>
      </c>
      <c r="M254" s="121">
        <v>0</v>
      </c>
      <c r="N254" s="124">
        <v>0</v>
      </c>
      <c r="O254" s="124">
        <v>0</v>
      </c>
      <c r="P254" s="131">
        <v>0</v>
      </c>
      <c r="Q254" s="124">
        <v>0</v>
      </c>
      <c r="R254" s="124">
        <v>0</v>
      </c>
      <c r="S254" s="124">
        <v>0</v>
      </c>
      <c r="T254" s="127">
        <v>0</v>
      </c>
      <c r="U254" s="121">
        <v>0</v>
      </c>
      <c r="V254" s="121">
        <v>77</v>
      </c>
      <c r="W254" s="121">
        <v>0</v>
      </c>
      <c r="X254" s="131">
        <v>0</v>
      </c>
      <c r="Y254" s="119">
        <v>36</v>
      </c>
      <c r="Z254" s="82">
        <v>0</v>
      </c>
      <c r="AA254" s="79">
        <v>0</v>
      </c>
      <c r="AB254" s="79">
        <v>0</v>
      </c>
      <c r="AC254" s="209">
        <v>0</v>
      </c>
      <c r="AD254" s="211">
        <v>0</v>
      </c>
      <c r="AE254" s="89">
        <v>0</v>
      </c>
      <c r="AF254" s="89">
        <v>2.8</v>
      </c>
      <c r="AG254" s="89">
        <f>SUMIF('PreliminaryHD AR - School Level'!A255:A1561, "=" &amp; A254,'PreliminaryHD AR - School Level'!M255:M1561)</f>
        <v>4.2</v>
      </c>
      <c r="AH254" s="89">
        <v>362.1</v>
      </c>
      <c r="AI254" s="89">
        <f t="shared" si="39"/>
        <v>0</v>
      </c>
      <c r="AJ254" s="89">
        <f t="shared" si="40"/>
        <v>0</v>
      </c>
      <c r="AK254" s="89">
        <f t="shared" si="41"/>
        <v>189.5</v>
      </c>
      <c r="AL254" s="89">
        <f t="shared" si="42"/>
        <v>0</v>
      </c>
      <c r="AM254" s="89">
        <f t="shared" si="43"/>
        <v>0</v>
      </c>
      <c r="AN254" s="89">
        <f t="shared" si="44"/>
        <v>0</v>
      </c>
      <c r="AO254" s="89">
        <f t="shared" si="45"/>
        <v>0</v>
      </c>
      <c r="AP254" s="83">
        <f t="shared" si="46"/>
        <v>77</v>
      </c>
      <c r="AQ254" s="89">
        <f t="shared" si="47"/>
        <v>0</v>
      </c>
      <c r="AR254" s="89">
        <f t="shared" si="48"/>
        <v>36</v>
      </c>
      <c r="AS254" s="83">
        <f t="shared" si="49"/>
        <v>192</v>
      </c>
      <c r="AT254" s="89">
        <v>0</v>
      </c>
      <c r="AU254" s="89">
        <f t="shared" si="50"/>
        <v>4.2</v>
      </c>
      <c r="AV254" s="108">
        <v>1710149</v>
      </c>
      <c r="AW254" s="126">
        <v>362.1</v>
      </c>
      <c r="AX254" s="42">
        <v>362.1</v>
      </c>
      <c r="AY254" s="208">
        <f t="shared" si="51"/>
        <v>0</v>
      </c>
      <c r="AZ254" s="290">
        <v>89832</v>
      </c>
      <c r="BA254" s="42"/>
      <c r="BB254" s="42"/>
      <c r="BD254" s="129"/>
    </row>
    <row r="255" spans="1:56">
      <c r="A255" s="236" t="s">
        <v>448</v>
      </c>
      <c r="B255" s="121">
        <v>1</v>
      </c>
      <c r="C255" s="131">
        <v>1049.0999999999999</v>
      </c>
      <c r="D255" s="131">
        <v>0</v>
      </c>
      <c r="E255" s="82">
        <v>0</v>
      </c>
      <c r="F255" s="131">
        <v>12</v>
      </c>
      <c r="G255" s="199">
        <v>0</v>
      </c>
      <c r="H255" s="131">
        <v>0</v>
      </c>
      <c r="I255" s="131">
        <v>0</v>
      </c>
      <c r="J255" s="208">
        <v>0</v>
      </c>
      <c r="K255" s="127">
        <v>1055</v>
      </c>
      <c r="L255" s="124">
        <v>0</v>
      </c>
      <c r="M255" s="121">
        <v>12</v>
      </c>
      <c r="N255" s="124">
        <v>0</v>
      </c>
      <c r="O255" s="124">
        <v>0</v>
      </c>
      <c r="P255" s="131">
        <v>238.6</v>
      </c>
      <c r="Q255" s="124">
        <v>0</v>
      </c>
      <c r="R255" s="124">
        <v>6.3</v>
      </c>
      <c r="S255" s="124">
        <v>0</v>
      </c>
      <c r="T255" s="127">
        <v>4</v>
      </c>
      <c r="U255" s="121">
        <v>0</v>
      </c>
      <c r="V255" s="121">
        <v>344</v>
      </c>
      <c r="W255" s="121">
        <v>2</v>
      </c>
      <c r="X255" s="131">
        <v>0</v>
      </c>
      <c r="Y255" s="119">
        <v>448</v>
      </c>
      <c r="Z255" s="82">
        <v>1</v>
      </c>
      <c r="AA255" s="79">
        <v>0</v>
      </c>
      <c r="AB255" s="79">
        <v>0</v>
      </c>
      <c r="AC255" s="209">
        <v>0</v>
      </c>
      <c r="AD255" s="211">
        <v>0</v>
      </c>
      <c r="AE255" s="89">
        <v>0</v>
      </c>
      <c r="AF255" s="89">
        <v>0</v>
      </c>
      <c r="AG255" s="89">
        <f>SUMIF('PreliminaryHD AR - School Level'!A256:A1562, "=" &amp; A255,'PreliminaryHD AR - School Level'!M256:M1562)</f>
        <v>6.2</v>
      </c>
      <c r="AH255" s="89">
        <v>1635.5</v>
      </c>
      <c r="AI255" s="89">
        <f t="shared" si="39"/>
        <v>0</v>
      </c>
      <c r="AJ255" s="89">
        <f t="shared" si="40"/>
        <v>0</v>
      </c>
      <c r="AK255" s="89">
        <f t="shared" si="41"/>
        <v>1061.0999999999999</v>
      </c>
      <c r="AL255" s="89">
        <f t="shared" si="42"/>
        <v>0</v>
      </c>
      <c r="AM255" s="89">
        <f t="shared" si="43"/>
        <v>6.3</v>
      </c>
      <c r="AN255" s="89">
        <f t="shared" si="44"/>
        <v>4</v>
      </c>
      <c r="AO255" s="89">
        <f t="shared" si="45"/>
        <v>238.6</v>
      </c>
      <c r="AP255" s="83">
        <f t="shared" si="46"/>
        <v>346</v>
      </c>
      <c r="AQ255" s="89">
        <f t="shared" si="47"/>
        <v>0</v>
      </c>
      <c r="AR255" s="89">
        <f t="shared" si="48"/>
        <v>449</v>
      </c>
      <c r="AS255" s="83">
        <f t="shared" si="49"/>
        <v>1067</v>
      </c>
      <c r="AT255" s="89">
        <v>0</v>
      </c>
      <c r="AU255" s="89">
        <f t="shared" si="50"/>
        <v>6.2</v>
      </c>
      <c r="AV255" s="108">
        <v>8104676</v>
      </c>
      <c r="AW255" s="126">
        <v>1635.5</v>
      </c>
      <c r="AX255" s="42">
        <v>1635.5</v>
      </c>
      <c r="AY255" s="208">
        <f t="shared" si="51"/>
        <v>0</v>
      </c>
      <c r="AZ255" s="290">
        <v>813130</v>
      </c>
      <c r="BA255" s="42"/>
      <c r="BB255" s="42"/>
      <c r="BD255" s="129"/>
    </row>
    <row r="256" spans="1:56">
      <c r="A256" s="235" t="s">
        <v>449</v>
      </c>
      <c r="B256" s="121">
        <v>1</v>
      </c>
      <c r="C256" s="131">
        <v>108.5</v>
      </c>
      <c r="D256" s="131">
        <v>0</v>
      </c>
      <c r="E256" s="82">
        <v>0</v>
      </c>
      <c r="F256" s="131">
        <v>0</v>
      </c>
      <c r="G256" s="199">
        <v>0</v>
      </c>
      <c r="H256" s="131">
        <v>0</v>
      </c>
      <c r="I256" s="131">
        <v>0</v>
      </c>
      <c r="J256" s="208">
        <v>0</v>
      </c>
      <c r="K256" s="127">
        <v>109</v>
      </c>
      <c r="L256" s="124">
        <v>0</v>
      </c>
      <c r="M256" s="121">
        <v>0</v>
      </c>
      <c r="N256" s="124">
        <v>0</v>
      </c>
      <c r="O256" s="124">
        <v>0</v>
      </c>
      <c r="P256" s="131">
        <v>33.299999999999997</v>
      </c>
      <c r="Q256" s="124">
        <v>0</v>
      </c>
      <c r="R256" s="124">
        <v>0</v>
      </c>
      <c r="S256" s="124">
        <v>0</v>
      </c>
      <c r="T256" s="127">
        <v>0</v>
      </c>
      <c r="U256" s="121">
        <v>0</v>
      </c>
      <c r="V256" s="121">
        <v>37</v>
      </c>
      <c r="W256" s="121">
        <v>0</v>
      </c>
      <c r="X256" s="131">
        <v>0</v>
      </c>
      <c r="Y256" s="119">
        <v>45</v>
      </c>
      <c r="Z256" s="82">
        <v>0</v>
      </c>
      <c r="AA256" s="79">
        <v>0</v>
      </c>
      <c r="AB256" s="79">
        <v>0</v>
      </c>
      <c r="AC256" s="209">
        <v>0</v>
      </c>
      <c r="AD256" s="211">
        <v>0</v>
      </c>
      <c r="AE256" s="89">
        <v>0</v>
      </c>
      <c r="AF256" s="89">
        <v>0</v>
      </c>
      <c r="AG256" s="89">
        <f>SUMIF('PreliminaryHD AR - School Level'!A257:A1563, "=" &amp; A256,'PreliminaryHD AR - School Level'!M257:M1563)</f>
        <v>0</v>
      </c>
      <c r="AH256" s="89">
        <v>250.7</v>
      </c>
      <c r="AI256" s="89">
        <f t="shared" si="39"/>
        <v>0</v>
      </c>
      <c r="AJ256" s="89">
        <f t="shared" si="40"/>
        <v>0</v>
      </c>
      <c r="AK256" s="89">
        <f t="shared" si="41"/>
        <v>108.5</v>
      </c>
      <c r="AL256" s="89">
        <f t="shared" si="42"/>
        <v>0</v>
      </c>
      <c r="AM256" s="89">
        <f t="shared" si="43"/>
        <v>0</v>
      </c>
      <c r="AN256" s="89">
        <f t="shared" si="44"/>
        <v>0</v>
      </c>
      <c r="AO256" s="89">
        <f t="shared" si="45"/>
        <v>33.299999999999997</v>
      </c>
      <c r="AP256" s="83">
        <f t="shared" si="46"/>
        <v>37</v>
      </c>
      <c r="AQ256" s="89">
        <f t="shared" si="47"/>
        <v>0</v>
      </c>
      <c r="AR256" s="89">
        <f t="shared" si="48"/>
        <v>45</v>
      </c>
      <c r="AS256" s="83">
        <f t="shared" si="49"/>
        <v>109</v>
      </c>
      <c r="AT256" s="89">
        <v>0</v>
      </c>
      <c r="AU256" s="89">
        <f t="shared" si="50"/>
        <v>0</v>
      </c>
      <c r="AV256" s="108">
        <v>1189941</v>
      </c>
      <c r="AW256" s="126">
        <v>250.7</v>
      </c>
      <c r="AX256" s="42">
        <v>250.7</v>
      </c>
      <c r="AY256" s="208">
        <f t="shared" si="51"/>
        <v>0</v>
      </c>
      <c r="AZ256" s="290">
        <v>135432</v>
      </c>
      <c r="BA256" s="42"/>
      <c r="BB256" s="42"/>
      <c r="BD256" s="129"/>
    </row>
    <row r="257" spans="1:56">
      <c r="A257" s="235" t="s">
        <v>450</v>
      </c>
      <c r="B257" s="121">
        <v>1</v>
      </c>
      <c r="C257" s="131">
        <v>6979.1</v>
      </c>
      <c r="D257" s="131">
        <v>0</v>
      </c>
      <c r="E257" s="82">
        <v>0</v>
      </c>
      <c r="F257" s="131">
        <v>450</v>
      </c>
      <c r="G257" s="199">
        <v>0</v>
      </c>
      <c r="H257" s="131">
        <v>0</v>
      </c>
      <c r="I257" s="131">
        <v>0</v>
      </c>
      <c r="J257" s="208">
        <v>0</v>
      </c>
      <c r="K257" s="127">
        <v>7208</v>
      </c>
      <c r="L257" s="124">
        <v>0</v>
      </c>
      <c r="M257" s="121">
        <v>450</v>
      </c>
      <c r="N257" s="124">
        <v>57.5</v>
      </c>
      <c r="O257" s="124">
        <v>0</v>
      </c>
      <c r="P257" s="131">
        <v>699.7</v>
      </c>
      <c r="Q257" s="124">
        <v>25</v>
      </c>
      <c r="R257" s="124">
        <v>1662.6</v>
      </c>
      <c r="S257" s="124">
        <v>65</v>
      </c>
      <c r="T257" s="127">
        <v>578</v>
      </c>
      <c r="U257" s="121">
        <v>30</v>
      </c>
      <c r="V257" s="121">
        <v>2780</v>
      </c>
      <c r="W257" s="121">
        <v>190</v>
      </c>
      <c r="X257" s="131">
        <v>1</v>
      </c>
      <c r="Y257" s="119">
        <v>1634</v>
      </c>
      <c r="Z257" s="82">
        <v>75</v>
      </c>
      <c r="AA257" s="79">
        <v>12</v>
      </c>
      <c r="AB257" s="79">
        <v>1.8</v>
      </c>
      <c r="AC257" s="209">
        <v>80</v>
      </c>
      <c r="AD257" s="211">
        <v>0</v>
      </c>
      <c r="AE257" s="89">
        <v>0</v>
      </c>
      <c r="AF257" s="89">
        <v>78.599999999999994</v>
      </c>
      <c r="AG257" s="89">
        <f>SUMIF('PreliminaryHD AR - School Level'!A258:A1564, "=" &amp; A257,'PreliminaryHD AR - School Level'!M258:M1564)</f>
        <v>130.30000000000001</v>
      </c>
      <c r="AH257" s="89">
        <v>10300</v>
      </c>
      <c r="AI257" s="89">
        <f t="shared" si="39"/>
        <v>0</v>
      </c>
      <c r="AJ257" s="89">
        <f t="shared" si="40"/>
        <v>0</v>
      </c>
      <c r="AK257" s="89">
        <f t="shared" si="41"/>
        <v>7429.1</v>
      </c>
      <c r="AL257" s="89">
        <f t="shared" si="42"/>
        <v>57.5</v>
      </c>
      <c r="AM257" s="89">
        <f t="shared" si="43"/>
        <v>1727.6</v>
      </c>
      <c r="AN257" s="89">
        <f t="shared" si="44"/>
        <v>608</v>
      </c>
      <c r="AO257" s="89">
        <f t="shared" si="45"/>
        <v>724.7</v>
      </c>
      <c r="AP257" s="83">
        <f t="shared" si="46"/>
        <v>2970</v>
      </c>
      <c r="AQ257" s="89">
        <f t="shared" si="47"/>
        <v>0</v>
      </c>
      <c r="AR257" s="89">
        <f>Y257+Z257</f>
        <v>1709</v>
      </c>
      <c r="AS257" s="83">
        <f t="shared" si="49"/>
        <v>7658</v>
      </c>
      <c r="AT257" s="89">
        <v>0</v>
      </c>
      <c r="AU257" s="89">
        <f t="shared" si="50"/>
        <v>130.30000000000001</v>
      </c>
      <c r="AV257" s="108">
        <v>51208765</v>
      </c>
      <c r="AW257" s="126">
        <v>10300</v>
      </c>
      <c r="AX257" s="42">
        <v>10300</v>
      </c>
      <c r="AY257" s="208">
        <f t="shared" si="51"/>
        <v>0</v>
      </c>
      <c r="AZ257" s="290">
        <v>1326982</v>
      </c>
      <c r="BA257" s="42"/>
      <c r="BB257" s="42"/>
      <c r="BD257" s="129"/>
    </row>
    <row r="258" spans="1:56">
      <c r="A258" s="235" t="s">
        <v>451</v>
      </c>
      <c r="B258" s="121">
        <v>1</v>
      </c>
      <c r="C258" s="131">
        <v>100</v>
      </c>
      <c r="D258" s="131">
        <v>0</v>
      </c>
      <c r="E258" s="82">
        <v>0</v>
      </c>
      <c r="F258" s="131">
        <v>0</v>
      </c>
      <c r="G258" s="199">
        <v>0</v>
      </c>
      <c r="H258" s="131">
        <v>0</v>
      </c>
      <c r="I258" s="131">
        <v>0</v>
      </c>
      <c r="J258" s="208">
        <v>0</v>
      </c>
      <c r="K258" s="127">
        <v>102</v>
      </c>
      <c r="L258" s="124">
        <v>0</v>
      </c>
      <c r="M258" s="121">
        <v>0</v>
      </c>
      <c r="N258" s="124">
        <v>1</v>
      </c>
      <c r="O258" s="124">
        <v>0</v>
      </c>
      <c r="P258" s="131">
        <v>65.599999999999994</v>
      </c>
      <c r="Q258" s="124">
        <v>0</v>
      </c>
      <c r="R258" s="124">
        <v>292.3</v>
      </c>
      <c r="S258" s="124">
        <v>0</v>
      </c>
      <c r="T258" s="127">
        <v>56</v>
      </c>
      <c r="U258" s="121">
        <v>0</v>
      </c>
      <c r="V258" s="121">
        <v>38</v>
      </c>
      <c r="W258" s="121">
        <v>0</v>
      </c>
      <c r="X258" s="131">
        <v>0</v>
      </c>
      <c r="Y258" s="119">
        <v>55</v>
      </c>
      <c r="Z258" s="82">
        <v>0</v>
      </c>
      <c r="AA258" s="79">
        <v>7</v>
      </c>
      <c r="AB258" s="79">
        <v>0</v>
      </c>
      <c r="AC258" s="209">
        <v>5</v>
      </c>
      <c r="AD258" s="211">
        <v>0</v>
      </c>
      <c r="AE258" s="89">
        <v>0</v>
      </c>
      <c r="AF258" s="89">
        <v>0.6</v>
      </c>
      <c r="AG258" s="89">
        <f>SUMIF('PreliminaryHD AR - School Level'!A259:A1565, "=" &amp; A258,'PreliminaryHD AR - School Level'!M259:M1565)</f>
        <v>0.8</v>
      </c>
      <c r="AH258" s="89">
        <v>246.9</v>
      </c>
      <c r="AI258" s="89">
        <f t="shared" si="39"/>
        <v>0</v>
      </c>
      <c r="AJ258" s="89">
        <f t="shared" si="40"/>
        <v>0</v>
      </c>
      <c r="AK258" s="89">
        <f t="shared" si="41"/>
        <v>100</v>
      </c>
      <c r="AL258" s="89">
        <f t="shared" si="42"/>
        <v>1</v>
      </c>
      <c r="AM258" s="89">
        <f t="shared" si="43"/>
        <v>292.3</v>
      </c>
      <c r="AN258" s="89">
        <f t="shared" si="44"/>
        <v>56</v>
      </c>
      <c r="AO258" s="89">
        <f t="shared" si="45"/>
        <v>65.599999999999994</v>
      </c>
      <c r="AP258" s="83">
        <f t="shared" si="46"/>
        <v>38</v>
      </c>
      <c r="AQ258" s="89">
        <f t="shared" si="47"/>
        <v>0</v>
      </c>
      <c r="AR258" s="89">
        <f t="shared" si="48"/>
        <v>55</v>
      </c>
      <c r="AS258" s="83">
        <f t="shared" si="49"/>
        <v>102</v>
      </c>
      <c r="AT258" s="89">
        <v>0</v>
      </c>
      <c r="AU258" s="89">
        <f t="shared" si="50"/>
        <v>0.8</v>
      </c>
      <c r="AV258" s="108">
        <v>1184544</v>
      </c>
      <c r="AW258" s="126">
        <v>246.9</v>
      </c>
      <c r="AX258" s="42">
        <v>246.9</v>
      </c>
      <c r="AY258" s="208">
        <f t="shared" si="51"/>
        <v>0</v>
      </c>
      <c r="AZ258" s="290">
        <v>90353</v>
      </c>
      <c r="BA258" s="42"/>
      <c r="BB258" s="42"/>
      <c r="BD258" s="129"/>
    </row>
    <row r="259" spans="1:56">
      <c r="A259" s="235" t="s">
        <v>452</v>
      </c>
      <c r="B259" s="121">
        <v>1</v>
      </c>
      <c r="C259" s="131">
        <v>217</v>
      </c>
      <c r="D259" s="131">
        <v>0</v>
      </c>
      <c r="E259" s="82">
        <v>0</v>
      </c>
      <c r="F259" s="131">
        <v>0</v>
      </c>
      <c r="G259" s="199">
        <v>0</v>
      </c>
      <c r="H259" s="131">
        <v>0</v>
      </c>
      <c r="I259" s="131">
        <v>0</v>
      </c>
      <c r="J259" s="208">
        <v>0</v>
      </c>
      <c r="K259" s="127">
        <v>224</v>
      </c>
      <c r="L259" s="124">
        <v>0</v>
      </c>
      <c r="M259" s="121">
        <v>0</v>
      </c>
      <c r="N259" s="124">
        <v>3.5</v>
      </c>
      <c r="O259" s="124">
        <v>0</v>
      </c>
      <c r="P259" s="131">
        <v>0</v>
      </c>
      <c r="Q259" s="124">
        <v>0</v>
      </c>
      <c r="R259" s="124">
        <v>93.7</v>
      </c>
      <c r="S259" s="124">
        <v>0</v>
      </c>
      <c r="T259" s="127">
        <v>19</v>
      </c>
      <c r="U259" s="121">
        <v>0</v>
      </c>
      <c r="V259" s="121">
        <v>57</v>
      </c>
      <c r="W259" s="121">
        <v>0</v>
      </c>
      <c r="X259" s="131">
        <v>0</v>
      </c>
      <c r="Y259" s="119">
        <v>48</v>
      </c>
      <c r="Z259" s="82">
        <v>0</v>
      </c>
      <c r="AA259" s="79">
        <v>0</v>
      </c>
      <c r="AB259" s="79">
        <v>0</v>
      </c>
      <c r="AC259" s="209">
        <v>0</v>
      </c>
      <c r="AD259" s="211">
        <v>0</v>
      </c>
      <c r="AE259" s="89">
        <v>0</v>
      </c>
      <c r="AF259" s="89">
        <v>0</v>
      </c>
      <c r="AG259" s="89">
        <f>SUMIF('PreliminaryHD AR - School Level'!A260:A1566, "=" &amp; A259,'PreliminaryHD AR - School Level'!M260:M1566)</f>
        <v>0</v>
      </c>
      <c r="AH259" s="89">
        <v>448.2</v>
      </c>
      <c r="AI259" s="89">
        <f t="shared" si="39"/>
        <v>0</v>
      </c>
      <c r="AJ259" s="89">
        <f t="shared" si="40"/>
        <v>0</v>
      </c>
      <c r="AK259" s="89">
        <f t="shared" si="41"/>
        <v>217</v>
      </c>
      <c r="AL259" s="89">
        <f t="shared" si="42"/>
        <v>3.5</v>
      </c>
      <c r="AM259" s="89">
        <f t="shared" si="43"/>
        <v>93.7</v>
      </c>
      <c r="AN259" s="89">
        <f t="shared" si="44"/>
        <v>19</v>
      </c>
      <c r="AO259" s="89">
        <f t="shared" si="45"/>
        <v>0</v>
      </c>
      <c r="AP259" s="83">
        <f t="shared" si="46"/>
        <v>57</v>
      </c>
      <c r="AQ259" s="89">
        <f t="shared" si="47"/>
        <v>0</v>
      </c>
      <c r="AR259" s="89">
        <f t="shared" si="48"/>
        <v>48</v>
      </c>
      <c r="AS259" s="83">
        <f t="shared" si="49"/>
        <v>224</v>
      </c>
      <c r="AT259" s="89">
        <v>0</v>
      </c>
      <c r="AU259" s="89">
        <f t="shared" si="50"/>
        <v>0</v>
      </c>
      <c r="AV259" s="108">
        <v>2090414</v>
      </c>
      <c r="AW259" s="126">
        <v>448.2</v>
      </c>
      <c r="AX259" s="42">
        <v>448.2</v>
      </c>
      <c r="AY259" s="208">
        <f t="shared" si="51"/>
        <v>0</v>
      </c>
      <c r="AZ259" s="290">
        <v>223689</v>
      </c>
      <c r="BA259" s="42"/>
      <c r="BB259" s="42"/>
      <c r="BD259" s="129"/>
    </row>
    <row r="260" spans="1:56">
      <c r="A260" s="235" t="s">
        <v>453</v>
      </c>
      <c r="B260" s="121">
        <v>1</v>
      </c>
      <c r="C260" s="131">
        <v>210.7</v>
      </c>
      <c r="D260" s="131">
        <v>0</v>
      </c>
      <c r="E260" s="82">
        <v>0</v>
      </c>
      <c r="F260" s="131">
        <v>0</v>
      </c>
      <c r="G260" s="199">
        <v>0</v>
      </c>
      <c r="H260" s="131">
        <v>0</v>
      </c>
      <c r="I260" s="131">
        <v>0</v>
      </c>
      <c r="J260" s="208">
        <v>0</v>
      </c>
      <c r="K260" s="127">
        <v>218</v>
      </c>
      <c r="L260" s="124">
        <v>0</v>
      </c>
      <c r="M260" s="121">
        <v>0</v>
      </c>
      <c r="N260" s="124">
        <v>2.5</v>
      </c>
      <c r="O260" s="124">
        <v>0</v>
      </c>
      <c r="P260" s="131">
        <v>88.4</v>
      </c>
      <c r="Q260" s="124">
        <v>0</v>
      </c>
      <c r="R260" s="124">
        <v>0</v>
      </c>
      <c r="S260" s="124">
        <v>0</v>
      </c>
      <c r="T260" s="127">
        <v>0</v>
      </c>
      <c r="U260" s="121">
        <v>0</v>
      </c>
      <c r="V260" s="121">
        <v>81</v>
      </c>
      <c r="W260" s="121">
        <v>0</v>
      </c>
      <c r="X260" s="131">
        <v>0</v>
      </c>
      <c r="Y260" s="119">
        <v>87</v>
      </c>
      <c r="Z260" s="82">
        <v>0</v>
      </c>
      <c r="AA260" s="79">
        <v>0</v>
      </c>
      <c r="AB260" s="79">
        <v>0</v>
      </c>
      <c r="AC260" s="209">
        <v>0</v>
      </c>
      <c r="AD260" s="211">
        <v>0</v>
      </c>
      <c r="AE260" s="89">
        <v>0</v>
      </c>
      <c r="AF260" s="89">
        <v>1.2</v>
      </c>
      <c r="AG260" s="89">
        <f>SUMIF('PreliminaryHD AR - School Level'!A261:A1567, "=" &amp; A260,'PreliminaryHD AR - School Level'!M261:M1567)</f>
        <v>1.2</v>
      </c>
      <c r="AH260" s="89">
        <v>448.4</v>
      </c>
      <c r="AI260" s="89">
        <f t="shared" si="39"/>
        <v>0</v>
      </c>
      <c r="AJ260" s="89">
        <f t="shared" si="40"/>
        <v>0</v>
      </c>
      <c r="AK260" s="89">
        <f t="shared" si="41"/>
        <v>210.7</v>
      </c>
      <c r="AL260" s="89">
        <f t="shared" si="42"/>
        <v>2.5</v>
      </c>
      <c r="AM260" s="89">
        <f t="shared" si="43"/>
        <v>0</v>
      </c>
      <c r="AN260" s="89">
        <f t="shared" si="44"/>
        <v>0</v>
      </c>
      <c r="AO260" s="89">
        <f t="shared" si="45"/>
        <v>88.4</v>
      </c>
      <c r="AP260" s="83">
        <f t="shared" si="46"/>
        <v>81</v>
      </c>
      <c r="AQ260" s="89">
        <f t="shared" si="47"/>
        <v>0</v>
      </c>
      <c r="AR260" s="89">
        <f t="shared" si="48"/>
        <v>87</v>
      </c>
      <c r="AS260" s="83">
        <f t="shared" si="49"/>
        <v>218</v>
      </c>
      <c r="AT260" s="89">
        <v>0</v>
      </c>
      <c r="AU260" s="89">
        <f t="shared" si="50"/>
        <v>1.2</v>
      </c>
      <c r="AV260" s="108">
        <v>2343229</v>
      </c>
      <c r="AW260" s="126">
        <v>448.4</v>
      </c>
      <c r="AX260" s="42">
        <v>448.4</v>
      </c>
      <c r="AY260" s="208">
        <f t="shared" si="51"/>
        <v>0</v>
      </c>
      <c r="AZ260" s="290">
        <v>117969</v>
      </c>
      <c r="BA260" s="42"/>
      <c r="BB260" s="42"/>
      <c r="BD260" s="129"/>
    </row>
    <row r="261" spans="1:56">
      <c r="A261" s="235" t="s">
        <v>454</v>
      </c>
      <c r="B261" s="121">
        <v>1</v>
      </c>
      <c r="C261" s="131">
        <v>4666</v>
      </c>
      <c r="D261" s="131">
        <v>0</v>
      </c>
      <c r="E261" s="82">
        <v>0</v>
      </c>
      <c r="F261" s="131">
        <v>0</v>
      </c>
      <c r="G261" s="199">
        <v>0</v>
      </c>
      <c r="H261" s="131">
        <v>0</v>
      </c>
      <c r="I261" s="131">
        <v>0</v>
      </c>
      <c r="J261" s="208">
        <v>0</v>
      </c>
      <c r="K261" s="127">
        <v>4878</v>
      </c>
      <c r="L261" s="124">
        <v>0</v>
      </c>
      <c r="M261" s="121">
        <v>0</v>
      </c>
      <c r="N261" s="124">
        <v>95.5</v>
      </c>
      <c r="O261" s="124">
        <v>0</v>
      </c>
      <c r="P261" s="131">
        <v>2712.8</v>
      </c>
      <c r="Q261" s="124">
        <v>0</v>
      </c>
      <c r="R261" s="124">
        <v>8501.2000000000007</v>
      </c>
      <c r="S261" s="124">
        <v>0</v>
      </c>
      <c r="T261" s="127">
        <v>2686</v>
      </c>
      <c r="U261" s="121">
        <v>0</v>
      </c>
      <c r="V261" s="121">
        <v>3309</v>
      </c>
      <c r="W261" s="121">
        <v>0</v>
      </c>
      <c r="X261" s="131">
        <v>0</v>
      </c>
      <c r="Y261" s="119">
        <v>108.5</v>
      </c>
      <c r="Z261" s="82">
        <v>0</v>
      </c>
      <c r="AA261" s="79">
        <v>0</v>
      </c>
      <c r="AB261" s="79">
        <v>0</v>
      </c>
      <c r="AC261" s="209">
        <v>0</v>
      </c>
      <c r="AD261" s="211">
        <v>1274</v>
      </c>
      <c r="AE261" s="89">
        <v>0</v>
      </c>
      <c r="AF261" s="89">
        <v>347.4</v>
      </c>
      <c r="AG261" s="89">
        <f>SUMIF('PreliminaryHD AR - School Level'!A262:A1568, "=" &amp; A261,'PreliminaryHD AR - School Level'!M262:M1568)</f>
        <v>347.3</v>
      </c>
      <c r="AH261" s="89">
        <v>8153.5</v>
      </c>
      <c r="AI261" s="89">
        <f t="shared" ref="AI261:AI289" si="52">D261-I261</f>
        <v>0</v>
      </c>
      <c r="AJ261" s="89">
        <f t="shared" ref="AJ261:AJ289" si="53">E261-J261</f>
        <v>0</v>
      </c>
      <c r="AK261" s="89">
        <f t="shared" ref="AK261:AK289" si="54">C261+F261</f>
        <v>4666</v>
      </c>
      <c r="AL261" s="89">
        <f t="shared" ref="AL261:AL289" si="55">N261+O261</f>
        <v>95.5</v>
      </c>
      <c r="AM261" s="89">
        <f t="shared" ref="AM261:AM289" si="56">R261+S261</f>
        <v>8501.2000000000007</v>
      </c>
      <c r="AN261" s="89">
        <f t="shared" ref="AN261:AN289" si="57">T261+U261</f>
        <v>2686</v>
      </c>
      <c r="AO261" s="89">
        <f t="shared" ref="AO261:AO289" si="58">P261+Q261</f>
        <v>2712.8</v>
      </c>
      <c r="AP261" s="83">
        <f t="shared" ref="AP261:AP289" si="59">V261+W261</f>
        <v>3309</v>
      </c>
      <c r="AQ261" s="89">
        <f t="shared" ref="AQ261:AQ289" si="60">AD261+AE261</f>
        <v>1274</v>
      </c>
      <c r="AR261" s="89">
        <f t="shared" ref="AR261:AR289" si="61">Y261+Z261</f>
        <v>108.5</v>
      </c>
      <c r="AS261" s="83">
        <f t="shared" ref="AS261:AS289" si="62">K261+M261</f>
        <v>4878</v>
      </c>
      <c r="AT261" s="89">
        <v>0</v>
      </c>
      <c r="AU261" s="89">
        <f t="shared" ref="AU261:AU289" si="63">MAX(AF261,AG261)</f>
        <v>347.4</v>
      </c>
      <c r="AV261" s="108">
        <v>36785280</v>
      </c>
      <c r="AW261" s="126">
        <v>8153.5</v>
      </c>
      <c r="AX261" s="42">
        <v>8153.5</v>
      </c>
      <c r="AY261" s="208">
        <f t="shared" ref="AY261:AY289" si="64">AX261-AH261</f>
        <v>0</v>
      </c>
      <c r="AZ261" s="290">
        <v>798533</v>
      </c>
      <c r="BA261" s="42"/>
      <c r="BB261" s="42"/>
      <c r="BD261" s="129"/>
    </row>
    <row r="262" spans="1:56">
      <c r="A262" s="235" t="s">
        <v>455</v>
      </c>
      <c r="B262" s="121">
        <v>1</v>
      </c>
      <c r="C262" s="131">
        <v>258</v>
      </c>
      <c r="D262" s="131">
        <v>0</v>
      </c>
      <c r="E262" s="82">
        <v>0</v>
      </c>
      <c r="F262" s="131">
        <v>0</v>
      </c>
      <c r="G262" s="199">
        <v>0</v>
      </c>
      <c r="H262" s="131">
        <v>0</v>
      </c>
      <c r="I262" s="131">
        <v>0</v>
      </c>
      <c r="J262" s="208">
        <v>0</v>
      </c>
      <c r="K262" s="127">
        <v>271</v>
      </c>
      <c r="L262" s="124">
        <v>0</v>
      </c>
      <c r="M262" s="121">
        <v>0</v>
      </c>
      <c r="N262" s="124">
        <v>6.5</v>
      </c>
      <c r="O262" s="124">
        <v>0</v>
      </c>
      <c r="P262" s="131">
        <v>113.7</v>
      </c>
      <c r="Q262" s="124">
        <v>0</v>
      </c>
      <c r="R262" s="124">
        <v>0</v>
      </c>
      <c r="S262" s="124">
        <v>0</v>
      </c>
      <c r="T262" s="127">
        <v>0</v>
      </c>
      <c r="U262" s="121">
        <v>0</v>
      </c>
      <c r="V262" s="121">
        <v>106</v>
      </c>
      <c r="W262" s="121">
        <v>0</v>
      </c>
      <c r="X262" s="131">
        <v>0</v>
      </c>
      <c r="Y262" s="119">
        <v>123</v>
      </c>
      <c r="Z262" s="82">
        <v>0</v>
      </c>
      <c r="AA262" s="79">
        <v>0</v>
      </c>
      <c r="AB262" s="79">
        <v>0</v>
      </c>
      <c r="AC262" s="209">
        <v>0</v>
      </c>
      <c r="AD262" s="211">
        <v>0</v>
      </c>
      <c r="AE262" s="89">
        <v>0</v>
      </c>
      <c r="AF262" s="89">
        <v>3</v>
      </c>
      <c r="AG262" s="89">
        <f>SUMIF('PreliminaryHD AR - School Level'!A263:A1569, "=" &amp; A262,'PreliminaryHD AR - School Level'!M263:M1569)</f>
        <v>3.7</v>
      </c>
      <c r="AH262" s="89">
        <v>543.20000000000005</v>
      </c>
      <c r="AI262" s="89">
        <f t="shared" si="52"/>
        <v>0</v>
      </c>
      <c r="AJ262" s="89">
        <f t="shared" si="53"/>
        <v>0</v>
      </c>
      <c r="AK262" s="89">
        <f t="shared" si="54"/>
        <v>258</v>
      </c>
      <c r="AL262" s="89">
        <f t="shared" si="55"/>
        <v>6.5</v>
      </c>
      <c r="AM262" s="89">
        <f t="shared" si="56"/>
        <v>0</v>
      </c>
      <c r="AN262" s="89">
        <f t="shared" si="57"/>
        <v>0</v>
      </c>
      <c r="AO262" s="89">
        <f t="shared" si="58"/>
        <v>113.7</v>
      </c>
      <c r="AP262" s="83">
        <f t="shared" si="59"/>
        <v>106</v>
      </c>
      <c r="AQ262" s="89">
        <f t="shared" si="60"/>
        <v>0</v>
      </c>
      <c r="AR262" s="89">
        <f t="shared" si="61"/>
        <v>123</v>
      </c>
      <c r="AS262" s="83">
        <f t="shared" si="62"/>
        <v>271</v>
      </c>
      <c r="AT262" s="89">
        <v>0</v>
      </c>
      <c r="AU262" s="89">
        <f t="shared" si="63"/>
        <v>3.7</v>
      </c>
      <c r="AV262" s="108">
        <v>2536902</v>
      </c>
      <c r="AW262" s="126">
        <v>543.20000000000005</v>
      </c>
      <c r="AX262" s="42">
        <v>543.20000000000005</v>
      </c>
      <c r="AY262" s="208">
        <f t="shared" si="64"/>
        <v>0</v>
      </c>
      <c r="AZ262" s="290">
        <v>45580</v>
      </c>
      <c r="BA262" s="42"/>
      <c r="BB262" s="42"/>
      <c r="BD262" s="129"/>
    </row>
    <row r="263" spans="1:56">
      <c r="A263" s="235" t="s">
        <v>456</v>
      </c>
      <c r="B263" s="121">
        <v>1</v>
      </c>
      <c r="C263" s="131">
        <v>234.5</v>
      </c>
      <c r="D263" s="131">
        <v>0</v>
      </c>
      <c r="E263" s="82">
        <v>0</v>
      </c>
      <c r="F263" s="131">
        <v>0</v>
      </c>
      <c r="G263" s="199">
        <v>0</v>
      </c>
      <c r="H263" s="131">
        <v>0</v>
      </c>
      <c r="I263" s="131">
        <v>0</v>
      </c>
      <c r="J263" s="208">
        <v>0</v>
      </c>
      <c r="K263" s="127">
        <v>241</v>
      </c>
      <c r="L263" s="124">
        <v>0</v>
      </c>
      <c r="M263" s="121">
        <v>0</v>
      </c>
      <c r="N263" s="124">
        <v>2</v>
      </c>
      <c r="O263" s="124">
        <v>0</v>
      </c>
      <c r="P263" s="131">
        <v>47.2</v>
      </c>
      <c r="Q263" s="124">
        <v>0</v>
      </c>
      <c r="R263" s="124">
        <v>5.3</v>
      </c>
      <c r="S263" s="124">
        <v>0</v>
      </c>
      <c r="T263" s="127">
        <v>9</v>
      </c>
      <c r="U263" s="121">
        <v>0</v>
      </c>
      <c r="V263" s="121">
        <v>83</v>
      </c>
      <c r="W263" s="121">
        <v>0</v>
      </c>
      <c r="X263" s="131">
        <v>0</v>
      </c>
      <c r="Y263" s="119">
        <v>42</v>
      </c>
      <c r="Z263" s="82">
        <v>0</v>
      </c>
      <c r="AA263" s="79">
        <v>0</v>
      </c>
      <c r="AB263" s="79">
        <v>0</v>
      </c>
      <c r="AC263" s="209">
        <v>0</v>
      </c>
      <c r="AD263" s="211">
        <v>0</v>
      </c>
      <c r="AE263" s="89">
        <v>0</v>
      </c>
      <c r="AF263" s="89">
        <v>0</v>
      </c>
      <c r="AG263" s="89">
        <f>SUMIF('PreliminaryHD AR - School Level'!A264:A1570, "=" &amp; A263,'PreliminaryHD AR - School Level'!M264:M1570)</f>
        <v>0.1</v>
      </c>
      <c r="AH263" s="89">
        <v>456.6</v>
      </c>
      <c r="AI263" s="89">
        <f t="shared" si="52"/>
        <v>0</v>
      </c>
      <c r="AJ263" s="89">
        <f t="shared" si="53"/>
        <v>0</v>
      </c>
      <c r="AK263" s="89">
        <f t="shared" si="54"/>
        <v>234.5</v>
      </c>
      <c r="AL263" s="89">
        <f t="shared" si="55"/>
        <v>2</v>
      </c>
      <c r="AM263" s="89">
        <f t="shared" si="56"/>
        <v>5.3</v>
      </c>
      <c r="AN263" s="89">
        <f t="shared" si="57"/>
        <v>9</v>
      </c>
      <c r="AO263" s="89">
        <f t="shared" si="58"/>
        <v>47.2</v>
      </c>
      <c r="AP263" s="83">
        <f t="shared" si="59"/>
        <v>83</v>
      </c>
      <c r="AQ263" s="89">
        <f t="shared" si="60"/>
        <v>0</v>
      </c>
      <c r="AR263" s="89">
        <f t="shared" si="61"/>
        <v>42</v>
      </c>
      <c r="AS263" s="83">
        <f t="shared" si="62"/>
        <v>241</v>
      </c>
      <c r="AT263" s="89">
        <v>0</v>
      </c>
      <c r="AU263" s="89">
        <f t="shared" si="63"/>
        <v>0.1</v>
      </c>
      <c r="AV263" s="108">
        <v>2168299</v>
      </c>
      <c r="AW263" s="126">
        <v>456.6</v>
      </c>
      <c r="AX263" s="42">
        <v>456.6</v>
      </c>
      <c r="AY263" s="208">
        <f t="shared" si="64"/>
        <v>0</v>
      </c>
      <c r="AZ263" s="290">
        <v>98774</v>
      </c>
      <c r="BA263" s="42"/>
      <c r="BB263" s="42"/>
      <c r="BD263" s="129"/>
    </row>
    <row r="264" spans="1:56">
      <c r="A264" s="235" t="s">
        <v>457</v>
      </c>
      <c r="B264" s="121">
        <v>1</v>
      </c>
      <c r="C264" s="131">
        <v>607</v>
      </c>
      <c r="D264" s="131">
        <v>0</v>
      </c>
      <c r="E264" s="82">
        <v>0</v>
      </c>
      <c r="F264" s="131">
        <v>0</v>
      </c>
      <c r="G264" s="199">
        <v>0</v>
      </c>
      <c r="H264" s="131">
        <v>0</v>
      </c>
      <c r="I264" s="131">
        <v>0</v>
      </c>
      <c r="J264" s="208">
        <v>0</v>
      </c>
      <c r="K264" s="127">
        <v>643</v>
      </c>
      <c r="L264" s="124">
        <v>0</v>
      </c>
      <c r="M264" s="121">
        <v>0</v>
      </c>
      <c r="N264" s="124">
        <v>14.5</v>
      </c>
      <c r="O264" s="124">
        <v>0</v>
      </c>
      <c r="P264" s="131">
        <v>53.4</v>
      </c>
      <c r="Q264" s="124">
        <v>0</v>
      </c>
      <c r="R264" s="124">
        <v>2047.7</v>
      </c>
      <c r="S264" s="124">
        <v>0</v>
      </c>
      <c r="T264" s="127">
        <v>361</v>
      </c>
      <c r="U264" s="121">
        <v>0</v>
      </c>
      <c r="V264" s="121">
        <v>396</v>
      </c>
      <c r="W264" s="121">
        <v>0</v>
      </c>
      <c r="X264" s="131">
        <v>0</v>
      </c>
      <c r="Y264" s="119">
        <v>545</v>
      </c>
      <c r="Z264" s="82">
        <v>0</v>
      </c>
      <c r="AA264" s="79">
        <v>0</v>
      </c>
      <c r="AB264" s="79">
        <v>0</v>
      </c>
      <c r="AC264" s="209">
        <v>0</v>
      </c>
      <c r="AD264" s="211">
        <v>0</v>
      </c>
      <c r="AE264" s="89">
        <v>0</v>
      </c>
      <c r="AF264" s="89">
        <v>41.6</v>
      </c>
      <c r="AG264" s="89">
        <f>SUMIF('PreliminaryHD AR - School Level'!A265:A1571, "=" &amp; A264,'PreliminaryHD AR - School Level'!M265:M1571)</f>
        <v>41.6</v>
      </c>
      <c r="AH264" s="89">
        <v>1453.4</v>
      </c>
      <c r="AI264" s="89">
        <f t="shared" si="52"/>
        <v>0</v>
      </c>
      <c r="AJ264" s="89">
        <f t="shared" si="53"/>
        <v>0</v>
      </c>
      <c r="AK264" s="89">
        <f t="shared" si="54"/>
        <v>607</v>
      </c>
      <c r="AL264" s="89">
        <f t="shared" si="55"/>
        <v>14.5</v>
      </c>
      <c r="AM264" s="89">
        <f t="shared" si="56"/>
        <v>2047.7</v>
      </c>
      <c r="AN264" s="89">
        <f t="shared" si="57"/>
        <v>361</v>
      </c>
      <c r="AO264" s="89">
        <f t="shared" si="58"/>
        <v>53.4</v>
      </c>
      <c r="AP264" s="83">
        <f t="shared" si="59"/>
        <v>396</v>
      </c>
      <c r="AQ264" s="89">
        <f t="shared" si="60"/>
        <v>0</v>
      </c>
      <c r="AR264" s="89">
        <f t="shared" si="61"/>
        <v>545</v>
      </c>
      <c r="AS264" s="83">
        <f t="shared" si="62"/>
        <v>643</v>
      </c>
      <c r="AT264" s="89">
        <v>0</v>
      </c>
      <c r="AU264" s="89">
        <f t="shared" si="63"/>
        <v>41.6</v>
      </c>
      <c r="AV264" s="108">
        <v>6850176</v>
      </c>
      <c r="AW264" s="126">
        <v>1453.4</v>
      </c>
      <c r="AX264" s="42">
        <v>1453.4</v>
      </c>
      <c r="AY264" s="208">
        <f t="shared" si="64"/>
        <v>0</v>
      </c>
      <c r="AZ264" s="290">
        <v>517681</v>
      </c>
      <c r="BA264" s="42"/>
      <c r="BB264" s="42"/>
      <c r="BD264" s="129"/>
    </row>
    <row r="265" spans="1:56">
      <c r="A265" s="235" t="s">
        <v>458</v>
      </c>
      <c r="B265" s="121">
        <v>1</v>
      </c>
      <c r="C265" s="131">
        <v>696.5</v>
      </c>
      <c r="D265" s="131">
        <v>0</v>
      </c>
      <c r="E265" s="82">
        <v>0</v>
      </c>
      <c r="F265" s="131">
        <v>0</v>
      </c>
      <c r="G265" s="199">
        <v>0</v>
      </c>
      <c r="H265" s="131">
        <v>0</v>
      </c>
      <c r="I265" s="131">
        <v>0</v>
      </c>
      <c r="J265" s="208">
        <v>0</v>
      </c>
      <c r="K265" s="127">
        <v>713</v>
      </c>
      <c r="L265" s="124">
        <v>0</v>
      </c>
      <c r="M265" s="121">
        <v>0</v>
      </c>
      <c r="N265" s="124">
        <v>7</v>
      </c>
      <c r="O265" s="124">
        <v>0</v>
      </c>
      <c r="P265" s="131">
        <v>193.4</v>
      </c>
      <c r="Q265" s="124">
        <v>0</v>
      </c>
      <c r="R265" s="124">
        <v>0</v>
      </c>
      <c r="S265" s="124">
        <v>0</v>
      </c>
      <c r="T265" s="127">
        <v>0</v>
      </c>
      <c r="U265" s="121">
        <v>0</v>
      </c>
      <c r="V265" s="121">
        <v>311</v>
      </c>
      <c r="W265" s="121">
        <v>0</v>
      </c>
      <c r="X265" s="131">
        <v>0</v>
      </c>
      <c r="Y265" s="119">
        <v>206</v>
      </c>
      <c r="Z265" s="82">
        <v>0</v>
      </c>
      <c r="AA265" s="79">
        <v>0</v>
      </c>
      <c r="AB265" s="79">
        <v>0</v>
      </c>
      <c r="AC265" s="209">
        <v>4</v>
      </c>
      <c r="AD265" s="211">
        <v>0</v>
      </c>
      <c r="AE265" s="89">
        <v>0</v>
      </c>
      <c r="AF265" s="89">
        <v>18.8</v>
      </c>
      <c r="AG265" s="89">
        <f>SUMIF('PreliminaryHD AR - School Level'!A266:A1572, "=" &amp; A265,'PreliminaryHD AR - School Level'!M266:M1572)</f>
        <v>19.7</v>
      </c>
      <c r="AH265" s="89">
        <v>1182.4000000000001</v>
      </c>
      <c r="AI265" s="89">
        <f t="shared" si="52"/>
        <v>0</v>
      </c>
      <c r="AJ265" s="89">
        <f t="shared" si="53"/>
        <v>0</v>
      </c>
      <c r="AK265" s="89">
        <f t="shared" si="54"/>
        <v>696.5</v>
      </c>
      <c r="AL265" s="89">
        <f t="shared" si="55"/>
        <v>7</v>
      </c>
      <c r="AM265" s="89">
        <f t="shared" si="56"/>
        <v>0</v>
      </c>
      <c r="AN265" s="89">
        <f t="shared" si="57"/>
        <v>0</v>
      </c>
      <c r="AO265" s="89">
        <f t="shared" si="58"/>
        <v>193.4</v>
      </c>
      <c r="AP265" s="83">
        <f t="shared" si="59"/>
        <v>311</v>
      </c>
      <c r="AQ265" s="89">
        <f t="shared" si="60"/>
        <v>0</v>
      </c>
      <c r="AR265" s="89">
        <f t="shared" si="61"/>
        <v>206</v>
      </c>
      <c r="AS265" s="83">
        <f t="shared" si="62"/>
        <v>713</v>
      </c>
      <c r="AT265" s="89">
        <v>0</v>
      </c>
      <c r="AU265" s="89">
        <f t="shared" si="63"/>
        <v>19.7</v>
      </c>
      <c r="AV265" s="108">
        <v>5523005</v>
      </c>
      <c r="AW265" s="126">
        <v>1182.4000000000001</v>
      </c>
      <c r="AX265" s="42">
        <v>1182.4000000000001</v>
      </c>
      <c r="AY265" s="208">
        <f t="shared" si="64"/>
        <v>0</v>
      </c>
      <c r="AZ265" s="290">
        <v>276724</v>
      </c>
      <c r="BA265" s="42"/>
      <c r="BB265" s="42"/>
      <c r="BD265" s="129"/>
    </row>
    <row r="266" spans="1:56">
      <c r="A266" s="235" t="s">
        <v>459</v>
      </c>
      <c r="B266" s="121">
        <v>1</v>
      </c>
      <c r="C266" s="131">
        <v>430.5</v>
      </c>
      <c r="D266" s="131">
        <v>0</v>
      </c>
      <c r="E266" s="82">
        <v>0</v>
      </c>
      <c r="F266" s="131">
        <v>0</v>
      </c>
      <c r="G266" s="199">
        <v>0</v>
      </c>
      <c r="H266" s="131">
        <v>0</v>
      </c>
      <c r="I266" s="131">
        <v>0</v>
      </c>
      <c r="J266" s="208">
        <v>0</v>
      </c>
      <c r="K266" s="127">
        <v>448</v>
      </c>
      <c r="L266" s="124">
        <v>0</v>
      </c>
      <c r="M266" s="121">
        <v>0</v>
      </c>
      <c r="N266" s="124">
        <v>7.5</v>
      </c>
      <c r="O266" s="124">
        <v>0</v>
      </c>
      <c r="P266" s="131">
        <v>186.6</v>
      </c>
      <c r="Q266" s="124">
        <v>0</v>
      </c>
      <c r="R266" s="124">
        <v>0</v>
      </c>
      <c r="S266" s="124">
        <v>0</v>
      </c>
      <c r="T266" s="127">
        <v>0</v>
      </c>
      <c r="U266" s="121">
        <v>0</v>
      </c>
      <c r="V266" s="121">
        <v>224</v>
      </c>
      <c r="W266" s="121">
        <v>0</v>
      </c>
      <c r="X266" s="131">
        <v>1</v>
      </c>
      <c r="Y266" s="119">
        <v>50</v>
      </c>
      <c r="Z266" s="82">
        <v>0</v>
      </c>
      <c r="AA266" s="79">
        <v>5</v>
      </c>
      <c r="AB266" s="79">
        <v>0.7</v>
      </c>
      <c r="AC266" s="209">
        <v>1</v>
      </c>
      <c r="AD266" s="211">
        <v>0</v>
      </c>
      <c r="AE266" s="89">
        <v>0</v>
      </c>
      <c r="AF266" s="89">
        <v>23.5</v>
      </c>
      <c r="AG266" s="89">
        <f>SUMIF('PreliminaryHD AR - School Level'!A267:A1573, "=" &amp; A266,'PreliminaryHD AR - School Level'!M267:M1573)</f>
        <v>20.3</v>
      </c>
      <c r="AH266" s="89">
        <v>834.9</v>
      </c>
      <c r="AI266" s="89">
        <f t="shared" si="52"/>
        <v>0</v>
      </c>
      <c r="AJ266" s="89">
        <f t="shared" si="53"/>
        <v>0</v>
      </c>
      <c r="AK266" s="89">
        <f t="shared" si="54"/>
        <v>430.5</v>
      </c>
      <c r="AL266" s="89">
        <f t="shared" si="55"/>
        <v>7.5</v>
      </c>
      <c r="AM266" s="89">
        <f t="shared" si="56"/>
        <v>0</v>
      </c>
      <c r="AN266" s="89">
        <f t="shared" si="57"/>
        <v>0</v>
      </c>
      <c r="AO266" s="89">
        <f t="shared" si="58"/>
        <v>186.6</v>
      </c>
      <c r="AP266" s="83">
        <f t="shared" si="59"/>
        <v>224</v>
      </c>
      <c r="AQ266" s="89">
        <f t="shared" si="60"/>
        <v>0</v>
      </c>
      <c r="AR266" s="89">
        <f t="shared" si="61"/>
        <v>50</v>
      </c>
      <c r="AS266" s="83">
        <f t="shared" si="62"/>
        <v>448</v>
      </c>
      <c r="AT266" s="89">
        <v>0</v>
      </c>
      <c r="AU266" s="89">
        <f t="shared" si="63"/>
        <v>23.5</v>
      </c>
      <c r="AV266" s="108">
        <v>4210807</v>
      </c>
      <c r="AW266" s="126">
        <v>834.9</v>
      </c>
      <c r="AX266" s="42">
        <v>834.9</v>
      </c>
      <c r="AY266" s="208">
        <f t="shared" si="64"/>
        <v>0</v>
      </c>
      <c r="AZ266" s="290">
        <v>225561</v>
      </c>
      <c r="BA266" s="42"/>
      <c r="BB266" s="42"/>
      <c r="BD266" s="129"/>
    </row>
    <row r="267" spans="1:56">
      <c r="A267" s="235" t="s">
        <v>460</v>
      </c>
      <c r="B267" s="121">
        <v>1</v>
      </c>
      <c r="C267" s="131">
        <v>3040.5</v>
      </c>
      <c r="D267" s="131">
        <v>0</v>
      </c>
      <c r="E267" s="82">
        <v>0</v>
      </c>
      <c r="F267" s="131">
        <v>0</v>
      </c>
      <c r="G267" s="199">
        <v>0</v>
      </c>
      <c r="H267" s="131">
        <v>0</v>
      </c>
      <c r="I267" s="131">
        <v>0</v>
      </c>
      <c r="J267" s="208">
        <v>0</v>
      </c>
      <c r="K267" s="127">
        <v>3124</v>
      </c>
      <c r="L267" s="124">
        <v>0</v>
      </c>
      <c r="M267" s="121">
        <v>0</v>
      </c>
      <c r="N267" s="124">
        <v>20.5</v>
      </c>
      <c r="O267" s="124">
        <v>0</v>
      </c>
      <c r="P267" s="131">
        <v>744.5</v>
      </c>
      <c r="Q267" s="124">
        <v>0</v>
      </c>
      <c r="R267" s="124">
        <v>606.29999999999995</v>
      </c>
      <c r="S267" s="124">
        <v>0</v>
      </c>
      <c r="T267" s="127">
        <v>204</v>
      </c>
      <c r="U267" s="121">
        <v>0</v>
      </c>
      <c r="V267" s="121">
        <v>926</v>
      </c>
      <c r="W267" s="121">
        <v>0</v>
      </c>
      <c r="X267" s="131">
        <v>4</v>
      </c>
      <c r="Y267" s="119">
        <v>676</v>
      </c>
      <c r="Z267" s="82">
        <v>0</v>
      </c>
      <c r="AA267" s="79">
        <v>31</v>
      </c>
      <c r="AB267" s="79">
        <v>0</v>
      </c>
      <c r="AC267" s="209">
        <v>36</v>
      </c>
      <c r="AD267" s="211">
        <v>0</v>
      </c>
      <c r="AE267" s="89">
        <v>0</v>
      </c>
      <c r="AF267" s="89">
        <v>0</v>
      </c>
      <c r="AG267" s="89">
        <f>SUMIF('PreliminaryHD AR - School Level'!A268:A1574, "=" &amp; A267,'PreliminaryHD AR - School Level'!M268:M1574)</f>
        <v>11.1</v>
      </c>
      <c r="AH267" s="89">
        <v>3801.3</v>
      </c>
      <c r="AI267" s="89">
        <f t="shared" si="52"/>
        <v>0</v>
      </c>
      <c r="AJ267" s="89">
        <f t="shared" si="53"/>
        <v>0</v>
      </c>
      <c r="AK267" s="89">
        <f t="shared" si="54"/>
        <v>3040.5</v>
      </c>
      <c r="AL267" s="89">
        <f t="shared" si="55"/>
        <v>20.5</v>
      </c>
      <c r="AM267" s="89">
        <f t="shared" si="56"/>
        <v>606.29999999999995</v>
      </c>
      <c r="AN267" s="89">
        <f t="shared" si="57"/>
        <v>204</v>
      </c>
      <c r="AO267" s="89">
        <f t="shared" si="58"/>
        <v>744.5</v>
      </c>
      <c r="AP267" s="83">
        <f t="shared" si="59"/>
        <v>926</v>
      </c>
      <c r="AQ267" s="89">
        <f t="shared" si="60"/>
        <v>0</v>
      </c>
      <c r="AR267" s="89">
        <f t="shared" si="61"/>
        <v>676</v>
      </c>
      <c r="AS267" s="83">
        <f t="shared" si="62"/>
        <v>3124</v>
      </c>
      <c r="AT267" s="89">
        <v>0</v>
      </c>
      <c r="AU267" s="89">
        <f t="shared" si="63"/>
        <v>11.1</v>
      </c>
      <c r="AV267" s="108">
        <v>18919087</v>
      </c>
      <c r="AW267" s="126">
        <v>3801.3</v>
      </c>
      <c r="AX267" s="42">
        <v>3801.3</v>
      </c>
      <c r="AY267" s="208">
        <f t="shared" si="64"/>
        <v>0</v>
      </c>
      <c r="AZ267" s="290">
        <v>589624</v>
      </c>
      <c r="BA267" s="42"/>
      <c r="BB267" s="42"/>
      <c r="BD267" s="129"/>
    </row>
    <row r="268" spans="1:56">
      <c r="A268" s="235" t="s">
        <v>461</v>
      </c>
      <c r="B268" s="121">
        <v>1</v>
      </c>
      <c r="C268" s="131">
        <v>1874.6</v>
      </c>
      <c r="D268" s="131">
        <v>0</v>
      </c>
      <c r="E268" s="82">
        <v>0</v>
      </c>
      <c r="F268" s="131">
        <v>0</v>
      </c>
      <c r="G268" s="199">
        <v>0</v>
      </c>
      <c r="H268" s="131">
        <v>0</v>
      </c>
      <c r="I268" s="131">
        <v>0</v>
      </c>
      <c r="J268" s="208">
        <v>0</v>
      </c>
      <c r="K268" s="127">
        <v>1939</v>
      </c>
      <c r="L268" s="124">
        <v>0</v>
      </c>
      <c r="M268" s="121">
        <v>0</v>
      </c>
      <c r="N268" s="124">
        <v>17</v>
      </c>
      <c r="O268" s="124">
        <v>0</v>
      </c>
      <c r="P268" s="131">
        <v>333.3</v>
      </c>
      <c r="Q268" s="124">
        <v>0</v>
      </c>
      <c r="R268" s="124">
        <v>6.6</v>
      </c>
      <c r="S268" s="124">
        <v>0</v>
      </c>
      <c r="T268" s="127">
        <v>29</v>
      </c>
      <c r="U268" s="121">
        <v>0</v>
      </c>
      <c r="V268" s="121">
        <v>860</v>
      </c>
      <c r="W268" s="121">
        <v>0</v>
      </c>
      <c r="X268" s="131">
        <v>0</v>
      </c>
      <c r="Y268" s="119">
        <v>712</v>
      </c>
      <c r="Z268" s="82">
        <v>0</v>
      </c>
      <c r="AA268" s="79">
        <v>9</v>
      </c>
      <c r="AB268" s="79">
        <v>1.3</v>
      </c>
      <c r="AC268" s="209">
        <v>12</v>
      </c>
      <c r="AD268" s="211">
        <v>0</v>
      </c>
      <c r="AE268" s="89">
        <v>0</v>
      </c>
      <c r="AF268" s="89">
        <v>56.3</v>
      </c>
      <c r="AG268" s="89">
        <f>SUMIF('PreliminaryHD AR - School Level'!A269:A1575, "=" &amp; A268,'PreliminaryHD AR - School Level'!M269:M1575)</f>
        <v>57.1</v>
      </c>
      <c r="AH268" s="89">
        <v>2597.6</v>
      </c>
      <c r="AI268" s="89">
        <f t="shared" si="52"/>
        <v>0</v>
      </c>
      <c r="AJ268" s="89">
        <f t="shared" si="53"/>
        <v>0</v>
      </c>
      <c r="AK268" s="89">
        <f t="shared" si="54"/>
        <v>1874.6</v>
      </c>
      <c r="AL268" s="89">
        <f t="shared" si="55"/>
        <v>17</v>
      </c>
      <c r="AM268" s="89">
        <f t="shared" si="56"/>
        <v>6.6</v>
      </c>
      <c r="AN268" s="89">
        <f t="shared" si="57"/>
        <v>29</v>
      </c>
      <c r="AO268" s="89">
        <f t="shared" si="58"/>
        <v>333.3</v>
      </c>
      <c r="AP268" s="83">
        <f t="shared" si="59"/>
        <v>860</v>
      </c>
      <c r="AQ268" s="89">
        <f t="shared" si="60"/>
        <v>0</v>
      </c>
      <c r="AR268" s="89">
        <f t="shared" si="61"/>
        <v>712</v>
      </c>
      <c r="AS268" s="83">
        <f t="shared" si="62"/>
        <v>1939</v>
      </c>
      <c r="AT268" s="89">
        <v>0</v>
      </c>
      <c r="AU268" s="89">
        <f t="shared" si="63"/>
        <v>57.1</v>
      </c>
      <c r="AV268" s="108">
        <v>12975138</v>
      </c>
      <c r="AW268" s="126">
        <v>2597.6</v>
      </c>
      <c r="AX268" s="42">
        <v>2597.6</v>
      </c>
      <c r="AY268" s="208">
        <f t="shared" si="64"/>
        <v>0</v>
      </c>
      <c r="AZ268" s="290">
        <v>324665</v>
      </c>
      <c r="BA268" s="42"/>
      <c r="BB268" s="42"/>
      <c r="BD268" s="129"/>
    </row>
    <row r="269" spans="1:56">
      <c r="A269" s="235" t="s">
        <v>462</v>
      </c>
      <c r="B269" s="121">
        <v>1</v>
      </c>
      <c r="C269" s="131">
        <v>1712.3</v>
      </c>
      <c r="D269" s="131">
        <v>0</v>
      </c>
      <c r="E269" s="82">
        <v>0</v>
      </c>
      <c r="F269" s="131">
        <v>0</v>
      </c>
      <c r="G269" s="199">
        <v>0</v>
      </c>
      <c r="H269" s="131">
        <v>0</v>
      </c>
      <c r="I269" s="131">
        <v>0</v>
      </c>
      <c r="J269" s="208">
        <v>0</v>
      </c>
      <c r="K269" s="127">
        <v>1755</v>
      </c>
      <c r="L269" s="124">
        <v>0</v>
      </c>
      <c r="M269" s="121">
        <v>0</v>
      </c>
      <c r="N269" s="124">
        <v>9.5</v>
      </c>
      <c r="O269" s="124">
        <v>0</v>
      </c>
      <c r="P269" s="131">
        <v>477.9</v>
      </c>
      <c r="Q269" s="124">
        <v>0</v>
      </c>
      <c r="R269" s="124">
        <v>20.9</v>
      </c>
      <c r="S269" s="124">
        <v>0</v>
      </c>
      <c r="T269" s="127">
        <v>12</v>
      </c>
      <c r="U269" s="121">
        <v>0</v>
      </c>
      <c r="V269" s="121">
        <v>407</v>
      </c>
      <c r="W269" s="121">
        <v>0</v>
      </c>
      <c r="X269" s="131">
        <v>0</v>
      </c>
      <c r="Y269" s="119">
        <v>182</v>
      </c>
      <c r="Z269" s="82">
        <v>0</v>
      </c>
      <c r="AA269" s="79">
        <v>17</v>
      </c>
      <c r="AB269" s="79">
        <v>0.9</v>
      </c>
      <c r="AC269" s="209">
        <v>17</v>
      </c>
      <c r="AD269" s="211">
        <v>0</v>
      </c>
      <c r="AE269" s="89">
        <v>0</v>
      </c>
      <c r="AF269" s="89">
        <v>0</v>
      </c>
      <c r="AG269" s="89">
        <f>SUMIF('PreliminaryHD AR - School Level'!A270:A1576, "=" &amp; A269,'PreliminaryHD AR - School Level'!M270:M1576)</f>
        <v>0</v>
      </c>
      <c r="AH269" s="89">
        <v>2039.3</v>
      </c>
      <c r="AI269" s="89">
        <f t="shared" si="52"/>
        <v>0</v>
      </c>
      <c r="AJ269" s="89">
        <f t="shared" si="53"/>
        <v>0</v>
      </c>
      <c r="AK269" s="89">
        <f t="shared" si="54"/>
        <v>1712.3</v>
      </c>
      <c r="AL269" s="89">
        <f t="shared" si="55"/>
        <v>9.5</v>
      </c>
      <c r="AM269" s="89">
        <f t="shared" si="56"/>
        <v>20.9</v>
      </c>
      <c r="AN269" s="89">
        <f t="shared" si="57"/>
        <v>12</v>
      </c>
      <c r="AO269" s="89">
        <f t="shared" si="58"/>
        <v>477.9</v>
      </c>
      <c r="AP269" s="83">
        <f t="shared" si="59"/>
        <v>407</v>
      </c>
      <c r="AQ269" s="89">
        <f t="shared" si="60"/>
        <v>0</v>
      </c>
      <c r="AR269" s="89">
        <f t="shared" si="61"/>
        <v>182</v>
      </c>
      <c r="AS269" s="83">
        <f t="shared" si="62"/>
        <v>1755</v>
      </c>
      <c r="AT269" s="89">
        <v>0</v>
      </c>
      <c r="AU269" s="89">
        <f t="shared" si="63"/>
        <v>0</v>
      </c>
      <c r="AV269" s="108">
        <v>10754103</v>
      </c>
      <c r="AW269" s="126">
        <v>2039.3</v>
      </c>
      <c r="AX269" s="42">
        <v>2039.3</v>
      </c>
      <c r="AY269" s="208">
        <f t="shared" si="64"/>
        <v>0</v>
      </c>
      <c r="AZ269" s="290">
        <v>265960</v>
      </c>
      <c r="BA269" s="42"/>
      <c r="BB269" s="42"/>
      <c r="BD269" s="129"/>
    </row>
    <row r="270" spans="1:56">
      <c r="A270" s="235" t="s">
        <v>463</v>
      </c>
      <c r="B270" s="121">
        <v>1</v>
      </c>
      <c r="C270" s="131">
        <v>275.60000000000002</v>
      </c>
      <c r="D270" s="131">
        <v>0</v>
      </c>
      <c r="E270" s="82">
        <v>0</v>
      </c>
      <c r="F270" s="131">
        <v>0</v>
      </c>
      <c r="G270" s="199">
        <v>0</v>
      </c>
      <c r="H270" s="131">
        <v>0</v>
      </c>
      <c r="I270" s="131">
        <v>0</v>
      </c>
      <c r="J270" s="208">
        <v>0</v>
      </c>
      <c r="K270" s="127">
        <v>283</v>
      </c>
      <c r="L270" s="124">
        <v>0</v>
      </c>
      <c r="M270" s="121">
        <v>0</v>
      </c>
      <c r="N270" s="124">
        <v>3.5</v>
      </c>
      <c r="O270" s="124">
        <v>0</v>
      </c>
      <c r="P270" s="131">
        <v>79</v>
      </c>
      <c r="Q270" s="124">
        <v>0</v>
      </c>
      <c r="R270" s="124">
        <v>0</v>
      </c>
      <c r="S270" s="124">
        <v>0</v>
      </c>
      <c r="T270" s="127">
        <v>0</v>
      </c>
      <c r="U270" s="121">
        <v>0</v>
      </c>
      <c r="V270" s="121">
        <v>98</v>
      </c>
      <c r="W270" s="121">
        <v>0</v>
      </c>
      <c r="X270" s="131">
        <v>0</v>
      </c>
      <c r="Y270" s="119">
        <v>151</v>
      </c>
      <c r="Z270" s="82">
        <v>0</v>
      </c>
      <c r="AA270" s="79">
        <v>0</v>
      </c>
      <c r="AB270" s="79">
        <v>0</v>
      </c>
      <c r="AC270" s="209">
        <v>0</v>
      </c>
      <c r="AD270" s="211">
        <v>0</v>
      </c>
      <c r="AE270" s="89">
        <v>0</v>
      </c>
      <c r="AF270" s="89">
        <v>0</v>
      </c>
      <c r="AG270" s="89">
        <f>SUMIF('PreliminaryHD AR - School Level'!A271:A1577, "=" &amp; A270,'PreliminaryHD AR - School Level'!M271:M1577)</f>
        <v>0.9</v>
      </c>
      <c r="AH270" s="89">
        <v>524.79999999999995</v>
      </c>
      <c r="AI270" s="89">
        <f t="shared" si="52"/>
        <v>0</v>
      </c>
      <c r="AJ270" s="89">
        <f t="shared" si="53"/>
        <v>0</v>
      </c>
      <c r="AK270" s="89">
        <f t="shared" si="54"/>
        <v>275.60000000000002</v>
      </c>
      <c r="AL270" s="89">
        <f t="shared" si="55"/>
        <v>3.5</v>
      </c>
      <c r="AM270" s="89">
        <f t="shared" si="56"/>
        <v>0</v>
      </c>
      <c r="AN270" s="89">
        <f t="shared" si="57"/>
        <v>0</v>
      </c>
      <c r="AO270" s="89">
        <f t="shared" si="58"/>
        <v>79</v>
      </c>
      <c r="AP270" s="83">
        <f t="shared" si="59"/>
        <v>98</v>
      </c>
      <c r="AQ270" s="89">
        <f t="shared" si="60"/>
        <v>0</v>
      </c>
      <c r="AR270" s="89">
        <f t="shared" si="61"/>
        <v>151</v>
      </c>
      <c r="AS270" s="83">
        <f t="shared" si="62"/>
        <v>283</v>
      </c>
      <c r="AT270" s="89">
        <v>0</v>
      </c>
      <c r="AU270" s="89">
        <f t="shared" si="63"/>
        <v>0.9</v>
      </c>
      <c r="AV270" s="108">
        <v>2612288</v>
      </c>
      <c r="AW270" s="126">
        <v>524.79999999999995</v>
      </c>
      <c r="AX270" s="42">
        <v>524.79999999999995</v>
      </c>
      <c r="AY270" s="208">
        <f t="shared" si="64"/>
        <v>0</v>
      </c>
      <c r="AZ270" s="290">
        <v>142785</v>
      </c>
      <c r="BA270" s="42"/>
      <c r="BB270" s="42"/>
      <c r="BD270" s="129"/>
    </row>
    <row r="271" spans="1:56">
      <c r="A271" s="235" t="s">
        <v>464</v>
      </c>
      <c r="B271" s="121">
        <v>1</v>
      </c>
      <c r="C271" s="131">
        <v>918.5</v>
      </c>
      <c r="D271" s="131">
        <v>0</v>
      </c>
      <c r="E271" s="82">
        <v>0</v>
      </c>
      <c r="F271" s="131">
        <v>0</v>
      </c>
      <c r="G271" s="199">
        <v>0</v>
      </c>
      <c r="H271" s="131">
        <v>0</v>
      </c>
      <c r="I271" s="131">
        <v>0</v>
      </c>
      <c r="J271" s="208">
        <v>0</v>
      </c>
      <c r="K271" s="127">
        <v>954</v>
      </c>
      <c r="L271" s="124">
        <v>0</v>
      </c>
      <c r="M271" s="121">
        <v>0</v>
      </c>
      <c r="N271" s="124">
        <v>13</v>
      </c>
      <c r="O271" s="124">
        <v>0</v>
      </c>
      <c r="P271" s="131">
        <v>356.4</v>
      </c>
      <c r="Q271" s="124">
        <v>0</v>
      </c>
      <c r="R271" s="124">
        <v>5</v>
      </c>
      <c r="S271" s="124">
        <v>0</v>
      </c>
      <c r="T271" s="127">
        <v>1</v>
      </c>
      <c r="U271" s="121">
        <v>0</v>
      </c>
      <c r="V271" s="121">
        <v>445</v>
      </c>
      <c r="W271" s="121">
        <v>0</v>
      </c>
      <c r="X271" s="131">
        <v>0</v>
      </c>
      <c r="Y271" s="119">
        <v>354.5</v>
      </c>
      <c r="Z271" s="82">
        <v>0</v>
      </c>
      <c r="AA271" s="79">
        <v>0</v>
      </c>
      <c r="AB271" s="79">
        <v>0</v>
      </c>
      <c r="AC271" s="209">
        <v>0</v>
      </c>
      <c r="AD271" s="211">
        <v>0</v>
      </c>
      <c r="AE271" s="89">
        <v>0</v>
      </c>
      <c r="AF271" s="89">
        <v>36.299999999999997</v>
      </c>
      <c r="AG271" s="89">
        <f>SUMIF('PreliminaryHD AR - School Level'!A272:A1578, "=" &amp; A271,'PreliminaryHD AR - School Level'!M272:M1578)</f>
        <v>35</v>
      </c>
      <c r="AH271" s="89">
        <v>1581.7</v>
      </c>
      <c r="AI271" s="89">
        <f t="shared" si="52"/>
        <v>0</v>
      </c>
      <c r="AJ271" s="89">
        <f t="shared" si="53"/>
        <v>0</v>
      </c>
      <c r="AK271" s="89">
        <f t="shared" si="54"/>
        <v>918.5</v>
      </c>
      <c r="AL271" s="89">
        <f t="shared" si="55"/>
        <v>13</v>
      </c>
      <c r="AM271" s="89">
        <f t="shared" si="56"/>
        <v>5</v>
      </c>
      <c r="AN271" s="89">
        <f t="shared" si="57"/>
        <v>1</v>
      </c>
      <c r="AO271" s="89">
        <f t="shared" si="58"/>
        <v>356.4</v>
      </c>
      <c r="AP271" s="83">
        <f t="shared" si="59"/>
        <v>445</v>
      </c>
      <c r="AQ271" s="89">
        <f t="shared" si="60"/>
        <v>0</v>
      </c>
      <c r="AR271" s="89">
        <f t="shared" si="61"/>
        <v>354.5</v>
      </c>
      <c r="AS271" s="83">
        <f t="shared" si="62"/>
        <v>954</v>
      </c>
      <c r="AT271" s="89">
        <v>0</v>
      </c>
      <c r="AU271" s="89">
        <f t="shared" si="63"/>
        <v>36.299999999999997</v>
      </c>
      <c r="AV271" s="108">
        <v>7679844</v>
      </c>
      <c r="AW271" s="126">
        <v>1581.7</v>
      </c>
      <c r="AX271" s="42">
        <v>1581.7</v>
      </c>
      <c r="AY271" s="208">
        <f t="shared" si="64"/>
        <v>0</v>
      </c>
      <c r="AZ271" s="290">
        <v>451405</v>
      </c>
      <c r="BA271" s="42"/>
      <c r="BB271" s="42"/>
      <c r="BD271" s="129"/>
    </row>
    <row r="272" spans="1:56">
      <c r="A272" s="235" t="s">
        <v>465</v>
      </c>
      <c r="B272" s="121">
        <v>1</v>
      </c>
      <c r="C272" s="131">
        <v>542.5</v>
      </c>
      <c r="D272" s="131">
        <v>0</v>
      </c>
      <c r="E272" s="82">
        <v>0</v>
      </c>
      <c r="F272" s="131">
        <v>0</v>
      </c>
      <c r="G272" s="199">
        <v>0</v>
      </c>
      <c r="H272" s="131">
        <v>0</v>
      </c>
      <c r="I272" s="131">
        <v>0</v>
      </c>
      <c r="J272" s="208">
        <v>0</v>
      </c>
      <c r="K272" s="127">
        <v>565</v>
      </c>
      <c r="L272" s="124">
        <v>0</v>
      </c>
      <c r="M272" s="121">
        <v>0</v>
      </c>
      <c r="N272" s="124">
        <v>8</v>
      </c>
      <c r="O272" s="124">
        <v>0</v>
      </c>
      <c r="P272" s="131">
        <v>137.19999999999999</v>
      </c>
      <c r="Q272" s="124">
        <v>0</v>
      </c>
      <c r="R272" s="124">
        <v>1003.5</v>
      </c>
      <c r="S272" s="124">
        <v>0</v>
      </c>
      <c r="T272" s="127">
        <v>249</v>
      </c>
      <c r="U272" s="121">
        <v>0</v>
      </c>
      <c r="V272" s="121">
        <v>301</v>
      </c>
      <c r="W272" s="121">
        <v>0</v>
      </c>
      <c r="X272" s="131">
        <v>0</v>
      </c>
      <c r="Y272" s="119">
        <v>80</v>
      </c>
      <c r="Z272" s="82">
        <v>0</v>
      </c>
      <c r="AA272" s="79">
        <v>0</v>
      </c>
      <c r="AB272" s="79">
        <v>0</v>
      </c>
      <c r="AC272" s="209">
        <v>0</v>
      </c>
      <c r="AD272" s="211">
        <v>20.100000000000001</v>
      </c>
      <c r="AE272" s="89">
        <v>0</v>
      </c>
      <c r="AF272" s="89">
        <v>31.6</v>
      </c>
      <c r="AG272" s="89">
        <f>SUMIF('PreliminaryHD AR - School Level'!A273:A1579, "=" &amp; A272,'PreliminaryHD AR - School Level'!M273:M1579)</f>
        <v>31.6</v>
      </c>
      <c r="AH272" s="89">
        <v>1079.2</v>
      </c>
      <c r="AI272" s="89">
        <f t="shared" si="52"/>
        <v>0</v>
      </c>
      <c r="AJ272" s="89">
        <f t="shared" si="53"/>
        <v>0</v>
      </c>
      <c r="AK272" s="89">
        <f t="shared" si="54"/>
        <v>542.5</v>
      </c>
      <c r="AL272" s="89">
        <f t="shared" si="55"/>
        <v>8</v>
      </c>
      <c r="AM272" s="89">
        <f t="shared" si="56"/>
        <v>1003.5</v>
      </c>
      <c r="AN272" s="89">
        <f t="shared" si="57"/>
        <v>249</v>
      </c>
      <c r="AO272" s="89">
        <f t="shared" si="58"/>
        <v>137.19999999999999</v>
      </c>
      <c r="AP272" s="83">
        <f t="shared" si="59"/>
        <v>301</v>
      </c>
      <c r="AQ272" s="89">
        <f t="shared" si="60"/>
        <v>20.100000000000001</v>
      </c>
      <c r="AR272" s="89">
        <f t="shared" si="61"/>
        <v>80</v>
      </c>
      <c r="AS272" s="83">
        <f t="shared" si="62"/>
        <v>565</v>
      </c>
      <c r="AT272" s="89">
        <v>0</v>
      </c>
      <c r="AU272" s="89">
        <f t="shared" si="63"/>
        <v>31.6</v>
      </c>
      <c r="AV272" s="108">
        <v>4861388</v>
      </c>
      <c r="AW272" s="126">
        <v>1079.2</v>
      </c>
      <c r="AX272" s="42">
        <v>1079.2</v>
      </c>
      <c r="AY272" s="208">
        <f t="shared" si="64"/>
        <v>0</v>
      </c>
      <c r="AZ272" s="290">
        <v>220878</v>
      </c>
      <c r="BA272" s="42"/>
      <c r="BB272" s="42"/>
      <c r="BD272" s="129"/>
    </row>
    <row r="273" spans="1:56">
      <c r="A273" s="235" t="s">
        <v>466</v>
      </c>
      <c r="B273" s="121">
        <v>1</v>
      </c>
      <c r="C273" s="131">
        <v>838.6</v>
      </c>
      <c r="D273" s="131">
        <v>0</v>
      </c>
      <c r="E273" s="82">
        <v>0</v>
      </c>
      <c r="F273" s="131">
        <v>0</v>
      </c>
      <c r="G273" s="199">
        <v>0</v>
      </c>
      <c r="H273" s="131">
        <v>0</v>
      </c>
      <c r="I273" s="131">
        <v>0</v>
      </c>
      <c r="J273" s="208">
        <v>0</v>
      </c>
      <c r="K273" s="127">
        <v>875</v>
      </c>
      <c r="L273" s="124">
        <v>0</v>
      </c>
      <c r="M273" s="121">
        <v>0</v>
      </c>
      <c r="N273" s="124">
        <v>12</v>
      </c>
      <c r="O273" s="124">
        <v>0</v>
      </c>
      <c r="P273" s="131">
        <v>363.8</v>
      </c>
      <c r="Q273" s="124">
        <v>0</v>
      </c>
      <c r="R273" s="124">
        <v>23.9</v>
      </c>
      <c r="S273" s="124">
        <v>0</v>
      </c>
      <c r="T273" s="127">
        <v>22</v>
      </c>
      <c r="U273" s="121">
        <v>0</v>
      </c>
      <c r="V273" s="121">
        <v>354</v>
      </c>
      <c r="W273" s="121">
        <v>0</v>
      </c>
      <c r="X273" s="131">
        <v>0</v>
      </c>
      <c r="Y273" s="119">
        <v>170.5</v>
      </c>
      <c r="Z273" s="82">
        <v>0</v>
      </c>
      <c r="AA273" s="79">
        <v>0</v>
      </c>
      <c r="AB273" s="79">
        <v>0</v>
      </c>
      <c r="AC273" s="209">
        <v>0</v>
      </c>
      <c r="AD273" s="211">
        <v>430.2</v>
      </c>
      <c r="AE273" s="89">
        <v>0</v>
      </c>
      <c r="AF273" s="89">
        <v>13.5</v>
      </c>
      <c r="AG273" s="89">
        <f>SUMIF('PreliminaryHD AR - School Level'!A274:A1580, "=" &amp; A273,'PreliminaryHD AR - School Level'!M274:M1580)</f>
        <v>13.9</v>
      </c>
      <c r="AH273" s="89">
        <v>1555.2</v>
      </c>
      <c r="AI273" s="89">
        <f t="shared" si="52"/>
        <v>0</v>
      </c>
      <c r="AJ273" s="89">
        <f t="shared" si="53"/>
        <v>0</v>
      </c>
      <c r="AK273" s="89">
        <f t="shared" si="54"/>
        <v>838.6</v>
      </c>
      <c r="AL273" s="89">
        <f t="shared" si="55"/>
        <v>12</v>
      </c>
      <c r="AM273" s="89">
        <f t="shared" si="56"/>
        <v>23.9</v>
      </c>
      <c r="AN273" s="89">
        <f t="shared" si="57"/>
        <v>22</v>
      </c>
      <c r="AO273" s="89">
        <f t="shared" si="58"/>
        <v>363.8</v>
      </c>
      <c r="AP273" s="83">
        <f t="shared" si="59"/>
        <v>354</v>
      </c>
      <c r="AQ273" s="89">
        <f t="shared" si="60"/>
        <v>430.2</v>
      </c>
      <c r="AR273" s="89">
        <f t="shared" si="61"/>
        <v>170.5</v>
      </c>
      <c r="AS273" s="83">
        <f t="shared" si="62"/>
        <v>875</v>
      </c>
      <c r="AT273" s="89">
        <v>0</v>
      </c>
      <c r="AU273" s="89">
        <f t="shared" si="63"/>
        <v>13.9</v>
      </c>
      <c r="AV273" s="108">
        <v>7891842</v>
      </c>
      <c r="AW273" s="126">
        <v>1555.2</v>
      </c>
      <c r="AX273" s="42">
        <v>1555.2</v>
      </c>
      <c r="AY273" s="208">
        <f t="shared" si="64"/>
        <v>0</v>
      </c>
      <c r="AZ273" s="290">
        <v>333096</v>
      </c>
      <c r="BA273" s="42"/>
      <c r="BB273" s="42"/>
      <c r="BD273" s="129"/>
    </row>
    <row r="274" spans="1:56">
      <c r="A274" s="235" t="s">
        <v>467</v>
      </c>
      <c r="B274" s="121">
        <v>1</v>
      </c>
      <c r="C274" s="131">
        <v>133</v>
      </c>
      <c r="D274" s="131">
        <v>0</v>
      </c>
      <c r="E274" s="82">
        <v>0</v>
      </c>
      <c r="F274" s="131">
        <v>0</v>
      </c>
      <c r="G274" s="199">
        <v>0</v>
      </c>
      <c r="H274" s="131">
        <v>0</v>
      </c>
      <c r="I274" s="131">
        <v>0</v>
      </c>
      <c r="J274" s="208">
        <v>0</v>
      </c>
      <c r="K274" s="127">
        <v>133</v>
      </c>
      <c r="L274" s="124">
        <v>0</v>
      </c>
      <c r="M274" s="121">
        <v>0</v>
      </c>
      <c r="N274" s="124">
        <v>0</v>
      </c>
      <c r="O274" s="124">
        <v>0</v>
      </c>
      <c r="P274" s="131">
        <v>0</v>
      </c>
      <c r="Q274" s="124">
        <v>0</v>
      </c>
      <c r="R274" s="124">
        <v>2.4</v>
      </c>
      <c r="S274" s="124">
        <v>0</v>
      </c>
      <c r="T274" s="127">
        <v>8</v>
      </c>
      <c r="U274" s="121">
        <v>0</v>
      </c>
      <c r="V274" s="121">
        <v>43</v>
      </c>
      <c r="W274" s="121">
        <v>0</v>
      </c>
      <c r="X274" s="131">
        <v>0</v>
      </c>
      <c r="Y274" s="119">
        <v>65</v>
      </c>
      <c r="Z274" s="82">
        <v>0</v>
      </c>
      <c r="AA274" s="79">
        <v>1</v>
      </c>
      <c r="AB274" s="79">
        <v>0</v>
      </c>
      <c r="AC274" s="209">
        <v>25</v>
      </c>
      <c r="AD274" s="211">
        <v>0</v>
      </c>
      <c r="AE274" s="89">
        <v>0</v>
      </c>
      <c r="AF274" s="89">
        <v>0</v>
      </c>
      <c r="AG274" s="89">
        <f>SUMIF('PreliminaryHD AR - School Level'!A275:A1581, "=" &amp; A274,'PreliminaryHD AR - School Level'!M275:M1581)</f>
        <v>0</v>
      </c>
      <c r="AH274" s="89">
        <v>314.3</v>
      </c>
      <c r="AI274" s="89">
        <f t="shared" si="52"/>
        <v>0</v>
      </c>
      <c r="AJ274" s="89">
        <f t="shared" si="53"/>
        <v>0</v>
      </c>
      <c r="AK274" s="89">
        <f t="shared" si="54"/>
        <v>133</v>
      </c>
      <c r="AL274" s="89">
        <f t="shared" si="55"/>
        <v>0</v>
      </c>
      <c r="AM274" s="89">
        <f t="shared" si="56"/>
        <v>2.4</v>
      </c>
      <c r="AN274" s="89">
        <f t="shared" si="57"/>
        <v>8</v>
      </c>
      <c r="AO274" s="89">
        <f t="shared" si="58"/>
        <v>0</v>
      </c>
      <c r="AP274" s="83">
        <f t="shared" si="59"/>
        <v>43</v>
      </c>
      <c r="AQ274" s="89">
        <f t="shared" si="60"/>
        <v>0</v>
      </c>
      <c r="AR274" s="89">
        <f t="shared" si="61"/>
        <v>65</v>
      </c>
      <c r="AS274" s="83">
        <f t="shared" si="62"/>
        <v>133</v>
      </c>
      <c r="AT274" s="89">
        <v>0</v>
      </c>
      <c r="AU274" s="89">
        <f t="shared" si="63"/>
        <v>0</v>
      </c>
      <c r="AV274" s="108">
        <v>1553363</v>
      </c>
      <c r="AW274" s="126">
        <v>314.3</v>
      </c>
      <c r="AX274" s="42">
        <v>314.3</v>
      </c>
      <c r="AY274" s="208">
        <f t="shared" si="64"/>
        <v>0</v>
      </c>
      <c r="AZ274" s="290">
        <v>125162</v>
      </c>
      <c r="BA274" s="42"/>
      <c r="BB274" s="42"/>
      <c r="BD274" s="129"/>
    </row>
    <row r="275" spans="1:56">
      <c r="A275" s="235" t="s">
        <v>468</v>
      </c>
      <c r="B275" s="121">
        <v>1</v>
      </c>
      <c r="C275" s="131">
        <v>10825.5</v>
      </c>
      <c r="D275" s="131">
        <v>0</v>
      </c>
      <c r="E275" s="82">
        <v>0</v>
      </c>
      <c r="F275" s="131">
        <v>0</v>
      </c>
      <c r="G275" s="199">
        <v>0</v>
      </c>
      <c r="H275" s="131">
        <v>0</v>
      </c>
      <c r="I275" s="131">
        <v>0</v>
      </c>
      <c r="J275" s="208">
        <v>0</v>
      </c>
      <c r="K275" s="127">
        <v>10955</v>
      </c>
      <c r="L275" s="124">
        <v>0</v>
      </c>
      <c r="M275" s="121">
        <v>0</v>
      </c>
      <c r="N275" s="124">
        <v>34.5</v>
      </c>
      <c r="O275" s="124">
        <v>0</v>
      </c>
      <c r="P275" s="131">
        <v>2303.6999999999998</v>
      </c>
      <c r="Q275" s="124">
        <v>0</v>
      </c>
      <c r="R275" s="124">
        <v>2510.1</v>
      </c>
      <c r="S275" s="124">
        <v>0</v>
      </c>
      <c r="T275" s="127">
        <v>849</v>
      </c>
      <c r="U275" s="121">
        <v>0</v>
      </c>
      <c r="V275" s="121">
        <v>3411</v>
      </c>
      <c r="W275" s="121">
        <v>0</v>
      </c>
      <c r="X275" s="131">
        <v>0</v>
      </c>
      <c r="Y275" s="119">
        <v>2360.5</v>
      </c>
      <c r="Z275" s="82">
        <v>0</v>
      </c>
      <c r="AA275" s="79">
        <v>956</v>
      </c>
      <c r="AB275" s="79">
        <v>62.2</v>
      </c>
      <c r="AC275" s="209">
        <v>37</v>
      </c>
      <c r="AD275" s="211">
        <v>298</v>
      </c>
      <c r="AE275" s="89">
        <v>0</v>
      </c>
      <c r="AF275" s="89">
        <v>0</v>
      </c>
      <c r="AG275" s="89">
        <f>SUMIF('PreliminaryHD AR - School Level'!A276:A1582, "=" &amp; A275,'PreliminaryHD AR - School Level'!M276:M1582)</f>
        <v>138.80000000000001</v>
      </c>
      <c r="AH275" s="89">
        <v>13978.3</v>
      </c>
      <c r="AI275" s="89">
        <f t="shared" si="52"/>
        <v>0</v>
      </c>
      <c r="AJ275" s="89">
        <f t="shared" si="53"/>
        <v>0</v>
      </c>
      <c r="AK275" s="89">
        <f t="shared" si="54"/>
        <v>10825.5</v>
      </c>
      <c r="AL275" s="89">
        <f t="shared" si="55"/>
        <v>34.5</v>
      </c>
      <c r="AM275" s="89">
        <f t="shared" si="56"/>
        <v>2510.1</v>
      </c>
      <c r="AN275" s="89">
        <f t="shared" si="57"/>
        <v>849</v>
      </c>
      <c r="AO275" s="89">
        <f t="shared" si="58"/>
        <v>2303.6999999999998</v>
      </c>
      <c r="AP275" s="83">
        <f t="shared" si="59"/>
        <v>3411</v>
      </c>
      <c r="AQ275" s="89">
        <f t="shared" si="60"/>
        <v>298</v>
      </c>
      <c r="AR275" s="89">
        <f t="shared" si="61"/>
        <v>2360.5</v>
      </c>
      <c r="AS275" s="83">
        <f t="shared" si="62"/>
        <v>10955</v>
      </c>
      <c r="AT275" s="89">
        <v>0</v>
      </c>
      <c r="AU275" s="89">
        <f t="shared" si="63"/>
        <v>138.80000000000001</v>
      </c>
      <c r="AV275" s="108">
        <v>79542141</v>
      </c>
      <c r="AW275" s="126">
        <v>13973.1</v>
      </c>
      <c r="AX275" s="42">
        <v>13973.1</v>
      </c>
      <c r="AY275" s="208">
        <f t="shared" si="64"/>
        <v>-5.2</v>
      </c>
      <c r="AZ275" s="290">
        <v>1858859</v>
      </c>
      <c r="BA275" s="42" t="s">
        <v>3584</v>
      </c>
      <c r="BB275" s="42"/>
      <c r="BD275" s="129"/>
    </row>
    <row r="276" spans="1:56">
      <c r="A276" s="235" t="s">
        <v>469</v>
      </c>
      <c r="B276" s="121">
        <v>1</v>
      </c>
      <c r="C276" s="131">
        <v>412.2</v>
      </c>
      <c r="D276" s="131">
        <v>0</v>
      </c>
      <c r="E276" s="82">
        <v>0</v>
      </c>
      <c r="F276" s="131">
        <v>0</v>
      </c>
      <c r="G276" s="199">
        <v>0</v>
      </c>
      <c r="H276" s="131">
        <v>0</v>
      </c>
      <c r="I276" s="131">
        <v>0</v>
      </c>
      <c r="J276" s="208">
        <v>0</v>
      </c>
      <c r="K276" s="127">
        <v>425</v>
      </c>
      <c r="L276" s="124">
        <v>0</v>
      </c>
      <c r="M276" s="121">
        <v>0</v>
      </c>
      <c r="N276" s="124">
        <v>3</v>
      </c>
      <c r="O276" s="124">
        <v>0</v>
      </c>
      <c r="P276" s="131">
        <v>138.69999999999999</v>
      </c>
      <c r="Q276" s="124">
        <v>0</v>
      </c>
      <c r="R276" s="124">
        <v>0</v>
      </c>
      <c r="S276" s="124">
        <v>0</v>
      </c>
      <c r="T276" s="127">
        <v>0</v>
      </c>
      <c r="U276" s="121">
        <v>0</v>
      </c>
      <c r="V276" s="121">
        <v>140</v>
      </c>
      <c r="W276" s="121">
        <v>0</v>
      </c>
      <c r="X276" s="131">
        <v>0</v>
      </c>
      <c r="Y276" s="119">
        <v>253.7</v>
      </c>
      <c r="Z276" s="82">
        <v>0</v>
      </c>
      <c r="AA276" s="79">
        <v>0</v>
      </c>
      <c r="AB276" s="79">
        <v>0</v>
      </c>
      <c r="AC276" s="209">
        <v>0</v>
      </c>
      <c r="AD276" s="211">
        <v>0</v>
      </c>
      <c r="AE276" s="89">
        <v>0</v>
      </c>
      <c r="AF276" s="89">
        <v>0</v>
      </c>
      <c r="AG276" s="89">
        <f>SUMIF('PreliminaryHD AR - School Level'!A277:A1583, "=" &amp; A276,'PreliminaryHD AR - School Level'!M277:M1583)</f>
        <v>0</v>
      </c>
      <c r="AH276" s="89">
        <v>718.8</v>
      </c>
      <c r="AI276" s="89">
        <f t="shared" si="52"/>
        <v>0</v>
      </c>
      <c r="AJ276" s="89">
        <f t="shared" si="53"/>
        <v>0</v>
      </c>
      <c r="AK276" s="89">
        <f t="shared" si="54"/>
        <v>412.2</v>
      </c>
      <c r="AL276" s="89">
        <f t="shared" si="55"/>
        <v>3</v>
      </c>
      <c r="AM276" s="89">
        <f t="shared" si="56"/>
        <v>0</v>
      </c>
      <c r="AN276" s="89">
        <f t="shared" si="57"/>
        <v>0</v>
      </c>
      <c r="AO276" s="89">
        <f t="shared" si="58"/>
        <v>138.69999999999999</v>
      </c>
      <c r="AP276" s="83">
        <f t="shared" si="59"/>
        <v>140</v>
      </c>
      <c r="AQ276" s="89">
        <f t="shared" si="60"/>
        <v>0</v>
      </c>
      <c r="AR276" s="89">
        <f t="shared" si="61"/>
        <v>253.7</v>
      </c>
      <c r="AS276" s="83">
        <f t="shared" si="62"/>
        <v>425</v>
      </c>
      <c r="AT276" s="89">
        <v>0</v>
      </c>
      <c r="AU276" s="89">
        <f t="shared" si="63"/>
        <v>0</v>
      </c>
      <c r="AV276" s="108">
        <v>3376566</v>
      </c>
      <c r="AW276" s="126">
        <v>718.8</v>
      </c>
      <c r="AX276" s="42">
        <v>718.8</v>
      </c>
      <c r="AY276" s="208">
        <f t="shared" si="64"/>
        <v>0</v>
      </c>
      <c r="AZ276" s="290">
        <v>136520</v>
      </c>
      <c r="BA276" s="42"/>
      <c r="BB276" s="42"/>
      <c r="BD276" s="129"/>
    </row>
    <row r="277" spans="1:56">
      <c r="A277" s="235" t="s">
        <v>470</v>
      </c>
      <c r="B277" s="121">
        <v>1</v>
      </c>
      <c r="C277" s="131">
        <v>808</v>
      </c>
      <c r="D277" s="131">
        <v>0</v>
      </c>
      <c r="E277" s="82">
        <v>0</v>
      </c>
      <c r="F277" s="131">
        <v>0</v>
      </c>
      <c r="G277" s="199">
        <v>0</v>
      </c>
      <c r="H277" s="131">
        <v>0</v>
      </c>
      <c r="I277" s="131">
        <v>0</v>
      </c>
      <c r="J277" s="208">
        <v>0</v>
      </c>
      <c r="K277" s="127">
        <v>833</v>
      </c>
      <c r="L277" s="124">
        <v>0</v>
      </c>
      <c r="M277" s="121">
        <v>0</v>
      </c>
      <c r="N277" s="124">
        <v>9.5</v>
      </c>
      <c r="O277" s="124">
        <v>0</v>
      </c>
      <c r="P277" s="131">
        <v>270.89999999999998</v>
      </c>
      <c r="Q277" s="124">
        <v>0</v>
      </c>
      <c r="R277" s="124">
        <v>0</v>
      </c>
      <c r="S277" s="124">
        <v>0</v>
      </c>
      <c r="T277" s="127">
        <v>1</v>
      </c>
      <c r="U277" s="121">
        <v>0</v>
      </c>
      <c r="V277" s="121">
        <v>408</v>
      </c>
      <c r="W277" s="121">
        <v>0</v>
      </c>
      <c r="X277" s="131">
        <v>0</v>
      </c>
      <c r="Y277" s="119">
        <v>24</v>
      </c>
      <c r="Z277" s="82">
        <v>0</v>
      </c>
      <c r="AA277" s="79">
        <v>0</v>
      </c>
      <c r="AB277" s="79">
        <v>0</v>
      </c>
      <c r="AC277" s="209">
        <v>3</v>
      </c>
      <c r="AD277" s="211">
        <v>0</v>
      </c>
      <c r="AE277" s="89">
        <v>0</v>
      </c>
      <c r="AF277" s="89">
        <v>39.9</v>
      </c>
      <c r="AG277" s="89">
        <f>SUMIF('PreliminaryHD AR - School Level'!A278:A1584, "=" &amp; A277,'PreliminaryHD AR - School Level'!M278:M1584)</f>
        <v>36.6</v>
      </c>
      <c r="AH277" s="89">
        <v>1352.2</v>
      </c>
      <c r="AI277" s="89">
        <f t="shared" si="52"/>
        <v>0</v>
      </c>
      <c r="AJ277" s="89">
        <f t="shared" si="53"/>
        <v>0</v>
      </c>
      <c r="AK277" s="89">
        <f t="shared" si="54"/>
        <v>808</v>
      </c>
      <c r="AL277" s="89">
        <f t="shared" si="55"/>
        <v>9.5</v>
      </c>
      <c r="AM277" s="89">
        <f t="shared" si="56"/>
        <v>0</v>
      </c>
      <c r="AN277" s="89">
        <f t="shared" si="57"/>
        <v>1</v>
      </c>
      <c r="AO277" s="89">
        <f t="shared" si="58"/>
        <v>270.89999999999998</v>
      </c>
      <c r="AP277" s="83">
        <f t="shared" si="59"/>
        <v>408</v>
      </c>
      <c r="AQ277" s="89">
        <f t="shared" si="60"/>
        <v>0</v>
      </c>
      <c r="AR277" s="89">
        <f t="shared" si="61"/>
        <v>24</v>
      </c>
      <c r="AS277" s="83">
        <f t="shared" si="62"/>
        <v>833</v>
      </c>
      <c r="AT277" s="89">
        <v>0</v>
      </c>
      <c r="AU277" s="89">
        <f t="shared" si="63"/>
        <v>39.9</v>
      </c>
      <c r="AV277" s="108">
        <v>6702541</v>
      </c>
      <c r="AW277" s="126">
        <v>1352.2</v>
      </c>
      <c r="AX277" s="42">
        <v>1352.2</v>
      </c>
      <c r="AY277" s="208">
        <f t="shared" si="64"/>
        <v>0</v>
      </c>
      <c r="AZ277" s="290">
        <v>104041</v>
      </c>
      <c r="BA277" s="42"/>
      <c r="BB277" s="42"/>
      <c r="BD277" s="129"/>
    </row>
    <row r="278" spans="1:56" s="129" customFormat="1">
      <c r="A278" s="236" t="s">
        <v>471</v>
      </c>
      <c r="B278" s="121">
        <v>1</v>
      </c>
      <c r="C278" s="131">
        <v>21473.599999999999</v>
      </c>
      <c r="D278" s="131">
        <v>0</v>
      </c>
      <c r="E278" s="82">
        <v>0</v>
      </c>
      <c r="F278" s="131">
        <v>0</v>
      </c>
      <c r="G278" s="199">
        <v>0</v>
      </c>
      <c r="H278" s="131">
        <v>0</v>
      </c>
      <c r="I278" s="131">
        <v>0</v>
      </c>
      <c r="J278" s="208">
        <v>0</v>
      </c>
      <c r="K278" s="127">
        <v>22593</v>
      </c>
      <c r="L278" s="124">
        <v>0</v>
      </c>
      <c r="M278" s="121">
        <v>0</v>
      </c>
      <c r="N278" s="124">
        <v>327</v>
      </c>
      <c r="O278" s="124">
        <v>0</v>
      </c>
      <c r="P278" s="131">
        <v>4638.5</v>
      </c>
      <c r="Q278" s="124">
        <v>0</v>
      </c>
      <c r="R278" s="124">
        <v>23471.4</v>
      </c>
      <c r="S278" s="124">
        <v>0</v>
      </c>
      <c r="T278" s="127">
        <v>8002</v>
      </c>
      <c r="U278" s="121">
        <v>0</v>
      </c>
      <c r="V278" s="254">
        <v>14960</v>
      </c>
      <c r="W278" s="121">
        <v>0</v>
      </c>
      <c r="X278" s="131">
        <v>0</v>
      </c>
      <c r="Y278" s="119">
        <v>3675.5</v>
      </c>
      <c r="Z278" s="82">
        <v>0</v>
      </c>
      <c r="AA278" s="79">
        <v>71</v>
      </c>
      <c r="AB278" s="79">
        <v>15.1</v>
      </c>
      <c r="AC278" s="210">
        <v>0</v>
      </c>
      <c r="AD278" s="212">
        <v>0</v>
      </c>
      <c r="AE278" s="124">
        <v>0</v>
      </c>
      <c r="AF278" s="124">
        <v>1570.8</v>
      </c>
      <c r="AG278" s="89">
        <f>SUMIF('PreliminaryHD AR - School Level'!A279:A1585, "=" &amp; A278,'PreliminaryHD AR - School Level'!M279:M1585)</f>
        <v>1495.2</v>
      </c>
      <c r="AH278" s="124">
        <v>33561.199999999997</v>
      </c>
      <c r="AI278" s="89">
        <f t="shared" si="52"/>
        <v>0</v>
      </c>
      <c r="AJ278" s="89">
        <f t="shared" si="53"/>
        <v>0</v>
      </c>
      <c r="AK278" s="89">
        <f t="shared" si="54"/>
        <v>21473.599999999999</v>
      </c>
      <c r="AL278" s="89">
        <f t="shared" si="55"/>
        <v>327</v>
      </c>
      <c r="AM278" s="89">
        <f t="shared" si="56"/>
        <v>23471.4</v>
      </c>
      <c r="AN278" s="89">
        <f t="shared" si="57"/>
        <v>8002</v>
      </c>
      <c r="AO278" s="89">
        <f t="shared" si="58"/>
        <v>4638.5</v>
      </c>
      <c r="AP278" s="83">
        <f t="shared" si="59"/>
        <v>14960</v>
      </c>
      <c r="AQ278" s="89">
        <f t="shared" si="60"/>
        <v>0</v>
      </c>
      <c r="AR278" s="89">
        <f t="shared" si="61"/>
        <v>3675.5</v>
      </c>
      <c r="AS278" s="83">
        <f t="shared" si="62"/>
        <v>22593</v>
      </c>
      <c r="AT278" s="89">
        <v>0</v>
      </c>
      <c r="AU278" s="89">
        <f t="shared" si="63"/>
        <v>1570.8</v>
      </c>
      <c r="AV278" s="108">
        <v>160265200</v>
      </c>
      <c r="AW278" s="126">
        <v>33561.199999999997</v>
      </c>
      <c r="AX278" s="42">
        <v>33561.199999999997</v>
      </c>
      <c r="AY278" s="208">
        <f t="shared" si="64"/>
        <v>0</v>
      </c>
      <c r="AZ278" s="290">
        <v>12380055</v>
      </c>
      <c r="BA278" s="42"/>
      <c r="BB278" s="42"/>
    </row>
    <row r="279" spans="1:56">
      <c r="A279" s="235" t="s">
        <v>472</v>
      </c>
      <c r="B279" s="121">
        <v>1</v>
      </c>
      <c r="C279" s="131">
        <v>12730.1</v>
      </c>
      <c r="D279" s="131">
        <v>0</v>
      </c>
      <c r="E279" s="82">
        <v>0</v>
      </c>
      <c r="F279" s="131">
        <v>0</v>
      </c>
      <c r="G279" s="199">
        <v>0</v>
      </c>
      <c r="H279" s="131">
        <v>0</v>
      </c>
      <c r="I279" s="131">
        <v>0</v>
      </c>
      <c r="J279" s="208">
        <v>0</v>
      </c>
      <c r="K279" s="127">
        <v>13116</v>
      </c>
      <c r="L279" s="124">
        <v>0</v>
      </c>
      <c r="M279" s="121">
        <v>0</v>
      </c>
      <c r="N279" s="124">
        <v>105</v>
      </c>
      <c r="O279" s="124">
        <v>0</v>
      </c>
      <c r="P279" s="131">
        <v>2442.8000000000002</v>
      </c>
      <c r="Q279" s="124">
        <v>0</v>
      </c>
      <c r="R279" s="124">
        <v>2799.5</v>
      </c>
      <c r="S279" s="124">
        <v>0</v>
      </c>
      <c r="T279" s="127">
        <v>1750</v>
      </c>
      <c r="U279" s="121">
        <v>0</v>
      </c>
      <c r="V279" s="121">
        <v>8234</v>
      </c>
      <c r="W279" s="121">
        <v>0</v>
      </c>
      <c r="X279" s="131">
        <v>0</v>
      </c>
      <c r="Y279" s="119">
        <v>1052</v>
      </c>
      <c r="Z279" s="82">
        <v>0</v>
      </c>
      <c r="AA279" s="79">
        <v>20</v>
      </c>
      <c r="AB279" s="79">
        <v>8.6999999999999993</v>
      </c>
      <c r="AC279" s="209">
        <v>100</v>
      </c>
      <c r="AD279" s="211">
        <v>762.1</v>
      </c>
      <c r="AE279" s="89">
        <v>0</v>
      </c>
      <c r="AF279" s="89">
        <v>864.6</v>
      </c>
      <c r="AG279" s="89">
        <f>SUMIF('PreliminaryHD AR - School Level'!A280:A1586, "=" &amp; A279,'PreliminaryHD AR - School Level'!M280:M1586)</f>
        <v>844.6</v>
      </c>
      <c r="AH279" s="89">
        <v>19599.400000000001</v>
      </c>
      <c r="AI279" s="89">
        <f t="shared" si="52"/>
        <v>0</v>
      </c>
      <c r="AJ279" s="89">
        <f t="shared" si="53"/>
        <v>0</v>
      </c>
      <c r="AK279" s="89">
        <f t="shared" si="54"/>
        <v>12730.1</v>
      </c>
      <c r="AL279" s="89">
        <f t="shared" si="55"/>
        <v>105</v>
      </c>
      <c r="AM279" s="89">
        <f t="shared" si="56"/>
        <v>2799.5</v>
      </c>
      <c r="AN279" s="89">
        <f t="shared" si="57"/>
        <v>1750</v>
      </c>
      <c r="AO279" s="89">
        <f t="shared" si="58"/>
        <v>2442.8000000000002</v>
      </c>
      <c r="AP279" s="83">
        <f t="shared" si="59"/>
        <v>8234</v>
      </c>
      <c r="AQ279" s="89">
        <f t="shared" si="60"/>
        <v>762.1</v>
      </c>
      <c r="AR279" s="89">
        <f t="shared" si="61"/>
        <v>1052</v>
      </c>
      <c r="AS279" s="83">
        <f t="shared" si="62"/>
        <v>13116</v>
      </c>
      <c r="AT279" s="89">
        <v>0</v>
      </c>
      <c r="AU279" s="89">
        <f t="shared" si="63"/>
        <v>864.6</v>
      </c>
      <c r="AV279" s="108">
        <v>101752026</v>
      </c>
      <c r="AW279" s="126">
        <v>19599.400000000001</v>
      </c>
      <c r="AX279" s="42">
        <v>19599.400000000001</v>
      </c>
      <c r="AY279" s="208">
        <f t="shared" si="64"/>
        <v>0</v>
      </c>
      <c r="AZ279" s="290">
        <v>2724756</v>
      </c>
      <c r="BA279" s="42"/>
      <c r="BB279" s="42"/>
      <c r="BD279" s="129"/>
    </row>
    <row r="280" spans="1:56">
      <c r="A280" s="235" t="s">
        <v>473</v>
      </c>
      <c r="B280" s="121">
        <v>1</v>
      </c>
      <c r="C280" s="131">
        <v>112</v>
      </c>
      <c r="D280" s="131">
        <v>0</v>
      </c>
      <c r="E280" s="82">
        <v>0</v>
      </c>
      <c r="F280" s="131">
        <v>0</v>
      </c>
      <c r="G280" s="199">
        <v>0</v>
      </c>
      <c r="H280" s="131">
        <v>0</v>
      </c>
      <c r="I280" s="131">
        <v>0</v>
      </c>
      <c r="J280" s="208">
        <v>0</v>
      </c>
      <c r="K280" s="127">
        <v>117</v>
      </c>
      <c r="L280" s="124">
        <v>0</v>
      </c>
      <c r="M280" s="121">
        <v>0</v>
      </c>
      <c r="N280" s="124">
        <v>1.5</v>
      </c>
      <c r="O280" s="124">
        <v>0</v>
      </c>
      <c r="P280" s="131">
        <v>4.2</v>
      </c>
      <c r="Q280" s="124">
        <v>0</v>
      </c>
      <c r="R280" s="124">
        <v>146.19999999999999</v>
      </c>
      <c r="S280" s="124">
        <v>0</v>
      </c>
      <c r="T280" s="127">
        <v>36</v>
      </c>
      <c r="U280" s="121">
        <v>0</v>
      </c>
      <c r="V280" s="121">
        <v>45</v>
      </c>
      <c r="W280" s="121">
        <v>0</v>
      </c>
      <c r="X280" s="131">
        <v>0</v>
      </c>
      <c r="Y280" s="119">
        <v>49</v>
      </c>
      <c r="Z280" s="82">
        <v>0</v>
      </c>
      <c r="AA280" s="79">
        <v>0</v>
      </c>
      <c r="AB280" s="79">
        <v>0</v>
      </c>
      <c r="AC280" s="209">
        <v>0</v>
      </c>
      <c r="AD280" s="211">
        <v>0</v>
      </c>
      <c r="AE280" s="89">
        <v>0</v>
      </c>
      <c r="AF280" s="89">
        <v>1.1000000000000001</v>
      </c>
      <c r="AG280" s="89">
        <f>SUMIF('PreliminaryHD AR - School Level'!A281:A1587, "=" &amp; A280,'PreliminaryHD AR - School Level'!M281:M1587)</f>
        <v>3.8</v>
      </c>
      <c r="AH280" s="89">
        <v>298.7</v>
      </c>
      <c r="AI280" s="89">
        <f t="shared" si="52"/>
        <v>0</v>
      </c>
      <c r="AJ280" s="89">
        <f t="shared" si="53"/>
        <v>0</v>
      </c>
      <c r="AK280" s="89">
        <f t="shared" si="54"/>
        <v>112</v>
      </c>
      <c r="AL280" s="89">
        <f t="shared" si="55"/>
        <v>1.5</v>
      </c>
      <c r="AM280" s="89">
        <f t="shared" si="56"/>
        <v>146.19999999999999</v>
      </c>
      <c r="AN280" s="89">
        <f t="shared" si="57"/>
        <v>36</v>
      </c>
      <c r="AO280" s="89">
        <f t="shared" si="58"/>
        <v>4.2</v>
      </c>
      <c r="AP280" s="83">
        <f t="shared" si="59"/>
        <v>45</v>
      </c>
      <c r="AQ280" s="89">
        <f t="shared" si="60"/>
        <v>0</v>
      </c>
      <c r="AR280" s="89">
        <f t="shared" si="61"/>
        <v>49</v>
      </c>
      <c r="AS280" s="83">
        <f t="shared" si="62"/>
        <v>117</v>
      </c>
      <c r="AT280" s="89">
        <v>0</v>
      </c>
      <c r="AU280" s="89">
        <f t="shared" si="63"/>
        <v>3.8</v>
      </c>
      <c r="AV280" s="108">
        <v>1512312</v>
      </c>
      <c r="AW280" s="126">
        <v>298.7</v>
      </c>
      <c r="AX280" s="42">
        <v>298.7</v>
      </c>
      <c r="AY280" s="208">
        <f t="shared" si="64"/>
        <v>0</v>
      </c>
      <c r="AZ280" s="290">
        <v>27212</v>
      </c>
      <c r="BA280" s="42"/>
      <c r="BB280" s="42"/>
      <c r="BD280" s="129"/>
    </row>
    <row r="281" spans="1:56">
      <c r="A281" s="235" t="s">
        <v>474</v>
      </c>
      <c r="B281" s="121">
        <v>1</v>
      </c>
      <c r="C281" s="131">
        <v>1228.5</v>
      </c>
      <c r="D281" s="131">
        <v>0</v>
      </c>
      <c r="E281" s="82">
        <v>0</v>
      </c>
      <c r="F281" s="131">
        <v>0</v>
      </c>
      <c r="G281" s="199">
        <v>0</v>
      </c>
      <c r="H281" s="131">
        <v>0</v>
      </c>
      <c r="I281" s="131">
        <v>0</v>
      </c>
      <c r="J281" s="208">
        <v>0</v>
      </c>
      <c r="K281" s="127">
        <v>1304</v>
      </c>
      <c r="L281" s="124">
        <v>0</v>
      </c>
      <c r="M281" s="121">
        <v>0</v>
      </c>
      <c r="N281" s="124">
        <v>20.5</v>
      </c>
      <c r="O281" s="124">
        <v>0</v>
      </c>
      <c r="P281" s="131">
        <v>283.89999999999998</v>
      </c>
      <c r="Q281" s="124">
        <v>0</v>
      </c>
      <c r="R281" s="124">
        <v>14.7</v>
      </c>
      <c r="S281" s="124">
        <v>0</v>
      </c>
      <c r="T281" s="127">
        <v>22</v>
      </c>
      <c r="U281" s="121">
        <v>0</v>
      </c>
      <c r="V281" s="121">
        <v>780</v>
      </c>
      <c r="W281" s="121">
        <v>0</v>
      </c>
      <c r="X281" s="131">
        <v>0</v>
      </c>
      <c r="Y281" s="119">
        <v>47</v>
      </c>
      <c r="Z281" s="82">
        <v>0</v>
      </c>
      <c r="AA281" s="79">
        <v>1</v>
      </c>
      <c r="AB281" s="79">
        <v>0</v>
      </c>
      <c r="AC281" s="209">
        <v>0</v>
      </c>
      <c r="AD281" s="211">
        <v>0</v>
      </c>
      <c r="AE281" s="89">
        <v>0</v>
      </c>
      <c r="AF281" s="89">
        <v>81.900000000000006</v>
      </c>
      <c r="AG281" s="89">
        <f>SUMIF('PreliminaryHD AR - School Level'!A282:A1588, "=" &amp; A281,'PreliminaryHD AR - School Level'!M282:M1588)</f>
        <v>81.900000000000006</v>
      </c>
      <c r="AH281" s="89">
        <v>1971.2</v>
      </c>
      <c r="AI281" s="89">
        <f t="shared" si="52"/>
        <v>0</v>
      </c>
      <c r="AJ281" s="89">
        <f t="shared" si="53"/>
        <v>0</v>
      </c>
      <c r="AK281" s="89">
        <f t="shared" si="54"/>
        <v>1228.5</v>
      </c>
      <c r="AL281" s="89">
        <f t="shared" si="55"/>
        <v>20.5</v>
      </c>
      <c r="AM281" s="89">
        <f t="shared" si="56"/>
        <v>14.7</v>
      </c>
      <c r="AN281" s="89">
        <f t="shared" si="57"/>
        <v>22</v>
      </c>
      <c r="AO281" s="89">
        <f t="shared" si="58"/>
        <v>283.89999999999998</v>
      </c>
      <c r="AP281" s="83">
        <f t="shared" si="59"/>
        <v>780</v>
      </c>
      <c r="AQ281" s="89">
        <f t="shared" si="60"/>
        <v>0</v>
      </c>
      <c r="AR281" s="89">
        <f t="shared" si="61"/>
        <v>47</v>
      </c>
      <c r="AS281" s="83">
        <f t="shared" si="62"/>
        <v>1304</v>
      </c>
      <c r="AT281" s="89">
        <v>0</v>
      </c>
      <c r="AU281" s="89">
        <f t="shared" si="63"/>
        <v>81.900000000000006</v>
      </c>
      <c r="AV281" s="108">
        <v>9725279</v>
      </c>
      <c r="AW281" s="126">
        <v>1971.2</v>
      </c>
      <c r="AX281" s="42">
        <v>1971.2</v>
      </c>
      <c r="AY281" s="208">
        <f t="shared" si="64"/>
        <v>0</v>
      </c>
      <c r="AZ281" s="290">
        <v>131882</v>
      </c>
      <c r="BA281" s="42"/>
      <c r="BB281" s="42"/>
      <c r="BD281" s="129"/>
    </row>
    <row r="282" spans="1:56">
      <c r="A282" s="235" t="s">
        <v>475</v>
      </c>
      <c r="B282" s="121">
        <v>1</v>
      </c>
      <c r="C282" s="131">
        <v>497.5</v>
      </c>
      <c r="D282" s="131">
        <v>0</v>
      </c>
      <c r="E282" s="82">
        <v>0</v>
      </c>
      <c r="F282" s="131">
        <v>0</v>
      </c>
      <c r="G282" s="199">
        <v>0</v>
      </c>
      <c r="H282" s="131">
        <v>0</v>
      </c>
      <c r="I282" s="131">
        <v>0</v>
      </c>
      <c r="J282" s="208">
        <v>0</v>
      </c>
      <c r="K282" s="127">
        <v>515</v>
      </c>
      <c r="L282" s="124">
        <v>0</v>
      </c>
      <c r="M282" s="121">
        <v>0</v>
      </c>
      <c r="N282" s="124">
        <v>5</v>
      </c>
      <c r="O282" s="124">
        <v>0</v>
      </c>
      <c r="P282" s="131">
        <v>58.4</v>
      </c>
      <c r="Q282" s="124">
        <v>0</v>
      </c>
      <c r="R282" s="124">
        <v>8.6</v>
      </c>
      <c r="S282" s="124">
        <v>0</v>
      </c>
      <c r="T282" s="127">
        <v>3</v>
      </c>
      <c r="U282" s="121">
        <v>0</v>
      </c>
      <c r="V282" s="121">
        <v>244</v>
      </c>
      <c r="W282" s="121">
        <v>0</v>
      </c>
      <c r="X282" s="131">
        <v>0</v>
      </c>
      <c r="Y282" s="119">
        <v>24</v>
      </c>
      <c r="Z282" s="82">
        <v>0</v>
      </c>
      <c r="AA282" s="79">
        <v>0</v>
      </c>
      <c r="AB282" s="79">
        <v>0</v>
      </c>
      <c r="AC282" s="209">
        <v>0</v>
      </c>
      <c r="AD282" s="211">
        <v>0</v>
      </c>
      <c r="AE282" s="89">
        <v>0</v>
      </c>
      <c r="AF282" s="89">
        <v>21.1</v>
      </c>
      <c r="AG282" s="89">
        <f>SUMIF('PreliminaryHD AR - School Level'!A283:A1589, "=" &amp; A282,'PreliminaryHD AR - School Level'!M283:M1589)</f>
        <v>18</v>
      </c>
      <c r="AH282" s="89">
        <v>831.6</v>
      </c>
      <c r="AI282" s="89">
        <f t="shared" si="52"/>
        <v>0</v>
      </c>
      <c r="AJ282" s="89">
        <f t="shared" si="53"/>
        <v>0</v>
      </c>
      <c r="AK282" s="89">
        <f t="shared" si="54"/>
        <v>497.5</v>
      </c>
      <c r="AL282" s="89">
        <f t="shared" si="55"/>
        <v>5</v>
      </c>
      <c r="AM282" s="89">
        <f t="shared" si="56"/>
        <v>8.6</v>
      </c>
      <c r="AN282" s="89">
        <f t="shared" si="57"/>
        <v>3</v>
      </c>
      <c r="AO282" s="89">
        <f t="shared" si="58"/>
        <v>58.4</v>
      </c>
      <c r="AP282" s="83">
        <f t="shared" si="59"/>
        <v>244</v>
      </c>
      <c r="AQ282" s="89">
        <f t="shared" si="60"/>
        <v>0</v>
      </c>
      <c r="AR282" s="89">
        <f t="shared" si="61"/>
        <v>24</v>
      </c>
      <c r="AS282" s="83">
        <f t="shared" si="62"/>
        <v>515</v>
      </c>
      <c r="AT282" s="89">
        <v>0</v>
      </c>
      <c r="AU282" s="89">
        <f t="shared" si="63"/>
        <v>21.1</v>
      </c>
      <c r="AV282" s="108">
        <v>4042133</v>
      </c>
      <c r="AW282" s="126">
        <v>831.6</v>
      </c>
      <c r="AX282" s="42">
        <v>831.6</v>
      </c>
      <c r="AY282" s="208">
        <f t="shared" si="64"/>
        <v>0</v>
      </c>
      <c r="AZ282" s="290">
        <v>178009</v>
      </c>
      <c r="BA282" s="42"/>
      <c r="BB282" s="42"/>
      <c r="BD282" s="129"/>
    </row>
    <row r="283" spans="1:56">
      <c r="A283" s="235" t="s">
        <v>476</v>
      </c>
      <c r="B283" s="121">
        <v>1</v>
      </c>
      <c r="C283" s="131">
        <v>381</v>
      </c>
      <c r="D283" s="131">
        <v>0</v>
      </c>
      <c r="E283" s="82">
        <v>0</v>
      </c>
      <c r="F283" s="131">
        <v>0</v>
      </c>
      <c r="G283" s="199">
        <v>0</v>
      </c>
      <c r="H283" s="131">
        <v>0</v>
      </c>
      <c r="I283" s="131">
        <v>0</v>
      </c>
      <c r="J283" s="208">
        <v>0</v>
      </c>
      <c r="K283" s="127">
        <v>401</v>
      </c>
      <c r="L283" s="124">
        <v>0</v>
      </c>
      <c r="M283" s="121">
        <v>0</v>
      </c>
      <c r="N283" s="124">
        <v>9.5</v>
      </c>
      <c r="O283" s="124">
        <v>0</v>
      </c>
      <c r="P283" s="131">
        <v>238.5</v>
      </c>
      <c r="Q283" s="124">
        <v>0</v>
      </c>
      <c r="R283" s="124">
        <v>0</v>
      </c>
      <c r="S283" s="124">
        <v>0</v>
      </c>
      <c r="T283" s="127">
        <v>0</v>
      </c>
      <c r="U283" s="121">
        <v>0</v>
      </c>
      <c r="V283" s="121">
        <v>174</v>
      </c>
      <c r="W283" s="121">
        <v>0</v>
      </c>
      <c r="X283" s="131">
        <v>0</v>
      </c>
      <c r="Y283" s="119">
        <v>52</v>
      </c>
      <c r="Z283" s="82">
        <v>0</v>
      </c>
      <c r="AA283" s="79">
        <v>0</v>
      </c>
      <c r="AB283" s="79">
        <v>0</v>
      </c>
      <c r="AC283" s="209">
        <v>10</v>
      </c>
      <c r="AD283" s="211">
        <v>0</v>
      </c>
      <c r="AE283" s="89">
        <v>0</v>
      </c>
      <c r="AF283" s="89">
        <v>10.199999999999999</v>
      </c>
      <c r="AG283" s="89">
        <f>SUMIF('PreliminaryHD AR - School Level'!A284:A1590, "=" &amp; A283,'PreliminaryHD AR - School Level'!M284:M1590)</f>
        <v>10.4</v>
      </c>
      <c r="AH283" s="89">
        <v>741.3</v>
      </c>
      <c r="AI283" s="89">
        <f t="shared" si="52"/>
        <v>0</v>
      </c>
      <c r="AJ283" s="89">
        <f t="shared" si="53"/>
        <v>0</v>
      </c>
      <c r="AK283" s="89">
        <f t="shared" si="54"/>
        <v>381</v>
      </c>
      <c r="AL283" s="89">
        <f t="shared" si="55"/>
        <v>9.5</v>
      </c>
      <c r="AM283" s="89">
        <f t="shared" si="56"/>
        <v>0</v>
      </c>
      <c r="AN283" s="89">
        <f t="shared" si="57"/>
        <v>0</v>
      </c>
      <c r="AO283" s="89">
        <f t="shared" si="58"/>
        <v>238.5</v>
      </c>
      <c r="AP283" s="83">
        <f t="shared" si="59"/>
        <v>174</v>
      </c>
      <c r="AQ283" s="89">
        <f t="shared" si="60"/>
        <v>0</v>
      </c>
      <c r="AR283" s="89">
        <f t="shared" si="61"/>
        <v>52</v>
      </c>
      <c r="AS283" s="83">
        <f t="shared" si="62"/>
        <v>401</v>
      </c>
      <c r="AT283" s="89">
        <v>0</v>
      </c>
      <c r="AU283" s="89">
        <f t="shared" si="63"/>
        <v>10.4</v>
      </c>
      <c r="AV283" s="108">
        <v>3718115</v>
      </c>
      <c r="AW283" s="126">
        <v>741.3</v>
      </c>
      <c r="AX283" s="42">
        <v>741.3</v>
      </c>
      <c r="AY283" s="208">
        <f t="shared" si="64"/>
        <v>0</v>
      </c>
      <c r="AZ283" s="290">
        <v>77772</v>
      </c>
      <c r="BA283" s="42"/>
      <c r="BB283" s="42"/>
      <c r="BD283" s="129"/>
    </row>
    <row r="284" spans="1:56">
      <c r="A284" s="235" t="s">
        <v>477</v>
      </c>
      <c r="B284" s="121">
        <v>1</v>
      </c>
      <c r="C284" s="131">
        <v>1488.6</v>
      </c>
      <c r="D284" s="131">
        <v>0</v>
      </c>
      <c r="E284" s="82">
        <v>0</v>
      </c>
      <c r="F284" s="131">
        <v>0</v>
      </c>
      <c r="G284" s="199">
        <v>0</v>
      </c>
      <c r="H284" s="131">
        <v>0</v>
      </c>
      <c r="I284" s="131">
        <v>0</v>
      </c>
      <c r="J284" s="208">
        <v>0</v>
      </c>
      <c r="K284" s="127">
        <v>1545</v>
      </c>
      <c r="L284" s="124">
        <v>0</v>
      </c>
      <c r="M284" s="121">
        <v>0</v>
      </c>
      <c r="N284" s="124">
        <v>17.5</v>
      </c>
      <c r="O284" s="124">
        <v>0</v>
      </c>
      <c r="P284" s="131">
        <v>473.3</v>
      </c>
      <c r="Q284" s="124">
        <v>0</v>
      </c>
      <c r="R284" s="124">
        <v>0</v>
      </c>
      <c r="S284" s="124">
        <v>0</v>
      </c>
      <c r="T284" s="127">
        <v>0</v>
      </c>
      <c r="U284" s="121">
        <v>0</v>
      </c>
      <c r="V284" s="121">
        <v>726</v>
      </c>
      <c r="W284" s="121">
        <v>0</v>
      </c>
      <c r="X284" s="131">
        <v>1</v>
      </c>
      <c r="Y284" s="119">
        <v>635.5</v>
      </c>
      <c r="Z284" s="82">
        <v>0</v>
      </c>
      <c r="AA284" s="79">
        <v>0</v>
      </c>
      <c r="AB284" s="79">
        <v>0</v>
      </c>
      <c r="AC284" s="209">
        <v>0</v>
      </c>
      <c r="AD284" s="211">
        <v>0</v>
      </c>
      <c r="AE284" s="89">
        <v>0</v>
      </c>
      <c r="AF284" s="89">
        <v>60.9</v>
      </c>
      <c r="AG284" s="89">
        <f>SUMIF('PreliminaryHD AR - School Level'!A285:A1591, "=" &amp; A284,'PreliminaryHD AR - School Level'!M285:M1591)</f>
        <v>58.8</v>
      </c>
      <c r="AH284" s="89">
        <v>2263.3000000000002</v>
      </c>
      <c r="AI284" s="89">
        <f t="shared" si="52"/>
        <v>0</v>
      </c>
      <c r="AJ284" s="89">
        <f t="shared" si="53"/>
        <v>0</v>
      </c>
      <c r="AK284" s="89">
        <f t="shared" si="54"/>
        <v>1488.6</v>
      </c>
      <c r="AL284" s="89">
        <f t="shared" si="55"/>
        <v>17.5</v>
      </c>
      <c r="AM284" s="89">
        <f t="shared" si="56"/>
        <v>0</v>
      </c>
      <c r="AN284" s="89">
        <f t="shared" si="57"/>
        <v>0</v>
      </c>
      <c r="AO284" s="89">
        <f t="shared" si="58"/>
        <v>473.3</v>
      </c>
      <c r="AP284" s="83">
        <f t="shared" si="59"/>
        <v>726</v>
      </c>
      <c r="AQ284" s="89">
        <f t="shared" si="60"/>
        <v>0</v>
      </c>
      <c r="AR284" s="89">
        <f t="shared" si="61"/>
        <v>635.5</v>
      </c>
      <c r="AS284" s="83">
        <f t="shared" si="62"/>
        <v>1545</v>
      </c>
      <c r="AT284" s="89">
        <v>0</v>
      </c>
      <c r="AU284" s="89">
        <f t="shared" si="63"/>
        <v>60.9</v>
      </c>
      <c r="AV284" s="108">
        <v>11435424</v>
      </c>
      <c r="AW284" s="126">
        <v>2263.3000000000002</v>
      </c>
      <c r="AX284" s="42">
        <v>2263.3000000000002</v>
      </c>
      <c r="AY284" s="208">
        <f t="shared" si="64"/>
        <v>0</v>
      </c>
      <c r="AZ284" s="290">
        <v>829733</v>
      </c>
      <c r="BA284" s="42"/>
      <c r="BB284" s="42"/>
      <c r="BD284" s="129"/>
    </row>
    <row r="285" spans="1:56">
      <c r="A285" s="235" t="s">
        <v>478</v>
      </c>
      <c r="B285" s="121">
        <v>1</v>
      </c>
      <c r="C285" s="131">
        <v>275</v>
      </c>
      <c r="D285" s="131">
        <v>0</v>
      </c>
      <c r="E285" s="82">
        <v>0</v>
      </c>
      <c r="F285" s="131">
        <v>0</v>
      </c>
      <c r="G285" s="199">
        <v>0</v>
      </c>
      <c r="H285" s="131">
        <v>0</v>
      </c>
      <c r="I285" s="131">
        <v>0</v>
      </c>
      <c r="J285" s="208">
        <v>0</v>
      </c>
      <c r="K285" s="127">
        <v>289</v>
      </c>
      <c r="L285" s="124">
        <v>0</v>
      </c>
      <c r="M285" s="121">
        <v>0</v>
      </c>
      <c r="N285" s="124">
        <v>6</v>
      </c>
      <c r="O285" s="124">
        <v>0</v>
      </c>
      <c r="P285" s="131">
        <v>114.3</v>
      </c>
      <c r="Q285" s="124">
        <v>0</v>
      </c>
      <c r="R285" s="124">
        <v>648</v>
      </c>
      <c r="S285" s="124">
        <v>0</v>
      </c>
      <c r="T285" s="127">
        <v>121</v>
      </c>
      <c r="U285" s="121">
        <v>0</v>
      </c>
      <c r="V285" s="121">
        <v>139</v>
      </c>
      <c r="W285" s="121">
        <v>0</v>
      </c>
      <c r="X285" s="131">
        <v>0</v>
      </c>
      <c r="Y285" s="119">
        <v>62</v>
      </c>
      <c r="Z285" s="82">
        <v>0</v>
      </c>
      <c r="AA285" s="79">
        <v>0</v>
      </c>
      <c r="AB285" s="79">
        <v>0</v>
      </c>
      <c r="AC285" s="209">
        <v>0</v>
      </c>
      <c r="AD285" s="211">
        <v>0</v>
      </c>
      <c r="AE285" s="89">
        <v>0</v>
      </c>
      <c r="AF285" s="89">
        <v>12.8</v>
      </c>
      <c r="AG285" s="89">
        <f>SUMIF('PreliminaryHD AR - School Level'!A286:A1592, "=" &amp; A285,'PreliminaryHD AR - School Level'!M286:M1592)</f>
        <v>12.3</v>
      </c>
      <c r="AH285" s="89">
        <v>597.79999999999995</v>
      </c>
      <c r="AI285" s="89">
        <f t="shared" si="52"/>
        <v>0</v>
      </c>
      <c r="AJ285" s="89">
        <f t="shared" si="53"/>
        <v>0</v>
      </c>
      <c r="AK285" s="89">
        <f t="shared" si="54"/>
        <v>275</v>
      </c>
      <c r="AL285" s="89">
        <f t="shared" si="55"/>
        <v>6</v>
      </c>
      <c r="AM285" s="89">
        <f t="shared" si="56"/>
        <v>648</v>
      </c>
      <c r="AN285" s="89">
        <f t="shared" si="57"/>
        <v>121</v>
      </c>
      <c r="AO285" s="89">
        <f t="shared" si="58"/>
        <v>114.3</v>
      </c>
      <c r="AP285" s="83">
        <f t="shared" si="59"/>
        <v>139</v>
      </c>
      <c r="AQ285" s="89">
        <f t="shared" si="60"/>
        <v>0</v>
      </c>
      <c r="AR285" s="89">
        <f t="shared" si="61"/>
        <v>62</v>
      </c>
      <c r="AS285" s="83">
        <f t="shared" si="62"/>
        <v>289</v>
      </c>
      <c r="AT285" s="89">
        <v>0</v>
      </c>
      <c r="AU285" s="89">
        <f t="shared" si="63"/>
        <v>12.8</v>
      </c>
      <c r="AV285" s="108">
        <v>2876766</v>
      </c>
      <c r="AW285" s="126">
        <v>597.70000000000005</v>
      </c>
      <c r="AX285" s="42">
        <v>597.70000000000005</v>
      </c>
      <c r="AY285" s="208">
        <f t="shared" si="64"/>
        <v>-0.1</v>
      </c>
      <c r="AZ285" s="290">
        <v>135474</v>
      </c>
      <c r="BA285" s="272" t="s">
        <v>3624</v>
      </c>
      <c r="BB285" s="42"/>
      <c r="BD285" s="129"/>
    </row>
    <row r="286" spans="1:56">
      <c r="A286" s="235" t="s">
        <v>479</v>
      </c>
      <c r="B286" s="121">
        <v>1</v>
      </c>
      <c r="C286" s="131">
        <v>910</v>
      </c>
      <c r="D286" s="131">
        <v>0</v>
      </c>
      <c r="E286" s="82">
        <v>0</v>
      </c>
      <c r="F286" s="131">
        <v>0</v>
      </c>
      <c r="G286" s="199">
        <v>0</v>
      </c>
      <c r="H286" s="131">
        <v>0</v>
      </c>
      <c r="I286" s="131">
        <v>0</v>
      </c>
      <c r="J286" s="208">
        <v>0</v>
      </c>
      <c r="K286" s="127">
        <v>939</v>
      </c>
      <c r="L286" s="124">
        <v>0</v>
      </c>
      <c r="M286" s="121">
        <v>0</v>
      </c>
      <c r="N286" s="124">
        <v>10.5</v>
      </c>
      <c r="O286" s="124">
        <v>0</v>
      </c>
      <c r="P286" s="131">
        <v>305</v>
      </c>
      <c r="Q286" s="124">
        <v>0</v>
      </c>
      <c r="R286" s="124">
        <v>3.6</v>
      </c>
      <c r="S286" s="124">
        <v>0</v>
      </c>
      <c r="T286" s="127">
        <v>7</v>
      </c>
      <c r="U286" s="121">
        <v>0</v>
      </c>
      <c r="V286" s="121">
        <v>469</v>
      </c>
      <c r="W286" s="121">
        <v>0</v>
      </c>
      <c r="X286" s="131">
        <v>0</v>
      </c>
      <c r="Y286" s="119">
        <v>90.5</v>
      </c>
      <c r="Z286" s="82">
        <v>0</v>
      </c>
      <c r="AA286" s="79">
        <v>30</v>
      </c>
      <c r="AB286" s="79">
        <v>0</v>
      </c>
      <c r="AC286" s="209">
        <v>0</v>
      </c>
      <c r="AD286" s="211">
        <v>0</v>
      </c>
      <c r="AE286" s="89">
        <v>0</v>
      </c>
      <c r="AF286" s="89">
        <v>49.1</v>
      </c>
      <c r="AG286" s="256">
        <f>SUMIF('PreliminaryHD AR - School Level'!A287:A1593, "=" &amp; A286,'PreliminaryHD AR - School Level'!M287:M1593)</f>
        <v>44.8</v>
      </c>
      <c r="AH286" s="89">
        <v>1543.8</v>
      </c>
      <c r="AI286" s="89">
        <f t="shared" si="52"/>
        <v>0</v>
      </c>
      <c r="AJ286" s="89">
        <f t="shared" si="53"/>
        <v>0</v>
      </c>
      <c r="AK286" s="89">
        <f t="shared" si="54"/>
        <v>910</v>
      </c>
      <c r="AL286" s="89">
        <f t="shared" si="55"/>
        <v>10.5</v>
      </c>
      <c r="AM286" s="89">
        <f t="shared" si="56"/>
        <v>3.6</v>
      </c>
      <c r="AN286" s="89">
        <f t="shared" si="57"/>
        <v>7</v>
      </c>
      <c r="AO286" s="89">
        <f t="shared" si="58"/>
        <v>305</v>
      </c>
      <c r="AP286" s="83">
        <f t="shared" si="59"/>
        <v>469</v>
      </c>
      <c r="AQ286" s="89">
        <f t="shared" si="60"/>
        <v>0</v>
      </c>
      <c r="AR286" s="89">
        <f t="shared" si="61"/>
        <v>90.5</v>
      </c>
      <c r="AS286" s="83">
        <f t="shared" si="62"/>
        <v>939</v>
      </c>
      <c r="AT286" s="89">
        <v>0</v>
      </c>
      <c r="AU286" s="89">
        <f t="shared" si="63"/>
        <v>49.1</v>
      </c>
      <c r="AV286" s="108">
        <v>7762549</v>
      </c>
      <c r="AW286" s="95">
        <v>1543.8</v>
      </c>
      <c r="AX286" s="42">
        <v>1543.8</v>
      </c>
      <c r="AY286" s="208">
        <f t="shared" si="64"/>
        <v>0</v>
      </c>
      <c r="AZ286" s="290">
        <v>215926</v>
      </c>
      <c r="BA286" s="42"/>
      <c r="BB286" s="42"/>
      <c r="BD286" s="129"/>
    </row>
    <row r="287" spans="1:56">
      <c r="A287" s="235" t="s">
        <v>480</v>
      </c>
      <c r="B287" s="121">
        <v>1</v>
      </c>
      <c r="C287" s="131">
        <v>170.5</v>
      </c>
      <c r="D287" s="131">
        <v>0</v>
      </c>
      <c r="E287" s="82">
        <v>0</v>
      </c>
      <c r="F287" s="131">
        <v>0</v>
      </c>
      <c r="G287" s="199">
        <v>0</v>
      </c>
      <c r="H287" s="131">
        <v>0</v>
      </c>
      <c r="I287" s="131">
        <v>0</v>
      </c>
      <c r="J287" s="208">
        <v>0</v>
      </c>
      <c r="K287" s="127">
        <v>175</v>
      </c>
      <c r="L287" s="124">
        <v>0</v>
      </c>
      <c r="M287" s="121">
        <v>0</v>
      </c>
      <c r="N287" s="124">
        <v>1.5</v>
      </c>
      <c r="O287" s="124">
        <v>0</v>
      </c>
      <c r="P287" s="131">
        <v>69.3</v>
      </c>
      <c r="Q287" s="124">
        <v>0</v>
      </c>
      <c r="R287" s="124">
        <v>0</v>
      </c>
      <c r="S287" s="124">
        <v>0</v>
      </c>
      <c r="T287" s="127">
        <v>0</v>
      </c>
      <c r="U287" s="121">
        <v>0</v>
      </c>
      <c r="V287" s="121">
        <v>58</v>
      </c>
      <c r="W287" s="121">
        <v>0</v>
      </c>
      <c r="X287" s="131">
        <v>0</v>
      </c>
      <c r="Y287" s="119">
        <v>55</v>
      </c>
      <c r="Z287" s="82">
        <v>0</v>
      </c>
      <c r="AA287" s="79">
        <v>0</v>
      </c>
      <c r="AB287" s="79">
        <v>0</v>
      </c>
      <c r="AC287" s="209">
        <v>0</v>
      </c>
      <c r="AD287" s="211">
        <v>0</v>
      </c>
      <c r="AE287" s="89">
        <v>0</v>
      </c>
      <c r="AF287" s="89">
        <v>0</v>
      </c>
      <c r="AG287" s="89">
        <f>SUMIF('PreliminaryHD AR - School Level'!A288:A1594, "=" &amp; A287,'PreliminaryHD AR - School Level'!M288:M1594)</f>
        <v>1.2</v>
      </c>
      <c r="AH287" s="89">
        <v>412.6</v>
      </c>
      <c r="AI287" s="89">
        <f t="shared" si="52"/>
        <v>0</v>
      </c>
      <c r="AJ287" s="89">
        <f t="shared" si="53"/>
        <v>0</v>
      </c>
      <c r="AK287" s="89">
        <f t="shared" si="54"/>
        <v>170.5</v>
      </c>
      <c r="AL287" s="89">
        <f t="shared" si="55"/>
        <v>1.5</v>
      </c>
      <c r="AM287" s="89">
        <f t="shared" si="56"/>
        <v>0</v>
      </c>
      <c r="AN287" s="89">
        <f t="shared" si="57"/>
        <v>0</v>
      </c>
      <c r="AO287" s="89">
        <f t="shared" si="58"/>
        <v>69.3</v>
      </c>
      <c r="AP287" s="83">
        <f t="shared" si="59"/>
        <v>58</v>
      </c>
      <c r="AQ287" s="89">
        <f t="shared" si="60"/>
        <v>0</v>
      </c>
      <c r="AR287" s="89">
        <f t="shared" si="61"/>
        <v>55</v>
      </c>
      <c r="AS287" s="83">
        <f t="shared" si="62"/>
        <v>175</v>
      </c>
      <c r="AT287" s="89">
        <v>0</v>
      </c>
      <c r="AU287" s="89">
        <f t="shared" si="63"/>
        <v>1.2</v>
      </c>
      <c r="AV287" s="108">
        <v>2055844</v>
      </c>
      <c r="AW287" s="126">
        <v>412.6</v>
      </c>
      <c r="AX287" s="42">
        <v>412.6</v>
      </c>
      <c r="AY287" s="208">
        <f t="shared" si="64"/>
        <v>0</v>
      </c>
      <c r="AZ287" s="290">
        <v>81246</v>
      </c>
      <c r="BA287" s="42"/>
      <c r="BB287" s="42"/>
      <c r="BD287" s="129"/>
    </row>
    <row r="288" spans="1:56">
      <c r="A288" s="235" t="s">
        <v>481</v>
      </c>
      <c r="B288" s="121">
        <v>1</v>
      </c>
      <c r="C288" s="131">
        <v>158.5</v>
      </c>
      <c r="D288" s="131">
        <v>0</v>
      </c>
      <c r="E288" s="82">
        <v>0</v>
      </c>
      <c r="F288" s="131">
        <v>0</v>
      </c>
      <c r="G288" s="199">
        <v>0</v>
      </c>
      <c r="H288" s="131">
        <v>0</v>
      </c>
      <c r="I288" s="131">
        <v>0</v>
      </c>
      <c r="J288" s="208">
        <v>0</v>
      </c>
      <c r="K288" s="127">
        <v>165</v>
      </c>
      <c r="L288" s="124">
        <v>0</v>
      </c>
      <c r="M288" s="121">
        <v>0</v>
      </c>
      <c r="N288" s="124">
        <v>2</v>
      </c>
      <c r="O288" s="124">
        <v>0</v>
      </c>
      <c r="P288" s="131">
        <v>0</v>
      </c>
      <c r="Q288" s="124">
        <v>0</v>
      </c>
      <c r="R288" s="124">
        <v>0</v>
      </c>
      <c r="S288" s="124">
        <v>0</v>
      </c>
      <c r="T288" s="127">
        <v>0</v>
      </c>
      <c r="U288" s="121">
        <v>0</v>
      </c>
      <c r="V288" s="121">
        <v>60</v>
      </c>
      <c r="W288" s="121">
        <v>0</v>
      </c>
      <c r="X288" s="131">
        <v>0</v>
      </c>
      <c r="Y288" s="119">
        <v>17.5</v>
      </c>
      <c r="Z288" s="82">
        <v>0</v>
      </c>
      <c r="AA288" s="79">
        <v>0</v>
      </c>
      <c r="AB288" s="79">
        <v>0</v>
      </c>
      <c r="AC288" s="209">
        <v>0</v>
      </c>
      <c r="AD288" s="211">
        <v>0</v>
      </c>
      <c r="AE288" s="89">
        <v>0</v>
      </c>
      <c r="AF288" s="89">
        <v>0.6</v>
      </c>
      <c r="AG288" s="89">
        <f>SUMIF('PreliminaryHD AR - School Level'!A289:A1595, "=" &amp; A288,'PreliminaryHD AR - School Level'!M289:M1595)</f>
        <v>0.5</v>
      </c>
      <c r="AH288" s="89">
        <v>345.8</v>
      </c>
      <c r="AI288" s="89">
        <f t="shared" si="52"/>
        <v>0</v>
      </c>
      <c r="AJ288" s="89">
        <f t="shared" si="53"/>
        <v>0</v>
      </c>
      <c r="AK288" s="89">
        <f t="shared" si="54"/>
        <v>158.5</v>
      </c>
      <c r="AL288" s="89">
        <f t="shared" si="55"/>
        <v>2</v>
      </c>
      <c r="AM288" s="89">
        <f t="shared" si="56"/>
        <v>0</v>
      </c>
      <c r="AN288" s="89">
        <f t="shared" si="57"/>
        <v>0</v>
      </c>
      <c r="AO288" s="89">
        <f t="shared" si="58"/>
        <v>0</v>
      </c>
      <c r="AP288" s="83">
        <f t="shared" si="59"/>
        <v>60</v>
      </c>
      <c r="AQ288" s="89">
        <f t="shared" si="60"/>
        <v>0</v>
      </c>
      <c r="AR288" s="89">
        <f t="shared" si="61"/>
        <v>17.5</v>
      </c>
      <c r="AS288" s="83">
        <f t="shared" si="62"/>
        <v>165</v>
      </c>
      <c r="AT288" s="89">
        <v>0</v>
      </c>
      <c r="AU288" s="89">
        <f t="shared" si="63"/>
        <v>0.6</v>
      </c>
      <c r="AV288" s="108">
        <v>1677246</v>
      </c>
      <c r="AW288" s="126">
        <v>345.8</v>
      </c>
      <c r="AX288" s="42">
        <v>345.8</v>
      </c>
      <c r="AY288" s="208">
        <f t="shared" si="64"/>
        <v>0</v>
      </c>
      <c r="AZ288" s="290">
        <v>123668</v>
      </c>
      <c r="BA288" s="42"/>
      <c r="BB288" s="42"/>
      <c r="BD288" s="129"/>
    </row>
    <row r="289" spans="1:56">
      <c r="A289" s="235" t="s">
        <v>482</v>
      </c>
      <c r="B289" s="121">
        <v>1</v>
      </c>
      <c r="C289" s="131">
        <v>26899.1</v>
      </c>
      <c r="D289" s="131">
        <v>0</v>
      </c>
      <c r="E289" s="82">
        <v>0</v>
      </c>
      <c r="F289" s="131">
        <v>0</v>
      </c>
      <c r="G289" s="199">
        <v>0</v>
      </c>
      <c r="H289" s="131">
        <v>0</v>
      </c>
      <c r="I289" s="131">
        <v>0</v>
      </c>
      <c r="J289" s="208">
        <v>0</v>
      </c>
      <c r="K289" s="127">
        <v>27296</v>
      </c>
      <c r="L289" s="124">
        <v>0</v>
      </c>
      <c r="M289" s="121">
        <v>0</v>
      </c>
      <c r="N289" s="124">
        <v>113</v>
      </c>
      <c r="O289" s="124">
        <v>0</v>
      </c>
      <c r="P289" s="131">
        <v>6210.7</v>
      </c>
      <c r="Q289" s="124">
        <v>0</v>
      </c>
      <c r="R289" s="124">
        <v>6147.1</v>
      </c>
      <c r="S289" s="124">
        <v>0</v>
      </c>
      <c r="T289" s="127">
        <v>2723</v>
      </c>
      <c r="U289" s="121">
        <v>0</v>
      </c>
      <c r="V289" s="121">
        <v>7349</v>
      </c>
      <c r="W289" s="121">
        <v>0</v>
      </c>
      <c r="X289" s="131">
        <v>1</v>
      </c>
      <c r="Y289" s="119">
        <v>5121</v>
      </c>
      <c r="Z289" s="82">
        <v>0</v>
      </c>
      <c r="AA289" s="79">
        <v>0</v>
      </c>
      <c r="AB289" s="79">
        <v>0</v>
      </c>
      <c r="AC289" s="209">
        <v>0</v>
      </c>
      <c r="AD289" s="211">
        <v>2107.5</v>
      </c>
      <c r="AE289" s="89">
        <v>0</v>
      </c>
      <c r="AF289" s="89">
        <v>0</v>
      </c>
      <c r="AG289" s="89">
        <f>SUMIF('PreliminaryHD AR - School Level'!A290:A1596, "=" &amp; A289,'PreliminaryHD AR - School Level'!M290:M1596)</f>
        <v>219.7</v>
      </c>
      <c r="AH289" s="89">
        <v>35809.599999999999</v>
      </c>
      <c r="AI289" s="89">
        <f t="shared" si="52"/>
        <v>0</v>
      </c>
      <c r="AJ289" s="89">
        <f t="shared" si="53"/>
        <v>0</v>
      </c>
      <c r="AK289" s="89">
        <f t="shared" si="54"/>
        <v>26899.1</v>
      </c>
      <c r="AL289" s="89">
        <f t="shared" si="55"/>
        <v>113</v>
      </c>
      <c r="AM289" s="89">
        <f t="shared" si="56"/>
        <v>6147.1</v>
      </c>
      <c r="AN289" s="89">
        <f t="shared" si="57"/>
        <v>2723</v>
      </c>
      <c r="AO289" s="89">
        <f t="shared" si="58"/>
        <v>6210.7</v>
      </c>
      <c r="AP289" s="83">
        <f t="shared" si="59"/>
        <v>7349</v>
      </c>
      <c r="AQ289" s="89">
        <f t="shared" si="60"/>
        <v>2107.5</v>
      </c>
      <c r="AR289" s="89">
        <f t="shared" si="61"/>
        <v>5121</v>
      </c>
      <c r="AS289" s="83">
        <f t="shared" si="62"/>
        <v>27296</v>
      </c>
      <c r="AT289" s="89">
        <v>0</v>
      </c>
      <c r="AU289" s="89">
        <f t="shared" si="63"/>
        <v>219.7</v>
      </c>
      <c r="AV289" s="108">
        <v>170560082</v>
      </c>
      <c r="AW289" s="126">
        <v>35809.599999999999</v>
      </c>
      <c r="AX289" s="42">
        <v>35809.599999999999</v>
      </c>
      <c r="AY289" s="208">
        <f t="shared" si="64"/>
        <v>0</v>
      </c>
      <c r="AZ289" s="290">
        <v>6634801</v>
      </c>
      <c r="BA289" s="42"/>
      <c r="BB289" s="42"/>
      <c r="BD289" s="129"/>
    </row>
  </sheetData>
  <autoFilter ref="A3:BE289"/>
  <mergeCells count="13">
    <mergeCell ref="AX2:AY2"/>
    <mergeCell ref="C1:AE1"/>
    <mergeCell ref="AA2:AC2"/>
    <mergeCell ref="AD2:AE2"/>
    <mergeCell ref="C2:F2"/>
    <mergeCell ref="H2:J2"/>
    <mergeCell ref="K2:M2"/>
    <mergeCell ref="N2:O2"/>
    <mergeCell ref="P2:Q2"/>
    <mergeCell ref="R2:S2"/>
    <mergeCell ref="T2:U2"/>
    <mergeCell ref="V2:W2"/>
    <mergeCell ref="Y2:Z2"/>
  </mergeCells>
  <pageMargins left="0.7" right="0.7" top="0.75" bottom="0.75" header="0.3" footer="0.3"/>
  <pageSetup orientation="portrait" r:id="rId1"/>
  <ignoredErrors>
    <ignoredError sqref="AO5:AO289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2019 Legal Max</vt:lpstr>
      <vt:lpstr>Transportation</vt:lpstr>
      <vt:lpstr>LOB Transfers</vt:lpstr>
      <vt:lpstr>Military Provision</vt:lpstr>
      <vt:lpstr>Audit Values</vt:lpstr>
      <vt:lpstr>Audit HD AR - School Level</vt:lpstr>
      <vt:lpstr>Exceptions</vt:lpstr>
      <vt:lpstr>Weighting Factors</vt:lpstr>
      <vt:lpstr>Preliminary SO66</vt:lpstr>
      <vt:lpstr>PreliminaryHD AR - School Level</vt:lpstr>
      <vt:lpstr>Database</vt:lpstr>
      <vt:lpstr>'2019 Legal Max'!Print_Area</vt:lpstr>
      <vt:lpstr>'2019 Legal Max'!Print_Titles</vt:lpstr>
      <vt:lpstr>'LOB Transfers'!Print_Titles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ksbe</dc:creator>
  <cp:lastModifiedBy>RoseMary Ireland</cp:lastModifiedBy>
  <cp:lastPrinted>2019-06-13T14:49:17Z</cp:lastPrinted>
  <dcterms:created xsi:type="dcterms:W3CDTF">1999-09-14T20:54:03Z</dcterms:created>
  <dcterms:modified xsi:type="dcterms:W3CDTF">2019-06-13T18:23:36Z</dcterms:modified>
</cp:coreProperties>
</file>